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ddf5b7bcef28c/Desktop/"/>
    </mc:Choice>
  </mc:AlternateContent>
  <xr:revisionPtr revIDLastSave="191" documentId="8_{51A1F891-AB09-AE49-88A0-BF3F7842C37F}" xr6:coauthVersionLast="47" xr6:coauthVersionMax="47" xr10:uidLastSave="{736ECD4F-3F11-4581-93C2-CF9C619CCE52}"/>
  <workbookProtection workbookAlgorithmName="SHA-512" workbookHashValue="NzHQgUDgNg2cgrWkJv46Quy6sqPhX2sFVDZ9cxdfWx1QDIlFT8TVLSezrYH8sSTG1iZXnh6CDedsX84E2mOQgA==" workbookSaltValue="b4XoAVYcIYIIeq7CK5+3BQ==" workbookSpinCount="100000" lockStructure="1"/>
  <bookViews>
    <workbookView xWindow="1005" yWindow="960" windowWidth="38700" windowHeight="19125" tabRatio="824" activeTab="7" xr2:uid="{00000000-000D-0000-FFFF-FFFF00000000}"/>
  </bookViews>
  <sheets>
    <sheet name="ENTER SFAM ID" sheetId="82" r:id="rId1"/>
    <sheet name="INTRO" sheetId="103" r:id="rId2"/>
    <sheet name="Assemble Data" sheetId="6" r:id="rId3"/>
    <sheet name="Develop Model" sheetId="105" r:id="rId4"/>
    <sheet name="Balance Sheet" sheetId="99" state="hidden" r:id="rId5"/>
    <sheet name="Cash Flow Statement" sheetId="100" state="hidden" r:id="rId6"/>
    <sheet name="Model" sheetId="109" r:id="rId7"/>
    <sheet name="Analyze" sheetId="107" r:id="rId8"/>
    <sheet name="Scratch Sheet" sheetId="108" state="hidden" r:id="rId9"/>
    <sheet name="X" sheetId="81" state="hidden" r:id="rId10"/>
  </sheets>
  <externalReferences>
    <externalReference r:id="rId11"/>
  </externalReferences>
  <definedNames>
    <definedName name="_xlnm._FilterDatabase" localSheetId="2" hidden="1">'Assemble Data'!$A$23:$O$23</definedName>
    <definedName name="Column">X!$DD$1:$EC$2</definedName>
    <definedName name="_xlnm.Print_Area" localSheetId="2">'Assemble Data'!$A$1:$J$59</definedName>
    <definedName name="SpreadsheetBuilder_1" localSheetId="9" hidden="1">#REF!</definedName>
    <definedName name="SpreadsheetBuilder_1" hidden="1">#REF!</definedName>
    <definedName name="SpreadsheetBuilder_10" hidden="1">#REF!</definedName>
    <definedName name="SpreadsheetBuilder_11" hidden="1">'[1]Ticker info'!#REF!</definedName>
    <definedName name="SpreadsheetBuilder_12" hidden="1">#REF!</definedName>
    <definedName name="SpreadsheetBuilder_2" localSheetId="9" hidden="1">#REF!</definedName>
    <definedName name="SpreadsheetBuilder_2" hidden="1">#REF!</definedName>
    <definedName name="SpreadsheetBuilder_3" localSheetId="9" hidden="1">#REF!</definedName>
    <definedName name="SpreadsheetBuilder_3" hidden="1">#REF!</definedName>
    <definedName name="SpreadsheetBuilder_4" localSheetId="9" hidden="1">#REF!</definedName>
    <definedName name="SpreadsheetBuilder_4" hidden="1">#REF!</definedName>
    <definedName name="SpreadsheetBuilder_5" hidden="1">#REF!</definedName>
    <definedName name="SpreadsheetBuilder_6" hidden="1">#REF!</definedName>
    <definedName name="SpreadsheetBuilder_7" hidden="1">#REF!</definedName>
    <definedName name="SpreadsheetBuilder_8" hidden="1">#REF!</definedName>
    <definedName name="SpreadsheetBuilder_9" hidden="1">#REF!</definedName>
    <definedName name="Workbook">X!$CX$1:$CX$20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5" i="6" l="1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F24" i="6"/>
  <c r="E24" i="6"/>
  <c r="CC1" i="81" l="1"/>
  <c r="A4" i="6"/>
  <c r="D47" i="81"/>
  <c r="D46" i="81"/>
  <c r="D45" i="81"/>
  <c r="D44" i="81"/>
  <c r="D43" i="81"/>
  <c r="D35" i="81"/>
  <c r="D29" i="81"/>
  <c r="D28" i="81"/>
  <c r="CD40" i="81"/>
  <c r="CD37" i="81"/>
  <c r="D41" i="81"/>
  <c r="D42" i="81"/>
  <c r="D40" i="81"/>
  <c r="D38" i="81"/>
  <c r="D39" i="81"/>
  <c r="D37" i="81"/>
  <c r="D36" i="81"/>
  <c r="D34" i="81"/>
  <c r="D33" i="81"/>
  <c r="D32" i="81"/>
  <c r="CD32" i="81"/>
  <c r="D31" i="81"/>
  <c r="D30" i="81"/>
  <c r="CD30" i="81"/>
  <c r="M36" i="108"/>
  <c r="M37" i="108"/>
  <c r="M35" i="108"/>
  <c r="D27" i="81"/>
  <c r="D26" i="81"/>
  <c r="AF23" i="6"/>
  <c r="Y32" i="108"/>
  <c r="Y31" i="108"/>
  <c r="Y30" i="108"/>
  <c r="Y29" i="108"/>
  <c r="Y28" i="108"/>
  <c r="Y27" i="108"/>
  <c r="Y26" i="108"/>
  <c r="Y25" i="108"/>
  <c r="Y24" i="108"/>
  <c r="Y23" i="108"/>
  <c r="Y22" i="108"/>
  <c r="H139" i="108"/>
  <c r="H156" i="108"/>
  <c r="H173" i="108"/>
  <c r="H190" i="108"/>
  <c r="H207" i="108"/>
  <c r="H224" i="108"/>
  <c r="H241" i="108"/>
  <c r="H258" i="108"/>
  <c r="H275" i="108"/>
  <c r="H292" i="108"/>
  <c r="H309" i="108"/>
  <c r="H326" i="108"/>
  <c r="H343" i="108"/>
  <c r="H360" i="108"/>
  <c r="H377" i="108"/>
  <c r="H394" i="108"/>
  <c r="H411" i="108"/>
  <c r="H428" i="108"/>
  <c r="H445" i="108"/>
  <c r="H462" i="108"/>
  <c r="H479" i="108"/>
  <c r="H496" i="108"/>
  <c r="H513" i="108"/>
  <c r="H530" i="108"/>
  <c r="H547" i="108"/>
  <c r="H564" i="108"/>
  <c r="H581" i="108"/>
  <c r="H598" i="108"/>
  <c r="H615" i="108"/>
  <c r="H632" i="108"/>
  <c r="H649" i="108"/>
  <c r="H666" i="108"/>
  <c r="H683" i="108"/>
  <c r="H700" i="108"/>
  <c r="H717" i="108"/>
  <c r="H734" i="108"/>
  <c r="H751" i="108"/>
  <c r="H768" i="108"/>
  <c r="H785" i="108"/>
  <c r="H802" i="108"/>
  <c r="H819" i="108"/>
  <c r="H836" i="108"/>
  <c r="H853" i="108"/>
  <c r="H870" i="108"/>
  <c r="H887" i="108"/>
  <c r="H904" i="108"/>
  <c r="H921" i="108"/>
  <c r="H938" i="108"/>
  <c r="H955" i="108"/>
  <c r="H972" i="108"/>
  <c r="H989" i="108"/>
  <c r="H1006" i="108"/>
  <c r="H138" i="108"/>
  <c r="H155" i="108"/>
  <c r="H172" i="108"/>
  <c r="H189" i="108"/>
  <c r="H206" i="108"/>
  <c r="H223" i="108"/>
  <c r="H240" i="108"/>
  <c r="H257" i="108"/>
  <c r="H274" i="108"/>
  <c r="H291" i="108"/>
  <c r="H308" i="108"/>
  <c r="H325" i="108"/>
  <c r="H342" i="108"/>
  <c r="H359" i="108"/>
  <c r="H376" i="108"/>
  <c r="H393" i="108"/>
  <c r="H410" i="108"/>
  <c r="H427" i="108"/>
  <c r="H444" i="108"/>
  <c r="H461" i="108"/>
  <c r="H478" i="108"/>
  <c r="H495" i="108"/>
  <c r="H512" i="108"/>
  <c r="H529" i="108"/>
  <c r="H546" i="108"/>
  <c r="H563" i="108"/>
  <c r="H580" i="108"/>
  <c r="H597" i="108"/>
  <c r="H614" i="108"/>
  <c r="H631" i="108"/>
  <c r="H648" i="108"/>
  <c r="H665" i="108"/>
  <c r="H682" i="108"/>
  <c r="H699" i="108"/>
  <c r="H716" i="108"/>
  <c r="H733" i="108"/>
  <c r="H750" i="108"/>
  <c r="H767" i="108"/>
  <c r="H784" i="108"/>
  <c r="H801" i="108"/>
  <c r="H818" i="108"/>
  <c r="H835" i="108"/>
  <c r="H852" i="108"/>
  <c r="H869" i="108"/>
  <c r="H886" i="108"/>
  <c r="H903" i="108"/>
  <c r="H920" i="108"/>
  <c r="H937" i="108"/>
  <c r="H954" i="108"/>
  <c r="H971" i="108"/>
  <c r="H988" i="108"/>
  <c r="H1005" i="108"/>
  <c r="H1022" i="108"/>
  <c r="H137" i="108"/>
  <c r="H154" i="108"/>
  <c r="H171" i="108"/>
  <c r="H188" i="108"/>
  <c r="H205" i="108"/>
  <c r="H222" i="108"/>
  <c r="H239" i="108"/>
  <c r="H256" i="108"/>
  <c r="H273" i="108"/>
  <c r="H290" i="108"/>
  <c r="H307" i="108"/>
  <c r="H324" i="108"/>
  <c r="H341" i="108"/>
  <c r="H358" i="108"/>
  <c r="H375" i="108"/>
  <c r="H392" i="108"/>
  <c r="H409" i="108"/>
  <c r="H426" i="108"/>
  <c r="H443" i="108"/>
  <c r="H460" i="108"/>
  <c r="H477" i="108"/>
  <c r="H494" i="108"/>
  <c r="H511" i="108"/>
  <c r="H528" i="108"/>
  <c r="H545" i="108"/>
  <c r="H562" i="108"/>
  <c r="H579" i="108"/>
  <c r="H596" i="108"/>
  <c r="H613" i="108"/>
  <c r="H630" i="108"/>
  <c r="H647" i="108"/>
  <c r="H664" i="108"/>
  <c r="H681" i="108"/>
  <c r="H698" i="108"/>
  <c r="H715" i="108"/>
  <c r="H732" i="108"/>
  <c r="H749" i="108"/>
  <c r="H766" i="108"/>
  <c r="H783" i="108"/>
  <c r="H800" i="108"/>
  <c r="H817" i="108"/>
  <c r="H834" i="108"/>
  <c r="H851" i="108"/>
  <c r="H868" i="108"/>
  <c r="H885" i="108"/>
  <c r="H902" i="108"/>
  <c r="H919" i="108"/>
  <c r="H936" i="108"/>
  <c r="H953" i="108"/>
  <c r="H970" i="108"/>
  <c r="H987" i="108"/>
  <c r="H1004" i="108"/>
  <c r="H1021" i="108"/>
  <c r="H136" i="108"/>
  <c r="H153" i="108"/>
  <c r="H170" i="108"/>
  <c r="H187" i="108"/>
  <c r="H204" i="108"/>
  <c r="H221" i="108"/>
  <c r="H238" i="108"/>
  <c r="H255" i="108"/>
  <c r="H272" i="108"/>
  <c r="H289" i="108"/>
  <c r="H306" i="108"/>
  <c r="H323" i="108"/>
  <c r="H340" i="108"/>
  <c r="H357" i="108"/>
  <c r="H374" i="108"/>
  <c r="H391" i="108"/>
  <c r="H408" i="108"/>
  <c r="H425" i="108"/>
  <c r="H442" i="108"/>
  <c r="H459" i="108"/>
  <c r="H476" i="108"/>
  <c r="H493" i="108"/>
  <c r="H510" i="108"/>
  <c r="H527" i="108"/>
  <c r="H544" i="108"/>
  <c r="H561" i="108"/>
  <c r="H578" i="108"/>
  <c r="H595" i="108"/>
  <c r="H612" i="108"/>
  <c r="H629" i="108"/>
  <c r="H646" i="108"/>
  <c r="H663" i="108"/>
  <c r="H680" i="108"/>
  <c r="H697" i="108"/>
  <c r="H714" i="108"/>
  <c r="H731" i="108"/>
  <c r="H748" i="108"/>
  <c r="H765" i="108"/>
  <c r="H782" i="108"/>
  <c r="H799" i="108"/>
  <c r="H816" i="108"/>
  <c r="H833" i="108"/>
  <c r="H850" i="108"/>
  <c r="H867" i="108"/>
  <c r="H884" i="108"/>
  <c r="H901" i="108"/>
  <c r="H918" i="108"/>
  <c r="H935" i="108"/>
  <c r="H952" i="108"/>
  <c r="H969" i="108"/>
  <c r="H986" i="108"/>
  <c r="H1003" i="108"/>
  <c r="H1020" i="108"/>
  <c r="H135" i="108"/>
  <c r="H152" i="108"/>
  <c r="H169" i="108"/>
  <c r="H186" i="108"/>
  <c r="H203" i="108"/>
  <c r="H220" i="108"/>
  <c r="H237" i="108"/>
  <c r="H254" i="108"/>
  <c r="H271" i="108"/>
  <c r="H288" i="108"/>
  <c r="H305" i="108"/>
  <c r="H322" i="108"/>
  <c r="H339" i="108"/>
  <c r="H356" i="108"/>
  <c r="H373" i="108"/>
  <c r="H390" i="108"/>
  <c r="H407" i="108"/>
  <c r="H424" i="108"/>
  <c r="H441" i="108"/>
  <c r="H458" i="108"/>
  <c r="H475" i="108"/>
  <c r="H492" i="108"/>
  <c r="H509" i="108"/>
  <c r="H526" i="108"/>
  <c r="H543" i="108"/>
  <c r="H560" i="108"/>
  <c r="H577" i="108"/>
  <c r="H594" i="108"/>
  <c r="H611" i="108"/>
  <c r="H628" i="108"/>
  <c r="H645" i="108"/>
  <c r="H662" i="108"/>
  <c r="H679" i="108"/>
  <c r="H696" i="108"/>
  <c r="H713" i="108"/>
  <c r="H730" i="108"/>
  <c r="H747" i="108"/>
  <c r="H764" i="108"/>
  <c r="H781" i="108"/>
  <c r="H798" i="108"/>
  <c r="H815" i="108"/>
  <c r="H832" i="108"/>
  <c r="H849" i="108"/>
  <c r="H866" i="108"/>
  <c r="H883" i="108"/>
  <c r="H900" i="108"/>
  <c r="H917" i="108"/>
  <c r="H934" i="108"/>
  <c r="H951" i="108"/>
  <c r="H968" i="108"/>
  <c r="H985" i="108"/>
  <c r="H1002" i="108"/>
  <c r="H1019" i="108"/>
  <c r="H134" i="108"/>
  <c r="H151" i="108"/>
  <c r="H168" i="108"/>
  <c r="H185" i="108"/>
  <c r="H202" i="108"/>
  <c r="H219" i="108"/>
  <c r="H236" i="108"/>
  <c r="H253" i="108"/>
  <c r="H270" i="108"/>
  <c r="H287" i="108"/>
  <c r="H304" i="108"/>
  <c r="H321" i="108"/>
  <c r="H338" i="108"/>
  <c r="H355" i="108"/>
  <c r="H372" i="108"/>
  <c r="H389" i="108"/>
  <c r="H406" i="108"/>
  <c r="H423" i="108"/>
  <c r="H440" i="108"/>
  <c r="H457" i="108"/>
  <c r="H474" i="108"/>
  <c r="H491" i="108"/>
  <c r="H508" i="108"/>
  <c r="H525" i="108"/>
  <c r="H542" i="108"/>
  <c r="H559" i="108"/>
  <c r="H576" i="108"/>
  <c r="H593" i="108"/>
  <c r="H610" i="108"/>
  <c r="H627" i="108"/>
  <c r="H644" i="108"/>
  <c r="H661" i="108"/>
  <c r="H678" i="108"/>
  <c r="H695" i="108"/>
  <c r="H712" i="108"/>
  <c r="H729" i="108"/>
  <c r="H746" i="108"/>
  <c r="H763" i="108"/>
  <c r="H780" i="108"/>
  <c r="H797" i="108"/>
  <c r="H814" i="108"/>
  <c r="H831" i="108"/>
  <c r="H848" i="108"/>
  <c r="H865" i="108"/>
  <c r="H882" i="108"/>
  <c r="H899" i="108"/>
  <c r="H916" i="108"/>
  <c r="H933" i="108"/>
  <c r="H950" i="108"/>
  <c r="H967" i="108"/>
  <c r="H984" i="108"/>
  <c r="H1001" i="108"/>
  <c r="H1018" i="108"/>
  <c r="H133" i="108"/>
  <c r="H150" i="108"/>
  <c r="H167" i="108"/>
  <c r="H184" i="108"/>
  <c r="H201" i="108"/>
  <c r="H218" i="108"/>
  <c r="H235" i="108"/>
  <c r="H252" i="108"/>
  <c r="H269" i="108"/>
  <c r="H286" i="108"/>
  <c r="H303" i="108"/>
  <c r="H320" i="108"/>
  <c r="H337" i="108"/>
  <c r="H354" i="108"/>
  <c r="H371" i="108"/>
  <c r="H388" i="108"/>
  <c r="H405" i="108"/>
  <c r="H422" i="108"/>
  <c r="H439" i="108"/>
  <c r="H456" i="108"/>
  <c r="H473" i="108"/>
  <c r="H490" i="108"/>
  <c r="H507" i="108"/>
  <c r="H524" i="108"/>
  <c r="H541" i="108"/>
  <c r="H558" i="108"/>
  <c r="H575" i="108"/>
  <c r="H592" i="108"/>
  <c r="H609" i="108"/>
  <c r="H626" i="108"/>
  <c r="H643" i="108"/>
  <c r="H660" i="108"/>
  <c r="H677" i="108"/>
  <c r="H694" i="108"/>
  <c r="H711" i="108"/>
  <c r="H728" i="108"/>
  <c r="H745" i="108"/>
  <c r="H762" i="108"/>
  <c r="H779" i="108"/>
  <c r="H796" i="108"/>
  <c r="H813" i="108"/>
  <c r="H830" i="108"/>
  <c r="H847" i="108"/>
  <c r="H864" i="108"/>
  <c r="H881" i="108"/>
  <c r="H898" i="108"/>
  <c r="H915" i="108"/>
  <c r="H932" i="108"/>
  <c r="H949" i="108"/>
  <c r="H966" i="108"/>
  <c r="H983" i="108"/>
  <c r="H1000" i="108"/>
  <c r="H1017" i="108"/>
  <c r="H132" i="108"/>
  <c r="H149" i="108"/>
  <c r="H166" i="108"/>
  <c r="H183" i="108"/>
  <c r="H200" i="108"/>
  <c r="H217" i="108"/>
  <c r="H234" i="108"/>
  <c r="H251" i="108"/>
  <c r="H268" i="108"/>
  <c r="H285" i="108"/>
  <c r="H302" i="108"/>
  <c r="H319" i="108"/>
  <c r="H336" i="108"/>
  <c r="H353" i="108"/>
  <c r="H370" i="108"/>
  <c r="H387" i="108"/>
  <c r="H404" i="108"/>
  <c r="H421" i="108"/>
  <c r="H438" i="108"/>
  <c r="H455" i="108"/>
  <c r="H472" i="108"/>
  <c r="H489" i="108"/>
  <c r="H506" i="108"/>
  <c r="H523" i="108"/>
  <c r="H540" i="108"/>
  <c r="H557" i="108"/>
  <c r="H574" i="108"/>
  <c r="H591" i="108"/>
  <c r="H608" i="108"/>
  <c r="H625" i="108"/>
  <c r="H642" i="108"/>
  <c r="H659" i="108"/>
  <c r="H676" i="108"/>
  <c r="H693" i="108"/>
  <c r="H710" i="108"/>
  <c r="H727" i="108"/>
  <c r="H744" i="108"/>
  <c r="H761" i="108"/>
  <c r="H778" i="108"/>
  <c r="H795" i="108"/>
  <c r="H812" i="108"/>
  <c r="H829" i="108"/>
  <c r="H846" i="108"/>
  <c r="H863" i="108"/>
  <c r="H880" i="108"/>
  <c r="H897" i="108"/>
  <c r="H914" i="108"/>
  <c r="H931" i="108"/>
  <c r="H948" i="108"/>
  <c r="H965" i="108"/>
  <c r="H982" i="108"/>
  <c r="H999" i="108"/>
  <c r="H1016" i="108"/>
  <c r="H131" i="108"/>
  <c r="H148" i="108"/>
  <c r="H165" i="108"/>
  <c r="H182" i="108"/>
  <c r="H199" i="108"/>
  <c r="H216" i="108"/>
  <c r="H233" i="108"/>
  <c r="H250" i="108"/>
  <c r="H267" i="108"/>
  <c r="H284" i="108"/>
  <c r="H301" i="108"/>
  <c r="H318" i="108"/>
  <c r="H335" i="108"/>
  <c r="H352" i="108"/>
  <c r="H369" i="108"/>
  <c r="H386" i="108"/>
  <c r="H403" i="108"/>
  <c r="H420" i="108"/>
  <c r="H437" i="108"/>
  <c r="H454" i="108"/>
  <c r="H471" i="108"/>
  <c r="H488" i="108"/>
  <c r="H505" i="108"/>
  <c r="H522" i="108"/>
  <c r="H539" i="108"/>
  <c r="H556" i="108"/>
  <c r="H573" i="108"/>
  <c r="H590" i="108"/>
  <c r="H607" i="108"/>
  <c r="H624" i="108"/>
  <c r="H641" i="108"/>
  <c r="H658" i="108"/>
  <c r="H675" i="108"/>
  <c r="H692" i="108"/>
  <c r="H709" i="108"/>
  <c r="H726" i="108"/>
  <c r="H743" i="108"/>
  <c r="H760" i="108"/>
  <c r="H777" i="108"/>
  <c r="H794" i="108"/>
  <c r="H811" i="108"/>
  <c r="H828" i="108"/>
  <c r="H845" i="108"/>
  <c r="H862" i="108"/>
  <c r="H879" i="108"/>
  <c r="H896" i="108"/>
  <c r="H913" i="108"/>
  <c r="H930" i="108"/>
  <c r="H947" i="108"/>
  <c r="H964" i="108"/>
  <c r="H981" i="108"/>
  <c r="H998" i="108"/>
  <c r="H1015" i="108"/>
  <c r="H130" i="108"/>
  <c r="H147" i="108"/>
  <c r="H164" i="108"/>
  <c r="H181" i="108"/>
  <c r="H198" i="108"/>
  <c r="H215" i="108"/>
  <c r="H232" i="108"/>
  <c r="H249" i="108"/>
  <c r="H266" i="108"/>
  <c r="H283" i="108"/>
  <c r="H300" i="108"/>
  <c r="H317" i="108"/>
  <c r="H334" i="108"/>
  <c r="H351" i="108"/>
  <c r="H368" i="108"/>
  <c r="H385" i="108"/>
  <c r="H402" i="108"/>
  <c r="H419" i="108"/>
  <c r="H436" i="108"/>
  <c r="H453" i="108"/>
  <c r="H470" i="108"/>
  <c r="H487" i="108"/>
  <c r="H504" i="108"/>
  <c r="H521" i="108"/>
  <c r="H538" i="108"/>
  <c r="H555" i="108"/>
  <c r="H572" i="108"/>
  <c r="H589" i="108"/>
  <c r="H606" i="108"/>
  <c r="H623" i="108"/>
  <c r="H640" i="108"/>
  <c r="H657" i="108"/>
  <c r="H674" i="108"/>
  <c r="H691" i="108"/>
  <c r="H708" i="108"/>
  <c r="H725" i="108"/>
  <c r="H742" i="108"/>
  <c r="H759" i="108"/>
  <c r="H776" i="108"/>
  <c r="H793" i="108"/>
  <c r="H810" i="108"/>
  <c r="H827" i="108"/>
  <c r="H844" i="108"/>
  <c r="H861" i="108"/>
  <c r="H878" i="108"/>
  <c r="H895" i="108"/>
  <c r="H912" i="108"/>
  <c r="H929" i="108"/>
  <c r="H946" i="108"/>
  <c r="H963" i="108"/>
  <c r="H980" i="108"/>
  <c r="H997" i="108"/>
  <c r="H1014" i="108"/>
  <c r="H129" i="108"/>
  <c r="H146" i="108"/>
  <c r="H163" i="108"/>
  <c r="H180" i="108"/>
  <c r="H197" i="108"/>
  <c r="H214" i="108"/>
  <c r="H231" i="108"/>
  <c r="H248" i="108"/>
  <c r="H265" i="108"/>
  <c r="H282" i="108"/>
  <c r="H299" i="108"/>
  <c r="H316" i="108"/>
  <c r="H333" i="108"/>
  <c r="H350" i="108"/>
  <c r="H367" i="108"/>
  <c r="H384" i="108"/>
  <c r="H401" i="108"/>
  <c r="H418" i="108"/>
  <c r="H435" i="108"/>
  <c r="H452" i="108"/>
  <c r="H469" i="108"/>
  <c r="H486" i="108"/>
  <c r="H503" i="108"/>
  <c r="H520" i="108"/>
  <c r="H537" i="108"/>
  <c r="H554" i="108"/>
  <c r="H571" i="108"/>
  <c r="H588" i="108"/>
  <c r="H605" i="108"/>
  <c r="H622" i="108"/>
  <c r="H639" i="108"/>
  <c r="H656" i="108"/>
  <c r="H673" i="108"/>
  <c r="H690" i="108"/>
  <c r="H707" i="108"/>
  <c r="H724" i="108"/>
  <c r="H741" i="108"/>
  <c r="H758" i="108"/>
  <c r="H775" i="108"/>
  <c r="H792" i="108"/>
  <c r="H809" i="108"/>
  <c r="H826" i="108"/>
  <c r="H843" i="108"/>
  <c r="H860" i="108"/>
  <c r="H877" i="108"/>
  <c r="H894" i="108"/>
  <c r="H911" i="108"/>
  <c r="H928" i="108"/>
  <c r="H945" i="108"/>
  <c r="H962" i="108"/>
  <c r="H979" i="108"/>
  <c r="H996" i="108"/>
  <c r="H1013" i="108"/>
  <c r="H128" i="108"/>
  <c r="H145" i="108"/>
  <c r="H162" i="108"/>
  <c r="H179" i="108"/>
  <c r="H196" i="108"/>
  <c r="H213" i="108"/>
  <c r="H230" i="108"/>
  <c r="H247" i="108"/>
  <c r="H264" i="108"/>
  <c r="H281" i="108"/>
  <c r="H298" i="108"/>
  <c r="H315" i="108"/>
  <c r="H332" i="108"/>
  <c r="H349" i="108"/>
  <c r="H366" i="108"/>
  <c r="H383" i="108"/>
  <c r="H400" i="108"/>
  <c r="H417" i="108"/>
  <c r="H434" i="108"/>
  <c r="H451" i="108"/>
  <c r="H468" i="108"/>
  <c r="H485" i="108"/>
  <c r="H502" i="108"/>
  <c r="H519" i="108"/>
  <c r="H536" i="108"/>
  <c r="H553" i="108"/>
  <c r="H570" i="108"/>
  <c r="H587" i="108"/>
  <c r="H604" i="108"/>
  <c r="H621" i="108"/>
  <c r="H638" i="108"/>
  <c r="H655" i="108"/>
  <c r="H672" i="108"/>
  <c r="H689" i="108"/>
  <c r="H706" i="108"/>
  <c r="H723" i="108"/>
  <c r="H740" i="108"/>
  <c r="H757" i="108"/>
  <c r="H774" i="108"/>
  <c r="H791" i="108"/>
  <c r="H808" i="108"/>
  <c r="H825" i="108"/>
  <c r="H842" i="108"/>
  <c r="H859" i="108"/>
  <c r="H876" i="108"/>
  <c r="H893" i="108"/>
  <c r="H910" i="108"/>
  <c r="H927" i="108"/>
  <c r="H944" i="108"/>
  <c r="H961" i="108"/>
  <c r="H978" i="108"/>
  <c r="H995" i="108"/>
  <c r="H1012" i="108"/>
  <c r="H127" i="108"/>
  <c r="H144" i="108"/>
  <c r="H161" i="108"/>
  <c r="H178" i="108"/>
  <c r="H195" i="108"/>
  <c r="H212" i="108"/>
  <c r="H229" i="108"/>
  <c r="H246" i="108"/>
  <c r="H263" i="108"/>
  <c r="H280" i="108"/>
  <c r="H297" i="108"/>
  <c r="H314" i="108"/>
  <c r="H331" i="108"/>
  <c r="H348" i="108"/>
  <c r="H365" i="108"/>
  <c r="H382" i="108"/>
  <c r="H399" i="108"/>
  <c r="H416" i="108"/>
  <c r="H433" i="108"/>
  <c r="H450" i="108"/>
  <c r="H467" i="108"/>
  <c r="H484" i="108"/>
  <c r="H501" i="108"/>
  <c r="H518" i="108"/>
  <c r="H535" i="108"/>
  <c r="H552" i="108"/>
  <c r="H569" i="108"/>
  <c r="H586" i="108"/>
  <c r="H603" i="108"/>
  <c r="H620" i="108"/>
  <c r="H637" i="108"/>
  <c r="H654" i="108"/>
  <c r="H671" i="108"/>
  <c r="H688" i="108"/>
  <c r="H705" i="108"/>
  <c r="H722" i="108"/>
  <c r="H739" i="108"/>
  <c r="H756" i="108"/>
  <c r="H773" i="108"/>
  <c r="H790" i="108"/>
  <c r="H807" i="108"/>
  <c r="H824" i="108"/>
  <c r="H841" i="108"/>
  <c r="H858" i="108"/>
  <c r="H875" i="108"/>
  <c r="H892" i="108"/>
  <c r="H909" i="108"/>
  <c r="H926" i="108"/>
  <c r="H943" i="108"/>
  <c r="H960" i="108"/>
  <c r="H977" i="108"/>
  <c r="H994" i="108"/>
  <c r="H1011" i="108"/>
  <c r="H126" i="108"/>
  <c r="H143" i="108"/>
  <c r="H160" i="108"/>
  <c r="H177" i="108"/>
  <c r="H194" i="108"/>
  <c r="H211" i="108"/>
  <c r="H228" i="108"/>
  <c r="H245" i="108"/>
  <c r="H262" i="108"/>
  <c r="H279" i="108"/>
  <c r="H296" i="108"/>
  <c r="H313" i="108"/>
  <c r="H330" i="108"/>
  <c r="H347" i="108"/>
  <c r="H364" i="108"/>
  <c r="H381" i="108"/>
  <c r="H398" i="108"/>
  <c r="H415" i="108"/>
  <c r="H432" i="108"/>
  <c r="H449" i="108"/>
  <c r="H466" i="108"/>
  <c r="H483" i="108"/>
  <c r="H500" i="108"/>
  <c r="H517" i="108"/>
  <c r="H534" i="108"/>
  <c r="H551" i="108"/>
  <c r="H568" i="108"/>
  <c r="H585" i="108"/>
  <c r="H602" i="108"/>
  <c r="H619" i="108"/>
  <c r="H636" i="108"/>
  <c r="H653" i="108"/>
  <c r="H670" i="108"/>
  <c r="H687" i="108"/>
  <c r="H704" i="108"/>
  <c r="H721" i="108"/>
  <c r="H738" i="108"/>
  <c r="H755" i="108"/>
  <c r="H772" i="108"/>
  <c r="H789" i="108"/>
  <c r="H806" i="108"/>
  <c r="H823" i="108"/>
  <c r="H840" i="108"/>
  <c r="H857" i="108"/>
  <c r="H874" i="108"/>
  <c r="H891" i="108"/>
  <c r="H908" i="108"/>
  <c r="H925" i="108"/>
  <c r="H942" i="108"/>
  <c r="H959" i="108"/>
  <c r="H976" i="108"/>
  <c r="H993" i="108"/>
  <c r="H1010" i="108"/>
  <c r="H125" i="108"/>
  <c r="H142" i="108"/>
  <c r="H159" i="108"/>
  <c r="H176" i="108"/>
  <c r="H193" i="108"/>
  <c r="H210" i="108"/>
  <c r="H227" i="108"/>
  <c r="H244" i="108"/>
  <c r="H261" i="108"/>
  <c r="H278" i="108"/>
  <c r="H295" i="108"/>
  <c r="H312" i="108"/>
  <c r="H329" i="108"/>
  <c r="H346" i="108"/>
  <c r="H363" i="108"/>
  <c r="H380" i="108"/>
  <c r="H397" i="108"/>
  <c r="H414" i="108"/>
  <c r="H431" i="108"/>
  <c r="H448" i="108"/>
  <c r="H465" i="108"/>
  <c r="H482" i="108"/>
  <c r="H499" i="108"/>
  <c r="H516" i="108"/>
  <c r="H533" i="108"/>
  <c r="H550" i="108"/>
  <c r="H567" i="108"/>
  <c r="H584" i="108"/>
  <c r="H601" i="108"/>
  <c r="H618" i="108"/>
  <c r="H635" i="108"/>
  <c r="H652" i="108"/>
  <c r="H669" i="108"/>
  <c r="H686" i="108"/>
  <c r="H703" i="108"/>
  <c r="H720" i="108"/>
  <c r="H737" i="108"/>
  <c r="H754" i="108"/>
  <c r="H771" i="108"/>
  <c r="H788" i="108"/>
  <c r="H805" i="108"/>
  <c r="H822" i="108"/>
  <c r="H839" i="108"/>
  <c r="H856" i="108"/>
  <c r="H873" i="108"/>
  <c r="H890" i="108"/>
  <c r="H907" i="108"/>
  <c r="H924" i="108"/>
  <c r="H941" i="108"/>
  <c r="H958" i="108"/>
  <c r="H975" i="108"/>
  <c r="H992" i="108"/>
  <c r="H1009" i="108"/>
  <c r="H124" i="108"/>
  <c r="H141" i="108"/>
  <c r="H158" i="108"/>
  <c r="H175" i="108"/>
  <c r="H192" i="108"/>
  <c r="H209" i="108"/>
  <c r="H226" i="108"/>
  <c r="H243" i="108"/>
  <c r="H260" i="108"/>
  <c r="H277" i="108"/>
  <c r="H294" i="108"/>
  <c r="H311" i="108"/>
  <c r="H328" i="108"/>
  <c r="H345" i="108"/>
  <c r="H362" i="108"/>
  <c r="H379" i="108"/>
  <c r="H396" i="108"/>
  <c r="H413" i="108"/>
  <c r="H430" i="108"/>
  <c r="H447" i="108"/>
  <c r="H464" i="108"/>
  <c r="H481" i="108"/>
  <c r="H498" i="108"/>
  <c r="H515" i="108"/>
  <c r="H532" i="108"/>
  <c r="H549" i="108"/>
  <c r="H566" i="108"/>
  <c r="H583" i="108"/>
  <c r="H600" i="108"/>
  <c r="H617" i="108"/>
  <c r="H634" i="108"/>
  <c r="H651" i="108"/>
  <c r="H668" i="108"/>
  <c r="H685" i="108"/>
  <c r="H702" i="108"/>
  <c r="H719" i="108"/>
  <c r="H736" i="108"/>
  <c r="H753" i="108"/>
  <c r="H770" i="108"/>
  <c r="H787" i="108"/>
  <c r="H804" i="108"/>
  <c r="H821" i="108"/>
  <c r="H838" i="108"/>
  <c r="H855" i="108"/>
  <c r="H872" i="108"/>
  <c r="H889" i="108"/>
  <c r="H906" i="108"/>
  <c r="H923" i="108"/>
  <c r="H940" i="108"/>
  <c r="H957" i="108"/>
  <c r="H974" i="108"/>
  <c r="H991" i="108"/>
  <c r="H1008" i="108"/>
  <c r="H123" i="108"/>
  <c r="H140" i="108"/>
  <c r="H157" i="108"/>
  <c r="H174" i="108"/>
  <c r="H191" i="108"/>
  <c r="H208" i="108"/>
  <c r="H225" i="108"/>
  <c r="H242" i="108"/>
  <c r="H259" i="108"/>
  <c r="H276" i="108"/>
  <c r="H293" i="108"/>
  <c r="H310" i="108"/>
  <c r="H327" i="108"/>
  <c r="H344" i="108"/>
  <c r="H361" i="108"/>
  <c r="H378" i="108"/>
  <c r="H395" i="108"/>
  <c r="H412" i="108"/>
  <c r="H429" i="108"/>
  <c r="H446" i="108"/>
  <c r="H463" i="108"/>
  <c r="H480" i="108"/>
  <c r="H497" i="108"/>
  <c r="H514" i="108"/>
  <c r="H531" i="108"/>
  <c r="H548" i="108"/>
  <c r="H565" i="108"/>
  <c r="H582" i="108"/>
  <c r="H599" i="108"/>
  <c r="H616" i="108"/>
  <c r="H633" i="108"/>
  <c r="H650" i="108"/>
  <c r="H667" i="108"/>
  <c r="H684" i="108"/>
  <c r="H701" i="108"/>
  <c r="H718" i="108"/>
  <c r="H735" i="108"/>
  <c r="H752" i="108"/>
  <c r="H769" i="108"/>
  <c r="H786" i="108"/>
  <c r="H803" i="108"/>
  <c r="H820" i="108"/>
  <c r="H837" i="108"/>
  <c r="H854" i="108"/>
  <c r="H871" i="108"/>
  <c r="H888" i="108"/>
  <c r="H905" i="108"/>
  <c r="H922" i="108"/>
  <c r="H939" i="108"/>
  <c r="H956" i="108"/>
  <c r="H973" i="108"/>
  <c r="H990" i="108"/>
  <c r="H1007" i="108"/>
  <c r="AF24" i="6"/>
  <c r="AF25" i="6"/>
  <c r="K84" i="6"/>
  <c r="K187" i="6" s="1"/>
  <c r="K290" i="6" s="1"/>
  <c r="K393" i="6" s="1"/>
  <c r="K496" i="6" s="1"/>
  <c r="K599" i="6" s="1"/>
  <c r="K702" i="6" s="1"/>
  <c r="K805" i="6" s="1"/>
  <c r="K908" i="6" s="1"/>
  <c r="K1011" i="6" s="1"/>
  <c r="CB1" i="81"/>
  <c r="CB5" i="81" s="1"/>
  <c r="B18" i="81"/>
  <c r="B20" i="81"/>
  <c r="CB11" i="81"/>
  <c r="CB10" i="81"/>
  <c r="AP110" i="100"/>
  <c r="AO110" i="100"/>
  <c r="AN110" i="100"/>
  <c r="AJ110" i="100"/>
  <c r="AI110" i="100"/>
  <c r="AH110" i="100"/>
  <c r="AP63" i="100"/>
  <c r="AO63" i="100"/>
  <c r="AN63" i="100"/>
  <c r="AJ63" i="100"/>
  <c r="AI63" i="100"/>
  <c r="AH63" i="100"/>
  <c r="AP58" i="100"/>
  <c r="AO58" i="100"/>
  <c r="AN58" i="100"/>
  <c r="AJ58" i="100"/>
  <c r="AI58" i="100"/>
  <c r="AH58" i="100"/>
  <c r="B2" i="100"/>
  <c r="AN1" i="100"/>
  <c r="AH1" i="100"/>
  <c r="D226" i="99"/>
  <c r="AM223" i="99"/>
  <c r="AM229" i="99"/>
  <c r="AH223" i="99"/>
  <c r="AH229" i="99"/>
  <c r="AN222" i="99"/>
  <c r="AO222" i="99"/>
  <c r="AO223" i="99"/>
  <c r="AO229" i="99"/>
  <c r="AI222" i="99"/>
  <c r="AJ222" i="99"/>
  <c r="AJ223" i="99"/>
  <c r="AJ229" i="99"/>
  <c r="D207" i="99"/>
  <c r="D196" i="99"/>
  <c r="AL100" i="99"/>
  <c r="AL99" i="99"/>
  <c r="AO96" i="99"/>
  <c r="AN96" i="99"/>
  <c r="AM96" i="99"/>
  <c r="AJ96" i="99"/>
  <c r="AI96" i="99"/>
  <c r="AH96" i="99"/>
  <c r="AO95" i="99"/>
  <c r="AN95" i="99"/>
  <c r="AM95" i="99"/>
  <c r="AJ95" i="99"/>
  <c r="AI95" i="99"/>
  <c r="AH95" i="99"/>
  <c r="B71" i="99"/>
  <c r="AM69" i="99"/>
  <c r="AN69" i="99"/>
  <c r="AO69" i="99"/>
  <c r="AH69" i="99"/>
  <c r="B52" i="99"/>
  <c r="B51" i="99"/>
  <c r="B50" i="99"/>
  <c r="AK43" i="99"/>
  <c r="AK38" i="99"/>
  <c r="AK34" i="99"/>
  <c r="AK33" i="99"/>
  <c r="AK31" i="99"/>
  <c r="AK29" i="99"/>
  <c r="AK27" i="99"/>
  <c r="AK25" i="99"/>
  <c r="AK23" i="99"/>
  <c r="AK18" i="99"/>
  <c r="AK16" i="99"/>
  <c r="AK12" i="99"/>
  <c r="B2" i="99"/>
  <c r="AM1" i="99"/>
  <c r="AH1" i="99"/>
  <c r="AN223" i="99"/>
  <c r="AN229" i="99"/>
  <c r="AI223" i="99"/>
  <c r="AI229" i="99"/>
  <c r="AG2" i="100"/>
  <c r="AG2" i="99"/>
  <c r="C2" i="100"/>
  <c r="C2" i="99"/>
  <c r="M4" i="99"/>
  <c r="Q4" i="99"/>
  <c r="AG4" i="99"/>
  <c r="AC4" i="99"/>
  <c r="E4" i="99"/>
  <c r="U4" i="99"/>
  <c r="AI69" i="99"/>
  <c r="AE4" i="100"/>
  <c r="AA4" i="100"/>
  <c r="W4" i="100"/>
  <c r="S4" i="100"/>
  <c r="O4" i="100"/>
  <c r="K4" i="100"/>
  <c r="G4" i="100"/>
  <c r="AD4" i="100"/>
  <c r="Z4" i="100"/>
  <c r="V4" i="100"/>
  <c r="R4" i="100"/>
  <c r="N4" i="100"/>
  <c r="J4" i="100"/>
  <c r="F4" i="100"/>
  <c r="AB4" i="100"/>
  <c r="T4" i="100"/>
  <c r="L4" i="100"/>
  <c r="D4" i="100"/>
  <c r="AG4" i="100"/>
  <c r="Y4" i="100"/>
  <c r="Q4" i="100"/>
  <c r="I4" i="100"/>
  <c r="AF4" i="100"/>
  <c r="X4" i="100"/>
  <c r="P4" i="100"/>
  <c r="H4" i="100"/>
  <c r="E4" i="100"/>
  <c r="AC4" i="100"/>
  <c r="U4" i="100"/>
  <c r="M4" i="100"/>
  <c r="AF4" i="99"/>
  <c r="AB4" i="99"/>
  <c r="X4" i="99"/>
  <c r="T4" i="99"/>
  <c r="P4" i="99"/>
  <c r="L4" i="99"/>
  <c r="H4" i="99"/>
  <c r="D4" i="99"/>
  <c r="AE4" i="99"/>
  <c r="AA4" i="99"/>
  <c r="W4" i="99"/>
  <c r="S4" i="99"/>
  <c r="O4" i="99"/>
  <c r="K4" i="99"/>
  <c r="G4" i="99"/>
  <c r="AD4" i="99"/>
  <c r="Z4" i="99"/>
  <c r="V4" i="99"/>
  <c r="R4" i="99"/>
  <c r="N4" i="99"/>
  <c r="J4" i="99"/>
  <c r="F4" i="99"/>
  <c r="I4" i="99"/>
  <c r="Y4" i="99"/>
  <c r="O69" i="99"/>
  <c r="O70" i="99"/>
  <c r="O7" i="99"/>
  <c r="AE69" i="99"/>
  <c r="AE70" i="99"/>
  <c r="AE7" i="99"/>
  <c r="D69" i="99"/>
  <c r="D70" i="99"/>
  <c r="D7" i="99"/>
  <c r="AJ69" i="99"/>
  <c r="W2" i="100"/>
  <c r="W2" i="99"/>
  <c r="D2" i="100"/>
  <c r="D2" i="99"/>
  <c r="T2" i="100"/>
  <c r="T2" i="99"/>
  <c r="M2" i="100"/>
  <c r="M2" i="99"/>
  <c r="AC2" i="100"/>
  <c r="AC2" i="99"/>
  <c r="J2" i="100"/>
  <c r="J2" i="99"/>
  <c r="Z2" i="100"/>
  <c r="Z2" i="99"/>
  <c r="AO2" i="99"/>
  <c r="AJ2" i="99"/>
  <c r="AK2" i="99"/>
  <c r="AN2" i="99"/>
  <c r="AI2" i="99"/>
  <c r="AM2" i="99"/>
  <c r="AH2" i="99"/>
  <c r="I69" i="99"/>
  <c r="I70" i="99"/>
  <c r="I7" i="99"/>
  <c r="R69" i="99"/>
  <c r="R70" i="99"/>
  <c r="R7" i="99"/>
  <c r="S69" i="99"/>
  <c r="S70" i="99"/>
  <c r="S7" i="99"/>
  <c r="H69" i="99"/>
  <c r="H70" i="99"/>
  <c r="H7" i="99"/>
  <c r="X69" i="99"/>
  <c r="X70" i="99"/>
  <c r="X7" i="99"/>
  <c r="E69" i="99"/>
  <c r="E70" i="99"/>
  <c r="E7" i="99"/>
  <c r="AC69" i="99"/>
  <c r="AC70" i="99"/>
  <c r="AC7" i="99"/>
  <c r="Q69" i="99"/>
  <c r="Q70" i="99"/>
  <c r="Q7" i="99"/>
  <c r="G2" i="100"/>
  <c r="G2" i="99"/>
  <c r="AA2" i="100"/>
  <c r="AA2" i="99"/>
  <c r="AE2" i="100"/>
  <c r="AE2" i="99"/>
  <c r="H2" i="100"/>
  <c r="H2" i="99"/>
  <c r="X2" i="100"/>
  <c r="X2" i="99"/>
  <c r="Q2" i="100"/>
  <c r="Q2" i="99"/>
  <c r="N2" i="100"/>
  <c r="N2" i="99"/>
  <c r="AD2" i="100"/>
  <c r="AK2" i="100"/>
  <c r="AD2" i="99"/>
  <c r="AP2" i="100"/>
  <c r="AO2" i="100"/>
  <c r="AJ2" i="100"/>
  <c r="AL2" i="100"/>
  <c r="AH2" i="100"/>
  <c r="AN2" i="100"/>
  <c r="AI2" i="100"/>
  <c r="AD69" i="99"/>
  <c r="AD70" i="99"/>
  <c r="AD7" i="99"/>
  <c r="U69" i="99"/>
  <c r="U70" i="99"/>
  <c r="U7" i="99"/>
  <c r="AG70" i="99"/>
  <c r="AG7" i="99"/>
  <c r="F69" i="99"/>
  <c r="F70" i="99"/>
  <c r="F7" i="99"/>
  <c r="G69" i="99"/>
  <c r="G70" i="99"/>
  <c r="G7" i="99"/>
  <c r="W69" i="99"/>
  <c r="W70" i="99"/>
  <c r="W7" i="99"/>
  <c r="L69" i="99"/>
  <c r="L70" i="99"/>
  <c r="L7" i="99"/>
  <c r="M69" i="99"/>
  <c r="M70" i="99"/>
  <c r="M7" i="99"/>
  <c r="O2" i="100"/>
  <c r="O2" i="99"/>
  <c r="K2" i="100"/>
  <c r="K2" i="99"/>
  <c r="L2" i="100"/>
  <c r="L2" i="99"/>
  <c r="AB2" i="100"/>
  <c r="AB2" i="99"/>
  <c r="E2" i="100"/>
  <c r="E2" i="99"/>
  <c r="U2" i="100"/>
  <c r="U2" i="99"/>
  <c r="R2" i="100"/>
  <c r="R2" i="99"/>
  <c r="Y69" i="99"/>
  <c r="Y70" i="99"/>
  <c r="Y7" i="99"/>
  <c r="N69" i="99"/>
  <c r="N70" i="99"/>
  <c r="N7" i="99"/>
  <c r="T69" i="99"/>
  <c r="T70" i="99"/>
  <c r="T7" i="99"/>
  <c r="D111" i="100"/>
  <c r="D98" i="100"/>
  <c r="D96" i="100"/>
  <c r="D93" i="100"/>
  <c r="D64" i="100"/>
  <c r="D66" i="100"/>
  <c r="D47" i="100"/>
  <c r="D33" i="100"/>
  <c r="D60" i="100"/>
  <c r="D101" i="100"/>
  <c r="D27" i="100"/>
  <c r="D21" i="100"/>
  <c r="D54" i="100"/>
  <c r="D56" i="100"/>
  <c r="D46" i="100"/>
  <c r="D40" i="100"/>
  <c r="D38" i="100"/>
  <c r="D35" i="100"/>
  <c r="D28" i="100"/>
  <c r="D58" i="100"/>
  <c r="D19" i="100"/>
  <c r="D92" i="100"/>
  <c r="D13" i="100"/>
  <c r="D31" i="100"/>
  <c r="D9" i="100"/>
  <c r="D6" i="100"/>
  <c r="D42" i="100"/>
  <c r="D37" i="100"/>
  <c r="D10" i="100"/>
  <c r="D11" i="100"/>
  <c r="D18" i="100"/>
  <c r="D12" i="100"/>
  <c r="D24" i="100"/>
  <c r="D70" i="100"/>
  <c r="D7" i="100"/>
  <c r="V69" i="99"/>
  <c r="V70" i="99"/>
  <c r="V7" i="99"/>
  <c r="AB69" i="99"/>
  <c r="AB70" i="99"/>
  <c r="AB7" i="99"/>
  <c r="J69" i="99"/>
  <c r="J70" i="99"/>
  <c r="J7" i="99"/>
  <c r="Z69" i="99"/>
  <c r="Z70" i="99"/>
  <c r="Z7" i="99"/>
  <c r="K69" i="99"/>
  <c r="K70" i="99"/>
  <c r="K7" i="99"/>
  <c r="AA69" i="99"/>
  <c r="AA70" i="99"/>
  <c r="AA7" i="99"/>
  <c r="P69" i="99"/>
  <c r="P70" i="99"/>
  <c r="P7" i="99"/>
  <c r="AF69" i="99"/>
  <c r="AF70" i="99"/>
  <c r="AF7" i="99"/>
  <c r="S2" i="100"/>
  <c r="S2" i="99"/>
  <c r="P2" i="100"/>
  <c r="P2" i="99"/>
  <c r="AF2" i="100"/>
  <c r="AF2" i="99"/>
  <c r="I2" i="100"/>
  <c r="I2" i="99"/>
  <c r="Y2" i="100"/>
  <c r="Y2" i="99"/>
  <c r="F2" i="100"/>
  <c r="F2" i="99"/>
  <c r="V2" i="100"/>
  <c r="V2" i="99"/>
  <c r="D100" i="100"/>
  <c r="D102" i="100"/>
  <c r="D113" i="100"/>
  <c r="D15" i="100"/>
  <c r="D91" i="100"/>
  <c r="AF44" i="100"/>
  <c r="AF167" i="99"/>
  <c r="AF23" i="100"/>
  <c r="AF79" i="100"/>
  <c r="O23" i="100"/>
  <c r="O79" i="100"/>
  <c r="O44" i="100"/>
  <c r="O167" i="99"/>
  <c r="Z23" i="100"/>
  <c r="Z79" i="100"/>
  <c r="Z44" i="100"/>
  <c r="Z167" i="99"/>
  <c r="AB44" i="100"/>
  <c r="AB23" i="100"/>
  <c r="AB79" i="100"/>
  <c r="AB167" i="99"/>
  <c r="W23" i="100"/>
  <c r="W79" i="100"/>
  <c r="W44" i="100"/>
  <c r="W167" i="99"/>
  <c r="Q44" i="100"/>
  <c r="Q23" i="100"/>
  <c r="Q79" i="100"/>
  <c r="Q167" i="99"/>
  <c r="R23" i="100"/>
  <c r="R79" i="100"/>
  <c r="R44" i="100"/>
  <c r="R167" i="99"/>
  <c r="X44" i="100"/>
  <c r="X23" i="100"/>
  <c r="X79" i="100"/>
  <c r="X167" i="99"/>
  <c r="U44" i="100"/>
  <c r="U23" i="100"/>
  <c r="U79" i="100"/>
  <c r="U167" i="99"/>
  <c r="AC44" i="100"/>
  <c r="AC23" i="100"/>
  <c r="AC79" i="100"/>
  <c r="AC167" i="99"/>
  <c r="S23" i="100"/>
  <c r="S79" i="100"/>
  <c r="S44" i="100"/>
  <c r="S167" i="99"/>
  <c r="AE23" i="100"/>
  <c r="AE79" i="100"/>
  <c r="AE44" i="100"/>
  <c r="AE167" i="99"/>
  <c r="J23" i="100"/>
  <c r="J79" i="100"/>
  <c r="J44" i="100"/>
  <c r="J167" i="99"/>
  <c r="M44" i="100"/>
  <c r="M23" i="100"/>
  <c r="M79" i="100"/>
  <c r="M167" i="99"/>
  <c r="L44" i="100"/>
  <c r="L23" i="100"/>
  <c r="L79" i="100"/>
  <c r="L167" i="99"/>
  <c r="G23" i="100"/>
  <c r="G79" i="100"/>
  <c r="G44" i="100"/>
  <c r="G167" i="99"/>
  <c r="E44" i="100"/>
  <c r="E23" i="100"/>
  <c r="E79" i="100"/>
  <c r="E167" i="99"/>
  <c r="I44" i="100"/>
  <c r="I23" i="100"/>
  <c r="I79" i="100"/>
  <c r="I167" i="99"/>
  <c r="N23" i="100"/>
  <c r="N79" i="100"/>
  <c r="N44" i="100"/>
  <c r="N167" i="99"/>
  <c r="Y44" i="100"/>
  <c r="Y23" i="100"/>
  <c r="Y79" i="100"/>
  <c r="Y167" i="99"/>
  <c r="F23" i="100"/>
  <c r="F79" i="100"/>
  <c r="F44" i="100"/>
  <c r="F167" i="99"/>
  <c r="D44" i="100"/>
  <c r="D23" i="100"/>
  <c r="D79" i="100"/>
  <c r="D167" i="99"/>
  <c r="P44" i="100"/>
  <c r="P23" i="100"/>
  <c r="P79" i="100"/>
  <c r="P167" i="99"/>
  <c r="AA23" i="100"/>
  <c r="AA79" i="100"/>
  <c r="AA44" i="100"/>
  <c r="AA167" i="99"/>
  <c r="V23" i="100"/>
  <c r="V79" i="100"/>
  <c r="V44" i="100"/>
  <c r="V167" i="99"/>
  <c r="D61" i="100"/>
  <c r="D109" i="100"/>
  <c r="D223" i="99"/>
  <c r="H44" i="100"/>
  <c r="H23" i="100"/>
  <c r="H79" i="100"/>
  <c r="H167" i="99"/>
  <c r="D108" i="100"/>
  <c r="D62" i="100"/>
  <c r="T44" i="100"/>
  <c r="T23" i="100"/>
  <c r="T79" i="100"/>
  <c r="T167" i="99"/>
  <c r="AG44" i="100"/>
  <c r="AG23" i="100"/>
  <c r="AG79" i="100"/>
  <c r="AG167" i="99"/>
  <c r="K23" i="100"/>
  <c r="K79" i="100"/>
  <c r="K44" i="100"/>
  <c r="K167" i="99"/>
  <c r="D72" i="100"/>
  <c r="D71" i="100"/>
  <c r="D34" i="100"/>
  <c r="D77" i="100"/>
  <c r="D55" i="100"/>
  <c r="D76" i="100"/>
  <c r="AD23" i="100"/>
  <c r="AD79" i="100"/>
  <c r="AD44" i="100"/>
  <c r="AD167" i="99"/>
  <c r="D53" i="100"/>
  <c r="D81" i="100"/>
  <c r="D83" i="100"/>
  <c r="AK79" i="100"/>
  <c r="D110" i="100"/>
  <c r="D63" i="100"/>
  <c r="AK44" i="100"/>
  <c r="D82" i="100"/>
  <c r="L126" i="99"/>
  <c r="D126" i="99"/>
  <c r="AF126" i="99"/>
  <c r="G126" i="99"/>
  <c r="AE126" i="99"/>
  <c r="AA126" i="99"/>
  <c r="AD126" i="99"/>
  <c r="Z126" i="99"/>
  <c r="AB126" i="99"/>
  <c r="R126" i="99"/>
  <c r="P126" i="99"/>
  <c r="V126" i="99"/>
  <c r="O126" i="99"/>
  <c r="K126" i="99"/>
  <c r="N126" i="99"/>
  <c r="J126" i="99"/>
  <c r="H126" i="99"/>
  <c r="T126" i="99"/>
  <c r="S126" i="99"/>
  <c r="U126" i="99"/>
  <c r="F126" i="99"/>
  <c r="AG126" i="99"/>
  <c r="Q126" i="99"/>
  <c r="X126" i="99"/>
  <c r="W126" i="99"/>
  <c r="M126" i="99"/>
  <c r="Y126" i="99"/>
  <c r="E126" i="99"/>
  <c r="AC126" i="99"/>
  <c r="I126" i="99"/>
  <c r="AH70" i="99"/>
  <c r="AM70" i="99"/>
  <c r="AN70" i="99"/>
  <c r="AI70" i="99"/>
  <c r="AH7" i="99"/>
  <c r="AM7" i="99"/>
  <c r="R104" i="99"/>
  <c r="J104" i="99"/>
  <c r="O104" i="99"/>
  <c r="F104" i="99"/>
  <c r="S104" i="99"/>
  <c r="G104" i="99"/>
  <c r="L104" i="99"/>
  <c r="V104" i="99"/>
  <c r="K104" i="99"/>
  <c r="P104" i="99"/>
  <c r="H104" i="99"/>
  <c r="N104" i="99"/>
  <c r="T104" i="99"/>
  <c r="E104" i="99"/>
  <c r="U104" i="99"/>
  <c r="I104" i="99"/>
  <c r="M104" i="99"/>
  <c r="W104" i="99"/>
  <c r="D104" i="99"/>
  <c r="Q104" i="99"/>
  <c r="AH23" i="100"/>
  <c r="AH79" i="100"/>
  <c r="AH44" i="100"/>
  <c r="AH167" i="99"/>
  <c r="AO70" i="99"/>
  <c r="AN23" i="100"/>
  <c r="AN79" i="100"/>
  <c r="AN44" i="100"/>
  <c r="AM167" i="99"/>
  <c r="AJ70" i="99"/>
  <c r="AI7" i="99"/>
  <c r="AN7" i="99"/>
  <c r="Y104" i="99"/>
  <c r="AF104" i="99"/>
  <c r="AB104" i="99"/>
  <c r="Z104" i="99"/>
  <c r="AG104" i="99"/>
  <c r="X104" i="99"/>
  <c r="AC104" i="99"/>
  <c r="AD104" i="99"/>
  <c r="AA104" i="99"/>
  <c r="AE104" i="99"/>
  <c r="AO23" i="100"/>
  <c r="AO79" i="100"/>
  <c r="AO44" i="100"/>
  <c r="AN167" i="99"/>
  <c r="AJ7" i="99"/>
  <c r="AO7" i="99"/>
  <c r="AI23" i="100"/>
  <c r="AI79" i="100"/>
  <c r="AI44" i="100"/>
  <c r="AI167" i="99"/>
  <c r="H127" i="99"/>
  <c r="H128" i="99"/>
  <c r="H139" i="99"/>
  <c r="I127" i="99"/>
  <c r="I128" i="99"/>
  <c r="M127" i="99"/>
  <c r="M128" i="99"/>
  <c r="Q127" i="99"/>
  <c r="Q128" i="99"/>
  <c r="F127" i="99"/>
  <c r="F128" i="99"/>
  <c r="K127" i="99"/>
  <c r="K128" i="99"/>
  <c r="K139" i="99"/>
  <c r="J127" i="99"/>
  <c r="J128" i="99"/>
  <c r="O127" i="99"/>
  <c r="O128" i="99"/>
  <c r="AJ44" i="100"/>
  <c r="AL44" i="100"/>
  <c r="AJ23" i="100"/>
  <c r="AJ79" i="100"/>
  <c r="AL79" i="100"/>
  <c r="AJ167" i="99"/>
  <c r="AK7" i="99"/>
  <c r="AP44" i="100"/>
  <c r="AP23" i="100"/>
  <c r="AP79" i="100"/>
  <c r="AO167" i="99"/>
  <c r="Q139" i="99"/>
  <c r="K151" i="99"/>
  <c r="J139" i="99"/>
  <c r="Z127" i="99"/>
  <c r="Z128" i="99"/>
  <c r="M139" i="99"/>
  <c r="O139" i="99"/>
  <c r="X127" i="99"/>
  <c r="X128" i="99"/>
  <c r="AB110" i="99"/>
  <c r="AB6" i="100"/>
  <c r="F139" i="99"/>
  <c r="D110" i="99"/>
  <c r="D74" i="100"/>
  <c r="D85" i="100"/>
  <c r="U6" i="100"/>
  <c r="U110" i="99"/>
  <c r="AF110" i="99"/>
  <c r="AF6" i="100"/>
  <c r="H151" i="99"/>
  <c r="AC127" i="99"/>
  <c r="AC128" i="99"/>
  <c r="G110" i="99"/>
  <c r="G6" i="100"/>
  <c r="AE110" i="99"/>
  <c r="AE6" i="100"/>
  <c r="AA110" i="99"/>
  <c r="AA6" i="100"/>
  <c r="N110" i="99"/>
  <c r="N6" i="100"/>
  <c r="R110" i="99"/>
  <c r="R6" i="100"/>
  <c r="Y6" i="100"/>
  <c r="Y110" i="99"/>
  <c r="L110" i="99"/>
  <c r="L6" i="100"/>
  <c r="P110" i="99"/>
  <c r="P6" i="100"/>
  <c r="R127" i="99"/>
  <c r="R128" i="99"/>
  <c r="M7" i="100"/>
  <c r="AC7" i="100"/>
  <c r="J7" i="100"/>
  <c r="Z7" i="100"/>
  <c r="Q7" i="100"/>
  <c r="V7" i="100"/>
  <c r="W7" i="100"/>
  <c r="F7" i="100"/>
  <c r="AD7" i="100"/>
  <c r="K7" i="100"/>
  <c r="AA7" i="100"/>
  <c r="S7" i="100"/>
  <c r="H7" i="100"/>
  <c r="I7" i="100"/>
  <c r="E7" i="100"/>
  <c r="O7" i="100"/>
  <c r="X7" i="100"/>
  <c r="O6" i="100"/>
  <c r="O110" i="99"/>
  <c r="S110" i="99"/>
  <c r="S6" i="100"/>
  <c r="T110" i="99"/>
  <c r="T6" i="100"/>
  <c r="D127" i="99"/>
  <c r="D128" i="99"/>
  <c r="I139" i="99"/>
  <c r="U127" i="99"/>
  <c r="U128" i="99"/>
  <c r="AD6" i="100"/>
  <c r="AD110" i="99"/>
  <c r="W110" i="99"/>
  <c r="W6" i="100"/>
  <c r="K6" i="100"/>
  <c r="K110" i="99"/>
  <c r="V110" i="99"/>
  <c r="V6" i="100"/>
  <c r="AG6" i="100"/>
  <c r="AG110" i="99"/>
  <c r="I6" i="100"/>
  <c r="I110" i="99"/>
  <c r="E110" i="99"/>
  <c r="E6" i="100"/>
  <c r="W127" i="99"/>
  <c r="W128" i="99"/>
  <c r="N127" i="99"/>
  <c r="N128" i="99"/>
  <c r="V127" i="99"/>
  <c r="V128" i="99"/>
  <c r="P127" i="99"/>
  <c r="P128" i="99"/>
  <c r="Q6" i="100"/>
  <c r="Q110" i="99"/>
  <c r="T127" i="99"/>
  <c r="T128" i="99"/>
  <c r="AC6" i="100"/>
  <c r="AC110" i="99"/>
  <c r="J110" i="99"/>
  <c r="J6" i="100"/>
  <c r="Z6" i="100"/>
  <c r="Z110" i="99"/>
  <c r="F6" i="100"/>
  <c r="F110" i="99"/>
  <c r="M110" i="99"/>
  <c r="M6" i="100"/>
  <c r="X110" i="99"/>
  <c r="X6" i="100"/>
  <c r="H110" i="99"/>
  <c r="H6" i="100"/>
  <c r="S127" i="99"/>
  <c r="S128" i="99"/>
  <c r="E127" i="99"/>
  <c r="E128" i="99"/>
  <c r="G127" i="99"/>
  <c r="G128" i="99"/>
  <c r="L127" i="99"/>
  <c r="L128" i="99"/>
  <c r="G139" i="99"/>
  <c r="T139" i="99"/>
  <c r="W139" i="99"/>
  <c r="AK6" i="100"/>
  <c r="D139" i="99"/>
  <c r="T7" i="100"/>
  <c r="AE7" i="100"/>
  <c r="AH126" i="99"/>
  <c r="AH104" i="99"/>
  <c r="AF7" i="100"/>
  <c r="Z139" i="99"/>
  <c r="E139" i="99"/>
  <c r="AD127" i="99"/>
  <c r="AD128" i="99"/>
  <c r="AM126" i="99"/>
  <c r="AM104" i="99"/>
  <c r="AE127" i="99"/>
  <c r="AE128" i="99"/>
  <c r="Y7" i="100"/>
  <c r="AC139" i="99"/>
  <c r="F151" i="99"/>
  <c r="O151" i="99"/>
  <c r="AB127" i="99"/>
  <c r="AB128" i="99"/>
  <c r="S139" i="99"/>
  <c r="P139" i="99"/>
  <c r="N139" i="99"/>
  <c r="AG7" i="100"/>
  <c r="AK7" i="100"/>
  <c r="U139" i="99"/>
  <c r="I151" i="99"/>
  <c r="AB7" i="100"/>
  <c r="R139" i="99"/>
  <c r="N7" i="100"/>
  <c r="AA127" i="99"/>
  <c r="AA128" i="99"/>
  <c r="G7" i="100"/>
  <c r="X139" i="99"/>
  <c r="J151" i="99"/>
  <c r="L139" i="99"/>
  <c r="AG127" i="99"/>
  <c r="AG128" i="99"/>
  <c r="V139" i="99"/>
  <c r="Y127" i="99"/>
  <c r="Y128" i="99"/>
  <c r="AF127" i="99"/>
  <c r="AF128" i="99"/>
  <c r="L7" i="100"/>
  <c r="P7" i="100"/>
  <c r="R7" i="100"/>
  <c r="U7" i="100"/>
  <c r="M151" i="99"/>
  <c r="Q151" i="99"/>
  <c r="AC151" i="99"/>
  <c r="AE139" i="99"/>
  <c r="AD139" i="99"/>
  <c r="Z151" i="99"/>
  <c r="Y139" i="99"/>
  <c r="U151" i="99"/>
  <c r="AN7" i="100"/>
  <c r="N151" i="99"/>
  <c r="AI104" i="99"/>
  <c r="AI126" i="99"/>
  <c r="AF119" i="99"/>
  <c r="AF227" i="99"/>
  <c r="S119" i="99"/>
  <c r="S227" i="99"/>
  <c r="J119" i="99"/>
  <c r="J227" i="99"/>
  <c r="AC119" i="99"/>
  <c r="AC227" i="99"/>
  <c r="O227" i="99"/>
  <c r="O119" i="99"/>
  <c r="K119" i="99"/>
  <c r="K227" i="99"/>
  <c r="N119" i="99"/>
  <c r="N227" i="99"/>
  <c r="Q227" i="99"/>
  <c r="Q119" i="99"/>
  <c r="AN126" i="99"/>
  <c r="AN104" i="99"/>
  <c r="AH127" i="99"/>
  <c r="L151" i="99"/>
  <c r="X151" i="99"/>
  <c r="S151" i="99"/>
  <c r="T217" i="99"/>
  <c r="L217" i="99"/>
  <c r="Q217" i="99"/>
  <c r="I217" i="99"/>
  <c r="N217" i="99"/>
  <c r="H217" i="99"/>
  <c r="M217" i="99"/>
  <c r="R217" i="99"/>
  <c r="E217" i="99"/>
  <c r="U217" i="99"/>
  <c r="F217" i="99"/>
  <c r="O217" i="99"/>
  <c r="K217" i="99"/>
  <c r="V217" i="99"/>
  <c r="S217" i="99"/>
  <c r="W217" i="99"/>
  <c r="D217" i="99"/>
  <c r="D218" i="99"/>
  <c r="D219" i="99"/>
  <c r="P217" i="99"/>
  <c r="J217" i="99"/>
  <c r="G217" i="99"/>
  <c r="E151" i="99"/>
  <c r="AH128" i="99"/>
  <c r="AH139" i="99"/>
  <c r="AH151" i="99"/>
  <c r="H227" i="99"/>
  <c r="H119" i="99"/>
  <c r="Z119" i="99"/>
  <c r="Z227" i="99"/>
  <c r="AB119" i="99"/>
  <c r="AB227" i="99"/>
  <c r="W227" i="99"/>
  <c r="W119" i="99"/>
  <c r="V227" i="99"/>
  <c r="V119" i="99"/>
  <c r="R227" i="99"/>
  <c r="R119" i="99"/>
  <c r="Y227" i="99"/>
  <c r="Y119" i="99"/>
  <c r="AF139" i="99"/>
  <c r="AA139" i="99"/>
  <c r="AH7" i="100"/>
  <c r="V151" i="99"/>
  <c r="AM127" i="99"/>
  <c r="AM128" i="99"/>
  <c r="AM139" i="99"/>
  <c r="AM151" i="99"/>
  <c r="AO126" i="99"/>
  <c r="AO104" i="99"/>
  <c r="R151" i="99"/>
  <c r="P151" i="99"/>
  <c r="AB139" i="99"/>
  <c r="W151" i="99"/>
  <c r="X227" i="99"/>
  <c r="X119" i="99"/>
  <c r="T119" i="99"/>
  <c r="T227" i="99"/>
  <c r="L119" i="99"/>
  <c r="L227" i="99"/>
  <c r="U119" i="99"/>
  <c r="U227" i="99"/>
  <c r="E119" i="99"/>
  <c r="E227" i="99"/>
  <c r="M227" i="99"/>
  <c r="M119" i="99"/>
  <c r="AG119" i="99"/>
  <c r="AG227" i="99"/>
  <c r="T151" i="99"/>
  <c r="AG139" i="99"/>
  <c r="D151" i="99"/>
  <c r="P119" i="99"/>
  <c r="P227" i="99"/>
  <c r="D227" i="99"/>
  <c r="D119" i="99"/>
  <c r="G227" i="99"/>
  <c r="G119" i="99"/>
  <c r="F119" i="99"/>
  <c r="F227" i="99"/>
  <c r="AE227" i="99"/>
  <c r="AE119" i="99"/>
  <c r="AA227" i="99"/>
  <c r="AA119" i="99"/>
  <c r="AD227" i="99"/>
  <c r="AD119" i="99"/>
  <c r="I227" i="99"/>
  <c r="I119" i="99"/>
  <c r="G151" i="99"/>
  <c r="G218" i="99"/>
  <c r="G219" i="99"/>
  <c r="P218" i="99"/>
  <c r="P219" i="99"/>
  <c r="R218" i="99"/>
  <c r="R219" i="99"/>
  <c r="U218" i="99"/>
  <c r="U219" i="99"/>
  <c r="J218" i="99"/>
  <c r="J219" i="99"/>
  <c r="N218" i="99"/>
  <c r="N219" i="99"/>
  <c r="S218" i="99"/>
  <c r="S219" i="99"/>
  <c r="O218" i="99"/>
  <c r="O219" i="99"/>
  <c r="Y217" i="99"/>
  <c r="W218" i="99"/>
  <c r="W219" i="99"/>
  <c r="AE217" i="99"/>
  <c r="Z217" i="99"/>
  <c r="M218" i="99"/>
  <c r="M219" i="99"/>
  <c r="AC217" i="99"/>
  <c r="AB217" i="99"/>
  <c r="AO7" i="100"/>
  <c r="AP7" i="100"/>
  <c r="Y151" i="99"/>
  <c r="AE151" i="99"/>
  <c r="F228" i="99"/>
  <c r="R228" i="99"/>
  <c r="N228" i="99"/>
  <c r="V228" i="99"/>
  <c r="AD228" i="99"/>
  <c r="S228" i="99"/>
  <c r="Z228" i="99"/>
  <c r="AF228" i="99"/>
  <c r="G228" i="99"/>
  <c r="AA228" i="99"/>
  <c r="O228" i="99"/>
  <c r="AB228" i="99"/>
  <c r="J228" i="99"/>
  <c r="AE228" i="99"/>
  <c r="H228" i="99"/>
  <c r="L228" i="99"/>
  <c r="X228" i="99"/>
  <c r="K228" i="99"/>
  <c r="AO127" i="99"/>
  <c r="AO128" i="99"/>
  <c r="AO139" i="99"/>
  <c r="AO151" i="99"/>
  <c r="AN127" i="99"/>
  <c r="AN128" i="99"/>
  <c r="AN139" i="99"/>
  <c r="AN151" i="99"/>
  <c r="AI7" i="100"/>
  <c r="AF151" i="99"/>
  <c r="AA217" i="99"/>
  <c r="AA218" i="99"/>
  <c r="AA219" i="99"/>
  <c r="E218" i="99"/>
  <c r="E219" i="99"/>
  <c r="H218" i="99"/>
  <c r="H219" i="99"/>
  <c r="I218" i="99"/>
  <c r="I219" i="99"/>
  <c r="L218" i="99"/>
  <c r="L219" i="99"/>
  <c r="AG151" i="99"/>
  <c r="A197" i="99"/>
  <c r="AB151" i="99"/>
  <c r="X217" i="99"/>
  <c r="X218" i="99"/>
  <c r="X219" i="99"/>
  <c r="V218" i="99"/>
  <c r="V219" i="99"/>
  <c r="F218" i="99"/>
  <c r="F219" i="99"/>
  <c r="AF217" i="99"/>
  <c r="AD217" i="99"/>
  <c r="AG217" i="99"/>
  <c r="T218" i="99"/>
  <c r="T219" i="99"/>
  <c r="AI127" i="99"/>
  <c r="AI128" i="99"/>
  <c r="AI139" i="99"/>
  <c r="AI151" i="99"/>
  <c r="AD151" i="99"/>
  <c r="AA151" i="99"/>
  <c r="K218" i="99"/>
  <c r="K219" i="99"/>
  <c r="Q218" i="99"/>
  <c r="Q219" i="99"/>
  <c r="AJ126" i="99"/>
  <c r="AJ104" i="99"/>
  <c r="AD218" i="99"/>
  <c r="AD219" i="99"/>
  <c r="AB218" i="99"/>
  <c r="AB219" i="99"/>
  <c r="Z218" i="99"/>
  <c r="Z219" i="99"/>
  <c r="I228" i="99"/>
  <c r="W228" i="99"/>
  <c r="AJ127" i="99"/>
  <c r="AJ128" i="99"/>
  <c r="AJ139" i="99"/>
  <c r="AJ151" i="99"/>
  <c r="AG218" i="99"/>
  <c r="AG219" i="99"/>
  <c r="A64" i="99"/>
  <c r="M228" i="99"/>
  <c r="X197" i="99"/>
  <c r="H197" i="99"/>
  <c r="T197" i="99"/>
  <c r="D197" i="99"/>
  <c r="S197" i="99"/>
  <c r="AD197" i="99"/>
  <c r="AC197" i="99"/>
  <c r="L197" i="99"/>
  <c r="W197" i="99"/>
  <c r="N197" i="99"/>
  <c r="R197" i="99"/>
  <c r="Q197" i="99"/>
  <c r="AF197" i="99"/>
  <c r="O197" i="99"/>
  <c r="F197" i="99"/>
  <c r="U197" i="99"/>
  <c r="J197" i="99"/>
  <c r="AG197" i="99"/>
  <c r="Y197" i="99"/>
  <c r="P197" i="99"/>
  <c r="G197" i="99"/>
  <c r="Z197" i="99"/>
  <c r="AE197" i="99"/>
  <c r="V197" i="99"/>
  <c r="AA197" i="99"/>
  <c r="M197" i="99"/>
  <c r="I197" i="99"/>
  <c r="AB197" i="99"/>
  <c r="K197" i="99"/>
  <c r="E197" i="99"/>
  <c r="Q228" i="99"/>
  <c r="AC228" i="99"/>
  <c r="U228" i="99"/>
  <c r="T228" i="99"/>
  <c r="AC218" i="99"/>
  <c r="AC219" i="99"/>
  <c r="AF218" i="99"/>
  <c r="AF219" i="99"/>
  <c r="AE218" i="99"/>
  <c r="AE219" i="99"/>
  <c r="Y218" i="99"/>
  <c r="Y219" i="99"/>
  <c r="AJ7" i="100"/>
  <c r="AL7" i="100"/>
  <c r="AG228" i="99"/>
  <c r="Y228" i="99"/>
  <c r="E228" i="99"/>
  <c r="D228" i="99"/>
  <c r="P228" i="99"/>
  <c r="AM219" i="99"/>
  <c r="AH219" i="99"/>
  <c r="K9" i="100"/>
  <c r="G9" i="100"/>
  <c r="AB9" i="100"/>
  <c r="V9" i="100"/>
  <c r="P9" i="100"/>
  <c r="U9" i="100"/>
  <c r="Q9" i="100"/>
  <c r="L9" i="100"/>
  <c r="D202" i="99"/>
  <c r="I9" i="100"/>
  <c r="AE9" i="100"/>
  <c r="Y9" i="100"/>
  <c r="F9" i="100"/>
  <c r="R9" i="100"/>
  <c r="AC9" i="100"/>
  <c r="T9" i="100"/>
  <c r="M64" i="99"/>
  <c r="AC64" i="99"/>
  <c r="T64" i="99"/>
  <c r="D64" i="99"/>
  <c r="V64" i="99"/>
  <c r="F64" i="99"/>
  <c r="K64" i="99"/>
  <c r="P64" i="99"/>
  <c r="Z64" i="99"/>
  <c r="S64" i="99"/>
  <c r="Y64" i="99"/>
  <c r="AF64" i="99"/>
  <c r="L64" i="99"/>
  <c r="R64" i="99"/>
  <c r="Q64" i="99"/>
  <c r="AE64" i="99"/>
  <c r="X64" i="99"/>
  <c r="AD64" i="99"/>
  <c r="W64" i="99"/>
  <c r="E64" i="99"/>
  <c r="AB64" i="99"/>
  <c r="H64" i="99"/>
  <c r="N64" i="99"/>
  <c r="O64" i="99"/>
  <c r="AA64" i="99"/>
  <c r="AG64" i="99"/>
  <c r="U64" i="99"/>
  <c r="J64" i="99"/>
  <c r="G64" i="99"/>
  <c r="I64" i="99"/>
  <c r="E9" i="100"/>
  <c r="M9" i="100"/>
  <c r="Z9" i="100"/>
  <c r="AG9" i="100"/>
  <c r="O9" i="100"/>
  <c r="N9" i="100"/>
  <c r="AD9" i="100"/>
  <c r="H9" i="100"/>
  <c r="A8" i="99"/>
  <c r="AA9" i="100"/>
  <c r="J9" i="100"/>
  <c r="AF9" i="100"/>
  <c r="W9" i="100"/>
  <c r="S9" i="100"/>
  <c r="X9" i="100"/>
  <c r="AK9" i="100"/>
  <c r="E8" i="99"/>
  <c r="Y8" i="99"/>
  <c r="AC8" i="99"/>
  <c r="X8" i="99"/>
  <c r="H8" i="99"/>
  <c r="U8" i="99"/>
  <c r="T8" i="99"/>
  <c r="D8" i="99"/>
  <c r="S8" i="99"/>
  <c r="Z8" i="99"/>
  <c r="J8" i="99"/>
  <c r="L8" i="99"/>
  <c r="AE8" i="99"/>
  <c r="K8" i="99"/>
  <c r="N8" i="99"/>
  <c r="M8" i="99"/>
  <c r="AF8" i="99"/>
  <c r="AA8" i="99"/>
  <c r="G8" i="99"/>
  <c r="AD8" i="99"/>
  <c r="F8" i="99"/>
  <c r="AB8" i="99"/>
  <c r="W8" i="99"/>
  <c r="V8" i="99"/>
  <c r="Q8" i="99"/>
  <c r="I8" i="99"/>
  <c r="AG8" i="99"/>
  <c r="O8" i="99"/>
  <c r="R8" i="99"/>
  <c r="P8" i="99"/>
  <c r="A9" i="99"/>
  <c r="AI219" i="99"/>
  <c r="AJ219" i="99"/>
  <c r="AH217" i="99"/>
  <c r="AN219" i="99"/>
  <c r="AO219" i="99"/>
  <c r="AM217" i="99"/>
  <c r="AE9" i="99"/>
  <c r="S9" i="99"/>
  <c r="O9" i="99"/>
  <c r="G9" i="99"/>
  <c r="V9" i="99"/>
  <c r="AD9" i="99"/>
  <c r="J9" i="99"/>
  <c r="Z9" i="99"/>
  <c r="F9" i="99"/>
  <c r="U9" i="99"/>
  <c r="E9" i="99"/>
  <c r="AB9" i="99"/>
  <c r="L9" i="99"/>
  <c r="N9" i="99"/>
  <c r="Y9" i="99"/>
  <c r="X9" i="99"/>
  <c r="D9" i="99"/>
  <c r="K9" i="99"/>
  <c r="R9" i="99"/>
  <c r="Q9" i="99"/>
  <c r="T9" i="99"/>
  <c r="AA9" i="99"/>
  <c r="AG9" i="99"/>
  <c r="P9" i="99"/>
  <c r="W9" i="99"/>
  <c r="M9" i="99"/>
  <c r="I9" i="99"/>
  <c r="AF9" i="99"/>
  <c r="H9" i="99"/>
  <c r="AC9" i="99"/>
  <c r="O168" i="99"/>
  <c r="P87" i="99"/>
  <c r="P92" i="99"/>
  <c r="V168" i="99"/>
  <c r="W87" i="99"/>
  <c r="W92" i="99"/>
  <c r="AD168" i="99"/>
  <c r="AE87" i="99"/>
  <c r="AE92" i="99"/>
  <c r="M168" i="99"/>
  <c r="N87" i="99"/>
  <c r="N92" i="99"/>
  <c r="L168" i="99"/>
  <c r="M87" i="99"/>
  <c r="M92" i="99"/>
  <c r="D168" i="99"/>
  <c r="D87" i="99"/>
  <c r="D92" i="99"/>
  <c r="E87" i="99"/>
  <c r="E92" i="99"/>
  <c r="X168" i="99"/>
  <c r="Y87" i="99"/>
  <c r="Y92" i="99"/>
  <c r="A10" i="99"/>
  <c r="AG168" i="99"/>
  <c r="W168" i="99"/>
  <c r="X87" i="99"/>
  <c r="X92" i="99"/>
  <c r="G168" i="99"/>
  <c r="H87" i="99"/>
  <c r="H92" i="99"/>
  <c r="N168" i="99"/>
  <c r="O87" i="99"/>
  <c r="O92" i="99"/>
  <c r="J168" i="99"/>
  <c r="K87" i="99"/>
  <c r="K92" i="99"/>
  <c r="T168" i="99"/>
  <c r="U87" i="99"/>
  <c r="U92" i="99"/>
  <c r="AC168" i="99"/>
  <c r="AD87" i="99"/>
  <c r="AD92" i="99"/>
  <c r="AH218" i="99"/>
  <c r="AI217" i="99"/>
  <c r="P168" i="99"/>
  <c r="Q87" i="99"/>
  <c r="Q92" i="99"/>
  <c r="J87" i="99"/>
  <c r="J92" i="99"/>
  <c r="I168" i="99"/>
  <c r="AB168" i="99"/>
  <c r="AC87" i="99"/>
  <c r="AC92" i="99"/>
  <c r="AA168" i="99"/>
  <c r="AB87" i="99"/>
  <c r="AB92" i="99"/>
  <c r="L87" i="99"/>
  <c r="L92" i="99"/>
  <c r="K168" i="99"/>
  <c r="Z168" i="99"/>
  <c r="AA87" i="99"/>
  <c r="AA92" i="99"/>
  <c r="U168" i="99"/>
  <c r="V87" i="99"/>
  <c r="V92" i="99"/>
  <c r="Y168" i="99"/>
  <c r="Z87" i="99"/>
  <c r="Z92" i="99"/>
  <c r="AN217" i="99"/>
  <c r="AM218" i="99"/>
  <c r="R168" i="99"/>
  <c r="S87" i="99"/>
  <c r="S92" i="99"/>
  <c r="R87" i="99"/>
  <c r="R92" i="99"/>
  <c r="Q168" i="99"/>
  <c r="F168" i="99"/>
  <c r="G87" i="99"/>
  <c r="G92" i="99"/>
  <c r="AF168" i="99"/>
  <c r="AG87" i="99"/>
  <c r="AG92" i="99"/>
  <c r="AF87" i="99"/>
  <c r="AF92" i="99"/>
  <c r="AE168" i="99"/>
  <c r="S168" i="99"/>
  <c r="T87" i="99"/>
  <c r="T92" i="99"/>
  <c r="H168" i="99"/>
  <c r="I87" i="99"/>
  <c r="I92" i="99"/>
  <c r="E168" i="99"/>
  <c r="F87" i="99"/>
  <c r="F92" i="99"/>
  <c r="AM92" i="99"/>
  <c r="AH92" i="99"/>
  <c r="AC10" i="99"/>
  <c r="U10" i="99"/>
  <c r="I10" i="99"/>
  <c r="X10" i="99"/>
  <c r="H10" i="99"/>
  <c r="Y10" i="99"/>
  <c r="M10" i="99"/>
  <c r="T10" i="99"/>
  <c r="E10" i="99"/>
  <c r="P10" i="99"/>
  <c r="W10" i="99"/>
  <c r="G10" i="99"/>
  <c r="AD10" i="99"/>
  <c r="N10" i="99"/>
  <c r="AB10" i="99"/>
  <c r="O10" i="99"/>
  <c r="R10" i="99"/>
  <c r="L10" i="99"/>
  <c r="AE10" i="99"/>
  <c r="K10" i="99"/>
  <c r="J10" i="99"/>
  <c r="F10" i="99"/>
  <c r="Q10" i="99"/>
  <c r="AF10" i="99"/>
  <c r="D10" i="99"/>
  <c r="AA10" i="99"/>
  <c r="Z10" i="99"/>
  <c r="V10" i="99"/>
  <c r="S10" i="99"/>
  <c r="AG10" i="99"/>
  <c r="AF169" i="99"/>
  <c r="AG88" i="99"/>
  <c r="AG93" i="99"/>
  <c r="P169" i="99"/>
  <c r="Q88" i="99"/>
  <c r="Q93" i="99"/>
  <c r="Q169" i="99"/>
  <c r="R88" i="99"/>
  <c r="R93" i="99"/>
  <c r="X169" i="99"/>
  <c r="Y88" i="99"/>
  <c r="Y93" i="99"/>
  <c r="AB169" i="99"/>
  <c r="AC88" i="99"/>
  <c r="AC93" i="99"/>
  <c r="Z169" i="99"/>
  <c r="AA88" i="99"/>
  <c r="AA93" i="99"/>
  <c r="H88" i="99"/>
  <c r="H93" i="99"/>
  <c r="G169" i="99"/>
  <c r="AN218" i="99"/>
  <c r="AO217" i="99"/>
  <c r="A19" i="99"/>
  <c r="I169" i="99"/>
  <c r="J88" i="99"/>
  <c r="J93" i="99"/>
  <c r="AG169" i="99"/>
  <c r="R169" i="99"/>
  <c r="S88" i="99"/>
  <c r="S93" i="99"/>
  <c r="Y169" i="99"/>
  <c r="Z88" i="99"/>
  <c r="Z93" i="99"/>
  <c r="E169" i="99"/>
  <c r="F88" i="99"/>
  <c r="F93" i="99"/>
  <c r="J169" i="99"/>
  <c r="K88" i="99"/>
  <c r="K93" i="99"/>
  <c r="O169" i="99"/>
  <c r="P88" i="99"/>
  <c r="P93" i="99"/>
  <c r="AJ217" i="99"/>
  <c r="AI218" i="99"/>
  <c r="AC169" i="99"/>
  <c r="AD88" i="99"/>
  <c r="AD93" i="99"/>
  <c r="M169" i="99"/>
  <c r="N88" i="99"/>
  <c r="N93" i="99"/>
  <c r="AA169" i="99"/>
  <c r="AB88" i="99"/>
  <c r="AB93" i="99"/>
  <c r="K169" i="99"/>
  <c r="L88" i="99"/>
  <c r="L93" i="99"/>
  <c r="N169" i="99"/>
  <c r="O88" i="99"/>
  <c r="O93" i="99"/>
  <c r="U169" i="99"/>
  <c r="V88" i="99"/>
  <c r="V93" i="99"/>
  <c r="AD169" i="99"/>
  <c r="AE88" i="99"/>
  <c r="AE93" i="99"/>
  <c r="T88" i="99"/>
  <c r="T93" i="99"/>
  <c r="S169" i="99"/>
  <c r="H169" i="99"/>
  <c r="I88" i="99"/>
  <c r="I93" i="99"/>
  <c r="W169" i="99"/>
  <c r="X88" i="99"/>
  <c r="X93" i="99"/>
  <c r="T169" i="99"/>
  <c r="U88" i="99"/>
  <c r="U93" i="99"/>
  <c r="D169" i="99"/>
  <c r="D88" i="99"/>
  <c r="D93" i="99"/>
  <c r="E88" i="99"/>
  <c r="E93" i="99"/>
  <c r="L169" i="99"/>
  <c r="M88" i="99"/>
  <c r="M93" i="99"/>
  <c r="F169" i="99"/>
  <c r="G88" i="99"/>
  <c r="G93" i="99"/>
  <c r="V169" i="99"/>
  <c r="W88" i="99"/>
  <c r="W93" i="99"/>
  <c r="AE169" i="99"/>
  <c r="AF88" i="99"/>
  <c r="AF93" i="99"/>
  <c r="AO218" i="99"/>
  <c r="AG170" i="99"/>
  <c r="AG11" i="99"/>
  <c r="AA170" i="99"/>
  <c r="AA11" i="99"/>
  <c r="F170" i="99"/>
  <c r="F11" i="99"/>
  <c r="L170" i="99"/>
  <c r="L11" i="99"/>
  <c r="N170" i="99"/>
  <c r="N11" i="99"/>
  <c r="P170" i="99"/>
  <c r="P11" i="99"/>
  <c r="Y170" i="99"/>
  <c r="Y11" i="99"/>
  <c r="U170" i="99"/>
  <c r="U11" i="99"/>
  <c r="I19" i="99"/>
  <c r="Y19" i="99"/>
  <c r="M19" i="99"/>
  <c r="AG19" i="99"/>
  <c r="AC19" i="99"/>
  <c r="AF19" i="99"/>
  <c r="P19" i="99"/>
  <c r="L19" i="99"/>
  <c r="AB19" i="99"/>
  <c r="H19" i="99"/>
  <c r="W19" i="99"/>
  <c r="G19" i="99"/>
  <c r="AD19" i="99"/>
  <c r="N19" i="99"/>
  <c r="O19" i="99"/>
  <c r="R19" i="99"/>
  <c r="U19" i="99"/>
  <c r="X19" i="99"/>
  <c r="AE19" i="99"/>
  <c r="K19" i="99"/>
  <c r="J19" i="99"/>
  <c r="AA19" i="99"/>
  <c r="Z19" i="99"/>
  <c r="Q19" i="99"/>
  <c r="T19" i="99"/>
  <c r="F19" i="99"/>
  <c r="D19" i="99"/>
  <c r="V19" i="99"/>
  <c r="S19" i="99"/>
  <c r="E19" i="99"/>
  <c r="S170" i="99"/>
  <c r="S11" i="99"/>
  <c r="D170" i="99"/>
  <c r="D11" i="99"/>
  <c r="J170" i="99"/>
  <c r="J11" i="99"/>
  <c r="R170" i="99"/>
  <c r="R11" i="99"/>
  <c r="AD170" i="99"/>
  <c r="AD11" i="99"/>
  <c r="E170" i="99"/>
  <c r="E11" i="99"/>
  <c r="H170" i="99"/>
  <c r="H11" i="99"/>
  <c r="AC170" i="99"/>
  <c r="AC11" i="99"/>
  <c r="AJ218" i="99"/>
  <c r="A20" i="99"/>
  <c r="AH93" i="99"/>
  <c r="AM93" i="99"/>
  <c r="V170" i="99"/>
  <c r="V11" i="99"/>
  <c r="AF170" i="99"/>
  <c r="AF11" i="99"/>
  <c r="K170" i="99"/>
  <c r="K11" i="99"/>
  <c r="O170" i="99"/>
  <c r="O11" i="99"/>
  <c r="G170" i="99"/>
  <c r="G11" i="99"/>
  <c r="T170" i="99"/>
  <c r="T11" i="99"/>
  <c r="X170" i="99"/>
  <c r="X11" i="99"/>
  <c r="AH87" i="99"/>
  <c r="AI92" i="99"/>
  <c r="AH8" i="99"/>
  <c r="Z170" i="99"/>
  <c r="Z11" i="99"/>
  <c r="Q170" i="99"/>
  <c r="Q11" i="99"/>
  <c r="AE170" i="99"/>
  <c r="AE11" i="99"/>
  <c r="AB170" i="99"/>
  <c r="AB11" i="99"/>
  <c r="W170" i="99"/>
  <c r="W11" i="99"/>
  <c r="M170" i="99"/>
  <c r="M11" i="99"/>
  <c r="I170" i="99"/>
  <c r="I11" i="99"/>
  <c r="AN92" i="99"/>
  <c r="AM87" i="99"/>
  <c r="AM8" i="99"/>
  <c r="AN87" i="99"/>
  <c r="AO92" i="99"/>
  <c r="AN8" i="99"/>
  <c r="AH168" i="99"/>
  <c r="S200" i="99"/>
  <c r="S177" i="99"/>
  <c r="T177" i="99"/>
  <c r="T200" i="99"/>
  <c r="J177" i="99"/>
  <c r="J200" i="99"/>
  <c r="U200" i="99"/>
  <c r="U177" i="99"/>
  <c r="AD200" i="99"/>
  <c r="AD177" i="99"/>
  <c r="AB200" i="99"/>
  <c r="AB177" i="99"/>
  <c r="AC200" i="99"/>
  <c r="AC177" i="99"/>
  <c r="I177" i="99"/>
  <c r="I200" i="99"/>
  <c r="Y50" i="99"/>
  <c r="Y171" i="99"/>
  <c r="N50" i="99"/>
  <c r="N171" i="99"/>
  <c r="F171" i="99"/>
  <c r="F50" i="99"/>
  <c r="AG50" i="99"/>
  <c r="AG171" i="99"/>
  <c r="I50" i="99"/>
  <c r="I171" i="99"/>
  <c r="W171" i="99"/>
  <c r="W50" i="99"/>
  <c r="AE171" i="99"/>
  <c r="AE50" i="99"/>
  <c r="Z50" i="99"/>
  <c r="Z171" i="99"/>
  <c r="AJ92" i="99"/>
  <c r="AI87" i="99"/>
  <c r="AI8" i="99"/>
  <c r="T50" i="99"/>
  <c r="T171" i="99"/>
  <c r="O171" i="99"/>
  <c r="O50" i="99"/>
  <c r="AF50" i="99"/>
  <c r="AF171" i="99"/>
  <c r="AN93" i="99"/>
  <c r="AM88" i="99"/>
  <c r="AM9" i="99"/>
  <c r="AM169" i="99"/>
  <c r="H50" i="99"/>
  <c r="H171" i="99"/>
  <c r="AD171" i="99"/>
  <c r="AD50" i="99"/>
  <c r="J50" i="99"/>
  <c r="J171" i="99"/>
  <c r="S171" i="99"/>
  <c r="S50" i="99"/>
  <c r="V177" i="99"/>
  <c r="V200" i="99"/>
  <c r="Q200" i="99"/>
  <c r="Q177" i="99"/>
  <c r="K200" i="99"/>
  <c r="K177" i="99"/>
  <c r="R200" i="99"/>
  <c r="R177" i="99"/>
  <c r="G177" i="99"/>
  <c r="G200" i="99"/>
  <c r="L177" i="99"/>
  <c r="L200" i="99"/>
  <c r="AG177" i="99"/>
  <c r="AG200" i="99"/>
  <c r="AM170" i="99"/>
  <c r="AH170" i="99"/>
  <c r="AH88" i="99"/>
  <c r="AI93" i="99"/>
  <c r="AH9" i="99"/>
  <c r="AH169" i="99"/>
  <c r="G20" i="99"/>
  <c r="K20" i="99"/>
  <c r="R20" i="99"/>
  <c r="Z20" i="99"/>
  <c r="F20" i="99"/>
  <c r="V20" i="99"/>
  <c r="Y20" i="99"/>
  <c r="I20" i="99"/>
  <c r="AF20" i="99"/>
  <c r="P20" i="99"/>
  <c r="W20" i="99"/>
  <c r="AA20" i="99"/>
  <c r="J20" i="99"/>
  <c r="AC20" i="99"/>
  <c r="E20" i="99"/>
  <c r="AB20" i="99"/>
  <c r="H20" i="99"/>
  <c r="AE20" i="99"/>
  <c r="U20" i="99"/>
  <c r="X20" i="99"/>
  <c r="D20" i="99"/>
  <c r="O20" i="99"/>
  <c r="AD20" i="99"/>
  <c r="N20" i="99"/>
  <c r="S20" i="99"/>
  <c r="Q20" i="99"/>
  <c r="T20" i="99"/>
  <c r="L20" i="99"/>
  <c r="AG20" i="99"/>
  <c r="M20" i="99"/>
  <c r="D177" i="99"/>
  <c r="D200" i="99"/>
  <c r="Z200" i="99"/>
  <c r="Z177" i="99"/>
  <c r="AE200" i="99"/>
  <c r="AE177" i="99"/>
  <c r="O200" i="99"/>
  <c r="O177" i="99"/>
  <c r="W177" i="99"/>
  <c r="W200" i="99"/>
  <c r="P200" i="99"/>
  <c r="P177" i="99"/>
  <c r="M200" i="99"/>
  <c r="M177" i="99"/>
  <c r="U50" i="99"/>
  <c r="U171" i="99"/>
  <c r="P50" i="99"/>
  <c r="P171" i="99"/>
  <c r="L50" i="99"/>
  <c r="L171" i="99"/>
  <c r="AA50" i="99"/>
  <c r="AA171" i="99"/>
  <c r="AM168" i="99"/>
  <c r="M171" i="99"/>
  <c r="M50" i="99"/>
  <c r="AB50" i="99"/>
  <c r="AB171" i="99"/>
  <c r="Q50" i="99"/>
  <c r="Q171" i="99"/>
  <c r="X50" i="99"/>
  <c r="X171" i="99"/>
  <c r="G171" i="99"/>
  <c r="G50" i="99"/>
  <c r="K50" i="99"/>
  <c r="K171" i="99"/>
  <c r="V50" i="99"/>
  <c r="V171" i="99"/>
  <c r="A66" i="99"/>
  <c r="AC171" i="99"/>
  <c r="AC50" i="99"/>
  <c r="E50" i="99"/>
  <c r="E171" i="99"/>
  <c r="R50" i="99"/>
  <c r="R171" i="99"/>
  <c r="D50" i="99"/>
  <c r="D171" i="99"/>
  <c r="E200" i="99"/>
  <c r="E177" i="99"/>
  <c r="F200" i="99"/>
  <c r="F177" i="99"/>
  <c r="AA177" i="99"/>
  <c r="AA200" i="99"/>
  <c r="X200" i="99"/>
  <c r="X177" i="99"/>
  <c r="N200" i="99"/>
  <c r="N177" i="99"/>
  <c r="H177" i="99"/>
  <c r="H200" i="99"/>
  <c r="AF200" i="99"/>
  <c r="AF177" i="99"/>
  <c r="Y200" i="99"/>
  <c r="Y177" i="99"/>
  <c r="AA204" i="99"/>
  <c r="AB196" i="99"/>
  <c r="AB202" i="99"/>
  <c r="M204" i="99"/>
  <c r="N196" i="99"/>
  <c r="N202" i="99"/>
  <c r="AE204" i="99"/>
  <c r="AF196" i="99"/>
  <c r="AF202" i="99"/>
  <c r="T154" i="99"/>
  <c r="T211" i="99"/>
  <c r="U207" i="99"/>
  <c r="T178" i="99"/>
  <c r="AD178" i="99"/>
  <c r="AD211" i="99"/>
  <c r="AD154" i="99"/>
  <c r="U178" i="99"/>
  <c r="U154" i="99"/>
  <c r="U211" i="99"/>
  <c r="E211" i="99"/>
  <c r="E178" i="99"/>
  <c r="E154" i="99"/>
  <c r="W211" i="99"/>
  <c r="W178" i="99"/>
  <c r="W154" i="99"/>
  <c r="Y154" i="99"/>
  <c r="Y211" i="99"/>
  <c r="Z207" i="99"/>
  <c r="Y178" i="99"/>
  <c r="R178" i="99"/>
  <c r="R211" i="99"/>
  <c r="R154" i="99"/>
  <c r="AI88" i="99"/>
  <c r="AI9" i="99"/>
  <c r="AI169" i="99"/>
  <c r="AJ93" i="99"/>
  <c r="S196" i="99"/>
  <c r="S202" i="99"/>
  <c r="R204" i="99"/>
  <c r="Q204" i="99"/>
  <c r="R196" i="99"/>
  <c r="R202" i="99"/>
  <c r="AC196" i="99"/>
  <c r="AC202" i="99"/>
  <c r="AB204" i="99"/>
  <c r="V196" i="99"/>
  <c r="V202" i="99"/>
  <c r="U204" i="99"/>
  <c r="AG196" i="99"/>
  <c r="AF204" i="99"/>
  <c r="E204" i="99"/>
  <c r="F196" i="99"/>
  <c r="F202" i="99"/>
  <c r="M211" i="99"/>
  <c r="M178" i="99"/>
  <c r="M154" i="99"/>
  <c r="Q211" i="99"/>
  <c r="Q154" i="99"/>
  <c r="Q178" i="99"/>
  <c r="O154" i="99"/>
  <c r="O211" i="99"/>
  <c r="O178" i="99"/>
  <c r="AE178" i="99"/>
  <c r="AE211" i="99"/>
  <c r="AE154" i="99"/>
  <c r="AC178" i="99"/>
  <c r="AC154" i="99"/>
  <c r="AC211" i="99"/>
  <c r="P211" i="99"/>
  <c r="P154" i="99"/>
  <c r="P178" i="99"/>
  <c r="V178" i="99"/>
  <c r="V154" i="99"/>
  <c r="V211" i="99"/>
  <c r="K154" i="99"/>
  <c r="K178" i="99"/>
  <c r="K211" i="99"/>
  <c r="L207" i="99"/>
  <c r="AM196" i="99"/>
  <c r="AG204" i="99"/>
  <c r="AH196" i="99"/>
  <c r="G204" i="99"/>
  <c r="H196" i="99"/>
  <c r="H202" i="99"/>
  <c r="V204" i="99"/>
  <c r="W196" i="99"/>
  <c r="W202" i="99"/>
  <c r="AO93" i="99"/>
  <c r="AN9" i="99"/>
  <c r="AN169" i="99"/>
  <c r="AN88" i="99"/>
  <c r="AJ87" i="99"/>
  <c r="AJ8" i="99"/>
  <c r="J204" i="99"/>
  <c r="K196" i="99"/>
  <c r="K202" i="99"/>
  <c r="AN168" i="99"/>
  <c r="Q196" i="99"/>
  <c r="Q202" i="99"/>
  <c r="P204" i="99"/>
  <c r="O204" i="99"/>
  <c r="P196" i="99"/>
  <c r="P202" i="99"/>
  <c r="Z204" i="99"/>
  <c r="AA196" i="99"/>
  <c r="AA202" i="99"/>
  <c r="AG154" i="99"/>
  <c r="AG178" i="99"/>
  <c r="AG211" i="99"/>
  <c r="S211" i="99"/>
  <c r="S178" i="99"/>
  <c r="S154" i="99"/>
  <c r="D178" i="99"/>
  <c r="D154" i="99"/>
  <c r="D211" i="99"/>
  <c r="H211" i="99"/>
  <c r="H178" i="99"/>
  <c r="H154" i="99"/>
  <c r="J178" i="99"/>
  <c r="J154" i="99"/>
  <c r="J211" i="99"/>
  <c r="AF178" i="99"/>
  <c r="AF211" i="99"/>
  <c r="AG207" i="99"/>
  <c r="AF154" i="99"/>
  <c r="F154" i="99"/>
  <c r="F211" i="99"/>
  <c r="F178" i="99"/>
  <c r="G178" i="99"/>
  <c r="G211" i="99"/>
  <c r="G154" i="99"/>
  <c r="AI170" i="99"/>
  <c r="AH10" i="99"/>
  <c r="AH11" i="99"/>
  <c r="L196" i="99"/>
  <c r="L202" i="99"/>
  <c r="K204" i="99"/>
  <c r="AD196" i="99"/>
  <c r="AD202" i="99"/>
  <c r="AC204" i="99"/>
  <c r="AE196" i="99"/>
  <c r="AE202" i="99"/>
  <c r="AD204" i="99"/>
  <c r="S204" i="99"/>
  <c r="T196" i="99"/>
  <c r="T202" i="99"/>
  <c r="AO87" i="99"/>
  <c r="AO8" i="99"/>
  <c r="N204" i="99"/>
  <c r="O196" i="99"/>
  <c r="O202" i="99"/>
  <c r="I196" i="99"/>
  <c r="I202" i="99"/>
  <c r="H204" i="99"/>
  <c r="W66" i="99"/>
  <c r="G66" i="99"/>
  <c r="Y66" i="99"/>
  <c r="I66" i="99"/>
  <c r="P66" i="99"/>
  <c r="AE66" i="99"/>
  <c r="K66" i="99"/>
  <c r="Q66" i="99"/>
  <c r="AF66" i="99"/>
  <c r="V66" i="99"/>
  <c r="R66" i="99"/>
  <c r="AA66" i="99"/>
  <c r="AG66" i="99"/>
  <c r="M66" i="99"/>
  <c r="X66" i="99"/>
  <c r="N66" i="99"/>
  <c r="AB66" i="99"/>
  <c r="AD66" i="99"/>
  <c r="J66" i="99"/>
  <c r="S66" i="99"/>
  <c r="AC66" i="99"/>
  <c r="H66" i="99"/>
  <c r="F66" i="99"/>
  <c r="T66" i="99"/>
  <c r="O66" i="99"/>
  <c r="U66" i="99"/>
  <c r="L66" i="99"/>
  <c r="E66" i="99"/>
  <c r="Z66" i="99"/>
  <c r="D66" i="99"/>
  <c r="Y204" i="99"/>
  <c r="Z196" i="99"/>
  <c r="Z202" i="99"/>
  <c r="X204" i="99"/>
  <c r="Y196" i="99"/>
  <c r="Y202" i="99"/>
  <c r="F204" i="99"/>
  <c r="G196" i="99"/>
  <c r="G202" i="99"/>
  <c r="A22" i="99"/>
  <c r="W204" i="99"/>
  <c r="X196" i="99"/>
  <c r="X202" i="99"/>
  <c r="E196" i="99"/>
  <c r="E202" i="99"/>
  <c r="D204" i="99"/>
  <c r="L154" i="99"/>
  <c r="L211" i="99"/>
  <c r="M207" i="99"/>
  <c r="L178" i="99"/>
  <c r="N154" i="99"/>
  <c r="N178" i="99"/>
  <c r="N211" i="99"/>
  <c r="X211" i="99"/>
  <c r="X178" i="99"/>
  <c r="X154" i="99"/>
  <c r="AB178" i="99"/>
  <c r="AB211" i="99"/>
  <c r="AB154" i="99"/>
  <c r="AA154" i="99"/>
  <c r="AA211" i="99"/>
  <c r="AA178" i="99"/>
  <c r="I154" i="99"/>
  <c r="I211" i="99"/>
  <c r="I178" i="99"/>
  <c r="Z154" i="99"/>
  <c r="Z211" i="99"/>
  <c r="AA207" i="99"/>
  <c r="Z178" i="99"/>
  <c r="AN170" i="99"/>
  <c r="AM10" i="99"/>
  <c r="AM11" i="99"/>
  <c r="M196" i="99"/>
  <c r="M202" i="99"/>
  <c r="L204" i="99"/>
  <c r="AI168" i="99"/>
  <c r="J196" i="99"/>
  <c r="J202" i="99"/>
  <c r="I204" i="99"/>
  <c r="T204" i="99"/>
  <c r="U196" i="99"/>
  <c r="U202" i="99"/>
  <c r="J207" i="99"/>
  <c r="AH50" i="99"/>
  <c r="AH171" i="99"/>
  <c r="AM50" i="99"/>
  <c r="AM171" i="99"/>
  <c r="AC207" i="99"/>
  <c r="Y207" i="99"/>
  <c r="L22" i="99"/>
  <c r="F22" i="99"/>
  <c r="X22" i="99"/>
  <c r="K22" i="99"/>
  <c r="H207" i="99"/>
  <c r="K207" i="99"/>
  <c r="W207" i="99"/>
  <c r="N207" i="99"/>
  <c r="F207" i="99"/>
  <c r="AO170" i="99"/>
  <c r="AO10" i="99"/>
  <c r="AN10" i="99"/>
  <c r="AN11" i="99"/>
  <c r="AB207" i="99"/>
  <c r="D22" i="99"/>
  <c r="H22" i="99"/>
  <c r="AD22" i="99"/>
  <c r="M22" i="99"/>
  <c r="AE22" i="99"/>
  <c r="I207" i="99"/>
  <c r="AH207" i="99"/>
  <c r="AM207" i="99"/>
  <c r="Q207" i="99"/>
  <c r="P207" i="99"/>
  <c r="R207" i="99"/>
  <c r="X207" i="99"/>
  <c r="V207" i="99"/>
  <c r="AE207" i="99"/>
  <c r="Z22" i="99"/>
  <c r="O22" i="99"/>
  <c r="AC22" i="99"/>
  <c r="AB22" i="99"/>
  <c r="AG22" i="99"/>
  <c r="AH66" i="99"/>
  <c r="AI66" i="99"/>
  <c r="AJ66" i="99"/>
  <c r="AM66" i="99"/>
  <c r="AN66" i="99"/>
  <c r="AO66" i="99"/>
  <c r="AF22" i="99"/>
  <c r="AO168" i="99"/>
  <c r="AJ170" i="99"/>
  <c r="AJ10" i="99"/>
  <c r="AK10" i="99"/>
  <c r="AI10" i="99"/>
  <c r="AI11" i="99"/>
  <c r="E207" i="99"/>
  <c r="AJ168" i="99"/>
  <c r="AK8" i="99"/>
  <c r="AO9" i="99"/>
  <c r="AO169" i="99"/>
  <c r="AO88" i="99"/>
  <c r="AD207" i="99"/>
  <c r="AF207" i="99"/>
  <c r="AJ88" i="99"/>
  <c r="AJ9" i="99"/>
  <c r="S207" i="99"/>
  <c r="O207" i="99"/>
  <c r="G22" i="99"/>
  <c r="R22" i="99"/>
  <c r="Y22" i="99"/>
  <c r="W22" i="99"/>
  <c r="V22" i="99"/>
  <c r="U22" i="99"/>
  <c r="J22" i="99"/>
  <c r="I22" i="99"/>
  <c r="P22" i="99"/>
  <c r="E22" i="99"/>
  <c r="A13" i="99"/>
  <c r="T22" i="99"/>
  <c r="S22" i="99"/>
  <c r="N22" i="99"/>
  <c r="AA22" i="99"/>
  <c r="Q22" i="99"/>
  <c r="G207" i="99"/>
  <c r="T207" i="99"/>
  <c r="AG202" i="99"/>
  <c r="S180" i="99"/>
  <c r="S51" i="99"/>
  <c r="S21" i="99"/>
  <c r="S179" i="99"/>
  <c r="A35" i="99"/>
  <c r="I51" i="99"/>
  <c r="I21" i="99"/>
  <c r="I179" i="99"/>
  <c r="I180" i="99"/>
  <c r="W180" i="99"/>
  <c r="W21" i="99"/>
  <c r="W179" i="99"/>
  <c r="W51" i="99"/>
  <c r="AG51" i="99"/>
  <c r="AG21" i="99"/>
  <c r="AG179" i="99"/>
  <c r="AG180" i="99"/>
  <c r="Z180" i="99"/>
  <c r="Z51" i="99"/>
  <c r="Z21" i="99"/>
  <c r="Z179" i="99"/>
  <c r="H180" i="99"/>
  <c r="H51" i="99"/>
  <c r="H21" i="99"/>
  <c r="H179" i="99"/>
  <c r="AN171" i="99"/>
  <c r="AN50" i="99"/>
  <c r="K51" i="99"/>
  <c r="K180" i="99"/>
  <c r="K21" i="99"/>
  <c r="K179" i="99"/>
  <c r="Q21" i="99"/>
  <c r="Q179" i="99"/>
  <c r="Q51" i="99"/>
  <c r="Q180" i="99"/>
  <c r="T51" i="99"/>
  <c r="T21" i="99"/>
  <c r="T179" i="99"/>
  <c r="T180" i="99"/>
  <c r="J180" i="99"/>
  <c r="J51" i="99"/>
  <c r="J21" i="99"/>
  <c r="J179" i="99"/>
  <c r="Y51" i="99"/>
  <c r="Y21" i="99"/>
  <c r="Y179" i="99"/>
  <c r="Y180" i="99"/>
  <c r="AJ169" i="99"/>
  <c r="AK9" i="99"/>
  <c r="AJ11" i="99"/>
  <c r="AI50" i="99"/>
  <c r="AI171" i="99"/>
  <c r="AF180" i="99"/>
  <c r="AF21" i="99"/>
  <c r="AF179" i="99"/>
  <c r="AF51" i="99"/>
  <c r="AB21" i="99"/>
  <c r="AB179" i="99"/>
  <c r="AB180" i="99"/>
  <c r="AB51" i="99"/>
  <c r="AE21" i="99"/>
  <c r="AE179" i="99"/>
  <c r="AE180" i="99"/>
  <c r="AE51" i="99"/>
  <c r="D180" i="99"/>
  <c r="D51" i="99"/>
  <c r="D21" i="99"/>
  <c r="D179" i="99"/>
  <c r="X180" i="99"/>
  <c r="X51" i="99"/>
  <c r="X21" i="99"/>
  <c r="X179" i="99"/>
  <c r="AA180" i="99"/>
  <c r="AA21" i="99"/>
  <c r="AA179" i="99"/>
  <c r="AA51" i="99"/>
  <c r="E51" i="99"/>
  <c r="E180" i="99"/>
  <c r="E21" i="99"/>
  <c r="E179" i="99"/>
  <c r="U21" i="99"/>
  <c r="U179" i="99"/>
  <c r="U51" i="99"/>
  <c r="U180" i="99"/>
  <c r="R180" i="99"/>
  <c r="R51" i="99"/>
  <c r="R21" i="99"/>
  <c r="R179" i="99"/>
  <c r="AC180" i="99"/>
  <c r="AC21" i="99"/>
  <c r="AC179" i="99"/>
  <c r="AC51" i="99"/>
  <c r="M180" i="99"/>
  <c r="M21" i="99"/>
  <c r="M179" i="99"/>
  <c r="M51" i="99"/>
  <c r="F21" i="99"/>
  <c r="F179" i="99"/>
  <c r="F180" i="99"/>
  <c r="F51" i="99"/>
  <c r="AH202" i="99"/>
  <c r="AM202" i="99"/>
  <c r="N51" i="99"/>
  <c r="N21" i="99"/>
  <c r="N179" i="99"/>
  <c r="N180" i="99"/>
  <c r="AG13" i="99"/>
  <c r="Q13" i="99"/>
  <c r="E13" i="99"/>
  <c r="I13" i="99"/>
  <c r="X13" i="99"/>
  <c r="H13" i="99"/>
  <c r="AF13" i="99"/>
  <c r="L13" i="99"/>
  <c r="U13" i="99"/>
  <c r="Y13" i="99"/>
  <c r="AB13" i="99"/>
  <c r="D13" i="99"/>
  <c r="AA13" i="99"/>
  <c r="K13" i="99"/>
  <c r="R13" i="99"/>
  <c r="AE13" i="99"/>
  <c r="G13" i="99"/>
  <c r="AD13" i="99"/>
  <c r="J13" i="99"/>
  <c r="M13" i="99"/>
  <c r="T13" i="99"/>
  <c r="W13" i="99"/>
  <c r="Z13" i="99"/>
  <c r="F13" i="99"/>
  <c r="AC13" i="99"/>
  <c r="P13" i="99"/>
  <c r="S13" i="99"/>
  <c r="V13" i="99"/>
  <c r="O13" i="99"/>
  <c r="N13" i="99"/>
  <c r="P51" i="99"/>
  <c r="P180" i="99"/>
  <c r="P21" i="99"/>
  <c r="P179" i="99"/>
  <c r="V21" i="99"/>
  <c r="V179" i="99"/>
  <c r="V180" i="99"/>
  <c r="V51" i="99"/>
  <c r="G180" i="99"/>
  <c r="G21" i="99"/>
  <c r="G179" i="99"/>
  <c r="G51" i="99"/>
  <c r="AO11" i="99"/>
  <c r="O180" i="99"/>
  <c r="O51" i="99"/>
  <c r="O21" i="99"/>
  <c r="O179" i="99"/>
  <c r="AD21" i="99"/>
  <c r="AD179" i="99"/>
  <c r="AD180" i="99"/>
  <c r="AD51" i="99"/>
  <c r="L51" i="99"/>
  <c r="L180" i="99"/>
  <c r="L21" i="99"/>
  <c r="L179" i="99"/>
  <c r="O172" i="99"/>
  <c r="P89" i="99"/>
  <c r="P94" i="99"/>
  <c r="P95" i="99"/>
  <c r="AC172" i="99"/>
  <c r="AD89" i="99"/>
  <c r="AD94" i="99"/>
  <c r="AD95" i="99"/>
  <c r="T172" i="99"/>
  <c r="U89" i="99"/>
  <c r="U94" i="99"/>
  <c r="U95" i="99"/>
  <c r="G172" i="99"/>
  <c r="H89" i="99"/>
  <c r="H94" i="99"/>
  <c r="H95" i="99"/>
  <c r="AA172" i="99"/>
  <c r="AB89" i="99"/>
  <c r="AB94" i="99"/>
  <c r="AB95" i="99"/>
  <c r="U172" i="99"/>
  <c r="V89" i="99"/>
  <c r="V94" i="99"/>
  <c r="V95" i="99"/>
  <c r="X172" i="99"/>
  <c r="Y89" i="99"/>
  <c r="Y94" i="99"/>
  <c r="Y95" i="99"/>
  <c r="AG172" i="99"/>
  <c r="Y35" i="99"/>
  <c r="U35" i="99"/>
  <c r="AC35" i="99"/>
  <c r="AB35" i="99"/>
  <c r="L35" i="99"/>
  <c r="E35" i="99"/>
  <c r="M35" i="99"/>
  <c r="AF35" i="99"/>
  <c r="H35" i="99"/>
  <c r="W35" i="99"/>
  <c r="G35" i="99"/>
  <c r="X35" i="99"/>
  <c r="D35" i="99"/>
  <c r="S35" i="99"/>
  <c r="V35" i="99"/>
  <c r="F35" i="99"/>
  <c r="P35" i="99"/>
  <c r="AA35" i="99"/>
  <c r="N35" i="99"/>
  <c r="I35" i="99"/>
  <c r="O35" i="99"/>
  <c r="AD35" i="99"/>
  <c r="J35" i="99"/>
  <c r="Q35" i="99"/>
  <c r="AG35" i="99"/>
  <c r="K35" i="99"/>
  <c r="Z35" i="99"/>
  <c r="T35" i="99"/>
  <c r="R35" i="99"/>
  <c r="AE35" i="99"/>
  <c r="V172" i="99"/>
  <c r="W89" i="99"/>
  <c r="W94" i="99"/>
  <c r="W95" i="99"/>
  <c r="F172" i="99"/>
  <c r="G89" i="99"/>
  <c r="G94" i="99"/>
  <c r="G95" i="99"/>
  <c r="M172" i="99"/>
  <c r="N89" i="99"/>
  <c r="N94" i="99"/>
  <c r="N95" i="99"/>
  <c r="AE172" i="99"/>
  <c r="AF89" i="99"/>
  <c r="AF94" i="99"/>
  <c r="AF95" i="99"/>
  <c r="D172" i="99"/>
  <c r="D89" i="99"/>
  <c r="D94" i="99"/>
  <c r="D95" i="99"/>
  <c r="D96" i="99"/>
  <c r="E89" i="99"/>
  <c r="E94" i="99"/>
  <c r="E95" i="99"/>
  <c r="L172" i="99"/>
  <c r="M89" i="99"/>
  <c r="M94" i="99"/>
  <c r="M95" i="99"/>
  <c r="I172" i="99"/>
  <c r="J89" i="99"/>
  <c r="J94" i="99"/>
  <c r="J95" i="99"/>
  <c r="A15" i="99"/>
  <c r="S172" i="99"/>
  <c r="T89" i="99"/>
  <c r="T94" i="99"/>
  <c r="T95" i="99"/>
  <c r="Z172" i="99"/>
  <c r="AA89" i="99"/>
  <c r="AA94" i="99"/>
  <c r="AA95" i="99"/>
  <c r="J172" i="99"/>
  <c r="K89" i="99"/>
  <c r="K94" i="99"/>
  <c r="K95" i="99"/>
  <c r="R172" i="99"/>
  <c r="S89" i="99"/>
  <c r="S94" i="99"/>
  <c r="S95" i="99"/>
  <c r="AB172" i="99"/>
  <c r="AC89" i="99"/>
  <c r="AC94" i="99"/>
  <c r="AC95" i="99"/>
  <c r="AF172" i="99"/>
  <c r="AG89" i="99"/>
  <c r="AG94" i="99"/>
  <c r="E172" i="99"/>
  <c r="F89" i="99"/>
  <c r="F94" i="99"/>
  <c r="F95" i="99"/>
  <c r="AN202" i="99"/>
  <c r="AO202" i="99"/>
  <c r="AM197" i="99"/>
  <c r="AJ171" i="99"/>
  <c r="AJ50" i="99"/>
  <c r="AK11" i="99"/>
  <c r="AH179" i="99"/>
  <c r="AM179" i="99"/>
  <c r="AO171" i="99"/>
  <c r="AO50" i="99"/>
  <c r="N172" i="99"/>
  <c r="O89" i="99"/>
  <c r="O94" i="99"/>
  <c r="O95" i="99"/>
  <c r="P172" i="99"/>
  <c r="Q89" i="99"/>
  <c r="Q94" i="99"/>
  <c r="Q95" i="99"/>
  <c r="Q96" i="99"/>
  <c r="X89" i="99"/>
  <c r="X94" i="99"/>
  <c r="X95" i="99"/>
  <c r="W172" i="99"/>
  <c r="AD172" i="99"/>
  <c r="AE89" i="99"/>
  <c r="AE94" i="99"/>
  <c r="AE95" i="99"/>
  <c r="K172" i="99"/>
  <c r="L89" i="99"/>
  <c r="L94" i="99"/>
  <c r="L95" i="99"/>
  <c r="Y172" i="99"/>
  <c r="Z89" i="99"/>
  <c r="Z94" i="99"/>
  <c r="Z95" i="99"/>
  <c r="H172" i="99"/>
  <c r="I89" i="99"/>
  <c r="I94" i="99"/>
  <c r="I95" i="99"/>
  <c r="Q172" i="99"/>
  <c r="R89" i="99"/>
  <c r="R94" i="99"/>
  <c r="R95" i="99"/>
  <c r="R96" i="99"/>
  <c r="AI202" i="99"/>
  <c r="AJ202" i="99"/>
  <c r="AH197" i="99"/>
  <c r="F96" i="99"/>
  <c r="K96" i="99"/>
  <c r="E96" i="99"/>
  <c r="Z96" i="99"/>
  <c r="AC96" i="99"/>
  <c r="V96" i="99"/>
  <c r="T96" i="99"/>
  <c r="X96" i="99"/>
  <c r="J96" i="99"/>
  <c r="N96" i="99"/>
  <c r="I96" i="99"/>
  <c r="W96" i="99"/>
  <c r="AE96" i="99"/>
  <c r="AN179" i="99"/>
  <c r="AM21" i="99"/>
  <c r="AN9" i="100"/>
  <c r="AM94" i="99"/>
  <c r="AH94" i="99"/>
  <c r="AG95" i="99"/>
  <c r="AG96" i="99"/>
  <c r="S96" i="99"/>
  <c r="AB96" i="99"/>
  <c r="AA96" i="99"/>
  <c r="I15" i="99"/>
  <c r="G15" i="99"/>
  <c r="E15" i="99"/>
  <c r="AB15" i="99"/>
  <c r="AD15" i="99"/>
  <c r="L15" i="99"/>
  <c r="W15" i="99"/>
  <c r="AG15" i="99"/>
  <c r="M96" i="99"/>
  <c r="Z15" i="99"/>
  <c r="J15" i="99"/>
  <c r="N15" i="99"/>
  <c r="V15" i="99"/>
  <c r="M15" i="99"/>
  <c r="AC15" i="99"/>
  <c r="H96" i="99"/>
  <c r="AD96" i="99"/>
  <c r="AH9" i="100"/>
  <c r="L96" i="99"/>
  <c r="P96" i="99"/>
  <c r="O96" i="99"/>
  <c r="A36" i="99"/>
  <c r="AF96" i="99"/>
  <c r="G96" i="99"/>
  <c r="AE15" i="99"/>
  <c r="K15" i="99"/>
  <c r="AA15" i="99"/>
  <c r="S15" i="99"/>
  <c r="U15" i="99"/>
  <c r="R15" i="99"/>
  <c r="AM35" i="99"/>
  <c r="AH35" i="99"/>
  <c r="O15" i="99"/>
  <c r="P15" i="99"/>
  <c r="D15" i="99"/>
  <c r="H15" i="99"/>
  <c r="Y15" i="99"/>
  <c r="Y96" i="99"/>
  <c r="U96" i="99"/>
  <c r="AI179" i="99"/>
  <c r="AH21" i="99"/>
  <c r="T15" i="99"/>
  <c r="Q15" i="99"/>
  <c r="F15" i="99"/>
  <c r="X15" i="99"/>
  <c r="AF15" i="99"/>
  <c r="AF55" i="99"/>
  <c r="AF14" i="99"/>
  <c r="AF173" i="99"/>
  <c r="AF174" i="99"/>
  <c r="AF99" i="99"/>
  <c r="AF100" i="99"/>
  <c r="AF17" i="99"/>
  <c r="T14" i="99"/>
  <c r="T173" i="99"/>
  <c r="T174" i="99"/>
  <c r="T55" i="99"/>
  <c r="T100" i="99"/>
  <c r="T99" i="99"/>
  <c r="T17" i="99"/>
  <c r="K14" i="99"/>
  <c r="K173" i="99"/>
  <c r="K174" i="99"/>
  <c r="K55" i="99"/>
  <c r="K100" i="99"/>
  <c r="K99" i="99"/>
  <c r="K17" i="99"/>
  <c r="AC14" i="99"/>
  <c r="AC173" i="99"/>
  <c r="AC55" i="99"/>
  <c r="AC174" i="99"/>
  <c r="AC100" i="99"/>
  <c r="AC99" i="99"/>
  <c r="AC17" i="99"/>
  <c r="AD174" i="99"/>
  <c r="AD14" i="99"/>
  <c r="AD173" i="99"/>
  <c r="AD55" i="99"/>
  <c r="AD99" i="99"/>
  <c r="AD100" i="99"/>
  <c r="AD17" i="99"/>
  <c r="I174" i="99"/>
  <c r="I55" i="99"/>
  <c r="I14" i="99"/>
  <c r="I173" i="99"/>
  <c r="I100" i="99"/>
  <c r="I99" i="99"/>
  <c r="I17" i="99"/>
  <c r="X55" i="99"/>
  <c r="X14" i="99"/>
  <c r="X173" i="99"/>
  <c r="X174" i="99"/>
  <c r="X100" i="99"/>
  <c r="X99" i="99"/>
  <c r="X17" i="99"/>
  <c r="H174" i="99"/>
  <c r="H55" i="99"/>
  <c r="H14" i="99"/>
  <c r="H173" i="99"/>
  <c r="H99" i="99"/>
  <c r="H100" i="99"/>
  <c r="H17" i="99"/>
  <c r="P174" i="99"/>
  <c r="P55" i="99"/>
  <c r="P14" i="99"/>
  <c r="P173" i="99"/>
  <c r="P100" i="99"/>
  <c r="P99" i="99"/>
  <c r="P17" i="99"/>
  <c r="R14" i="99"/>
  <c r="R173" i="99"/>
  <c r="R174" i="99"/>
  <c r="R55" i="99"/>
  <c r="R100" i="99"/>
  <c r="R99" i="99"/>
  <c r="R17" i="99"/>
  <c r="AA174" i="99"/>
  <c r="AA55" i="99"/>
  <c r="AA14" i="99"/>
  <c r="AA173" i="99"/>
  <c r="AA99" i="99"/>
  <c r="AA100" i="99"/>
  <c r="AA17" i="99"/>
  <c r="S36" i="99"/>
  <c r="AE36" i="99"/>
  <c r="AE37" i="99"/>
  <c r="G36" i="99"/>
  <c r="G37" i="99"/>
  <c r="AD36" i="99"/>
  <c r="AD37" i="99"/>
  <c r="N36" i="99"/>
  <c r="N37" i="99"/>
  <c r="V36" i="99"/>
  <c r="V37" i="99"/>
  <c r="Y36" i="99"/>
  <c r="I36" i="99"/>
  <c r="O36" i="99"/>
  <c r="W36" i="99"/>
  <c r="W37" i="99"/>
  <c r="R36" i="99"/>
  <c r="U36" i="99"/>
  <c r="E36" i="99"/>
  <c r="X36" i="99"/>
  <c r="H36" i="99"/>
  <c r="Z36" i="99"/>
  <c r="AC36" i="99"/>
  <c r="AB36" i="99"/>
  <c r="D36" i="99"/>
  <c r="AA36" i="99"/>
  <c r="J36" i="99"/>
  <c r="Q36" i="99"/>
  <c r="T36" i="99"/>
  <c r="M36" i="99"/>
  <c r="P36" i="99"/>
  <c r="F36" i="99"/>
  <c r="K36" i="99"/>
  <c r="AG36" i="99"/>
  <c r="AF36" i="99"/>
  <c r="L36" i="99"/>
  <c r="V174" i="99"/>
  <c r="V55" i="99"/>
  <c r="V14" i="99"/>
  <c r="V173" i="99"/>
  <c r="V100" i="99"/>
  <c r="V99" i="99"/>
  <c r="V17" i="99"/>
  <c r="J14" i="99"/>
  <c r="J173" i="99"/>
  <c r="J174" i="99"/>
  <c r="J55" i="99"/>
  <c r="J100" i="99"/>
  <c r="J99" i="99"/>
  <c r="J17" i="99"/>
  <c r="AG174" i="99"/>
  <c r="AG55" i="99"/>
  <c r="AG14" i="99"/>
  <c r="AG100" i="99"/>
  <c r="AG99" i="99"/>
  <c r="AG17" i="99"/>
  <c r="AB174" i="99"/>
  <c r="AB55" i="99"/>
  <c r="AB14" i="99"/>
  <c r="AB173" i="99"/>
  <c r="AB99" i="99"/>
  <c r="AB100" i="99"/>
  <c r="AB17" i="99"/>
  <c r="AH89" i="99"/>
  <c r="AI94" i="99"/>
  <c r="AH13" i="99"/>
  <c r="AH172" i="99"/>
  <c r="Q174" i="99"/>
  <c r="Q55" i="99"/>
  <c r="Q14" i="99"/>
  <c r="Q173" i="99"/>
  <c r="Q99" i="99"/>
  <c r="Q100" i="99"/>
  <c r="Q17" i="99"/>
  <c r="AJ179" i="99"/>
  <c r="AJ21" i="99"/>
  <c r="AK21" i="99"/>
  <c r="AI21" i="99"/>
  <c r="Y174" i="99"/>
  <c r="Y55" i="99"/>
  <c r="Y14" i="99"/>
  <c r="Y173" i="99"/>
  <c r="Y100" i="99"/>
  <c r="Y99" i="99"/>
  <c r="Y17" i="99"/>
  <c r="AI35" i="99"/>
  <c r="AE174" i="99"/>
  <c r="AE55" i="99"/>
  <c r="AE14" i="99"/>
  <c r="AE173" i="99"/>
  <c r="AE100" i="99"/>
  <c r="AE99" i="99"/>
  <c r="AE17" i="99"/>
  <c r="A24" i="99"/>
  <c r="M55" i="99"/>
  <c r="M174" i="99"/>
  <c r="M14" i="99"/>
  <c r="M173" i="99"/>
  <c r="M100" i="99"/>
  <c r="M99" i="99"/>
  <c r="M17" i="99"/>
  <c r="W55" i="99"/>
  <c r="W174" i="99"/>
  <c r="W14" i="99"/>
  <c r="W173" i="99"/>
  <c r="W100" i="99"/>
  <c r="W99" i="99"/>
  <c r="W17" i="99"/>
  <c r="E55" i="99"/>
  <c r="E174" i="99"/>
  <c r="E14" i="99"/>
  <c r="E173" i="99"/>
  <c r="E99" i="99"/>
  <c r="E100" i="99"/>
  <c r="E17" i="99"/>
  <c r="AN94" i="99"/>
  <c r="AM89" i="99"/>
  <c r="AM13" i="99"/>
  <c r="AM172" i="99"/>
  <c r="F174" i="99"/>
  <c r="F55" i="99"/>
  <c r="F14" i="99"/>
  <c r="F173" i="99"/>
  <c r="F100" i="99"/>
  <c r="F99" i="99"/>
  <c r="F17" i="99"/>
  <c r="D55" i="99"/>
  <c r="D174" i="99"/>
  <c r="D14" i="99"/>
  <c r="D173" i="99"/>
  <c r="D99" i="99"/>
  <c r="D100" i="99"/>
  <c r="D17" i="99"/>
  <c r="O174" i="99"/>
  <c r="O55" i="99"/>
  <c r="O14" i="99"/>
  <c r="O173" i="99"/>
  <c r="O99" i="99"/>
  <c r="O100" i="99"/>
  <c r="O17" i="99"/>
  <c r="AN35" i="99"/>
  <c r="U174" i="99"/>
  <c r="U14" i="99"/>
  <c r="U173" i="99"/>
  <c r="U55" i="99"/>
  <c r="U99" i="99"/>
  <c r="U100" i="99"/>
  <c r="U17" i="99"/>
  <c r="S55" i="99"/>
  <c r="S14" i="99"/>
  <c r="S173" i="99"/>
  <c r="S174" i="99"/>
  <c r="S100" i="99"/>
  <c r="S99" i="99"/>
  <c r="S17" i="99"/>
  <c r="N55" i="99"/>
  <c r="N14" i="99"/>
  <c r="N173" i="99"/>
  <c r="N174" i="99"/>
  <c r="N100" i="99"/>
  <c r="N99" i="99"/>
  <c r="N17" i="99"/>
  <c r="Z174" i="99"/>
  <c r="Z14" i="99"/>
  <c r="Z173" i="99"/>
  <c r="Z55" i="99"/>
  <c r="Z100" i="99"/>
  <c r="Z99" i="99"/>
  <c r="Z17" i="99"/>
  <c r="L174" i="99"/>
  <c r="L55" i="99"/>
  <c r="L14" i="99"/>
  <c r="L173" i="99"/>
  <c r="L100" i="99"/>
  <c r="L99" i="99"/>
  <c r="L17" i="99"/>
  <c r="G14" i="99"/>
  <c r="G173" i="99"/>
  <c r="G174" i="99"/>
  <c r="G55" i="99"/>
  <c r="G99" i="99"/>
  <c r="G100" i="99"/>
  <c r="G17" i="99"/>
  <c r="AO179" i="99"/>
  <c r="AO21" i="99"/>
  <c r="AN21" i="99"/>
  <c r="O17" i="100"/>
  <c r="O95" i="100"/>
  <c r="O175" i="99"/>
  <c r="O141" i="99"/>
  <c r="F17" i="100"/>
  <c r="F141" i="99"/>
  <c r="F175" i="99"/>
  <c r="W141" i="99"/>
  <c r="W17" i="100"/>
  <c r="W95" i="100"/>
  <c r="W175" i="99"/>
  <c r="AE24" i="99"/>
  <c r="G24" i="99"/>
  <c r="N24" i="99"/>
  <c r="AG24" i="99"/>
  <c r="AD24" i="99"/>
  <c r="W24" i="99"/>
  <c r="V24" i="99"/>
  <c r="J17" i="100"/>
  <c r="J175" i="99"/>
  <c r="J141" i="99"/>
  <c r="L24" i="99"/>
  <c r="L37" i="99"/>
  <c r="F24" i="99"/>
  <c r="F37" i="99"/>
  <c r="Q24" i="99"/>
  <c r="Q37" i="99"/>
  <c r="AB24" i="99"/>
  <c r="AB37" i="99"/>
  <c r="X24" i="99"/>
  <c r="X37" i="99"/>
  <c r="X35" i="100"/>
  <c r="W35" i="100"/>
  <c r="AE35" i="100"/>
  <c r="R17" i="100"/>
  <c r="R175" i="99"/>
  <c r="R141" i="99"/>
  <c r="H141" i="99"/>
  <c r="H175" i="99"/>
  <c r="I141" i="99"/>
  <c r="I17" i="100"/>
  <c r="I175" i="99"/>
  <c r="AD17" i="100"/>
  <c r="AC17" i="100"/>
  <c r="AC95" i="100"/>
  <c r="AC175" i="99"/>
  <c r="AC141" i="99"/>
  <c r="T141" i="99"/>
  <c r="T17" i="100"/>
  <c r="T175" i="99"/>
  <c r="A39" i="99"/>
  <c r="AJ35" i="99"/>
  <c r="AJ94" i="99"/>
  <c r="AI13" i="99"/>
  <c r="AI172" i="99"/>
  <c r="AI89" i="99"/>
  <c r="AG175" i="99"/>
  <c r="AG141" i="99"/>
  <c r="AG17" i="100"/>
  <c r="AG173" i="99"/>
  <c r="AF24" i="99"/>
  <c r="AF37" i="99"/>
  <c r="P24" i="99"/>
  <c r="P37" i="99"/>
  <c r="J24" i="99"/>
  <c r="J37" i="99"/>
  <c r="AC24" i="99"/>
  <c r="AC37" i="99"/>
  <c r="AD35" i="100"/>
  <c r="E24" i="99"/>
  <c r="E37" i="99"/>
  <c r="O24" i="99"/>
  <c r="O37" i="99"/>
  <c r="S24" i="99"/>
  <c r="S37" i="99"/>
  <c r="L17" i="100"/>
  <c r="L175" i="99"/>
  <c r="L141" i="99"/>
  <c r="E17" i="100"/>
  <c r="E95" i="100"/>
  <c r="E175" i="99"/>
  <c r="E141" i="99"/>
  <c r="M17" i="100"/>
  <c r="M175" i="99"/>
  <c r="M141" i="99"/>
  <c r="AE17" i="100"/>
  <c r="AE175" i="99"/>
  <c r="AE141" i="99"/>
  <c r="Y141" i="99"/>
  <c r="Y175" i="99"/>
  <c r="Y17" i="100"/>
  <c r="Y95" i="100"/>
  <c r="Q17" i="100"/>
  <c r="Q95" i="100"/>
  <c r="Q175" i="99"/>
  <c r="Q141" i="99"/>
  <c r="V175" i="99"/>
  <c r="V141" i="99"/>
  <c r="V17" i="100"/>
  <c r="V95" i="100"/>
  <c r="AM36" i="99"/>
  <c r="AH36" i="99"/>
  <c r="AG37" i="99"/>
  <c r="M24" i="99"/>
  <c r="M37" i="99"/>
  <c r="N35" i="100"/>
  <c r="AA24" i="99"/>
  <c r="AA37" i="99"/>
  <c r="Z24" i="99"/>
  <c r="Z37" i="99"/>
  <c r="U24" i="99"/>
  <c r="U37" i="99"/>
  <c r="V35" i="100"/>
  <c r="I24" i="99"/>
  <c r="I37" i="99"/>
  <c r="AA175" i="99"/>
  <c r="AA141" i="99"/>
  <c r="P17" i="100"/>
  <c r="P175" i="99"/>
  <c r="P141" i="99"/>
  <c r="X141" i="99"/>
  <c r="X17" i="100"/>
  <c r="X175" i="99"/>
  <c r="AD141" i="99"/>
  <c r="AD175" i="99"/>
  <c r="K175" i="99"/>
  <c r="K141" i="99"/>
  <c r="K17" i="100"/>
  <c r="K95" i="100"/>
  <c r="AF141" i="99"/>
  <c r="AF17" i="100"/>
  <c r="AF175" i="99"/>
  <c r="N17" i="100"/>
  <c r="N141" i="99"/>
  <c r="N175" i="99"/>
  <c r="U175" i="99"/>
  <c r="U141" i="99"/>
  <c r="U17" i="100"/>
  <c r="AN89" i="99"/>
  <c r="AN13" i="99"/>
  <c r="AN172" i="99"/>
  <c r="AO94" i="99"/>
  <c r="H17" i="100"/>
  <c r="G17" i="100"/>
  <c r="G175" i="99"/>
  <c r="G141" i="99"/>
  <c r="AA17" i="100"/>
  <c r="AA95" i="100"/>
  <c r="Z175" i="99"/>
  <c r="Z141" i="99"/>
  <c r="Z17" i="100"/>
  <c r="S175" i="99"/>
  <c r="S141" i="99"/>
  <c r="S17" i="100"/>
  <c r="AO35" i="99"/>
  <c r="D141" i="99"/>
  <c r="D17" i="100"/>
  <c r="D175" i="99"/>
  <c r="AB141" i="99"/>
  <c r="AB17" i="100"/>
  <c r="AB95" i="100"/>
  <c r="AB175" i="99"/>
  <c r="K24" i="99"/>
  <c r="K37" i="99"/>
  <c r="T24" i="99"/>
  <c r="T37" i="99"/>
  <c r="D24" i="99"/>
  <c r="D37" i="99"/>
  <c r="H24" i="99"/>
  <c r="H37" i="99"/>
  <c r="R24" i="99"/>
  <c r="R37" i="99"/>
  <c r="Y24" i="99"/>
  <c r="Y37" i="99"/>
  <c r="G35" i="100"/>
  <c r="V108" i="100"/>
  <c r="V62" i="100"/>
  <c r="D181" i="99"/>
  <c r="D131" i="99"/>
  <c r="D56" i="99"/>
  <c r="D26" i="99"/>
  <c r="Y35" i="100"/>
  <c r="T35" i="100"/>
  <c r="Y181" i="99"/>
  <c r="Y56" i="99"/>
  <c r="Y131" i="99"/>
  <c r="Y19" i="100"/>
  <c r="Y92" i="100"/>
  <c r="Y26" i="99"/>
  <c r="T181" i="99"/>
  <c r="T131" i="99"/>
  <c r="T56" i="99"/>
  <c r="T19" i="100"/>
  <c r="T92" i="100"/>
  <c r="T26" i="99"/>
  <c r="R35" i="100"/>
  <c r="K35" i="100"/>
  <c r="D95" i="100"/>
  <c r="D20" i="100"/>
  <c r="S95" i="100"/>
  <c r="Z95" i="100"/>
  <c r="G95" i="100"/>
  <c r="I35" i="100"/>
  <c r="Z35" i="100"/>
  <c r="M35" i="100"/>
  <c r="AN36" i="99"/>
  <c r="AM37" i="99"/>
  <c r="O56" i="99"/>
  <c r="O181" i="99"/>
  <c r="O131" i="99"/>
  <c r="O19" i="100"/>
  <c r="O92" i="100"/>
  <c r="O26" i="99"/>
  <c r="AC56" i="99"/>
  <c r="AC131" i="99"/>
  <c r="AC181" i="99"/>
  <c r="AC19" i="100"/>
  <c r="AC92" i="100"/>
  <c r="AC26" i="99"/>
  <c r="P181" i="99"/>
  <c r="P131" i="99"/>
  <c r="P56" i="99"/>
  <c r="P19" i="100"/>
  <c r="P92" i="100"/>
  <c r="P26" i="99"/>
  <c r="AM173" i="99"/>
  <c r="AH173" i="99"/>
  <c r="AJ89" i="99"/>
  <c r="AJ13" i="99"/>
  <c r="A40" i="99"/>
  <c r="W62" i="100"/>
  <c r="W108" i="100"/>
  <c r="X181" i="99"/>
  <c r="X19" i="100"/>
  <c r="X92" i="100"/>
  <c r="X56" i="99"/>
  <c r="X131" i="99"/>
  <c r="X26" i="99"/>
  <c r="Q19" i="100"/>
  <c r="Q92" i="100"/>
  <c r="Q56" i="99"/>
  <c r="Q181" i="99"/>
  <c r="Q131" i="99"/>
  <c r="Q26" i="99"/>
  <c r="L131" i="99"/>
  <c r="L56" i="99"/>
  <c r="L181" i="99"/>
  <c r="L19" i="100"/>
  <c r="L92" i="100"/>
  <c r="L26" i="99"/>
  <c r="AG56" i="99"/>
  <c r="AG19" i="100"/>
  <c r="AG181" i="99"/>
  <c r="AG131" i="99"/>
  <c r="AG26" i="99"/>
  <c r="R56" i="99"/>
  <c r="R181" i="99"/>
  <c r="R131" i="99"/>
  <c r="R19" i="100"/>
  <c r="R92" i="100"/>
  <c r="R26" i="99"/>
  <c r="K56" i="99"/>
  <c r="K181" i="99"/>
  <c r="K19" i="100"/>
  <c r="K92" i="100"/>
  <c r="K131" i="99"/>
  <c r="K26" i="99"/>
  <c r="H95" i="100"/>
  <c r="U95" i="100"/>
  <c r="I181" i="99"/>
  <c r="I131" i="99"/>
  <c r="I56" i="99"/>
  <c r="I19" i="100"/>
  <c r="I92" i="100"/>
  <c r="I26" i="99"/>
  <c r="Z181" i="99"/>
  <c r="Z131" i="99"/>
  <c r="Z56" i="99"/>
  <c r="Z19" i="100"/>
  <c r="Z92" i="100"/>
  <c r="Z26" i="99"/>
  <c r="M181" i="99"/>
  <c r="M56" i="99"/>
  <c r="M131" i="99"/>
  <c r="M19" i="100"/>
  <c r="M92" i="100"/>
  <c r="M26" i="99"/>
  <c r="S35" i="100"/>
  <c r="E35" i="100"/>
  <c r="J35" i="100"/>
  <c r="AF35" i="100"/>
  <c r="AD95" i="100"/>
  <c r="AK17" i="100"/>
  <c r="AC35" i="100"/>
  <c r="AB35" i="100"/>
  <c r="F35" i="100"/>
  <c r="V56" i="99"/>
  <c r="V181" i="99"/>
  <c r="V19" i="100"/>
  <c r="V92" i="100"/>
  <c r="V131" i="99"/>
  <c r="V26" i="99"/>
  <c r="N19" i="100"/>
  <c r="N92" i="100"/>
  <c r="N56" i="99"/>
  <c r="N181" i="99"/>
  <c r="N131" i="99"/>
  <c r="N26" i="99"/>
  <c r="AO13" i="99"/>
  <c r="AO172" i="99"/>
  <c r="AO89" i="99"/>
  <c r="AF95" i="100"/>
  <c r="X95" i="100"/>
  <c r="AD108" i="100"/>
  <c r="AD62" i="100"/>
  <c r="U35" i="100"/>
  <c r="AA35" i="100"/>
  <c r="AG35" i="100"/>
  <c r="S181" i="99"/>
  <c r="S131" i="99"/>
  <c r="S56" i="99"/>
  <c r="S19" i="100"/>
  <c r="S92" i="100"/>
  <c r="S26" i="99"/>
  <c r="N108" i="100"/>
  <c r="N62" i="100"/>
  <c r="E181" i="99"/>
  <c r="E56" i="99"/>
  <c r="E131" i="99"/>
  <c r="E19" i="100"/>
  <c r="E92" i="100"/>
  <c r="E26" i="99"/>
  <c r="J56" i="99"/>
  <c r="J181" i="99"/>
  <c r="J131" i="99"/>
  <c r="J19" i="100"/>
  <c r="J92" i="100"/>
  <c r="J26" i="99"/>
  <c r="AF19" i="100"/>
  <c r="AF92" i="100"/>
  <c r="AF131" i="99"/>
  <c r="AF181" i="99"/>
  <c r="AF56" i="99"/>
  <c r="AF26" i="99"/>
  <c r="AG95" i="100"/>
  <c r="AK35" i="99"/>
  <c r="AE108" i="100"/>
  <c r="AE62" i="100"/>
  <c r="X108" i="100"/>
  <c r="X62" i="100"/>
  <c r="AB56" i="99"/>
  <c r="AB181" i="99"/>
  <c r="AB131" i="99"/>
  <c r="AB19" i="100"/>
  <c r="AB92" i="100"/>
  <c r="AB26" i="99"/>
  <c r="F56" i="99"/>
  <c r="F181" i="99"/>
  <c r="F131" i="99"/>
  <c r="F19" i="100"/>
  <c r="F92" i="100"/>
  <c r="F26" i="99"/>
  <c r="W181" i="99"/>
  <c r="W131" i="99"/>
  <c r="W56" i="99"/>
  <c r="W19" i="100"/>
  <c r="W92" i="100"/>
  <c r="W26" i="99"/>
  <c r="G181" i="99"/>
  <c r="G56" i="99"/>
  <c r="G131" i="99"/>
  <c r="G19" i="100"/>
  <c r="G92" i="100"/>
  <c r="G26" i="99"/>
  <c r="G62" i="100"/>
  <c r="G108" i="100"/>
  <c r="H35" i="100"/>
  <c r="H131" i="99"/>
  <c r="H56" i="99"/>
  <c r="H181" i="99"/>
  <c r="H19" i="100"/>
  <c r="H92" i="100"/>
  <c r="H26" i="99"/>
  <c r="N95" i="100"/>
  <c r="P95" i="100"/>
  <c r="U131" i="99"/>
  <c r="U181" i="99"/>
  <c r="U56" i="99"/>
  <c r="U19" i="100"/>
  <c r="U92" i="100"/>
  <c r="U26" i="99"/>
  <c r="AA56" i="99"/>
  <c r="AA181" i="99"/>
  <c r="AA131" i="99"/>
  <c r="AA19" i="100"/>
  <c r="AA92" i="100"/>
  <c r="AA26" i="99"/>
  <c r="AI36" i="99"/>
  <c r="AH37" i="99"/>
  <c r="AE95" i="100"/>
  <c r="M95" i="100"/>
  <c r="L95" i="100"/>
  <c r="O35" i="100"/>
  <c r="P35" i="100"/>
  <c r="AE39" i="99"/>
  <c r="O39" i="99"/>
  <c r="W39" i="99"/>
  <c r="S39" i="99"/>
  <c r="R39" i="99"/>
  <c r="N39" i="99"/>
  <c r="Y39" i="99"/>
  <c r="I39" i="99"/>
  <c r="AD39" i="99"/>
  <c r="J39" i="99"/>
  <c r="U39" i="99"/>
  <c r="E39" i="99"/>
  <c r="X39" i="99"/>
  <c r="H39" i="99"/>
  <c r="AC39" i="99"/>
  <c r="P39" i="99"/>
  <c r="F39" i="99"/>
  <c r="G39" i="99"/>
  <c r="Z39" i="99"/>
  <c r="Q39" i="99"/>
  <c r="Q37" i="100"/>
  <c r="AF39" i="99"/>
  <c r="AF37" i="100"/>
  <c r="L39" i="99"/>
  <c r="K39" i="99"/>
  <c r="V39" i="99"/>
  <c r="AB39" i="99"/>
  <c r="M39" i="99"/>
  <c r="M37" i="100"/>
  <c r="D39" i="99"/>
  <c r="AA39" i="99"/>
  <c r="AG39" i="99"/>
  <c r="T39" i="99"/>
  <c r="T95" i="100"/>
  <c r="I95" i="100"/>
  <c r="R95" i="100"/>
  <c r="Q35" i="100"/>
  <c r="L35" i="100"/>
  <c r="J95" i="100"/>
  <c r="AD131" i="99"/>
  <c r="AD19" i="100"/>
  <c r="AD181" i="99"/>
  <c r="AD56" i="99"/>
  <c r="AD26" i="99"/>
  <c r="AE56" i="99"/>
  <c r="AE181" i="99"/>
  <c r="AE131" i="99"/>
  <c r="AE19" i="100"/>
  <c r="AE92" i="100"/>
  <c r="AE26" i="99"/>
  <c r="F95" i="100"/>
  <c r="F37" i="100"/>
  <c r="P37" i="100"/>
  <c r="K37" i="100"/>
  <c r="Z37" i="100"/>
  <c r="AB37" i="100"/>
  <c r="T37" i="100"/>
  <c r="S37" i="100"/>
  <c r="AC37" i="100"/>
  <c r="U37" i="100"/>
  <c r="Y37" i="100"/>
  <c r="J37" i="100"/>
  <c r="AD182" i="99"/>
  <c r="AD142" i="99"/>
  <c r="AD143" i="99"/>
  <c r="AD28" i="99"/>
  <c r="Q108" i="100"/>
  <c r="Q62" i="100"/>
  <c r="AA37" i="100"/>
  <c r="V37" i="100"/>
  <c r="E37" i="100"/>
  <c r="I37" i="100"/>
  <c r="AH35" i="100"/>
  <c r="H182" i="99"/>
  <c r="H142" i="99"/>
  <c r="H143" i="99"/>
  <c r="H28" i="99"/>
  <c r="H62" i="100"/>
  <c r="H108" i="100"/>
  <c r="F142" i="99"/>
  <c r="F143" i="99"/>
  <c r="F182" i="99"/>
  <c r="F28" i="99"/>
  <c r="J142" i="99"/>
  <c r="J143" i="99"/>
  <c r="J182" i="99"/>
  <c r="J28" i="99"/>
  <c r="S142" i="99"/>
  <c r="S143" i="99"/>
  <c r="S182" i="99"/>
  <c r="S28" i="99"/>
  <c r="AB62" i="100"/>
  <c r="AB108" i="100"/>
  <c r="J108" i="100"/>
  <c r="J62" i="100"/>
  <c r="S62" i="100"/>
  <c r="S108" i="100"/>
  <c r="M182" i="99"/>
  <c r="M142" i="99"/>
  <c r="M143" i="99"/>
  <c r="M28" i="99"/>
  <c r="R182" i="99"/>
  <c r="R142" i="99"/>
  <c r="R143" i="99"/>
  <c r="R28" i="99"/>
  <c r="L182" i="99"/>
  <c r="L142" i="99"/>
  <c r="L143" i="99"/>
  <c r="L28" i="99"/>
  <c r="AJ172" i="99"/>
  <c r="AK13" i="99"/>
  <c r="AN173" i="99"/>
  <c r="AM14" i="99"/>
  <c r="AM15" i="99"/>
  <c r="Z108" i="100"/>
  <c r="Z62" i="100"/>
  <c r="D30" i="100"/>
  <c r="D59" i="100"/>
  <c r="D97" i="100"/>
  <c r="K62" i="100"/>
  <c r="K108" i="100"/>
  <c r="R108" i="100"/>
  <c r="R62" i="100"/>
  <c r="W37" i="100"/>
  <c r="O108" i="100"/>
  <c r="O62" i="100"/>
  <c r="AJ36" i="99"/>
  <c r="AI37" i="99"/>
  <c r="AB182" i="99"/>
  <c r="AB142" i="99"/>
  <c r="AB143" i="99"/>
  <c r="AB28" i="99"/>
  <c r="E142" i="99"/>
  <c r="E143" i="99"/>
  <c r="E182" i="99"/>
  <c r="E28" i="99"/>
  <c r="AA62" i="100"/>
  <c r="AA108" i="100"/>
  <c r="U108" i="100"/>
  <c r="U62" i="100"/>
  <c r="N142" i="99"/>
  <c r="N143" i="99"/>
  <c r="N182" i="99"/>
  <c r="N28" i="99"/>
  <c r="F62" i="100"/>
  <c r="F108" i="100"/>
  <c r="AC108" i="100"/>
  <c r="AC62" i="100"/>
  <c r="E108" i="100"/>
  <c r="E62" i="100"/>
  <c r="Z182" i="99"/>
  <c r="Z142" i="99"/>
  <c r="Z143" i="99"/>
  <c r="Z28" i="99"/>
  <c r="AH181" i="99"/>
  <c r="AM181" i="99"/>
  <c r="Q142" i="99"/>
  <c r="Q143" i="99"/>
  <c r="Q182" i="99"/>
  <c r="Q28" i="99"/>
  <c r="P182" i="99"/>
  <c r="P142" i="99"/>
  <c r="P143" i="99"/>
  <c r="P153" i="99"/>
  <c r="P155" i="99"/>
  <c r="P28" i="99"/>
  <c r="AN35" i="100"/>
  <c r="Y108" i="100"/>
  <c r="Y62" i="100"/>
  <c r="AE142" i="99"/>
  <c r="AE143" i="99"/>
  <c r="AE182" i="99"/>
  <c r="AE28" i="99"/>
  <c r="AK19" i="100"/>
  <c r="AD92" i="100"/>
  <c r="L37" i="100"/>
  <c r="G37" i="100"/>
  <c r="H37" i="100"/>
  <c r="N37" i="100"/>
  <c r="O37" i="100"/>
  <c r="P108" i="100"/>
  <c r="P62" i="100"/>
  <c r="AA182" i="99"/>
  <c r="AA142" i="99"/>
  <c r="AA143" i="99"/>
  <c r="AA153" i="99"/>
  <c r="AA155" i="99"/>
  <c r="AA28" i="99"/>
  <c r="G182" i="99"/>
  <c r="G142" i="99"/>
  <c r="G143" i="99"/>
  <c r="G28" i="99"/>
  <c r="AG108" i="100"/>
  <c r="AG62" i="100"/>
  <c r="AK62" i="100"/>
  <c r="AK35" i="100"/>
  <c r="V182" i="99"/>
  <c r="V142" i="99"/>
  <c r="V143" i="99"/>
  <c r="V28" i="99"/>
  <c r="AK95" i="100"/>
  <c r="I182" i="99"/>
  <c r="I142" i="99"/>
  <c r="I143" i="99"/>
  <c r="I28" i="99"/>
  <c r="AG182" i="99"/>
  <c r="AG142" i="99"/>
  <c r="AG143" i="99"/>
  <c r="AG28" i="99"/>
  <c r="AG92" i="100"/>
  <c r="X142" i="99"/>
  <c r="X143" i="99"/>
  <c r="X182" i="99"/>
  <c r="X28" i="99"/>
  <c r="E40" i="99"/>
  <c r="U40" i="99"/>
  <c r="M40" i="99"/>
  <c r="T40" i="99"/>
  <c r="D40" i="99"/>
  <c r="I40" i="99"/>
  <c r="AB40" i="99"/>
  <c r="H40" i="99"/>
  <c r="AA40" i="99"/>
  <c r="K40" i="99"/>
  <c r="Y40" i="99"/>
  <c r="X40" i="99"/>
  <c r="W40" i="99"/>
  <c r="G40" i="99"/>
  <c r="Z40" i="99"/>
  <c r="Z38" i="100"/>
  <c r="J40" i="99"/>
  <c r="L40" i="99"/>
  <c r="AE40" i="99"/>
  <c r="AD40" i="99"/>
  <c r="F40" i="99"/>
  <c r="AG40" i="99"/>
  <c r="S40" i="99"/>
  <c r="V40" i="99"/>
  <c r="AC40" i="99"/>
  <c r="O40" i="99"/>
  <c r="R40" i="99"/>
  <c r="P40" i="99"/>
  <c r="AF40" i="99"/>
  <c r="N40" i="99"/>
  <c r="Q40" i="99"/>
  <c r="AC182" i="99"/>
  <c r="AC142" i="99"/>
  <c r="AC143" i="99"/>
  <c r="AC28" i="99"/>
  <c r="AO36" i="99"/>
  <c r="AO37" i="99"/>
  <c r="AN37" i="99"/>
  <c r="M108" i="100"/>
  <c r="M62" i="100"/>
  <c r="I62" i="100"/>
  <c r="I108" i="100"/>
  <c r="T182" i="99"/>
  <c r="T142" i="99"/>
  <c r="T143" i="99"/>
  <c r="T28" i="99"/>
  <c r="T108" i="100"/>
  <c r="T62" i="100"/>
  <c r="D182" i="99"/>
  <c r="D142" i="99"/>
  <c r="D143" i="99"/>
  <c r="D28" i="99"/>
  <c r="L108" i="100"/>
  <c r="L62" i="100"/>
  <c r="AM39" i="99"/>
  <c r="AH39" i="99"/>
  <c r="AG37" i="100"/>
  <c r="X37" i="100"/>
  <c r="AD37" i="100"/>
  <c r="R37" i="100"/>
  <c r="AE37" i="100"/>
  <c r="U182" i="99"/>
  <c r="U142" i="99"/>
  <c r="U143" i="99"/>
  <c r="U28" i="99"/>
  <c r="W182" i="99"/>
  <c r="W142" i="99"/>
  <c r="W143" i="99"/>
  <c r="W28" i="99"/>
  <c r="AF182" i="99"/>
  <c r="AF142" i="99"/>
  <c r="AF143" i="99"/>
  <c r="AF28" i="99"/>
  <c r="AF62" i="100"/>
  <c r="AF108" i="100"/>
  <c r="K182" i="99"/>
  <c r="K142" i="99"/>
  <c r="K143" i="99"/>
  <c r="K153" i="99"/>
  <c r="K155" i="99"/>
  <c r="K28" i="99"/>
  <c r="A42" i="99"/>
  <c r="AI173" i="99"/>
  <c r="AH14" i="99"/>
  <c r="AH15" i="99"/>
  <c r="O182" i="99"/>
  <c r="O142" i="99"/>
  <c r="O143" i="99"/>
  <c r="O28" i="99"/>
  <c r="Y142" i="99"/>
  <c r="Y143" i="99"/>
  <c r="Y153" i="99"/>
  <c r="Y155" i="99"/>
  <c r="Y182" i="99"/>
  <c r="Y28" i="99"/>
  <c r="F38" i="100"/>
  <c r="V38" i="100"/>
  <c r="N38" i="100"/>
  <c r="L38" i="100"/>
  <c r="W38" i="100"/>
  <c r="AA38" i="100"/>
  <c r="AF38" i="100"/>
  <c r="AC38" i="100"/>
  <c r="J38" i="100"/>
  <c r="H38" i="100"/>
  <c r="K185" i="99"/>
  <c r="K184" i="99"/>
  <c r="AF185" i="99"/>
  <c r="AF184" i="99"/>
  <c r="X144" i="99"/>
  <c r="W153" i="99"/>
  <c r="W155" i="99"/>
  <c r="AN37" i="100"/>
  <c r="AN39" i="99"/>
  <c r="D153" i="99"/>
  <c r="D155" i="99"/>
  <c r="D144" i="99"/>
  <c r="E144" i="99"/>
  <c r="T184" i="99"/>
  <c r="T185" i="99"/>
  <c r="AP35" i="100"/>
  <c r="Q38" i="100"/>
  <c r="R38" i="100"/>
  <c r="S38" i="100"/>
  <c r="AE38" i="100"/>
  <c r="G38" i="100"/>
  <c r="K38" i="100"/>
  <c r="I38" i="100"/>
  <c r="U38" i="100"/>
  <c r="X153" i="99"/>
  <c r="X155" i="99"/>
  <c r="Y156" i="99"/>
  <c r="Y144" i="99"/>
  <c r="AG185" i="99"/>
  <c r="AG184" i="99"/>
  <c r="I185" i="99"/>
  <c r="I184" i="99"/>
  <c r="H144" i="99"/>
  <c r="G153" i="99"/>
  <c r="G155" i="99"/>
  <c r="AN108" i="100"/>
  <c r="AN62" i="100"/>
  <c r="Q185" i="99"/>
  <c r="Q184" i="99"/>
  <c r="AI181" i="99"/>
  <c r="AH24" i="99"/>
  <c r="N153" i="99"/>
  <c r="N155" i="99"/>
  <c r="O144" i="99"/>
  <c r="K144" i="99"/>
  <c r="J153" i="99"/>
  <c r="J155" i="99"/>
  <c r="K156" i="99"/>
  <c r="H153" i="99"/>
  <c r="H155" i="99"/>
  <c r="I144" i="99"/>
  <c r="AD185" i="99"/>
  <c r="AD184" i="99"/>
  <c r="AH55" i="99"/>
  <c r="AH174" i="99"/>
  <c r="AH17" i="99"/>
  <c r="T153" i="99"/>
  <c r="T155" i="99"/>
  <c r="U144" i="99"/>
  <c r="AC185" i="99"/>
  <c r="AC184" i="99"/>
  <c r="O38" i="100"/>
  <c r="AG38" i="100"/>
  <c r="AH40" i="99"/>
  <c r="AM40" i="99"/>
  <c r="E38" i="100"/>
  <c r="J144" i="99"/>
  <c r="I153" i="99"/>
  <c r="I155" i="99"/>
  <c r="AK92" i="100"/>
  <c r="AF144" i="99"/>
  <c r="AE153" i="99"/>
  <c r="AE155" i="99"/>
  <c r="P184" i="99"/>
  <c r="P185" i="99"/>
  <c r="Z185" i="99"/>
  <c r="Z184" i="99"/>
  <c r="E153" i="99"/>
  <c r="E155" i="99"/>
  <c r="F144" i="99"/>
  <c r="AI35" i="100"/>
  <c r="R184" i="99"/>
  <c r="R185" i="99"/>
  <c r="M185" i="99"/>
  <c r="M184" i="99"/>
  <c r="T144" i="99"/>
  <c r="S153" i="99"/>
  <c r="S155" i="99"/>
  <c r="F185" i="99"/>
  <c r="F184" i="99"/>
  <c r="AH108" i="100"/>
  <c r="AH62" i="100"/>
  <c r="AD153" i="99"/>
  <c r="AD155" i="99"/>
  <c r="AE144" i="99"/>
  <c r="O184" i="99"/>
  <c r="O185" i="99"/>
  <c r="U185" i="99"/>
  <c r="U184" i="99"/>
  <c r="X38" i="100"/>
  <c r="T38" i="100"/>
  <c r="X185" i="99"/>
  <c r="X184" i="99"/>
  <c r="AG153" i="99"/>
  <c r="AG155" i="99"/>
  <c r="V185" i="99"/>
  <c r="V184" i="99"/>
  <c r="AA185" i="99"/>
  <c r="AA184" i="99"/>
  <c r="Q144" i="99"/>
  <c r="Q153" i="99"/>
  <c r="Q155" i="99"/>
  <c r="R144" i="99"/>
  <c r="Z144" i="99"/>
  <c r="AA144" i="99"/>
  <c r="Z153" i="99"/>
  <c r="Z155" i="99"/>
  <c r="AA156" i="99"/>
  <c r="N185" i="99"/>
  <c r="N184" i="99"/>
  <c r="AK108" i="100"/>
  <c r="AB185" i="99"/>
  <c r="AB184" i="99"/>
  <c r="AK36" i="99"/>
  <c r="AJ37" i="99"/>
  <c r="AM55" i="99"/>
  <c r="AM174" i="99"/>
  <c r="AM17" i="99"/>
  <c r="L184" i="99"/>
  <c r="L185" i="99"/>
  <c r="R153" i="99"/>
  <c r="R155" i="99"/>
  <c r="S144" i="99"/>
  <c r="M153" i="99"/>
  <c r="M155" i="99"/>
  <c r="N144" i="99"/>
  <c r="J185" i="99"/>
  <c r="J184" i="99"/>
  <c r="AF153" i="99"/>
  <c r="AF155" i="99"/>
  <c r="AG144" i="99"/>
  <c r="AJ173" i="99"/>
  <c r="AJ14" i="99"/>
  <c r="AI14" i="99"/>
  <c r="AI15" i="99"/>
  <c r="AC153" i="99"/>
  <c r="AC155" i="99"/>
  <c r="AD144" i="99"/>
  <c r="Y184" i="99"/>
  <c r="Y185" i="99"/>
  <c r="P144" i="99"/>
  <c r="O153" i="99"/>
  <c r="O155" i="99"/>
  <c r="P156" i="99"/>
  <c r="F42" i="99"/>
  <c r="J42" i="99"/>
  <c r="AD42" i="99"/>
  <c r="Z42" i="99"/>
  <c r="U42" i="99"/>
  <c r="E42" i="99"/>
  <c r="N42" i="99"/>
  <c r="Q42" i="99"/>
  <c r="AB42" i="99"/>
  <c r="L42" i="99"/>
  <c r="AG42" i="99"/>
  <c r="M42" i="99"/>
  <c r="X42" i="99"/>
  <c r="H42" i="99"/>
  <c r="AE42" i="99"/>
  <c r="O42" i="99"/>
  <c r="Y42" i="99"/>
  <c r="AF42" i="99"/>
  <c r="W42" i="99"/>
  <c r="V42" i="99"/>
  <c r="I42" i="99"/>
  <c r="T42" i="99"/>
  <c r="S42" i="99"/>
  <c r="R42" i="99"/>
  <c r="P42" i="99"/>
  <c r="K42" i="99"/>
  <c r="AC42" i="99"/>
  <c r="D42" i="99"/>
  <c r="G42" i="99"/>
  <c r="AA42" i="99"/>
  <c r="W184" i="99"/>
  <c r="W185" i="99"/>
  <c r="V144" i="99"/>
  <c r="U153" i="99"/>
  <c r="U155" i="99"/>
  <c r="AK37" i="100"/>
  <c r="AH37" i="100"/>
  <c r="AI39" i="99"/>
  <c r="D184" i="99"/>
  <c r="D185" i="99"/>
  <c r="AO35" i="100"/>
  <c r="P38" i="100"/>
  <c r="AD38" i="100"/>
  <c r="Y38" i="100"/>
  <c r="AB38" i="100"/>
  <c r="M38" i="100"/>
  <c r="V153" i="99"/>
  <c r="V155" i="99"/>
  <c r="W144" i="99"/>
  <c r="G184" i="99"/>
  <c r="G185" i="99"/>
  <c r="AE184" i="99"/>
  <c r="AE185" i="99"/>
  <c r="AN181" i="99"/>
  <c r="AM24" i="99"/>
  <c r="E185" i="99"/>
  <c r="E184" i="99"/>
  <c r="AB144" i="99"/>
  <c r="AC144" i="99"/>
  <c r="AB153" i="99"/>
  <c r="AB155" i="99"/>
  <c r="AO173" i="99"/>
  <c r="AO14" i="99"/>
  <c r="AO15" i="99"/>
  <c r="AN14" i="99"/>
  <c r="AN15" i="99"/>
  <c r="L144" i="99"/>
  <c r="L153" i="99"/>
  <c r="L155" i="99"/>
  <c r="M144" i="99"/>
  <c r="S185" i="99"/>
  <c r="S184" i="99"/>
  <c r="G144" i="99"/>
  <c r="F153" i="99"/>
  <c r="F155" i="99"/>
  <c r="H185" i="99"/>
  <c r="H184" i="99"/>
  <c r="W156" i="99"/>
  <c r="AK38" i="100"/>
  <c r="N156" i="99"/>
  <c r="N157" i="99"/>
  <c r="AG156" i="99"/>
  <c r="AE156" i="99"/>
  <c r="AE157" i="99"/>
  <c r="AD156" i="99"/>
  <c r="AC156" i="99"/>
  <c r="AC157" i="99"/>
  <c r="Z156" i="99"/>
  <c r="Z157" i="99"/>
  <c r="T156" i="99"/>
  <c r="T157" i="99"/>
  <c r="J156" i="99"/>
  <c r="J157" i="99"/>
  <c r="AB156" i="99"/>
  <c r="AB157" i="99"/>
  <c r="G156" i="99"/>
  <c r="G157" i="99"/>
  <c r="S156" i="99"/>
  <c r="S157" i="99"/>
  <c r="G145" i="99"/>
  <c r="L156" i="99"/>
  <c r="M156" i="99"/>
  <c r="AO108" i="100"/>
  <c r="AO62" i="100"/>
  <c r="L145" i="99"/>
  <c r="AJ39" i="99"/>
  <c r="AI37" i="100"/>
  <c r="V156" i="99"/>
  <c r="AA41" i="99"/>
  <c r="AA115" i="99"/>
  <c r="AA105" i="99"/>
  <c r="AA44" i="99"/>
  <c r="K41" i="99"/>
  <c r="K115" i="99"/>
  <c r="K44" i="99"/>
  <c r="K105" i="99"/>
  <c r="T115" i="99"/>
  <c r="T41" i="99"/>
  <c r="T105" i="99"/>
  <c r="T44" i="99"/>
  <c r="AF115" i="99"/>
  <c r="AF41" i="99"/>
  <c r="AF105" i="99"/>
  <c r="AF44" i="99"/>
  <c r="H41" i="99"/>
  <c r="H115" i="99"/>
  <c r="H44" i="99"/>
  <c r="H105" i="99"/>
  <c r="L115" i="99"/>
  <c r="L41" i="99"/>
  <c r="L105" i="99"/>
  <c r="L44" i="99"/>
  <c r="E115" i="99"/>
  <c r="E41" i="99"/>
  <c r="E44" i="99"/>
  <c r="E105" i="99"/>
  <c r="J41" i="99"/>
  <c r="J115" i="99"/>
  <c r="K116" i="99"/>
  <c r="J105" i="99"/>
  <c r="J44" i="99"/>
  <c r="AI174" i="99"/>
  <c r="AI55" i="99"/>
  <c r="AI17" i="99"/>
  <c r="AJ35" i="100"/>
  <c r="AK37" i="99"/>
  <c r="AA157" i="99"/>
  <c r="Q156" i="99"/>
  <c r="R156" i="99"/>
  <c r="F156" i="99"/>
  <c r="AN40" i="99"/>
  <c r="AN38" i="100"/>
  <c r="U156" i="99"/>
  <c r="K157" i="99"/>
  <c r="AH131" i="99"/>
  <c r="AH56" i="99"/>
  <c r="AH19" i="100"/>
  <c r="AH92" i="100"/>
  <c r="Y157" i="99"/>
  <c r="E145" i="99"/>
  <c r="AC145" i="99"/>
  <c r="W145" i="99"/>
  <c r="V145" i="99"/>
  <c r="G115" i="99"/>
  <c r="G41" i="99"/>
  <c r="G105" i="99"/>
  <c r="G44" i="99"/>
  <c r="P115" i="99"/>
  <c r="P41" i="99"/>
  <c r="P44" i="99"/>
  <c r="P105" i="99"/>
  <c r="I115" i="99"/>
  <c r="I41" i="99"/>
  <c r="I44" i="99"/>
  <c r="I105" i="99"/>
  <c r="Y115" i="99"/>
  <c r="Y41" i="99"/>
  <c r="Y44" i="99"/>
  <c r="Y105" i="99"/>
  <c r="X115" i="99"/>
  <c r="X41" i="99"/>
  <c r="X44" i="99"/>
  <c r="X105" i="99"/>
  <c r="AB115" i="99"/>
  <c r="AB41" i="99"/>
  <c r="AB105" i="99"/>
  <c r="AB44" i="99"/>
  <c r="U41" i="99"/>
  <c r="U115" i="99"/>
  <c r="U44" i="99"/>
  <c r="U105" i="99"/>
  <c r="F115" i="99"/>
  <c r="G116" i="99"/>
  <c r="F41" i="99"/>
  <c r="F44" i="99"/>
  <c r="F105" i="99"/>
  <c r="AJ15" i="99"/>
  <c r="AK14" i="99"/>
  <c r="S145" i="99"/>
  <c r="AN17" i="100"/>
  <c r="AM141" i="99"/>
  <c r="AM175" i="99"/>
  <c r="AA145" i="99"/>
  <c r="Q145" i="99"/>
  <c r="AF156" i="99"/>
  <c r="J145" i="99"/>
  <c r="AI40" i="99"/>
  <c r="AH38" i="100"/>
  <c r="AH17" i="100"/>
  <c r="AH175" i="99"/>
  <c r="AH141" i="99"/>
  <c r="K145" i="99"/>
  <c r="AJ181" i="99"/>
  <c r="AJ24" i="99"/>
  <c r="AI24" i="99"/>
  <c r="AP62" i="100"/>
  <c r="AP108" i="100"/>
  <c r="D145" i="99"/>
  <c r="X156" i="99"/>
  <c r="AN174" i="99"/>
  <c r="AN55" i="99"/>
  <c r="AN17" i="99"/>
  <c r="M145" i="99"/>
  <c r="AO55" i="99"/>
  <c r="AO174" i="99"/>
  <c r="AO17" i="99"/>
  <c r="AB145" i="99"/>
  <c r="AM56" i="99"/>
  <c r="AM131" i="99"/>
  <c r="AN19" i="100"/>
  <c r="AN92" i="100"/>
  <c r="W157" i="99"/>
  <c r="D115" i="99"/>
  <c r="D41" i="99"/>
  <c r="D105" i="99"/>
  <c r="D44" i="99"/>
  <c r="R115" i="99"/>
  <c r="R41" i="99"/>
  <c r="R44" i="99"/>
  <c r="R105" i="99"/>
  <c r="V41" i="99"/>
  <c r="V115" i="99"/>
  <c r="V105" i="99"/>
  <c r="V44" i="99"/>
  <c r="O41" i="99"/>
  <c r="O115" i="99"/>
  <c r="O105" i="99"/>
  <c r="O44" i="99"/>
  <c r="M115" i="99"/>
  <c r="M41" i="99"/>
  <c r="M105" i="99"/>
  <c r="M44" i="99"/>
  <c r="Q115" i="99"/>
  <c r="R116" i="99"/>
  <c r="Q41" i="99"/>
  <c r="Q44" i="99"/>
  <c r="Q105" i="99"/>
  <c r="Z41" i="99"/>
  <c r="Z115" i="99"/>
  <c r="Z44" i="99"/>
  <c r="Z105" i="99"/>
  <c r="P157" i="99"/>
  <c r="AD145" i="99"/>
  <c r="AG145" i="99"/>
  <c r="Z145" i="99"/>
  <c r="AE145" i="99"/>
  <c r="T145" i="99"/>
  <c r="AI108" i="100"/>
  <c r="AI62" i="100"/>
  <c r="AF145" i="99"/>
  <c r="I145" i="99"/>
  <c r="O145" i="99"/>
  <c r="H156" i="99"/>
  <c r="D156" i="99"/>
  <c r="E156" i="99"/>
  <c r="X145" i="99"/>
  <c r="AO181" i="99"/>
  <c r="AO24" i="99"/>
  <c r="AN24" i="99"/>
  <c r="AC115" i="99"/>
  <c r="AC41" i="99"/>
  <c r="AC44" i="99"/>
  <c r="AC105" i="99"/>
  <c r="S41" i="99"/>
  <c r="S115" i="99"/>
  <c r="S44" i="99"/>
  <c r="S105" i="99"/>
  <c r="W41" i="99"/>
  <c r="W115" i="99"/>
  <c r="W44" i="99"/>
  <c r="W105" i="99"/>
  <c r="AE115" i="99"/>
  <c r="AE41" i="99"/>
  <c r="AE105" i="99"/>
  <c r="AE44" i="99"/>
  <c r="AG115" i="99"/>
  <c r="AG41" i="99"/>
  <c r="AG105" i="99"/>
  <c r="AG44" i="99"/>
  <c r="N115" i="99"/>
  <c r="N41" i="99"/>
  <c r="N105" i="99"/>
  <c r="N44" i="99"/>
  <c r="AD41" i="99"/>
  <c r="AD115" i="99"/>
  <c r="AD105" i="99"/>
  <c r="AD44" i="99"/>
  <c r="P145" i="99"/>
  <c r="AD157" i="99"/>
  <c r="AG157" i="99"/>
  <c r="N145" i="99"/>
  <c r="R145" i="99"/>
  <c r="F145" i="99"/>
  <c r="U145" i="99"/>
  <c r="I156" i="99"/>
  <c r="O156" i="99"/>
  <c r="H145" i="99"/>
  <c r="Y145" i="99"/>
  <c r="AO37" i="100"/>
  <c r="AO39" i="99"/>
  <c r="AP37" i="100"/>
  <c r="A12" i="100"/>
  <c r="Y116" i="99"/>
  <c r="X116" i="99"/>
  <c r="AF116" i="99"/>
  <c r="P116" i="99"/>
  <c r="T116" i="99"/>
  <c r="AA116" i="99"/>
  <c r="O116" i="99"/>
  <c r="J116" i="99"/>
  <c r="H116" i="99"/>
  <c r="I157" i="99"/>
  <c r="AD116" i="99"/>
  <c r="AE116" i="99"/>
  <c r="AG230" i="99"/>
  <c r="AG39" i="100"/>
  <c r="AG40" i="100"/>
  <c r="AC230" i="99"/>
  <c r="AD226" i="99"/>
  <c r="AC39" i="100"/>
  <c r="AC40" i="100"/>
  <c r="P208" i="99"/>
  <c r="AD230" i="99"/>
  <c r="AE226" i="99"/>
  <c r="AD39" i="100"/>
  <c r="W230" i="99"/>
  <c r="X226" i="99"/>
  <c r="W39" i="100"/>
  <c r="W40" i="100"/>
  <c r="S39" i="100"/>
  <c r="S40" i="100"/>
  <c r="S230" i="99"/>
  <c r="T226" i="99"/>
  <c r="D208" i="99"/>
  <c r="AE208" i="99"/>
  <c r="R208" i="99"/>
  <c r="O208" i="99"/>
  <c r="K208" i="99"/>
  <c r="Z208" i="99"/>
  <c r="V208" i="99"/>
  <c r="U208" i="99"/>
  <c r="D157" i="99"/>
  <c r="M130" i="99"/>
  <c r="M132" i="99"/>
  <c r="M106" i="99"/>
  <c r="O130" i="99"/>
  <c r="O132" i="99"/>
  <c r="O106" i="99"/>
  <c r="V130" i="99"/>
  <c r="V132" i="99"/>
  <c r="V106" i="99"/>
  <c r="D130" i="99"/>
  <c r="D132" i="99"/>
  <c r="D106" i="99"/>
  <c r="X157" i="99"/>
  <c r="AH95" i="100"/>
  <c r="AB130" i="99"/>
  <c r="AB132" i="99"/>
  <c r="AB106" i="99"/>
  <c r="G130" i="99"/>
  <c r="G132" i="99"/>
  <c r="G106" i="99"/>
  <c r="F157" i="99"/>
  <c r="E230" i="99"/>
  <c r="F226" i="99"/>
  <c r="E39" i="100"/>
  <c r="E40" i="100"/>
  <c r="L230" i="99"/>
  <c r="L39" i="100"/>
  <c r="L40" i="100"/>
  <c r="I116" i="99"/>
  <c r="AF39" i="100"/>
  <c r="AF40" i="100"/>
  <c r="AF230" i="99"/>
  <c r="AG226" i="99"/>
  <c r="T230" i="99"/>
  <c r="T39" i="100"/>
  <c r="T40" i="100"/>
  <c r="L116" i="99"/>
  <c r="AB116" i="99"/>
  <c r="AJ37" i="100"/>
  <c r="AL37" i="100"/>
  <c r="AK39" i="99"/>
  <c r="L157" i="99"/>
  <c r="AD130" i="99"/>
  <c r="AD132" i="99"/>
  <c r="AD106" i="99"/>
  <c r="AE130" i="99"/>
  <c r="AE132" i="99"/>
  <c r="AE106" i="99"/>
  <c r="AO19" i="100"/>
  <c r="AO92" i="100"/>
  <c r="AN131" i="99"/>
  <c r="AN56" i="99"/>
  <c r="E208" i="99"/>
  <c r="W208" i="99"/>
  <c r="J208" i="99"/>
  <c r="F208" i="99"/>
  <c r="H157" i="99"/>
  <c r="Z130" i="99"/>
  <c r="Z132" i="99"/>
  <c r="Z106" i="99"/>
  <c r="Q130" i="99"/>
  <c r="Q132" i="99"/>
  <c r="Q106" i="99"/>
  <c r="R130" i="99"/>
  <c r="R132" i="99"/>
  <c r="R106" i="99"/>
  <c r="AO17" i="100"/>
  <c r="AN141" i="99"/>
  <c r="AN175" i="99"/>
  <c r="AI131" i="99"/>
  <c r="AI56" i="99"/>
  <c r="AI19" i="100"/>
  <c r="AI92" i="100"/>
  <c r="AF157" i="99"/>
  <c r="F130" i="99"/>
  <c r="F132" i="99"/>
  <c r="F106" i="99"/>
  <c r="U130" i="99"/>
  <c r="U132" i="99"/>
  <c r="U106" i="99"/>
  <c r="X130" i="99"/>
  <c r="X132" i="99"/>
  <c r="X106" i="99"/>
  <c r="Y130" i="99"/>
  <c r="Y132" i="99"/>
  <c r="Y106" i="99"/>
  <c r="I130" i="99"/>
  <c r="I132" i="99"/>
  <c r="I106" i="99"/>
  <c r="P130" i="99"/>
  <c r="P132" i="99"/>
  <c r="P106" i="99"/>
  <c r="AO38" i="100"/>
  <c r="AO40" i="99"/>
  <c r="AP38" i="100"/>
  <c r="R157" i="99"/>
  <c r="J230" i="99"/>
  <c r="K226" i="99"/>
  <c r="J39" i="100"/>
  <c r="J40" i="100"/>
  <c r="F116" i="99"/>
  <c r="M116" i="99"/>
  <c r="H39" i="100"/>
  <c r="H40" i="100"/>
  <c r="H230" i="99"/>
  <c r="I226" i="99"/>
  <c r="AG116" i="99"/>
  <c r="U116" i="99"/>
  <c r="K39" i="100"/>
  <c r="K40" i="100"/>
  <c r="K230" i="99"/>
  <c r="L226" i="99"/>
  <c r="AA230" i="99"/>
  <c r="AB226" i="99"/>
  <c r="AA39" i="100"/>
  <c r="AA40" i="100"/>
  <c r="A20" i="100"/>
  <c r="N130" i="99"/>
  <c r="N132" i="99"/>
  <c r="N106" i="99"/>
  <c r="AG106" i="99"/>
  <c r="AG130" i="99"/>
  <c r="AG132" i="99"/>
  <c r="T208" i="99"/>
  <c r="L208" i="99"/>
  <c r="N208" i="99"/>
  <c r="Q12" i="100"/>
  <c r="K12" i="100"/>
  <c r="Y12" i="100"/>
  <c r="AE12" i="100"/>
  <c r="X12" i="100"/>
  <c r="L12" i="100"/>
  <c r="R12" i="100"/>
  <c r="O12" i="100"/>
  <c r="N12" i="100"/>
  <c r="AF12" i="100"/>
  <c r="AG12" i="100"/>
  <c r="T12" i="100"/>
  <c r="F12" i="100"/>
  <c r="S12" i="100"/>
  <c r="AD12" i="100"/>
  <c r="V12" i="100"/>
  <c r="P12" i="100"/>
  <c r="H12" i="100"/>
  <c r="W12" i="100"/>
  <c r="AB12" i="100"/>
  <c r="J12" i="100"/>
  <c r="G12" i="100"/>
  <c r="Z12" i="100"/>
  <c r="M12" i="100"/>
  <c r="E12" i="100"/>
  <c r="AA12" i="100"/>
  <c r="U12" i="100"/>
  <c r="AC12" i="100"/>
  <c r="I12" i="100"/>
  <c r="O157" i="99"/>
  <c r="W130" i="99"/>
  <c r="W132" i="99"/>
  <c r="W106" i="99"/>
  <c r="S130" i="99"/>
  <c r="S132" i="99"/>
  <c r="S106" i="99"/>
  <c r="AC130" i="99"/>
  <c r="AC132" i="99"/>
  <c r="AC106" i="99"/>
  <c r="AP19" i="100"/>
  <c r="AP92" i="100"/>
  <c r="AO131" i="99"/>
  <c r="AO56" i="99"/>
  <c r="S208" i="99"/>
  <c r="AB208" i="99"/>
  <c r="AF208" i="99"/>
  <c r="M208" i="99"/>
  <c r="G208" i="99"/>
  <c r="Y208" i="99"/>
  <c r="AC208" i="99"/>
  <c r="Q230" i="99"/>
  <c r="R226" i="99"/>
  <c r="Q39" i="100"/>
  <c r="Q40" i="100"/>
  <c r="M230" i="99"/>
  <c r="N226" i="99"/>
  <c r="M39" i="100"/>
  <c r="M40" i="100"/>
  <c r="W116" i="99"/>
  <c r="R39" i="100"/>
  <c r="R40" i="100"/>
  <c r="R230" i="99"/>
  <c r="S226" i="99"/>
  <c r="D39" i="100"/>
  <c r="D230" i="99"/>
  <c r="AP17" i="100"/>
  <c r="AO175" i="99"/>
  <c r="AO141" i="99"/>
  <c r="AJ56" i="99"/>
  <c r="AJ19" i="100"/>
  <c r="AJ131" i="99"/>
  <c r="AK24" i="99"/>
  <c r="AI38" i="100"/>
  <c r="AJ40" i="99"/>
  <c r="F39" i="100"/>
  <c r="F40" i="100"/>
  <c r="F230" i="99"/>
  <c r="G226" i="99"/>
  <c r="V116" i="99"/>
  <c r="AB39" i="100"/>
  <c r="AB40" i="100"/>
  <c r="AB230" i="99"/>
  <c r="AC226" i="99"/>
  <c r="X230" i="99"/>
  <c r="Y226" i="99"/>
  <c r="X39" i="100"/>
  <c r="X40" i="100"/>
  <c r="Y39" i="100"/>
  <c r="Y40" i="100"/>
  <c r="Y230" i="99"/>
  <c r="Z226" i="99"/>
  <c r="I39" i="100"/>
  <c r="I40" i="100"/>
  <c r="I230" i="99"/>
  <c r="J226" i="99"/>
  <c r="P39" i="100"/>
  <c r="P40" i="100"/>
  <c r="P230" i="99"/>
  <c r="Q226" i="99"/>
  <c r="G230" i="99"/>
  <c r="G39" i="100"/>
  <c r="G40" i="100"/>
  <c r="Q157" i="99"/>
  <c r="AJ62" i="100"/>
  <c r="AL62" i="100"/>
  <c r="AJ108" i="100"/>
  <c r="AL108" i="100"/>
  <c r="AL35" i="100"/>
  <c r="J130" i="99"/>
  <c r="J132" i="99"/>
  <c r="J106" i="99"/>
  <c r="L130" i="99"/>
  <c r="L132" i="99"/>
  <c r="L106" i="99"/>
  <c r="AF130" i="99"/>
  <c r="AF132" i="99"/>
  <c r="AF106" i="99"/>
  <c r="T130" i="99"/>
  <c r="T132" i="99"/>
  <c r="T106" i="99"/>
  <c r="AA130" i="99"/>
  <c r="AA132" i="99"/>
  <c r="AA106" i="99"/>
  <c r="V157" i="99"/>
  <c r="N230" i="99"/>
  <c r="O226" i="99"/>
  <c r="N39" i="100"/>
  <c r="N40" i="100"/>
  <c r="AE230" i="99"/>
  <c r="AF226" i="99"/>
  <c r="AE39" i="100"/>
  <c r="AE40" i="100"/>
  <c r="X208" i="99"/>
  <c r="H208" i="99"/>
  <c r="AA208" i="99"/>
  <c r="AD208" i="99"/>
  <c r="Q208" i="99"/>
  <c r="I208" i="99"/>
  <c r="E157" i="99"/>
  <c r="Z230" i="99"/>
  <c r="AA226" i="99"/>
  <c r="Z39" i="100"/>
  <c r="Z40" i="100"/>
  <c r="N116" i="99"/>
  <c r="O39" i="100"/>
  <c r="O40" i="100"/>
  <c r="O230" i="99"/>
  <c r="P226" i="99"/>
  <c r="V39" i="100"/>
  <c r="V40" i="100"/>
  <c r="V230" i="99"/>
  <c r="S116" i="99"/>
  <c r="D116" i="99"/>
  <c r="E116" i="99"/>
  <c r="AN95" i="100"/>
  <c r="AJ55" i="99"/>
  <c r="AJ174" i="99"/>
  <c r="AJ17" i="99"/>
  <c r="AK15" i="99"/>
  <c r="U230" i="99"/>
  <c r="V226" i="99"/>
  <c r="U39" i="100"/>
  <c r="U40" i="100"/>
  <c r="AC116" i="99"/>
  <c r="Z116" i="99"/>
  <c r="Q116" i="99"/>
  <c r="U157" i="99"/>
  <c r="AI175" i="99"/>
  <c r="AI141" i="99"/>
  <c r="AI17" i="100"/>
  <c r="E130" i="99"/>
  <c r="E132" i="99"/>
  <c r="E106" i="99"/>
  <c r="H130" i="99"/>
  <c r="H132" i="99"/>
  <c r="H106" i="99"/>
  <c r="K130" i="99"/>
  <c r="K132" i="99"/>
  <c r="K106" i="99"/>
  <c r="M157" i="99"/>
  <c r="AC229" i="99"/>
  <c r="F133" i="99"/>
  <c r="V133" i="99"/>
  <c r="S229" i="99"/>
  <c r="M133" i="99"/>
  <c r="M134" i="99"/>
  <c r="AF229" i="99"/>
  <c r="Z133" i="99"/>
  <c r="Z134" i="99"/>
  <c r="AD133" i="99"/>
  <c r="AD134" i="99"/>
  <c r="J229" i="99"/>
  <c r="L133" i="99"/>
  <c r="L134" i="99"/>
  <c r="Q133" i="99"/>
  <c r="Q134" i="99"/>
  <c r="AK12" i="100"/>
  <c r="AA229" i="99"/>
  <c r="U133" i="99"/>
  <c r="U134" i="99"/>
  <c r="P229" i="99"/>
  <c r="Y133" i="99"/>
  <c r="Y134" i="99"/>
  <c r="G133" i="99"/>
  <c r="G134" i="99"/>
  <c r="Y229" i="99"/>
  <c r="AE133" i="99"/>
  <c r="AE134" i="99"/>
  <c r="AG229" i="99"/>
  <c r="Q229" i="99"/>
  <c r="AD229" i="99"/>
  <c r="I133" i="99"/>
  <c r="I134" i="99"/>
  <c r="AB133" i="99"/>
  <c r="AB134" i="99"/>
  <c r="AG133" i="99"/>
  <c r="AG134" i="99"/>
  <c r="X133" i="99"/>
  <c r="X134" i="99"/>
  <c r="O133" i="99"/>
  <c r="O134" i="99"/>
  <c r="R133" i="99"/>
  <c r="R134" i="99"/>
  <c r="AI95" i="100"/>
  <c r="H10" i="100"/>
  <c r="H11" i="100"/>
  <c r="H212" i="99"/>
  <c r="O229" i="99"/>
  <c r="P61" i="100"/>
  <c r="P109" i="100"/>
  <c r="P223" i="99"/>
  <c r="Y61" i="100"/>
  <c r="Y109" i="100"/>
  <c r="Y223" i="99"/>
  <c r="AB223" i="99"/>
  <c r="AB61" i="100"/>
  <c r="AB109" i="100"/>
  <c r="AJ38" i="100"/>
  <c r="AL38" i="100"/>
  <c r="AK40" i="99"/>
  <c r="AJ92" i="100"/>
  <c r="AL92" i="100"/>
  <c r="AL19" i="100"/>
  <c r="E226" i="99"/>
  <c r="E229" i="99"/>
  <c r="D229" i="99"/>
  <c r="R229" i="99"/>
  <c r="Y10" i="100"/>
  <c r="Y11" i="100"/>
  <c r="Y212" i="99"/>
  <c r="G10" i="100"/>
  <c r="G11" i="100"/>
  <c r="G212" i="99"/>
  <c r="T10" i="100"/>
  <c r="T11" i="100"/>
  <c r="T212" i="99"/>
  <c r="I229" i="99"/>
  <c r="J61" i="100"/>
  <c r="J109" i="100"/>
  <c r="J223" i="99"/>
  <c r="U226" i="99"/>
  <c r="U229" i="99"/>
  <c r="T229" i="99"/>
  <c r="L61" i="100"/>
  <c r="L109" i="100"/>
  <c r="L223" i="99"/>
  <c r="H133" i="99"/>
  <c r="U10" i="100"/>
  <c r="U11" i="100"/>
  <c r="U212" i="99"/>
  <c r="K10" i="100"/>
  <c r="K11" i="100"/>
  <c r="K212" i="99"/>
  <c r="D73" i="100"/>
  <c r="D84" i="100"/>
  <c r="W61" i="100"/>
  <c r="W109" i="100"/>
  <c r="W223" i="99"/>
  <c r="AC223" i="99"/>
  <c r="AC61" i="100"/>
  <c r="AC109" i="100"/>
  <c r="O223" i="99"/>
  <c r="O61" i="100"/>
  <c r="O109" i="100"/>
  <c r="Q10" i="100"/>
  <c r="Q11" i="100"/>
  <c r="Q212" i="99"/>
  <c r="AE61" i="100"/>
  <c r="AE109" i="100"/>
  <c r="AE223" i="99"/>
  <c r="G61" i="100"/>
  <c r="G109" i="100"/>
  <c r="G223" i="99"/>
  <c r="X223" i="99"/>
  <c r="X61" i="100"/>
  <c r="X109" i="100"/>
  <c r="M223" i="99"/>
  <c r="M61" i="100"/>
  <c r="M109" i="100"/>
  <c r="AC10" i="100"/>
  <c r="AC11" i="100"/>
  <c r="AC212" i="99"/>
  <c r="M212" i="99"/>
  <c r="M10" i="100"/>
  <c r="M11" i="100"/>
  <c r="T133" i="99"/>
  <c r="AH12" i="100"/>
  <c r="AI12" i="100"/>
  <c r="AJ12" i="100"/>
  <c r="AL12" i="100"/>
  <c r="AN12" i="100"/>
  <c r="AO12" i="100"/>
  <c r="AP12" i="100"/>
  <c r="N10" i="100"/>
  <c r="N11" i="100"/>
  <c r="N212" i="99"/>
  <c r="A209" i="99"/>
  <c r="K223" i="99"/>
  <c r="K61" i="100"/>
  <c r="K109" i="100"/>
  <c r="H61" i="100"/>
  <c r="H109" i="100"/>
  <c r="H223" i="99"/>
  <c r="K229" i="99"/>
  <c r="J133" i="99"/>
  <c r="S133" i="99"/>
  <c r="AA133" i="99"/>
  <c r="F10" i="100"/>
  <c r="F11" i="100"/>
  <c r="F212" i="99"/>
  <c r="AF133" i="99"/>
  <c r="M226" i="99"/>
  <c r="M229" i="99"/>
  <c r="L229" i="99"/>
  <c r="W133" i="99"/>
  <c r="N133" i="99"/>
  <c r="Z10" i="100"/>
  <c r="Z11" i="100"/>
  <c r="Z212" i="99"/>
  <c r="D212" i="99"/>
  <c r="X229" i="99"/>
  <c r="F134" i="99"/>
  <c r="U61" i="100"/>
  <c r="U109" i="100"/>
  <c r="U223" i="99"/>
  <c r="V229" i="99"/>
  <c r="W226" i="99"/>
  <c r="W229" i="99"/>
  <c r="I10" i="100"/>
  <c r="I11" i="100"/>
  <c r="I212" i="99"/>
  <c r="AA10" i="100"/>
  <c r="AA11" i="100"/>
  <c r="AA212" i="99"/>
  <c r="X10" i="100"/>
  <c r="X11" i="100"/>
  <c r="X212" i="99"/>
  <c r="K133" i="99"/>
  <c r="H226" i="99"/>
  <c r="H229" i="99"/>
  <c r="G229" i="99"/>
  <c r="I61" i="100"/>
  <c r="I109" i="100"/>
  <c r="I223" i="99"/>
  <c r="N229" i="99"/>
  <c r="AB10" i="100"/>
  <c r="AB11" i="100"/>
  <c r="AB212" i="99"/>
  <c r="S10" i="100"/>
  <c r="S11" i="100"/>
  <c r="S212" i="99"/>
  <c r="L10" i="100"/>
  <c r="L11" i="100"/>
  <c r="L212" i="99"/>
  <c r="AA61" i="100"/>
  <c r="AA109" i="100"/>
  <c r="AA223" i="99"/>
  <c r="W10" i="100"/>
  <c r="W11" i="100"/>
  <c r="W212" i="99"/>
  <c r="AF61" i="100"/>
  <c r="AF109" i="100"/>
  <c r="AF223" i="99"/>
  <c r="E61" i="100"/>
  <c r="E109" i="100"/>
  <c r="E223" i="99"/>
  <c r="AC133" i="99"/>
  <c r="V10" i="100"/>
  <c r="V11" i="100"/>
  <c r="V212" i="99"/>
  <c r="O10" i="100"/>
  <c r="O11" i="100"/>
  <c r="O212" i="99"/>
  <c r="AE10" i="100"/>
  <c r="AE11" i="100"/>
  <c r="AE212" i="99"/>
  <c r="AK39" i="100"/>
  <c r="AD40" i="100"/>
  <c r="P10" i="100"/>
  <c r="P11" i="100"/>
  <c r="P212" i="99"/>
  <c r="AG208" i="99"/>
  <c r="AG61" i="100"/>
  <c r="AG109" i="100"/>
  <c r="AG223" i="99"/>
  <c r="AJ141" i="99"/>
  <c r="AJ17" i="100"/>
  <c r="AJ175" i="99"/>
  <c r="AK17" i="99"/>
  <c r="V61" i="100"/>
  <c r="V109" i="100"/>
  <c r="V223" i="99"/>
  <c r="Z61" i="100"/>
  <c r="Z109" i="100"/>
  <c r="Z223" i="99"/>
  <c r="AD10" i="100"/>
  <c r="AD212" i="99"/>
  <c r="N61" i="100"/>
  <c r="N109" i="100"/>
  <c r="N223" i="99"/>
  <c r="Z229" i="99"/>
  <c r="F61" i="100"/>
  <c r="F109" i="100"/>
  <c r="F223" i="99"/>
  <c r="AP95" i="100"/>
  <c r="R61" i="100"/>
  <c r="R109" i="100"/>
  <c r="R223" i="99"/>
  <c r="Q223" i="99"/>
  <c r="Q61" i="100"/>
  <c r="Q109" i="100"/>
  <c r="AF10" i="100"/>
  <c r="AF11" i="100"/>
  <c r="AF212" i="99"/>
  <c r="AB229" i="99"/>
  <c r="V134" i="99"/>
  <c r="AO95" i="100"/>
  <c r="J10" i="100"/>
  <c r="J11" i="100"/>
  <c r="J212" i="99"/>
  <c r="E10" i="100"/>
  <c r="E11" i="100"/>
  <c r="E212" i="99"/>
  <c r="T61" i="100"/>
  <c r="T109" i="100"/>
  <c r="T223" i="99"/>
  <c r="F229" i="99"/>
  <c r="D133" i="99"/>
  <c r="E133" i="99"/>
  <c r="P133" i="99"/>
  <c r="R10" i="100"/>
  <c r="R11" i="100"/>
  <c r="R212" i="99"/>
  <c r="S61" i="100"/>
  <c r="S109" i="100"/>
  <c r="S223" i="99"/>
  <c r="AE229" i="99"/>
  <c r="AH226" i="99"/>
  <c r="AM226" i="99"/>
  <c r="AG212" i="99"/>
  <c r="AG10" i="100"/>
  <c r="AK10" i="100"/>
  <c r="AK40" i="100"/>
  <c r="AD223" i="99"/>
  <c r="AD61" i="100"/>
  <c r="AE13" i="100"/>
  <c r="AE15" i="100"/>
  <c r="AC134" i="99"/>
  <c r="W13" i="100"/>
  <c r="W15" i="100"/>
  <c r="AA13" i="100"/>
  <c r="AA15" i="100"/>
  <c r="W134" i="99"/>
  <c r="AF134" i="99"/>
  <c r="AA134" i="99"/>
  <c r="AC209" i="99"/>
  <c r="M209" i="99"/>
  <c r="X209" i="99"/>
  <c r="H209" i="99"/>
  <c r="Y209" i="99"/>
  <c r="I209" i="99"/>
  <c r="T209" i="99"/>
  <c r="D209" i="99"/>
  <c r="G209" i="99"/>
  <c r="Q209" i="99"/>
  <c r="L209" i="99"/>
  <c r="R209" i="99"/>
  <c r="E209" i="99"/>
  <c r="AF209" i="99"/>
  <c r="AA209" i="99"/>
  <c r="J209" i="99"/>
  <c r="AE209" i="99"/>
  <c r="U209" i="99"/>
  <c r="AG209" i="99"/>
  <c r="AG213" i="99"/>
  <c r="Z209" i="99"/>
  <c r="AB209" i="99"/>
  <c r="W209" i="99"/>
  <c r="N209" i="99"/>
  <c r="AD209" i="99"/>
  <c r="K209" i="99"/>
  <c r="P209" i="99"/>
  <c r="S209" i="99"/>
  <c r="O209" i="99"/>
  <c r="F209" i="99"/>
  <c r="V209" i="99"/>
  <c r="M13" i="100"/>
  <c r="M15" i="100"/>
  <c r="G13" i="100"/>
  <c r="G15" i="100"/>
  <c r="P134" i="99"/>
  <c r="AD11" i="100"/>
  <c r="AB13" i="100"/>
  <c r="AB15" i="100"/>
  <c r="X13" i="100"/>
  <c r="X15" i="100"/>
  <c r="I13" i="100"/>
  <c r="I15" i="100"/>
  <c r="S134" i="99"/>
  <c r="A28" i="100"/>
  <c r="T134" i="99"/>
  <c r="Q13" i="100"/>
  <c r="Q15" i="100"/>
  <c r="K13" i="100"/>
  <c r="K15" i="100"/>
  <c r="H13" i="100"/>
  <c r="H15" i="100"/>
  <c r="E134" i="99"/>
  <c r="J13" i="100"/>
  <c r="J15" i="100"/>
  <c r="AF13" i="100"/>
  <c r="AF15" i="100"/>
  <c r="L13" i="100"/>
  <c r="L15" i="100"/>
  <c r="S13" i="100"/>
  <c r="S15" i="100"/>
  <c r="K134" i="99"/>
  <c r="Z13" i="100"/>
  <c r="Z15" i="100"/>
  <c r="J134" i="99"/>
  <c r="N13" i="100"/>
  <c r="N15" i="100"/>
  <c r="AC13" i="100"/>
  <c r="AC15" i="100"/>
  <c r="U13" i="100"/>
  <c r="U15" i="100"/>
  <c r="T13" i="100"/>
  <c r="T15" i="100"/>
  <c r="R13" i="100"/>
  <c r="R15" i="100"/>
  <c r="D134" i="99"/>
  <c r="E13" i="100"/>
  <c r="E15" i="100"/>
  <c r="AJ95" i="100"/>
  <c r="AL95" i="100"/>
  <c r="AL17" i="100"/>
  <c r="P13" i="100"/>
  <c r="P15" i="100"/>
  <c r="O13" i="100"/>
  <c r="O15" i="100"/>
  <c r="V13" i="100"/>
  <c r="V15" i="100"/>
  <c r="N134" i="99"/>
  <c r="F13" i="100"/>
  <c r="F15" i="100"/>
  <c r="H134" i="99"/>
  <c r="Y13" i="100"/>
  <c r="Y15" i="100"/>
  <c r="F53" i="100"/>
  <c r="F91" i="100"/>
  <c r="F93" i="100"/>
  <c r="O91" i="100"/>
  <c r="O93" i="100"/>
  <c r="O53" i="100"/>
  <c r="N53" i="100"/>
  <c r="N91" i="100"/>
  <c r="N93" i="100"/>
  <c r="Z91" i="100"/>
  <c r="Z93" i="100"/>
  <c r="Z53" i="100"/>
  <c r="J91" i="100"/>
  <c r="J93" i="100"/>
  <c r="J53" i="100"/>
  <c r="K91" i="100"/>
  <c r="K93" i="100"/>
  <c r="K53" i="100"/>
  <c r="I53" i="100"/>
  <c r="I91" i="100"/>
  <c r="I93" i="100"/>
  <c r="AD13" i="100"/>
  <c r="V213" i="99"/>
  <c r="V210" i="99"/>
  <c r="V214" i="99"/>
  <c r="P213" i="99"/>
  <c r="P210" i="99"/>
  <c r="P214" i="99"/>
  <c r="W213" i="99"/>
  <c r="W210" i="99"/>
  <c r="W214" i="99"/>
  <c r="U213" i="99"/>
  <c r="U210" i="99"/>
  <c r="U214" i="99"/>
  <c r="AF213" i="99"/>
  <c r="AF210" i="99"/>
  <c r="AF214" i="99"/>
  <c r="Q213" i="99"/>
  <c r="Q210" i="99"/>
  <c r="Q214" i="99"/>
  <c r="I213" i="99"/>
  <c r="I210" i="99"/>
  <c r="I214" i="99"/>
  <c r="M213" i="99"/>
  <c r="M210" i="99"/>
  <c r="M214" i="99"/>
  <c r="Y91" i="100"/>
  <c r="Y93" i="100"/>
  <c r="Y53" i="100"/>
  <c r="T53" i="100"/>
  <c r="T91" i="100"/>
  <c r="T93" i="100"/>
  <c r="L91" i="100"/>
  <c r="L93" i="100"/>
  <c r="L53" i="100"/>
  <c r="AF91" i="100"/>
  <c r="AF93" i="100"/>
  <c r="AF53" i="100"/>
  <c r="H91" i="100"/>
  <c r="H93" i="100"/>
  <c r="H53" i="100"/>
  <c r="Q28" i="100"/>
  <c r="Q58" i="100"/>
  <c r="K28" i="100"/>
  <c r="K58" i="100"/>
  <c r="X28" i="100"/>
  <c r="X58" i="100"/>
  <c r="L28" i="100"/>
  <c r="L58" i="100"/>
  <c r="O28" i="100"/>
  <c r="O58" i="100"/>
  <c r="Y28" i="100"/>
  <c r="Y58" i="100"/>
  <c r="R28" i="100"/>
  <c r="R58" i="100"/>
  <c r="N28" i="100"/>
  <c r="N58" i="100"/>
  <c r="AG28" i="100"/>
  <c r="AF28" i="100"/>
  <c r="AF58" i="100"/>
  <c r="T28" i="100"/>
  <c r="T58" i="100"/>
  <c r="V28" i="100"/>
  <c r="V58" i="100"/>
  <c r="S28" i="100"/>
  <c r="S58" i="100"/>
  <c r="P28" i="100"/>
  <c r="P58" i="100"/>
  <c r="U28" i="100"/>
  <c r="U58" i="100"/>
  <c r="AE28" i="100"/>
  <c r="AE58" i="100"/>
  <c r="AA28" i="100"/>
  <c r="AA58" i="100"/>
  <c r="M28" i="100"/>
  <c r="M58" i="100"/>
  <c r="AC28" i="100"/>
  <c r="AC58" i="100"/>
  <c r="E28" i="100"/>
  <c r="E58" i="100"/>
  <c r="G28" i="100"/>
  <c r="G58" i="100"/>
  <c r="W28" i="100"/>
  <c r="W58" i="100"/>
  <c r="I28" i="100"/>
  <c r="I58" i="100"/>
  <c r="AB28" i="100"/>
  <c r="AB58" i="100"/>
  <c r="F28" i="100"/>
  <c r="F58" i="100"/>
  <c r="J28" i="100"/>
  <c r="J58" i="100"/>
  <c r="AD28" i="100"/>
  <c r="H28" i="100"/>
  <c r="H58" i="100"/>
  <c r="Z28" i="100"/>
  <c r="Z58" i="100"/>
  <c r="AB91" i="100"/>
  <c r="AB93" i="100"/>
  <c r="AB53" i="100"/>
  <c r="G91" i="100"/>
  <c r="G93" i="100"/>
  <c r="G53" i="100"/>
  <c r="F213" i="99"/>
  <c r="F210" i="99"/>
  <c r="F214" i="99"/>
  <c r="K213" i="99"/>
  <c r="K210" i="99"/>
  <c r="K214" i="99"/>
  <c r="AB213" i="99"/>
  <c r="AB210" i="99"/>
  <c r="AB214" i="99"/>
  <c r="AE213" i="99"/>
  <c r="AE210" i="99"/>
  <c r="AE214" i="99"/>
  <c r="E213" i="99"/>
  <c r="E210" i="99"/>
  <c r="E214" i="99"/>
  <c r="G213" i="99"/>
  <c r="G210" i="99"/>
  <c r="G214" i="99"/>
  <c r="Y213" i="99"/>
  <c r="Y210" i="99"/>
  <c r="Y214" i="99"/>
  <c r="AC213" i="99"/>
  <c r="AC210" i="99"/>
  <c r="AC214" i="99"/>
  <c r="W53" i="100"/>
  <c r="W91" i="100"/>
  <c r="W93" i="100"/>
  <c r="AE53" i="100"/>
  <c r="AE91" i="100"/>
  <c r="AE93" i="100"/>
  <c r="AG210" i="99"/>
  <c r="AG214" i="99"/>
  <c r="V91" i="100"/>
  <c r="V93" i="100"/>
  <c r="V53" i="100"/>
  <c r="P91" i="100"/>
  <c r="P93" i="100"/>
  <c r="P53" i="100"/>
  <c r="E91" i="100"/>
  <c r="E93" i="100"/>
  <c r="E53" i="100"/>
  <c r="R91" i="100"/>
  <c r="R93" i="100"/>
  <c r="R53" i="100"/>
  <c r="AC91" i="100"/>
  <c r="AC93" i="100"/>
  <c r="AC53" i="100"/>
  <c r="Q91" i="100"/>
  <c r="Q93" i="100"/>
  <c r="Q53" i="100"/>
  <c r="A29" i="100"/>
  <c r="O213" i="99"/>
  <c r="O210" i="99"/>
  <c r="O214" i="99"/>
  <c r="AD213" i="99"/>
  <c r="AD210" i="99"/>
  <c r="AD214" i="99"/>
  <c r="Z213" i="99"/>
  <c r="Z210" i="99"/>
  <c r="Z214" i="99"/>
  <c r="J213" i="99"/>
  <c r="J210" i="99"/>
  <c r="J214" i="99"/>
  <c r="R213" i="99"/>
  <c r="R210" i="99"/>
  <c r="R214" i="99"/>
  <c r="D213" i="99"/>
  <c r="D210" i="99"/>
  <c r="D214" i="99"/>
  <c r="H213" i="99"/>
  <c r="H210" i="99"/>
  <c r="H214" i="99"/>
  <c r="AA91" i="100"/>
  <c r="AA93" i="100"/>
  <c r="AA53" i="100"/>
  <c r="AK61" i="100"/>
  <c r="AD109" i="100"/>
  <c r="AG11" i="100"/>
  <c r="U91" i="100"/>
  <c r="U93" i="100"/>
  <c r="U53" i="100"/>
  <c r="S91" i="100"/>
  <c r="S93" i="100"/>
  <c r="S53" i="100"/>
  <c r="X53" i="100"/>
  <c r="X91" i="100"/>
  <c r="X93" i="100"/>
  <c r="M91" i="100"/>
  <c r="M93" i="100"/>
  <c r="M53" i="100"/>
  <c r="S213" i="99"/>
  <c r="S210" i="99"/>
  <c r="S214" i="99"/>
  <c r="N213" i="99"/>
  <c r="N210" i="99"/>
  <c r="N214" i="99"/>
  <c r="AM213" i="99"/>
  <c r="AH213" i="99"/>
  <c r="AA213" i="99"/>
  <c r="AA210" i="99"/>
  <c r="AA214" i="99"/>
  <c r="L213" i="99"/>
  <c r="L210" i="99"/>
  <c r="L214" i="99"/>
  <c r="T213" i="99"/>
  <c r="T210" i="99"/>
  <c r="T214" i="99"/>
  <c r="X213" i="99"/>
  <c r="X210" i="99"/>
  <c r="X214" i="99"/>
  <c r="AH212" i="99"/>
  <c r="AM212" i="99"/>
  <c r="AN213" i="99"/>
  <c r="AM209" i="99"/>
  <c r="AM214" i="99"/>
  <c r="AD15" i="100"/>
  <c r="A198" i="99"/>
  <c r="AL28" i="100"/>
  <c r="AG58" i="100"/>
  <c r="AL58" i="100"/>
  <c r="AN212" i="99"/>
  <c r="AM208" i="99"/>
  <c r="AG13" i="100"/>
  <c r="AK13" i="100"/>
  <c r="AI212" i="99"/>
  <c r="AH208" i="99"/>
  <c r="AH209" i="99"/>
  <c r="AH214" i="99"/>
  <c r="AI213" i="99"/>
  <c r="AK109" i="100"/>
  <c r="AD58" i="100"/>
  <c r="AK28" i="100"/>
  <c r="AK11" i="100"/>
  <c r="AK58" i="100"/>
  <c r="AD91" i="100"/>
  <c r="AD53" i="100"/>
  <c r="AH10" i="100"/>
  <c r="AH11" i="100"/>
  <c r="AH13" i="100"/>
  <c r="AH211" i="99"/>
  <c r="AJ212" i="99"/>
  <c r="AN10" i="100"/>
  <c r="AN11" i="100"/>
  <c r="AN13" i="100"/>
  <c r="AM211" i="99"/>
  <c r="Z198" i="99"/>
  <c r="J198" i="99"/>
  <c r="Y198" i="99"/>
  <c r="V198" i="99"/>
  <c r="F198" i="99"/>
  <c r="U198" i="99"/>
  <c r="E198" i="99"/>
  <c r="AF198" i="99"/>
  <c r="AE198" i="99"/>
  <c r="D198" i="99"/>
  <c r="K198" i="99"/>
  <c r="N198" i="99"/>
  <c r="M198" i="99"/>
  <c r="X198" i="99"/>
  <c r="G198" i="99"/>
  <c r="AB198" i="99"/>
  <c r="AA198" i="99"/>
  <c r="S198" i="99"/>
  <c r="AG198" i="99"/>
  <c r="I198" i="99"/>
  <c r="P198" i="99"/>
  <c r="T198" i="99"/>
  <c r="Q198" i="99"/>
  <c r="H198" i="99"/>
  <c r="W198" i="99"/>
  <c r="AD198" i="99"/>
  <c r="O198" i="99"/>
  <c r="AC198" i="99"/>
  <c r="L198" i="99"/>
  <c r="R198" i="99"/>
  <c r="AG15" i="100"/>
  <c r="AJ213" i="99"/>
  <c r="AJ209" i="99"/>
  <c r="AJ214" i="99"/>
  <c r="AI209" i="99"/>
  <c r="AI214" i="99"/>
  <c r="AO212" i="99"/>
  <c r="A33" i="100"/>
  <c r="AO213" i="99"/>
  <c r="AO209" i="99"/>
  <c r="AO214" i="99"/>
  <c r="AN209" i="99"/>
  <c r="AN214" i="99"/>
  <c r="AG91" i="100"/>
  <c r="AK91" i="100"/>
  <c r="AG53" i="100"/>
  <c r="AK53" i="100"/>
  <c r="O203" i="99"/>
  <c r="O27" i="100"/>
  <c r="O199" i="99"/>
  <c r="Q27" i="100"/>
  <c r="Q203" i="99"/>
  <c r="Q199" i="99"/>
  <c r="AG27" i="100"/>
  <c r="AG203" i="99"/>
  <c r="AG199" i="99"/>
  <c r="G203" i="99"/>
  <c r="G27" i="100"/>
  <c r="G199" i="99"/>
  <c r="K27" i="100"/>
  <c r="K203" i="99"/>
  <c r="K199" i="99"/>
  <c r="E203" i="99"/>
  <c r="E27" i="100"/>
  <c r="E199" i="99"/>
  <c r="Y203" i="99"/>
  <c r="Y27" i="100"/>
  <c r="Y199" i="99"/>
  <c r="AI207" i="99"/>
  <c r="AI208" i="99"/>
  <c r="AH20" i="99"/>
  <c r="R27" i="100"/>
  <c r="R203" i="99"/>
  <c r="R199" i="99"/>
  <c r="AD203" i="99"/>
  <c r="AD27" i="100"/>
  <c r="AD199" i="99"/>
  <c r="T203" i="99"/>
  <c r="T27" i="100"/>
  <c r="T199" i="99"/>
  <c r="S203" i="99"/>
  <c r="S27" i="100"/>
  <c r="S199" i="99"/>
  <c r="X203" i="99"/>
  <c r="X27" i="100"/>
  <c r="X199" i="99"/>
  <c r="D203" i="99"/>
  <c r="D199" i="99"/>
  <c r="U203" i="99"/>
  <c r="U27" i="100"/>
  <c r="U199" i="99"/>
  <c r="J203" i="99"/>
  <c r="J27" i="100"/>
  <c r="J199" i="99"/>
  <c r="L203" i="99"/>
  <c r="L27" i="100"/>
  <c r="L199" i="99"/>
  <c r="W27" i="100"/>
  <c r="W203" i="99"/>
  <c r="W199" i="99"/>
  <c r="P203" i="99"/>
  <c r="P27" i="100"/>
  <c r="P199" i="99"/>
  <c r="AA203" i="99"/>
  <c r="AA27" i="100"/>
  <c r="AA199" i="99"/>
  <c r="M203" i="99"/>
  <c r="M27" i="100"/>
  <c r="M199" i="99"/>
  <c r="AE27" i="100"/>
  <c r="AE203" i="99"/>
  <c r="AE199" i="99"/>
  <c r="F203" i="99"/>
  <c r="F27" i="100"/>
  <c r="F199" i="99"/>
  <c r="Z203" i="99"/>
  <c r="Z27" i="100"/>
  <c r="Z199" i="99"/>
  <c r="AD93" i="100"/>
  <c r="Q33" i="100"/>
  <c r="K33" i="100"/>
  <c r="AE33" i="100"/>
  <c r="X33" i="100"/>
  <c r="Y33" i="100"/>
  <c r="L33" i="100"/>
  <c r="O33" i="100"/>
  <c r="AF33" i="100"/>
  <c r="T33" i="100"/>
  <c r="N33" i="100"/>
  <c r="V33" i="100"/>
  <c r="AA33" i="100"/>
  <c r="AG33" i="100"/>
  <c r="S33" i="100"/>
  <c r="P33" i="100"/>
  <c r="R33" i="100"/>
  <c r="F33" i="100"/>
  <c r="AD33" i="100"/>
  <c r="H33" i="100"/>
  <c r="Z33" i="100"/>
  <c r="G33" i="100"/>
  <c r="E33" i="100"/>
  <c r="M33" i="100"/>
  <c r="U33" i="100"/>
  <c r="AC33" i="100"/>
  <c r="I33" i="100"/>
  <c r="J33" i="100"/>
  <c r="W33" i="100"/>
  <c r="AB33" i="100"/>
  <c r="A34" i="100"/>
  <c r="AC203" i="99"/>
  <c r="AC27" i="100"/>
  <c r="AC199" i="99"/>
  <c r="H203" i="99"/>
  <c r="H27" i="100"/>
  <c r="H199" i="99"/>
  <c r="I203" i="99"/>
  <c r="I27" i="100"/>
  <c r="I199" i="99"/>
  <c r="AB203" i="99"/>
  <c r="AB27" i="100"/>
  <c r="AB199" i="99"/>
  <c r="N203" i="99"/>
  <c r="N27" i="100"/>
  <c r="N199" i="99"/>
  <c r="AF203" i="99"/>
  <c r="AF27" i="100"/>
  <c r="AF199" i="99"/>
  <c r="V203" i="99"/>
  <c r="V27" i="100"/>
  <c r="V199" i="99"/>
  <c r="AN207" i="99"/>
  <c r="AN208" i="99"/>
  <c r="AM20" i="99"/>
  <c r="AK15" i="100"/>
  <c r="AB77" i="100"/>
  <c r="AB55" i="100"/>
  <c r="AB76" i="100"/>
  <c r="AB18" i="100"/>
  <c r="A135" i="99"/>
  <c r="I60" i="100"/>
  <c r="I101" i="100"/>
  <c r="I34" i="100"/>
  <c r="E60" i="100"/>
  <c r="E101" i="100"/>
  <c r="E34" i="100"/>
  <c r="E42" i="100"/>
  <c r="AD60" i="100"/>
  <c r="AK33" i="100"/>
  <c r="AD34" i="100"/>
  <c r="AD42" i="100"/>
  <c r="S60" i="100"/>
  <c r="S101" i="100"/>
  <c r="S34" i="100"/>
  <c r="S42" i="100"/>
  <c r="N60" i="100"/>
  <c r="N101" i="100"/>
  <c r="N34" i="100"/>
  <c r="N42" i="100"/>
  <c r="L60" i="100"/>
  <c r="L101" i="100"/>
  <c r="L34" i="100"/>
  <c r="L42" i="100"/>
  <c r="K60" i="100"/>
  <c r="K101" i="100"/>
  <c r="K34" i="100"/>
  <c r="K42" i="100"/>
  <c r="J77" i="100"/>
  <c r="J55" i="100"/>
  <c r="J76" i="100"/>
  <c r="J18" i="100"/>
  <c r="X55" i="100"/>
  <c r="X76" i="100"/>
  <c r="X77" i="100"/>
  <c r="X18" i="100"/>
  <c r="E77" i="100"/>
  <c r="E55" i="100"/>
  <c r="E76" i="100"/>
  <c r="E18" i="100"/>
  <c r="K55" i="100"/>
  <c r="K76" i="100"/>
  <c r="K77" i="100"/>
  <c r="K18" i="100"/>
  <c r="O18" i="100"/>
  <c r="O55" i="100"/>
  <c r="O76" i="100"/>
  <c r="O77" i="100"/>
  <c r="W60" i="100"/>
  <c r="W101" i="100"/>
  <c r="W34" i="100"/>
  <c r="W42" i="100"/>
  <c r="J60" i="100"/>
  <c r="J101" i="100"/>
  <c r="J34" i="100"/>
  <c r="J42" i="100"/>
  <c r="AM154" i="99"/>
  <c r="AM178" i="99"/>
  <c r="AN211" i="99"/>
  <c r="AO10" i="100"/>
  <c r="N55" i="100"/>
  <c r="N76" i="100"/>
  <c r="N77" i="100"/>
  <c r="N18" i="100"/>
  <c r="AC18" i="100"/>
  <c r="AC77" i="100"/>
  <c r="AC55" i="100"/>
  <c r="AC76" i="100"/>
  <c r="AB60" i="100"/>
  <c r="AB101" i="100"/>
  <c r="AB34" i="100"/>
  <c r="AB42" i="100"/>
  <c r="AC60" i="100"/>
  <c r="AC101" i="100"/>
  <c r="AC34" i="100"/>
  <c r="AC42" i="100"/>
  <c r="G60" i="100"/>
  <c r="G101" i="100"/>
  <c r="G34" i="100"/>
  <c r="G42" i="100"/>
  <c r="F60" i="100"/>
  <c r="F101" i="100"/>
  <c r="F34" i="100"/>
  <c r="F42" i="100"/>
  <c r="AG60" i="100"/>
  <c r="AG34" i="100"/>
  <c r="AG42" i="100"/>
  <c r="T60" i="100"/>
  <c r="T101" i="100"/>
  <c r="T34" i="100"/>
  <c r="T42" i="100"/>
  <c r="Y60" i="100"/>
  <c r="Y101" i="100"/>
  <c r="Y34" i="100"/>
  <c r="Y42" i="100"/>
  <c r="Q60" i="100"/>
  <c r="Q101" i="100"/>
  <c r="Q34" i="100"/>
  <c r="Q42" i="100"/>
  <c r="F18" i="100"/>
  <c r="F77" i="100"/>
  <c r="F55" i="100"/>
  <c r="F76" i="100"/>
  <c r="AE77" i="100"/>
  <c r="AE55" i="100"/>
  <c r="AE76" i="100"/>
  <c r="AE18" i="100"/>
  <c r="P55" i="100"/>
  <c r="P76" i="100"/>
  <c r="P77" i="100"/>
  <c r="P18" i="100"/>
  <c r="W18" i="100"/>
  <c r="W77" i="100"/>
  <c r="W55" i="100"/>
  <c r="W76" i="100"/>
  <c r="AD18" i="100"/>
  <c r="AD77" i="100"/>
  <c r="AD55" i="100"/>
  <c r="AK27" i="100"/>
  <c r="R55" i="100"/>
  <c r="R76" i="100"/>
  <c r="R77" i="100"/>
  <c r="R18" i="100"/>
  <c r="Y18" i="100"/>
  <c r="Y77" i="100"/>
  <c r="Y55" i="100"/>
  <c r="Y76" i="100"/>
  <c r="AF55" i="100"/>
  <c r="AF76" i="100"/>
  <c r="AF77" i="100"/>
  <c r="AF18" i="100"/>
  <c r="H18" i="100"/>
  <c r="H77" i="100"/>
  <c r="H55" i="100"/>
  <c r="H76" i="100"/>
  <c r="U60" i="100"/>
  <c r="U101" i="100"/>
  <c r="U34" i="100"/>
  <c r="U42" i="100"/>
  <c r="Z60" i="100"/>
  <c r="Z101" i="100"/>
  <c r="Z34" i="100"/>
  <c r="Z42" i="100"/>
  <c r="R60" i="100"/>
  <c r="R101" i="100"/>
  <c r="R34" i="100"/>
  <c r="R42" i="100"/>
  <c r="AA60" i="100"/>
  <c r="AA101" i="100"/>
  <c r="AA34" i="100"/>
  <c r="AA42" i="100"/>
  <c r="AF60" i="100"/>
  <c r="AF101" i="100"/>
  <c r="AF34" i="100"/>
  <c r="AF42" i="100"/>
  <c r="X60" i="100"/>
  <c r="X101" i="100"/>
  <c r="X34" i="100"/>
  <c r="X42" i="100"/>
  <c r="Z55" i="100"/>
  <c r="Z76" i="100"/>
  <c r="Z77" i="100"/>
  <c r="Z18" i="100"/>
  <c r="AA18" i="100"/>
  <c r="AA77" i="100"/>
  <c r="AA55" i="100"/>
  <c r="AA76" i="100"/>
  <c r="T55" i="100"/>
  <c r="T76" i="100"/>
  <c r="T77" i="100"/>
  <c r="T18" i="100"/>
  <c r="AH154" i="99"/>
  <c r="AH178" i="99"/>
  <c r="G77" i="100"/>
  <c r="G55" i="100"/>
  <c r="G76" i="100"/>
  <c r="G18" i="100"/>
  <c r="AM203" i="99"/>
  <c r="AH203" i="99"/>
  <c r="Q77" i="100"/>
  <c r="Q55" i="100"/>
  <c r="Q76" i="100"/>
  <c r="Q18" i="100"/>
  <c r="AG93" i="100"/>
  <c r="AK93" i="100"/>
  <c r="V18" i="100"/>
  <c r="V55" i="100"/>
  <c r="V76" i="100"/>
  <c r="V77" i="100"/>
  <c r="I18" i="100"/>
  <c r="I55" i="100"/>
  <c r="I76" i="100"/>
  <c r="I77" i="100"/>
  <c r="M60" i="100"/>
  <c r="M101" i="100"/>
  <c r="M34" i="100"/>
  <c r="H60" i="100"/>
  <c r="H101" i="100"/>
  <c r="H34" i="100"/>
  <c r="H42" i="100"/>
  <c r="P60" i="100"/>
  <c r="P101" i="100"/>
  <c r="P34" i="100"/>
  <c r="P42" i="100"/>
  <c r="V60" i="100"/>
  <c r="V101" i="100"/>
  <c r="V34" i="100"/>
  <c r="V42" i="100"/>
  <c r="O60" i="100"/>
  <c r="O101" i="100"/>
  <c r="O34" i="100"/>
  <c r="O42" i="100"/>
  <c r="AE60" i="100"/>
  <c r="AE101" i="100"/>
  <c r="AE34" i="100"/>
  <c r="AE42" i="100"/>
  <c r="M55" i="100"/>
  <c r="M76" i="100"/>
  <c r="M77" i="100"/>
  <c r="M18" i="100"/>
  <c r="L55" i="100"/>
  <c r="L76" i="100"/>
  <c r="L77" i="100"/>
  <c r="L18" i="100"/>
  <c r="U77" i="100"/>
  <c r="U55" i="100"/>
  <c r="U76" i="100"/>
  <c r="U18" i="100"/>
  <c r="S18" i="100"/>
  <c r="S55" i="100"/>
  <c r="S76" i="100"/>
  <c r="S77" i="100"/>
  <c r="AI211" i="99"/>
  <c r="AI10" i="100"/>
  <c r="AG77" i="100"/>
  <c r="AG55" i="100"/>
  <c r="AG18" i="100"/>
  <c r="AK42" i="100"/>
  <c r="AG76" i="100"/>
  <c r="AJ207" i="99"/>
  <c r="AI20" i="99"/>
  <c r="S20" i="100"/>
  <c r="S97" i="100"/>
  <c r="AE110" i="100"/>
  <c r="AE111" i="100"/>
  <c r="AE113" i="100"/>
  <c r="AE63" i="100"/>
  <c r="H110" i="100"/>
  <c r="H111" i="100"/>
  <c r="H113" i="100"/>
  <c r="H63" i="100"/>
  <c r="I20" i="100"/>
  <c r="I97" i="100"/>
  <c r="V20" i="100"/>
  <c r="AN203" i="99"/>
  <c r="AM198" i="99"/>
  <c r="X110" i="100"/>
  <c r="X111" i="100"/>
  <c r="X113" i="100"/>
  <c r="X63" i="100"/>
  <c r="R110" i="100"/>
  <c r="R111" i="100"/>
  <c r="R113" i="100"/>
  <c r="R63" i="100"/>
  <c r="Z110" i="100"/>
  <c r="Z111" i="100"/>
  <c r="Z113" i="100"/>
  <c r="Z63" i="100"/>
  <c r="H20" i="100"/>
  <c r="P20" i="100"/>
  <c r="P97" i="100"/>
  <c r="AE20" i="100"/>
  <c r="Y110" i="100"/>
  <c r="Y111" i="100"/>
  <c r="Y113" i="100"/>
  <c r="Y63" i="100"/>
  <c r="AG101" i="100"/>
  <c r="AC110" i="100"/>
  <c r="AC111" i="100"/>
  <c r="AC113" i="100"/>
  <c r="AC63" i="100"/>
  <c r="AC20" i="100"/>
  <c r="K20" i="100"/>
  <c r="E20" i="100"/>
  <c r="E97" i="100"/>
  <c r="X20" i="100"/>
  <c r="J20" i="100"/>
  <c r="L110" i="100"/>
  <c r="L111" i="100"/>
  <c r="L113" i="100"/>
  <c r="L63" i="100"/>
  <c r="I110" i="100"/>
  <c r="I111" i="100"/>
  <c r="I63" i="100"/>
  <c r="AB20" i="100"/>
  <c r="AB97" i="100"/>
  <c r="M63" i="100"/>
  <c r="M110" i="100"/>
  <c r="M111" i="100"/>
  <c r="L20" i="100"/>
  <c r="G20" i="100"/>
  <c r="AF20" i="100"/>
  <c r="AF97" i="100"/>
  <c r="AD76" i="100"/>
  <c r="AK55" i="100"/>
  <c r="Q110" i="100"/>
  <c r="Q111" i="100"/>
  <c r="Q113" i="100"/>
  <c r="Q63" i="100"/>
  <c r="G110" i="100"/>
  <c r="G111" i="100"/>
  <c r="G113" i="100"/>
  <c r="G63" i="100"/>
  <c r="N20" i="100"/>
  <c r="N97" i="100"/>
  <c r="K110" i="100"/>
  <c r="K111" i="100"/>
  <c r="K113" i="100"/>
  <c r="K63" i="100"/>
  <c r="AK34" i="100"/>
  <c r="AD110" i="100"/>
  <c r="AD63" i="100"/>
  <c r="E110" i="100"/>
  <c r="E111" i="100"/>
  <c r="E113" i="100"/>
  <c r="E63" i="100"/>
  <c r="AK18" i="100"/>
  <c r="AG20" i="100"/>
  <c r="AG97" i="100"/>
  <c r="U20" i="100"/>
  <c r="U97" i="100"/>
  <c r="M20" i="100"/>
  <c r="M97" i="100"/>
  <c r="P110" i="100"/>
  <c r="P111" i="100"/>
  <c r="P113" i="100"/>
  <c r="P63" i="100"/>
  <c r="V63" i="100"/>
  <c r="V110" i="100"/>
  <c r="V111" i="100"/>
  <c r="V113" i="100"/>
  <c r="M42" i="100"/>
  <c r="AA20" i="100"/>
  <c r="AA110" i="100"/>
  <c r="AA111" i="100"/>
  <c r="AA113" i="100"/>
  <c r="AA63" i="100"/>
  <c r="U110" i="100"/>
  <c r="U111" i="100"/>
  <c r="U113" i="100"/>
  <c r="U63" i="100"/>
  <c r="Y20" i="100"/>
  <c r="F63" i="100"/>
  <c r="F110" i="100"/>
  <c r="F111" i="100"/>
  <c r="F113" i="100"/>
  <c r="W110" i="100"/>
  <c r="W111" i="100"/>
  <c r="W113" i="100"/>
  <c r="W63" i="100"/>
  <c r="S110" i="100"/>
  <c r="S111" i="100"/>
  <c r="S113" i="100"/>
  <c r="S63" i="100"/>
  <c r="P135" i="99"/>
  <c r="AE135" i="99"/>
  <c r="O135" i="99"/>
  <c r="AD135" i="99"/>
  <c r="N135" i="99"/>
  <c r="Y135" i="99"/>
  <c r="I135" i="99"/>
  <c r="S135" i="99"/>
  <c r="R135" i="99"/>
  <c r="Q135" i="99"/>
  <c r="AB135" i="99"/>
  <c r="K135" i="99"/>
  <c r="J135" i="99"/>
  <c r="AG135" i="99"/>
  <c r="M135" i="99"/>
  <c r="L135" i="99"/>
  <c r="X135" i="99"/>
  <c r="W135" i="99"/>
  <c r="V135" i="99"/>
  <c r="U135" i="99"/>
  <c r="T135" i="99"/>
  <c r="G135" i="99"/>
  <c r="F135" i="99"/>
  <c r="E135" i="99"/>
  <c r="H135" i="99"/>
  <c r="D135" i="99"/>
  <c r="AF135" i="99"/>
  <c r="AA135" i="99"/>
  <c r="AC135" i="99"/>
  <c r="Z135" i="99"/>
  <c r="O110" i="100"/>
  <c r="O111" i="100"/>
  <c r="O113" i="100"/>
  <c r="O63" i="100"/>
  <c r="Q20" i="100"/>
  <c r="Q97" i="100"/>
  <c r="AH198" i="99"/>
  <c r="AI203" i="99"/>
  <c r="T20" i="100"/>
  <c r="T21" i="100"/>
  <c r="Z20" i="100"/>
  <c r="Z97" i="100"/>
  <c r="AF110" i="100"/>
  <c r="AF111" i="100"/>
  <c r="AF113" i="100"/>
  <c r="AF63" i="100"/>
  <c r="R20" i="100"/>
  <c r="R97" i="100"/>
  <c r="AD20" i="100"/>
  <c r="AD21" i="100"/>
  <c r="W20" i="100"/>
  <c r="W97" i="100"/>
  <c r="F20" i="100"/>
  <c r="F97" i="100"/>
  <c r="T63" i="100"/>
  <c r="T110" i="100"/>
  <c r="T111" i="100"/>
  <c r="T113" i="100"/>
  <c r="AG63" i="100"/>
  <c r="AL63" i="100"/>
  <c r="AG110" i="100"/>
  <c r="AL34" i="100"/>
  <c r="AB110" i="100"/>
  <c r="AB111" i="100"/>
  <c r="AB113" i="100"/>
  <c r="AB63" i="100"/>
  <c r="AO207" i="99"/>
  <c r="AN20" i="99"/>
  <c r="J110" i="100"/>
  <c r="J111" i="100"/>
  <c r="J113" i="100"/>
  <c r="J63" i="100"/>
  <c r="O20" i="100"/>
  <c r="N110" i="100"/>
  <c r="N111" i="100"/>
  <c r="N113" i="100"/>
  <c r="N63" i="100"/>
  <c r="AD101" i="100"/>
  <c r="AK60" i="100"/>
  <c r="I42" i="100"/>
  <c r="A67" i="99"/>
  <c r="AG21" i="100"/>
  <c r="AK21" i="100"/>
  <c r="M21" i="100"/>
  <c r="M54" i="100"/>
  <c r="M56" i="100"/>
  <c r="N21" i="100"/>
  <c r="N54" i="100"/>
  <c r="N56" i="100"/>
  <c r="T97" i="100"/>
  <c r="AF21" i="100"/>
  <c r="AF54" i="100"/>
  <c r="AF56" i="100"/>
  <c r="P21" i="100"/>
  <c r="P54" i="100"/>
  <c r="P56" i="100"/>
  <c r="F21" i="100"/>
  <c r="F54" i="100"/>
  <c r="F56" i="100"/>
  <c r="S21" i="100"/>
  <c r="S54" i="100"/>
  <c r="S56" i="100"/>
  <c r="AD54" i="100"/>
  <c r="AD24" i="100"/>
  <c r="H146" i="99"/>
  <c r="H137" i="99"/>
  <c r="H136" i="99"/>
  <c r="R146" i="99"/>
  <c r="R137" i="99"/>
  <c r="R136" i="99"/>
  <c r="O21" i="100"/>
  <c r="AN154" i="99"/>
  <c r="AN178" i="99"/>
  <c r="AC146" i="99"/>
  <c r="AC147" i="99"/>
  <c r="AC137" i="99"/>
  <c r="AC136" i="99"/>
  <c r="X146" i="99"/>
  <c r="X147" i="99"/>
  <c r="X137" i="99"/>
  <c r="X136" i="99"/>
  <c r="N146" i="99"/>
  <c r="N137" i="99"/>
  <c r="N136" i="99"/>
  <c r="T54" i="100"/>
  <c r="T56" i="100"/>
  <c r="T24" i="100"/>
  <c r="AH27" i="100"/>
  <c r="AH200" i="99"/>
  <c r="AF146" i="99"/>
  <c r="AF147" i="99"/>
  <c r="AF137" i="99"/>
  <c r="AF136" i="99"/>
  <c r="F146" i="99"/>
  <c r="F137" i="99"/>
  <c r="F136" i="99"/>
  <c r="V146" i="99"/>
  <c r="V147" i="99"/>
  <c r="V137" i="99"/>
  <c r="V136" i="99"/>
  <c r="M146" i="99"/>
  <c r="M137" i="99"/>
  <c r="M136" i="99"/>
  <c r="AB146" i="99"/>
  <c r="AB147" i="99"/>
  <c r="AB137" i="99"/>
  <c r="AB136" i="99"/>
  <c r="I146" i="99"/>
  <c r="I137" i="99"/>
  <c r="I136" i="99"/>
  <c r="O146" i="99"/>
  <c r="O137" i="99"/>
  <c r="O136" i="99"/>
  <c r="Y21" i="100"/>
  <c r="AA21" i="100"/>
  <c r="AK110" i="100"/>
  <c r="AD111" i="100"/>
  <c r="AC21" i="100"/>
  <c r="V21" i="100"/>
  <c r="O97" i="100"/>
  <c r="AO208" i="99"/>
  <c r="AK20" i="100"/>
  <c r="R21" i="100"/>
  <c r="Z21" i="100"/>
  <c r="Q21" i="100"/>
  <c r="Z146" i="99"/>
  <c r="Z147" i="99"/>
  <c r="Z137" i="99"/>
  <c r="Z136" i="99"/>
  <c r="D146" i="99"/>
  <c r="D137" i="99"/>
  <c r="D136" i="99"/>
  <c r="G146" i="99"/>
  <c r="G137" i="99"/>
  <c r="G136" i="99"/>
  <c r="W146" i="99"/>
  <c r="W147" i="99"/>
  <c r="W137" i="99"/>
  <c r="W136" i="99"/>
  <c r="AG146" i="99"/>
  <c r="AG147" i="99"/>
  <c r="AM135" i="99"/>
  <c r="AH135" i="99"/>
  <c r="AG137" i="99"/>
  <c r="AG136" i="99"/>
  <c r="Q146" i="99"/>
  <c r="Q137" i="99"/>
  <c r="Q136" i="99"/>
  <c r="Y146" i="99"/>
  <c r="Y147" i="99"/>
  <c r="Y137" i="99"/>
  <c r="Y136" i="99"/>
  <c r="AE146" i="99"/>
  <c r="AE147" i="99"/>
  <c r="AE137" i="99"/>
  <c r="AE136" i="99"/>
  <c r="Y97" i="100"/>
  <c r="AA97" i="100"/>
  <c r="M113" i="100"/>
  <c r="AL20" i="100"/>
  <c r="G21" i="100"/>
  <c r="X21" i="100"/>
  <c r="K21" i="100"/>
  <c r="AC97" i="100"/>
  <c r="AE21" i="100"/>
  <c r="H21" i="100"/>
  <c r="V97" i="100"/>
  <c r="G97" i="100"/>
  <c r="L21" i="100"/>
  <c r="I113" i="100"/>
  <c r="J21" i="100"/>
  <c r="X97" i="100"/>
  <c r="K97" i="100"/>
  <c r="AE97" i="100"/>
  <c r="H97" i="100"/>
  <c r="AN27" i="100"/>
  <c r="AM200" i="99"/>
  <c r="AI178" i="99"/>
  <c r="AI154" i="99"/>
  <c r="AC67" i="99"/>
  <c r="Z67" i="99"/>
  <c r="J67" i="99"/>
  <c r="X67" i="99"/>
  <c r="H67" i="99"/>
  <c r="S67" i="99"/>
  <c r="V67" i="99"/>
  <c r="AB67" i="99"/>
  <c r="D67" i="99"/>
  <c r="Y67" i="99"/>
  <c r="R67" i="99"/>
  <c r="T67" i="99"/>
  <c r="Q67" i="99"/>
  <c r="AE67" i="99"/>
  <c r="F67" i="99"/>
  <c r="L67" i="99"/>
  <c r="K67" i="99"/>
  <c r="G67" i="99"/>
  <c r="M67" i="99"/>
  <c r="P67" i="99"/>
  <c r="AA67" i="99"/>
  <c r="AD67" i="99"/>
  <c r="AF67" i="99"/>
  <c r="AG67" i="99"/>
  <c r="W67" i="99"/>
  <c r="U67" i="99"/>
  <c r="E67" i="99"/>
  <c r="N67" i="99"/>
  <c r="O67" i="99"/>
  <c r="I67" i="99"/>
  <c r="AK101" i="100"/>
  <c r="AL110" i="100"/>
  <c r="AG111" i="100"/>
  <c r="T146" i="99"/>
  <c r="T137" i="99"/>
  <c r="T136" i="99"/>
  <c r="J146" i="99"/>
  <c r="J137" i="99"/>
  <c r="J136" i="99"/>
  <c r="P146" i="99"/>
  <c r="P137" i="99"/>
  <c r="P136" i="99"/>
  <c r="AG24" i="100"/>
  <c r="AK76" i="100"/>
  <c r="W21" i="100"/>
  <c r="AD97" i="100"/>
  <c r="AK97" i="100"/>
  <c r="AJ203" i="99"/>
  <c r="AJ198" i="99"/>
  <c r="AI198" i="99"/>
  <c r="AI27" i="100"/>
  <c r="AA146" i="99"/>
  <c r="AA137" i="99"/>
  <c r="AA136" i="99"/>
  <c r="E146" i="99"/>
  <c r="E137" i="99"/>
  <c r="E136" i="99"/>
  <c r="U146" i="99"/>
  <c r="U137" i="99"/>
  <c r="U136" i="99"/>
  <c r="L146" i="99"/>
  <c r="L137" i="99"/>
  <c r="L136" i="99"/>
  <c r="K146" i="99"/>
  <c r="K137" i="99"/>
  <c r="K136" i="99"/>
  <c r="S146" i="99"/>
  <c r="S147" i="99"/>
  <c r="S137" i="99"/>
  <c r="S136" i="99"/>
  <c r="AD146" i="99"/>
  <c r="AD147" i="99"/>
  <c r="AD137" i="99"/>
  <c r="AD136" i="99"/>
  <c r="U21" i="100"/>
  <c r="AK63" i="100"/>
  <c r="L97" i="100"/>
  <c r="AB21" i="100"/>
  <c r="J97" i="100"/>
  <c r="E21" i="100"/>
  <c r="AO203" i="99"/>
  <c r="AO198" i="99"/>
  <c r="AP27" i="100"/>
  <c r="AN198" i="99"/>
  <c r="AO27" i="100"/>
  <c r="I21" i="100"/>
  <c r="AJ208" i="99"/>
  <c r="AJ211" i="99"/>
  <c r="AJ20" i="99"/>
  <c r="P24" i="100"/>
  <c r="P70" i="100"/>
  <c r="M24" i="100"/>
  <c r="M70" i="100"/>
  <c r="AG54" i="100"/>
  <c r="AG56" i="100"/>
  <c r="F24" i="100"/>
  <c r="F70" i="100"/>
  <c r="N24" i="100"/>
  <c r="N70" i="100"/>
  <c r="AF24" i="100"/>
  <c r="AF70" i="100"/>
  <c r="S24" i="100"/>
  <c r="S70" i="100"/>
  <c r="I54" i="100"/>
  <c r="I56" i="100"/>
  <c r="I24" i="100"/>
  <c r="AB54" i="100"/>
  <c r="AB56" i="100"/>
  <c r="AB24" i="100"/>
  <c r="AI55" i="100"/>
  <c r="AI76" i="100"/>
  <c r="AI77" i="100"/>
  <c r="AG113" i="100"/>
  <c r="U101" i="99"/>
  <c r="U72" i="99"/>
  <c r="U65" i="99"/>
  <c r="U75" i="99"/>
  <c r="AE65" i="99"/>
  <c r="AE72" i="99"/>
  <c r="AE101" i="99"/>
  <c r="AE75" i="99"/>
  <c r="S101" i="99"/>
  <c r="S72" i="99"/>
  <c r="S65" i="99"/>
  <c r="S75" i="99"/>
  <c r="G54" i="100"/>
  <c r="G56" i="100"/>
  <c r="G24" i="100"/>
  <c r="D158" i="99"/>
  <c r="D148" i="99"/>
  <c r="D147" i="99"/>
  <c r="Y54" i="100"/>
  <c r="Y56" i="100"/>
  <c r="Y24" i="100"/>
  <c r="M158" i="99"/>
  <c r="M148" i="99"/>
  <c r="M147" i="99"/>
  <c r="T70" i="100"/>
  <c r="AC158" i="99"/>
  <c r="AC148" i="99"/>
  <c r="H158" i="99"/>
  <c r="H148" i="99"/>
  <c r="H147" i="99"/>
  <c r="AJ10" i="100"/>
  <c r="AO55" i="100"/>
  <c r="AO76" i="100"/>
  <c r="AO77" i="100"/>
  <c r="E54" i="100"/>
  <c r="E56" i="100"/>
  <c r="E24" i="100"/>
  <c r="U54" i="100"/>
  <c r="U56" i="100"/>
  <c r="U24" i="100"/>
  <c r="AD158" i="99"/>
  <c r="AD148" i="99"/>
  <c r="U158" i="99"/>
  <c r="U148" i="99"/>
  <c r="U147" i="99"/>
  <c r="AJ27" i="100"/>
  <c r="AK198" i="99"/>
  <c r="W54" i="100"/>
  <c r="W56" i="100"/>
  <c r="W24" i="100"/>
  <c r="P158" i="99"/>
  <c r="P148" i="99"/>
  <c r="P147" i="99"/>
  <c r="O72" i="99"/>
  <c r="O65" i="99"/>
  <c r="O101" i="99"/>
  <c r="O75" i="99"/>
  <c r="W72" i="99"/>
  <c r="W65" i="99"/>
  <c r="W101" i="99"/>
  <c r="W75" i="99"/>
  <c r="AA72" i="99"/>
  <c r="AA65" i="99"/>
  <c r="AA101" i="99"/>
  <c r="AA75" i="99"/>
  <c r="K72" i="99"/>
  <c r="K65" i="99"/>
  <c r="K101" i="99"/>
  <c r="K75" i="99"/>
  <c r="Q101" i="99"/>
  <c r="Q72" i="99"/>
  <c r="Q75" i="99"/>
  <c r="Q65" i="99"/>
  <c r="D65" i="99"/>
  <c r="D72" i="99"/>
  <c r="D101" i="99"/>
  <c r="D75" i="99"/>
  <c r="H65" i="99"/>
  <c r="H101" i="99"/>
  <c r="H72" i="99"/>
  <c r="H75" i="99"/>
  <c r="AC72" i="99"/>
  <c r="AC101" i="99"/>
  <c r="AC65" i="99"/>
  <c r="AC75" i="99"/>
  <c r="AN196" i="99"/>
  <c r="AN197" i="99"/>
  <c r="AM204" i="99"/>
  <c r="AM19" i="99"/>
  <c r="L54" i="100"/>
  <c r="L56" i="100"/>
  <c r="L24" i="100"/>
  <c r="X54" i="100"/>
  <c r="X56" i="100"/>
  <c r="X24" i="100"/>
  <c r="AH146" i="99"/>
  <c r="AH158" i="99"/>
  <c r="AI135" i="99"/>
  <c r="G158" i="99"/>
  <c r="G148" i="99"/>
  <c r="G147" i="99"/>
  <c r="Q54" i="100"/>
  <c r="Q56" i="100"/>
  <c r="Q24" i="100"/>
  <c r="AK111" i="100"/>
  <c r="AD113" i="100"/>
  <c r="AB158" i="99"/>
  <c r="AB148" i="99"/>
  <c r="AF158" i="99"/>
  <c r="AF148" i="99"/>
  <c r="X158" i="99"/>
  <c r="X148" i="99"/>
  <c r="R158" i="99"/>
  <c r="R148" i="99"/>
  <c r="R147" i="99"/>
  <c r="AD70" i="100"/>
  <c r="AK24" i="100"/>
  <c r="E158" i="99"/>
  <c r="E148" i="99"/>
  <c r="E147" i="99"/>
  <c r="Z101" i="99"/>
  <c r="Z72" i="99"/>
  <c r="Z65" i="99"/>
  <c r="Z75" i="99"/>
  <c r="N101" i="99"/>
  <c r="N65" i="99"/>
  <c r="N72" i="99"/>
  <c r="N75" i="99"/>
  <c r="X75" i="99"/>
  <c r="X72" i="99"/>
  <c r="X65" i="99"/>
  <c r="X101" i="99"/>
  <c r="AN55" i="100"/>
  <c r="AN76" i="100"/>
  <c r="AN77" i="100"/>
  <c r="H54" i="100"/>
  <c r="H56" i="100"/>
  <c r="H24" i="100"/>
  <c r="Q158" i="99"/>
  <c r="Q148" i="99"/>
  <c r="Q147" i="99"/>
  <c r="AN135" i="99"/>
  <c r="AM146" i="99"/>
  <c r="AM158" i="99"/>
  <c r="W158" i="99"/>
  <c r="W148" i="99"/>
  <c r="Z54" i="100"/>
  <c r="Z56" i="100"/>
  <c r="Z24" i="100"/>
  <c r="AP10" i="100"/>
  <c r="AC54" i="100"/>
  <c r="AC56" i="100"/>
  <c r="AC24" i="100"/>
  <c r="AA54" i="100"/>
  <c r="AA56" i="100"/>
  <c r="AA24" i="100"/>
  <c r="I158" i="99"/>
  <c r="I148" i="99"/>
  <c r="I147" i="99"/>
  <c r="F158" i="99"/>
  <c r="F148" i="99"/>
  <c r="F147" i="99"/>
  <c r="AH204" i="99"/>
  <c r="AH19" i="99"/>
  <c r="AI196" i="99"/>
  <c r="AI197" i="99"/>
  <c r="N158" i="99"/>
  <c r="N148" i="99"/>
  <c r="N147" i="99"/>
  <c r="O54" i="100"/>
  <c r="O56" i="100"/>
  <c r="O24" i="100"/>
  <c r="S158" i="99"/>
  <c r="S148" i="99"/>
  <c r="J158" i="99"/>
  <c r="J148" i="99"/>
  <c r="J147" i="99"/>
  <c r="I101" i="99"/>
  <c r="I72" i="99"/>
  <c r="I65" i="99"/>
  <c r="I75" i="99"/>
  <c r="AD72" i="99"/>
  <c r="AD101" i="99"/>
  <c r="AD65" i="99"/>
  <c r="AD75" i="99"/>
  <c r="G101" i="99"/>
  <c r="G72" i="99"/>
  <c r="G65" i="99"/>
  <c r="G75" i="99"/>
  <c r="Y101" i="99"/>
  <c r="Y65" i="99"/>
  <c r="Y72" i="99"/>
  <c r="Y75" i="99"/>
  <c r="K54" i="100"/>
  <c r="K56" i="100"/>
  <c r="K24" i="100"/>
  <c r="AE158" i="99"/>
  <c r="AE148" i="99"/>
  <c r="V54" i="100"/>
  <c r="V56" i="100"/>
  <c r="V24" i="100"/>
  <c r="AJ178" i="99"/>
  <c r="AJ154" i="99"/>
  <c r="AK20" i="99"/>
  <c r="AP77" i="100"/>
  <c r="AP55" i="100"/>
  <c r="AP76" i="100"/>
  <c r="L158" i="99"/>
  <c r="L148" i="99"/>
  <c r="L147" i="99"/>
  <c r="AG72" i="99"/>
  <c r="AG65" i="99"/>
  <c r="AG101" i="99"/>
  <c r="AG75" i="99"/>
  <c r="P101" i="99"/>
  <c r="P65" i="99"/>
  <c r="P72" i="99"/>
  <c r="P75" i="99"/>
  <c r="L101" i="99"/>
  <c r="L65" i="99"/>
  <c r="L75" i="99"/>
  <c r="L72" i="99"/>
  <c r="T65" i="99"/>
  <c r="T72" i="99"/>
  <c r="T101" i="99"/>
  <c r="T75" i="99"/>
  <c r="AB72" i="99"/>
  <c r="AB101" i="99"/>
  <c r="AB65" i="99"/>
  <c r="AB75" i="99"/>
  <c r="K158" i="99"/>
  <c r="K148" i="99"/>
  <c r="K147" i="99"/>
  <c r="AA158" i="99"/>
  <c r="AA148" i="99"/>
  <c r="AA147" i="99"/>
  <c r="AG70" i="100"/>
  <c r="T158" i="99"/>
  <c r="T148" i="99"/>
  <c r="T147" i="99"/>
  <c r="E101" i="99"/>
  <c r="E72" i="99"/>
  <c r="E65" i="99"/>
  <c r="E75" i="99"/>
  <c r="AF101" i="99"/>
  <c r="AF65" i="99"/>
  <c r="AF72" i="99"/>
  <c r="AF75" i="99"/>
  <c r="M65" i="99"/>
  <c r="M72" i="99"/>
  <c r="M101" i="99"/>
  <c r="M75" i="99"/>
  <c r="F101" i="99"/>
  <c r="F65" i="99"/>
  <c r="F72" i="99"/>
  <c r="F75" i="99"/>
  <c r="R101" i="99"/>
  <c r="R65" i="99"/>
  <c r="R72" i="99"/>
  <c r="R75" i="99"/>
  <c r="V65" i="99"/>
  <c r="V72" i="99"/>
  <c r="V101" i="99"/>
  <c r="V75" i="99"/>
  <c r="J101" i="99"/>
  <c r="J72" i="99"/>
  <c r="J65" i="99"/>
  <c r="J75" i="99"/>
  <c r="J54" i="100"/>
  <c r="J56" i="100"/>
  <c r="J24" i="100"/>
  <c r="AE54" i="100"/>
  <c r="AE56" i="100"/>
  <c r="AE24" i="100"/>
  <c r="Y158" i="99"/>
  <c r="Y148" i="99"/>
  <c r="AG158" i="99"/>
  <c r="AG148" i="99"/>
  <c r="Z158" i="99"/>
  <c r="Z148" i="99"/>
  <c r="R54" i="100"/>
  <c r="R56" i="100"/>
  <c r="R24" i="100"/>
  <c r="AO211" i="99"/>
  <c r="AO20" i="99"/>
  <c r="O158" i="99"/>
  <c r="O148" i="99"/>
  <c r="O147" i="99"/>
  <c r="V158" i="99"/>
  <c r="V148" i="99"/>
  <c r="AH55" i="100"/>
  <c r="AH76" i="100"/>
  <c r="AH77" i="100"/>
  <c r="AK54" i="100"/>
  <c r="AD56" i="100"/>
  <c r="V29" i="100"/>
  <c r="E29" i="100"/>
  <c r="E30" i="100"/>
  <c r="E31" i="100"/>
  <c r="AB29" i="100"/>
  <c r="I29" i="100"/>
  <c r="I30" i="100"/>
  <c r="I59" i="100"/>
  <c r="I64" i="100"/>
  <c r="I66" i="100"/>
  <c r="G29" i="100"/>
  <c r="G30" i="100"/>
  <c r="G31" i="100"/>
  <c r="AE160" i="99"/>
  <c r="AE159" i="99"/>
  <c r="W160" i="99"/>
  <c r="W159" i="99"/>
  <c r="X160" i="99"/>
  <c r="X159" i="99"/>
  <c r="AB160" i="99"/>
  <c r="AB159" i="99"/>
  <c r="U160" i="99"/>
  <c r="U159" i="99"/>
  <c r="Y160" i="99"/>
  <c r="Y159" i="99"/>
  <c r="AA160" i="99"/>
  <c r="AA159" i="99"/>
  <c r="R160" i="99"/>
  <c r="R159" i="99"/>
  <c r="AF160" i="99"/>
  <c r="AF159" i="99"/>
  <c r="AD160" i="99"/>
  <c r="AD159" i="99"/>
  <c r="Z160" i="99"/>
  <c r="Z159" i="99"/>
  <c r="V160" i="99"/>
  <c r="V159" i="99"/>
  <c r="AG160" i="99"/>
  <c r="AG159" i="99"/>
  <c r="T160" i="99"/>
  <c r="T159" i="99"/>
  <c r="L29" i="100"/>
  <c r="L30" i="100"/>
  <c r="L59" i="100"/>
  <c r="L64" i="100"/>
  <c r="L66" i="100"/>
  <c r="P29" i="100"/>
  <c r="P30" i="100"/>
  <c r="P31" i="100"/>
  <c r="S160" i="99"/>
  <c r="S159" i="99"/>
  <c r="X29" i="100"/>
  <c r="X30" i="100"/>
  <c r="X31" i="100"/>
  <c r="AC160" i="99"/>
  <c r="AC159" i="99"/>
  <c r="J29" i="100"/>
  <c r="J30" i="100"/>
  <c r="Z29" i="100"/>
  <c r="Z30" i="100"/>
  <c r="Z59" i="100"/>
  <c r="Z64" i="100"/>
  <c r="Z66" i="100"/>
  <c r="O160" i="99"/>
  <c r="O159" i="99"/>
  <c r="R71" i="99"/>
  <c r="R73" i="99"/>
  <c r="AF71" i="99"/>
  <c r="AF73" i="99"/>
  <c r="K160" i="99"/>
  <c r="K159" i="99"/>
  <c r="L160" i="99"/>
  <c r="L159" i="99"/>
  <c r="I160" i="99"/>
  <c r="I159" i="99"/>
  <c r="AC70" i="100"/>
  <c r="AO135" i="99"/>
  <c r="AO146" i="99"/>
  <c r="AO158" i="99"/>
  <c r="AN146" i="99"/>
  <c r="AN158" i="99"/>
  <c r="H70" i="100"/>
  <c r="X76" i="99"/>
  <c r="S74" i="100"/>
  <c r="S72" i="100"/>
  <c r="S73" i="100"/>
  <c r="S81" i="100"/>
  <c r="X70" i="100"/>
  <c r="AM22" i="99"/>
  <c r="AM177" i="99"/>
  <c r="AC29" i="100"/>
  <c r="H73" i="99"/>
  <c r="H71" i="99"/>
  <c r="Q76" i="99"/>
  <c r="W70" i="100"/>
  <c r="H160" i="99"/>
  <c r="H159" i="99"/>
  <c r="T74" i="100"/>
  <c r="T71" i="100"/>
  <c r="T73" i="100"/>
  <c r="T72" i="100"/>
  <c r="T81" i="100"/>
  <c r="Y70" i="100"/>
  <c r="AF29" i="100"/>
  <c r="AE29" i="100"/>
  <c r="AB70" i="100"/>
  <c r="M74" i="100"/>
  <c r="M73" i="100"/>
  <c r="M72" i="100"/>
  <c r="M81" i="100"/>
  <c r="J70" i="100"/>
  <c r="J73" i="99"/>
  <c r="J71" i="99"/>
  <c r="V73" i="99"/>
  <c r="V71" i="99"/>
  <c r="F29" i="100"/>
  <c r="M73" i="99"/>
  <c r="M71" i="99"/>
  <c r="E73" i="99"/>
  <c r="E71" i="99"/>
  <c r="AB76" i="99"/>
  <c r="T76" i="99"/>
  <c r="L73" i="99"/>
  <c r="L71" i="99"/>
  <c r="P76" i="99"/>
  <c r="AG76" i="99"/>
  <c r="AG73" i="99"/>
  <c r="AG71" i="99"/>
  <c r="Y76" i="99"/>
  <c r="G76" i="99"/>
  <c r="AD76" i="99"/>
  <c r="I76" i="99"/>
  <c r="AH22" i="99"/>
  <c r="AH177" i="99"/>
  <c r="F160" i="99"/>
  <c r="F159" i="99"/>
  <c r="AA70" i="100"/>
  <c r="N76" i="99"/>
  <c r="Z76" i="99"/>
  <c r="AD72" i="100"/>
  <c r="AD74" i="100"/>
  <c r="AD73" i="100"/>
  <c r="AD71" i="100"/>
  <c r="AK70" i="100"/>
  <c r="AD81" i="100"/>
  <c r="Q70" i="100"/>
  <c r="G160" i="99"/>
  <c r="G159" i="99"/>
  <c r="D71" i="99"/>
  <c r="D73" i="99"/>
  <c r="Q73" i="99"/>
  <c r="Q71" i="99"/>
  <c r="K29" i="100"/>
  <c r="AA29" i="100"/>
  <c r="W29" i="100"/>
  <c r="O29" i="100"/>
  <c r="P160" i="99"/>
  <c r="P159" i="99"/>
  <c r="U70" i="100"/>
  <c r="AL10" i="100"/>
  <c r="S76" i="99"/>
  <c r="AE76" i="99"/>
  <c r="U76" i="99"/>
  <c r="F73" i="99"/>
  <c r="F71" i="99"/>
  <c r="AB73" i="99"/>
  <c r="AB71" i="99"/>
  <c r="AG29" i="100"/>
  <c r="AH65" i="99"/>
  <c r="AI65" i="99"/>
  <c r="AJ65" i="99"/>
  <c r="AM65" i="99"/>
  <c r="AN65" i="99"/>
  <c r="AO65" i="99"/>
  <c r="AD73" i="99"/>
  <c r="AD71" i="99"/>
  <c r="AO178" i="99"/>
  <c r="AO154" i="99"/>
  <c r="AD29" i="100"/>
  <c r="N71" i="99"/>
  <c r="N73" i="99"/>
  <c r="AF72" i="100"/>
  <c r="AF74" i="100"/>
  <c r="AF73" i="100"/>
  <c r="AF81" i="100"/>
  <c r="AI146" i="99"/>
  <c r="AI158" i="99"/>
  <c r="AJ135" i="99"/>
  <c r="AJ146" i="99"/>
  <c r="AJ158" i="99"/>
  <c r="L70" i="100"/>
  <c r="AN200" i="99"/>
  <c r="AO9" i="100"/>
  <c r="AO11" i="100"/>
  <c r="AO13" i="100"/>
  <c r="AC71" i="99"/>
  <c r="AC73" i="99"/>
  <c r="H29" i="100"/>
  <c r="K71" i="99"/>
  <c r="K73" i="99"/>
  <c r="AA73" i="99"/>
  <c r="AA71" i="99"/>
  <c r="W73" i="99"/>
  <c r="W71" i="99"/>
  <c r="O73" i="99"/>
  <c r="O71" i="99"/>
  <c r="D160" i="99"/>
  <c r="D159" i="99"/>
  <c r="T29" i="100"/>
  <c r="S29" i="100"/>
  <c r="U29" i="100"/>
  <c r="I70" i="100"/>
  <c r="N71" i="100"/>
  <c r="N74" i="100"/>
  <c r="N72" i="100"/>
  <c r="N73" i="100"/>
  <c r="N81" i="100"/>
  <c r="AG74" i="100"/>
  <c r="AG73" i="100"/>
  <c r="AG72" i="100"/>
  <c r="AG71" i="100"/>
  <c r="AG81" i="100"/>
  <c r="AI200" i="99"/>
  <c r="AI9" i="100"/>
  <c r="AI11" i="100"/>
  <c r="AI13" i="100"/>
  <c r="V30" i="100"/>
  <c r="V59" i="100"/>
  <c r="V64" i="100"/>
  <c r="V66" i="100"/>
  <c r="N29" i="100"/>
  <c r="M29" i="100"/>
  <c r="AB30" i="100"/>
  <c r="AB59" i="100"/>
  <c r="AB64" i="100"/>
  <c r="AB66" i="100"/>
  <c r="L76" i="99"/>
  <c r="P73" i="99"/>
  <c r="P71" i="99"/>
  <c r="Y73" i="99"/>
  <c r="Y71" i="99"/>
  <c r="O70" i="100"/>
  <c r="P71" i="100"/>
  <c r="P74" i="100"/>
  <c r="P73" i="100"/>
  <c r="P72" i="100"/>
  <c r="P81" i="100"/>
  <c r="AK56" i="100"/>
  <c r="R70" i="100"/>
  <c r="S71" i="100"/>
  <c r="AE70" i="100"/>
  <c r="J76" i="99"/>
  <c r="V76" i="99"/>
  <c r="R76" i="99"/>
  <c r="F76" i="99"/>
  <c r="M76" i="99"/>
  <c r="AF76" i="99"/>
  <c r="E76" i="99"/>
  <c r="T73" i="99"/>
  <c r="T71" i="99"/>
  <c r="V70" i="100"/>
  <c r="K70" i="100"/>
  <c r="Y29" i="100"/>
  <c r="G71" i="99"/>
  <c r="G73" i="99"/>
  <c r="I71" i="99"/>
  <c r="I73" i="99"/>
  <c r="J160" i="99"/>
  <c r="J159" i="99"/>
  <c r="N160" i="99"/>
  <c r="N159" i="99"/>
  <c r="Z70" i="100"/>
  <c r="Q160" i="99"/>
  <c r="Q159" i="99"/>
  <c r="X71" i="99"/>
  <c r="X73" i="99"/>
  <c r="Z71" i="99"/>
  <c r="Z73" i="99"/>
  <c r="E160" i="99"/>
  <c r="E159" i="99"/>
  <c r="F73" i="100"/>
  <c r="F72" i="100"/>
  <c r="F74" i="100"/>
  <c r="F81" i="100"/>
  <c r="AC76" i="99"/>
  <c r="H76" i="99"/>
  <c r="D76" i="99"/>
  <c r="R29" i="100"/>
  <c r="Q29" i="100"/>
  <c r="K76" i="99"/>
  <c r="AA76" i="99"/>
  <c r="W76" i="99"/>
  <c r="O76" i="99"/>
  <c r="AJ55" i="100"/>
  <c r="AJ77" i="100"/>
  <c r="AL27" i="100"/>
  <c r="E70" i="100"/>
  <c r="M160" i="99"/>
  <c r="M159" i="99"/>
  <c r="G70" i="100"/>
  <c r="S71" i="99"/>
  <c r="S73" i="99"/>
  <c r="AE73" i="99"/>
  <c r="AE71" i="99"/>
  <c r="U71" i="99"/>
  <c r="U73" i="99"/>
  <c r="E59" i="100"/>
  <c r="E64" i="100"/>
  <c r="E66" i="100"/>
  <c r="I31" i="100"/>
  <c r="I96" i="100"/>
  <c r="I98" i="100"/>
  <c r="I100" i="100"/>
  <c r="I102" i="100"/>
  <c r="L31" i="100"/>
  <c r="L96" i="100"/>
  <c r="L98" i="100"/>
  <c r="L100" i="100"/>
  <c r="L102" i="100"/>
  <c r="X59" i="100"/>
  <c r="X64" i="100"/>
  <c r="X66" i="100"/>
  <c r="J59" i="100"/>
  <c r="J64" i="100"/>
  <c r="J66" i="100"/>
  <c r="J31" i="100"/>
  <c r="J96" i="100"/>
  <c r="J98" i="100"/>
  <c r="J100" i="100"/>
  <c r="J102" i="100"/>
  <c r="V31" i="100"/>
  <c r="V96" i="100"/>
  <c r="V98" i="100"/>
  <c r="V100" i="100"/>
  <c r="V102" i="100"/>
  <c r="P59" i="100"/>
  <c r="P64" i="100"/>
  <c r="P66" i="100"/>
  <c r="G59" i="100"/>
  <c r="G64" i="100"/>
  <c r="G66" i="100"/>
  <c r="X96" i="100"/>
  <c r="X98" i="100"/>
  <c r="X100" i="100"/>
  <c r="X102" i="100"/>
  <c r="X46" i="100"/>
  <c r="X47" i="100"/>
  <c r="P96" i="100"/>
  <c r="P98" i="100"/>
  <c r="P100" i="100"/>
  <c r="P102" i="100"/>
  <c r="P46" i="100"/>
  <c r="P47" i="100"/>
  <c r="G96" i="100"/>
  <c r="G98" i="100"/>
  <c r="G100" i="100"/>
  <c r="G102" i="100"/>
  <c r="G46" i="100"/>
  <c r="G47" i="100"/>
  <c r="E96" i="100"/>
  <c r="E98" i="100"/>
  <c r="E100" i="100"/>
  <c r="E102" i="100"/>
  <c r="E46" i="100"/>
  <c r="E47" i="100"/>
  <c r="M30" i="99"/>
  <c r="M78" i="99"/>
  <c r="M79" i="99"/>
  <c r="K71" i="100"/>
  <c r="J74" i="100"/>
  <c r="J72" i="100"/>
  <c r="J73" i="100"/>
  <c r="J71" i="100"/>
  <c r="J81" i="100"/>
  <c r="S84" i="100"/>
  <c r="S83" i="100"/>
  <c r="S85" i="100"/>
  <c r="H71" i="100"/>
  <c r="G71" i="100"/>
  <c r="G74" i="100"/>
  <c r="G72" i="100"/>
  <c r="G73" i="100"/>
  <c r="G81" i="100"/>
  <c r="E71" i="100"/>
  <c r="E74" i="100"/>
  <c r="E73" i="100"/>
  <c r="E72" i="100"/>
  <c r="E81" i="100"/>
  <c r="F82" i="100"/>
  <c r="R30" i="100"/>
  <c r="R59" i="100"/>
  <c r="R64" i="100"/>
  <c r="R66" i="100"/>
  <c r="F71" i="100"/>
  <c r="Y30" i="100"/>
  <c r="Y59" i="100"/>
  <c r="Y64" i="100"/>
  <c r="Y66" i="100"/>
  <c r="V73" i="100"/>
  <c r="V71" i="100"/>
  <c r="V72" i="100"/>
  <c r="V74" i="100"/>
  <c r="V81" i="100"/>
  <c r="Z31" i="100"/>
  <c r="Y78" i="99"/>
  <c r="Y79" i="99"/>
  <c r="Y30" i="99"/>
  <c r="AB31" i="100"/>
  <c r="N84" i="100"/>
  <c r="N85" i="100"/>
  <c r="N83" i="100"/>
  <c r="N82" i="100"/>
  <c r="S30" i="100"/>
  <c r="S59" i="100"/>
  <c r="S64" i="100"/>
  <c r="S66" i="100"/>
  <c r="K30" i="99"/>
  <c r="K78" i="99"/>
  <c r="K79" i="99"/>
  <c r="L72" i="100"/>
  <c r="L71" i="100"/>
  <c r="L74" i="100"/>
  <c r="L73" i="100"/>
  <c r="L81" i="100"/>
  <c r="M82" i="100"/>
  <c r="N78" i="99"/>
  <c r="N79" i="99"/>
  <c r="N30" i="99"/>
  <c r="AK29" i="100"/>
  <c r="AD30" i="100"/>
  <c r="AA30" i="100"/>
  <c r="AA59" i="100"/>
  <c r="AA64" i="100"/>
  <c r="AA66" i="100"/>
  <c r="L78" i="99"/>
  <c r="L79" i="99"/>
  <c r="L30" i="99"/>
  <c r="J78" i="99"/>
  <c r="J79" i="99"/>
  <c r="J30" i="99"/>
  <c r="M83" i="100"/>
  <c r="M85" i="100"/>
  <c r="M84" i="100"/>
  <c r="Y72" i="100"/>
  <c r="Y73" i="100"/>
  <c r="Y71" i="100"/>
  <c r="Y74" i="100"/>
  <c r="Y81" i="100"/>
  <c r="H78" i="99"/>
  <c r="H79" i="99"/>
  <c r="H30" i="99"/>
  <c r="AM26" i="99"/>
  <c r="AM51" i="99"/>
  <c r="AN18" i="100"/>
  <c r="AM180" i="99"/>
  <c r="AF78" i="99"/>
  <c r="AF79" i="99"/>
  <c r="AF30" i="99"/>
  <c r="AE30" i="99"/>
  <c r="AE78" i="99"/>
  <c r="AE79" i="99"/>
  <c r="Q30" i="100"/>
  <c r="Q59" i="100"/>
  <c r="Q64" i="100"/>
  <c r="Q66" i="100"/>
  <c r="P85" i="100"/>
  <c r="P84" i="100"/>
  <c r="P83" i="100"/>
  <c r="AG84" i="100"/>
  <c r="AG83" i="100"/>
  <c r="AG82" i="100"/>
  <c r="AG85" i="100"/>
  <c r="AC30" i="99"/>
  <c r="AC78" i="99"/>
  <c r="AC79" i="99"/>
  <c r="W30" i="100"/>
  <c r="W59" i="100"/>
  <c r="W64" i="100"/>
  <c r="W66" i="100"/>
  <c r="AJ76" i="100"/>
  <c r="AL55" i="100"/>
  <c r="AF71" i="100"/>
  <c r="AE74" i="100"/>
  <c r="AE72" i="100"/>
  <c r="AE73" i="100"/>
  <c r="AE71" i="100"/>
  <c r="AE81" i="100"/>
  <c r="AF82" i="100"/>
  <c r="T30" i="100"/>
  <c r="T59" i="100"/>
  <c r="T64" i="100"/>
  <c r="T66" i="100"/>
  <c r="O78" i="99"/>
  <c r="O79" i="99"/>
  <c r="O30" i="99"/>
  <c r="AA30" i="99"/>
  <c r="AA78" i="99"/>
  <c r="AA79" i="99"/>
  <c r="H30" i="100"/>
  <c r="H59" i="100"/>
  <c r="H64" i="100"/>
  <c r="H66" i="100"/>
  <c r="AD30" i="99"/>
  <c r="AD78" i="99"/>
  <c r="AD79" i="99"/>
  <c r="AL29" i="100"/>
  <c r="AG30" i="100"/>
  <c r="AG31" i="100"/>
  <c r="K30" i="100"/>
  <c r="K59" i="100"/>
  <c r="K64" i="100"/>
  <c r="K66" i="100"/>
  <c r="D78" i="99"/>
  <c r="D79" i="99"/>
  <c r="D30" i="99"/>
  <c r="AA73" i="100"/>
  <c r="AA72" i="100"/>
  <c r="AA74" i="100"/>
  <c r="AA71" i="100"/>
  <c r="AA81" i="100"/>
  <c r="AH51" i="99"/>
  <c r="AH26" i="99"/>
  <c r="AH18" i="100"/>
  <c r="AH180" i="99"/>
  <c r="AG78" i="99"/>
  <c r="AG79" i="99"/>
  <c r="AG30" i="99"/>
  <c r="E30" i="99"/>
  <c r="E78" i="99"/>
  <c r="E79" i="99"/>
  <c r="F30" i="100"/>
  <c r="F31" i="100"/>
  <c r="M71" i="100"/>
  <c r="AE30" i="100"/>
  <c r="AE31" i="100"/>
  <c r="W72" i="100"/>
  <c r="W73" i="100"/>
  <c r="W74" i="100"/>
  <c r="W71" i="100"/>
  <c r="W81" i="100"/>
  <c r="H72" i="100"/>
  <c r="H74" i="100"/>
  <c r="H73" i="100"/>
  <c r="H81" i="100"/>
  <c r="X30" i="99"/>
  <c r="X78" i="99"/>
  <c r="X79" i="99"/>
  <c r="Z73" i="100"/>
  <c r="Z71" i="100"/>
  <c r="Z74" i="100"/>
  <c r="Z72" i="100"/>
  <c r="Z81" i="100"/>
  <c r="G78" i="99"/>
  <c r="G79" i="99"/>
  <c r="G30" i="99"/>
  <c r="T78" i="99"/>
  <c r="T79" i="99"/>
  <c r="T30" i="99"/>
  <c r="R73" i="100"/>
  <c r="R71" i="100"/>
  <c r="R74" i="100"/>
  <c r="R72" i="100"/>
  <c r="R81" i="100"/>
  <c r="S82" i="100"/>
  <c r="P78" i="99"/>
  <c r="P79" i="99"/>
  <c r="P30" i="99"/>
  <c r="N30" i="100"/>
  <c r="N31" i="100"/>
  <c r="U30" i="100"/>
  <c r="U31" i="100"/>
  <c r="W78" i="99"/>
  <c r="W79" i="99"/>
  <c r="W30" i="99"/>
  <c r="AF85" i="100"/>
  <c r="AF84" i="100"/>
  <c r="AF83" i="100"/>
  <c r="U73" i="100"/>
  <c r="U72" i="100"/>
  <c r="U71" i="100"/>
  <c r="U74" i="100"/>
  <c r="U81" i="100"/>
  <c r="AD84" i="100"/>
  <c r="AD83" i="100"/>
  <c r="AD85" i="100"/>
  <c r="AK81" i="100"/>
  <c r="F83" i="100"/>
  <c r="F84" i="100"/>
  <c r="F85" i="100"/>
  <c r="Z78" i="99"/>
  <c r="Z79" i="99"/>
  <c r="Z30" i="99"/>
  <c r="I78" i="99"/>
  <c r="I79" i="99"/>
  <c r="I30" i="99"/>
  <c r="O74" i="100"/>
  <c r="O72" i="100"/>
  <c r="O73" i="100"/>
  <c r="O71" i="100"/>
  <c r="O81" i="100"/>
  <c r="P82" i="100"/>
  <c r="I46" i="100"/>
  <c r="I47" i="100"/>
  <c r="U30" i="99"/>
  <c r="U78" i="99"/>
  <c r="U79" i="99"/>
  <c r="S78" i="99"/>
  <c r="S79" i="99"/>
  <c r="S30" i="99"/>
  <c r="K73" i="100"/>
  <c r="K72" i="100"/>
  <c r="K74" i="100"/>
  <c r="K81" i="100"/>
  <c r="M30" i="100"/>
  <c r="M59" i="100"/>
  <c r="M64" i="100"/>
  <c r="M66" i="100"/>
  <c r="AI19" i="99"/>
  <c r="AJ196" i="99"/>
  <c r="AI204" i="99"/>
  <c r="I74" i="100"/>
  <c r="I73" i="100"/>
  <c r="I72" i="100"/>
  <c r="I71" i="100"/>
  <c r="I81" i="100"/>
  <c r="AN19" i="99"/>
  <c r="AN204" i="99"/>
  <c r="AO196" i="99"/>
  <c r="AO197" i="99"/>
  <c r="AB30" i="99"/>
  <c r="AB78" i="99"/>
  <c r="AB79" i="99"/>
  <c r="F30" i="99"/>
  <c r="F78" i="99"/>
  <c r="F79" i="99"/>
  <c r="O30" i="100"/>
  <c r="O31" i="100"/>
  <c r="Q30" i="99"/>
  <c r="Q78" i="99"/>
  <c r="Q79" i="99"/>
  <c r="Q71" i="100"/>
  <c r="Q74" i="100"/>
  <c r="Q72" i="100"/>
  <c r="Q73" i="100"/>
  <c r="Q81" i="100"/>
  <c r="V78" i="99"/>
  <c r="V79" i="99"/>
  <c r="V30" i="99"/>
  <c r="AB74" i="100"/>
  <c r="AB73" i="100"/>
  <c r="AB72" i="100"/>
  <c r="AB71" i="100"/>
  <c r="AB81" i="100"/>
  <c r="AF30" i="100"/>
  <c r="AF59" i="100"/>
  <c r="AF64" i="100"/>
  <c r="AF66" i="100"/>
  <c r="T83" i="100"/>
  <c r="T82" i="100"/>
  <c r="T85" i="100"/>
  <c r="T84" i="100"/>
  <c r="AC30" i="100"/>
  <c r="AC59" i="100"/>
  <c r="AC64" i="100"/>
  <c r="AC66" i="100"/>
  <c r="X72" i="100"/>
  <c r="X71" i="100"/>
  <c r="X73" i="100"/>
  <c r="X74" i="100"/>
  <c r="X81" i="100"/>
  <c r="AC71" i="100"/>
  <c r="AC74" i="100"/>
  <c r="AC73" i="100"/>
  <c r="AC72" i="100"/>
  <c r="AC81" i="100"/>
  <c r="R30" i="99"/>
  <c r="R78" i="99"/>
  <c r="R79" i="99"/>
  <c r="L46" i="100"/>
  <c r="L47" i="100"/>
  <c r="J46" i="100"/>
  <c r="J47" i="100"/>
  <c r="AE59" i="100"/>
  <c r="AE64" i="100"/>
  <c r="AE66" i="100"/>
  <c r="O59" i="100"/>
  <c r="O64" i="100"/>
  <c r="O66" i="100"/>
  <c r="U59" i="100"/>
  <c r="U64" i="100"/>
  <c r="U66" i="100"/>
  <c r="AF31" i="100"/>
  <c r="AF46" i="100"/>
  <c r="AF47" i="100"/>
  <c r="AG59" i="100"/>
  <c r="AG64" i="100"/>
  <c r="AG66" i="100"/>
  <c r="V46" i="100"/>
  <c r="V47" i="100"/>
  <c r="W31" i="100"/>
  <c r="W46" i="100"/>
  <c r="W47" i="100"/>
  <c r="Q31" i="100"/>
  <c r="Q96" i="100"/>
  <c r="Q98" i="100"/>
  <c r="Q100" i="100"/>
  <c r="Q102" i="100"/>
  <c r="AK30" i="100"/>
  <c r="S31" i="100"/>
  <c r="S96" i="100"/>
  <c r="S98" i="100"/>
  <c r="S100" i="100"/>
  <c r="S102" i="100"/>
  <c r="M31" i="100"/>
  <c r="M96" i="100"/>
  <c r="M98" i="100"/>
  <c r="M100" i="100"/>
  <c r="M102" i="100"/>
  <c r="AC31" i="100"/>
  <c r="AC46" i="100"/>
  <c r="AC47" i="100"/>
  <c r="N59" i="100"/>
  <c r="N64" i="100"/>
  <c r="N66" i="100"/>
  <c r="F59" i="100"/>
  <c r="F64" i="100"/>
  <c r="F66" i="100"/>
  <c r="T31" i="100"/>
  <c r="T46" i="100"/>
  <c r="T47" i="100"/>
  <c r="F96" i="100"/>
  <c r="F98" i="100"/>
  <c r="F100" i="100"/>
  <c r="F102" i="100"/>
  <c r="F46" i="100"/>
  <c r="F47" i="100"/>
  <c r="AE96" i="100"/>
  <c r="AE98" i="100"/>
  <c r="AE100" i="100"/>
  <c r="AE102" i="100"/>
  <c r="AE46" i="100"/>
  <c r="AE47" i="100"/>
  <c r="N96" i="100"/>
  <c r="N98" i="100"/>
  <c r="N100" i="100"/>
  <c r="N102" i="100"/>
  <c r="N46" i="100"/>
  <c r="N47" i="100"/>
  <c r="AC83" i="100"/>
  <c r="AC82" i="100"/>
  <c r="AC85" i="100"/>
  <c r="AC84" i="100"/>
  <c r="AB85" i="100"/>
  <c r="AB84" i="100"/>
  <c r="AB83" i="100"/>
  <c r="AB82" i="100"/>
  <c r="F187" i="99"/>
  <c r="F52" i="99"/>
  <c r="F53" i="99"/>
  <c r="F120" i="99"/>
  <c r="F45" i="100"/>
  <c r="F104" i="100"/>
  <c r="F32" i="99"/>
  <c r="AJ197" i="99"/>
  <c r="AJ200" i="99"/>
  <c r="AK196" i="99"/>
  <c r="I32" i="99"/>
  <c r="I45" i="100"/>
  <c r="I187" i="99"/>
  <c r="I52" i="99"/>
  <c r="I53" i="99"/>
  <c r="I120" i="99"/>
  <c r="E45" i="100"/>
  <c r="E187" i="99"/>
  <c r="E52" i="99"/>
  <c r="E53" i="99"/>
  <c r="E120" i="99"/>
  <c r="E32" i="99"/>
  <c r="AA85" i="100"/>
  <c r="AA84" i="100"/>
  <c r="AA83" i="100"/>
  <c r="AA82" i="100"/>
  <c r="K31" i="100"/>
  <c r="H31" i="100"/>
  <c r="O187" i="99"/>
  <c r="O52" i="99"/>
  <c r="O53" i="99"/>
  <c r="O120" i="99"/>
  <c r="O45" i="100"/>
  <c r="O104" i="100"/>
  <c r="O32" i="99"/>
  <c r="AM182" i="99"/>
  <c r="AM142" i="99"/>
  <c r="AM143" i="99"/>
  <c r="AM28" i="99"/>
  <c r="AA31" i="100"/>
  <c r="AD31" i="100"/>
  <c r="Z96" i="100"/>
  <c r="Z98" i="100"/>
  <c r="Z100" i="100"/>
  <c r="Z102" i="100"/>
  <c r="Z46" i="100"/>
  <c r="Z47" i="100"/>
  <c r="Y31" i="100"/>
  <c r="R31" i="100"/>
  <c r="Q52" i="99"/>
  <c r="Q53" i="99"/>
  <c r="Q120" i="99"/>
  <c r="Q32" i="99"/>
  <c r="Q187" i="99"/>
  <c r="Q45" i="100"/>
  <c r="Q104" i="100"/>
  <c r="AO200" i="99"/>
  <c r="AP9" i="100"/>
  <c r="AP11" i="100"/>
  <c r="W32" i="99"/>
  <c r="W45" i="100"/>
  <c r="W104" i="100"/>
  <c r="W187" i="99"/>
  <c r="W52" i="99"/>
  <c r="W53" i="99"/>
  <c r="W120" i="99"/>
  <c r="P187" i="99"/>
  <c r="P32" i="99"/>
  <c r="P52" i="99"/>
  <c r="P53" i="99"/>
  <c r="P120" i="99"/>
  <c r="P45" i="100"/>
  <c r="Z84" i="100"/>
  <c r="Z82" i="100"/>
  <c r="Z83" i="100"/>
  <c r="Z85" i="100"/>
  <c r="AA32" i="99"/>
  <c r="AA45" i="100"/>
  <c r="AA104" i="100"/>
  <c r="AA187" i="99"/>
  <c r="AA52" i="99"/>
  <c r="AA53" i="99"/>
  <c r="AA120" i="99"/>
  <c r="Y84" i="100"/>
  <c r="Y83" i="100"/>
  <c r="Y82" i="100"/>
  <c r="Y85" i="100"/>
  <c r="N45" i="100"/>
  <c r="N104" i="100"/>
  <c r="N187" i="99"/>
  <c r="N52" i="99"/>
  <c r="N53" i="99"/>
  <c r="N120" i="99"/>
  <c r="N32" i="99"/>
  <c r="G83" i="100"/>
  <c r="G85" i="100"/>
  <c r="G82" i="100"/>
  <c r="G84" i="100"/>
  <c r="J83" i="100"/>
  <c r="J85" i="100"/>
  <c r="J84" i="100"/>
  <c r="J82" i="100"/>
  <c r="X85" i="100"/>
  <c r="X84" i="100"/>
  <c r="X83" i="100"/>
  <c r="X82" i="100"/>
  <c r="Q83" i="100"/>
  <c r="Q82" i="100"/>
  <c r="Q85" i="100"/>
  <c r="Q84" i="100"/>
  <c r="O96" i="100"/>
  <c r="O98" i="100"/>
  <c r="O100" i="100"/>
  <c r="O102" i="100"/>
  <c r="O46" i="100"/>
  <c r="O47" i="100"/>
  <c r="AN177" i="99"/>
  <c r="AN22" i="99"/>
  <c r="AI22" i="99"/>
  <c r="AI177" i="99"/>
  <c r="AD82" i="100"/>
  <c r="G32" i="99"/>
  <c r="G45" i="100"/>
  <c r="G187" i="99"/>
  <c r="G52" i="99"/>
  <c r="G53" i="99"/>
  <c r="G120" i="99"/>
  <c r="X45" i="100"/>
  <c r="X187" i="99"/>
  <c r="X52" i="99"/>
  <c r="X53" i="99"/>
  <c r="X120" i="99"/>
  <c r="X32" i="99"/>
  <c r="AH97" i="100"/>
  <c r="AH21" i="100"/>
  <c r="AH54" i="100"/>
  <c r="D52" i="99"/>
  <c r="D53" i="99"/>
  <c r="D120" i="99"/>
  <c r="D45" i="100"/>
  <c r="D187" i="99"/>
  <c r="D32" i="99"/>
  <c r="AG96" i="100"/>
  <c r="AG46" i="100"/>
  <c r="AD52" i="99"/>
  <c r="AD53" i="99"/>
  <c r="AD120" i="99"/>
  <c r="AD45" i="100"/>
  <c r="AD187" i="99"/>
  <c r="AD32" i="99"/>
  <c r="AL76" i="100"/>
  <c r="H187" i="99"/>
  <c r="H52" i="99"/>
  <c r="H53" i="99"/>
  <c r="H120" i="99"/>
  <c r="H45" i="100"/>
  <c r="H104" i="100"/>
  <c r="H32" i="99"/>
  <c r="AD59" i="100"/>
  <c r="AD64" i="100"/>
  <c r="L82" i="100"/>
  <c r="L85" i="100"/>
  <c r="L84" i="100"/>
  <c r="L83" i="100"/>
  <c r="AB96" i="100"/>
  <c r="AB98" i="100"/>
  <c r="AB100" i="100"/>
  <c r="AB102" i="100"/>
  <c r="AB46" i="100"/>
  <c r="AB47" i="100"/>
  <c r="K84" i="100"/>
  <c r="K85" i="100"/>
  <c r="K83" i="100"/>
  <c r="K82" i="100"/>
  <c r="S187" i="99"/>
  <c r="S52" i="99"/>
  <c r="S53" i="99"/>
  <c r="S120" i="99"/>
  <c r="S45" i="100"/>
  <c r="S104" i="100"/>
  <c r="S32" i="99"/>
  <c r="T45" i="100"/>
  <c r="T104" i="100"/>
  <c r="T187" i="99"/>
  <c r="T52" i="99"/>
  <c r="T53" i="99"/>
  <c r="T120" i="99"/>
  <c r="T32" i="99"/>
  <c r="H84" i="100"/>
  <c r="H83" i="100"/>
  <c r="H85" i="100"/>
  <c r="H82" i="100"/>
  <c r="W82" i="100"/>
  <c r="W84" i="100"/>
  <c r="W83" i="100"/>
  <c r="W85" i="100"/>
  <c r="AF32" i="99"/>
  <c r="AF52" i="99"/>
  <c r="AF53" i="99"/>
  <c r="AF120" i="99"/>
  <c r="AF45" i="100"/>
  <c r="AF104" i="100"/>
  <c r="AF187" i="99"/>
  <c r="K187" i="99"/>
  <c r="K52" i="99"/>
  <c r="K53" i="99"/>
  <c r="K120" i="99"/>
  <c r="K32" i="99"/>
  <c r="K45" i="100"/>
  <c r="K104" i="100"/>
  <c r="R32" i="99"/>
  <c r="R45" i="100"/>
  <c r="R104" i="100"/>
  <c r="R187" i="99"/>
  <c r="R52" i="99"/>
  <c r="R53" i="99"/>
  <c r="R120" i="99"/>
  <c r="V32" i="99"/>
  <c r="V52" i="99"/>
  <c r="V53" i="99"/>
  <c r="V120" i="99"/>
  <c r="V45" i="100"/>
  <c r="V187" i="99"/>
  <c r="AB45" i="100"/>
  <c r="AB187" i="99"/>
  <c r="AB52" i="99"/>
  <c r="AB53" i="99"/>
  <c r="AB120" i="99"/>
  <c r="AB32" i="99"/>
  <c r="I83" i="100"/>
  <c r="I82" i="100"/>
  <c r="I84" i="100"/>
  <c r="I85" i="100"/>
  <c r="U52" i="99"/>
  <c r="U53" i="99"/>
  <c r="U120" i="99"/>
  <c r="U45" i="100"/>
  <c r="U104" i="100"/>
  <c r="U187" i="99"/>
  <c r="U32" i="99"/>
  <c r="O82" i="100"/>
  <c r="O84" i="100"/>
  <c r="O83" i="100"/>
  <c r="O85" i="100"/>
  <c r="Z45" i="100"/>
  <c r="Z187" i="99"/>
  <c r="Z52" i="99"/>
  <c r="Z53" i="99"/>
  <c r="Z120" i="99"/>
  <c r="Z32" i="99"/>
  <c r="U84" i="100"/>
  <c r="U83" i="100"/>
  <c r="U82" i="100"/>
  <c r="U85" i="100"/>
  <c r="U96" i="100"/>
  <c r="U98" i="100"/>
  <c r="U100" i="100"/>
  <c r="U102" i="100"/>
  <c r="U46" i="100"/>
  <c r="U47" i="100"/>
  <c r="R85" i="100"/>
  <c r="R84" i="100"/>
  <c r="R82" i="100"/>
  <c r="R83" i="100"/>
  <c r="AG32" i="99"/>
  <c r="AG45" i="100"/>
  <c r="AG187" i="99"/>
  <c r="AG52" i="99"/>
  <c r="AG53" i="99"/>
  <c r="AG120" i="99"/>
  <c r="AH182" i="99"/>
  <c r="AH142" i="99"/>
  <c r="AH143" i="99"/>
  <c r="AH28" i="99"/>
  <c r="AE83" i="100"/>
  <c r="AE85" i="100"/>
  <c r="AE82" i="100"/>
  <c r="AE84" i="100"/>
  <c r="AC52" i="99"/>
  <c r="AC53" i="99"/>
  <c r="AC120" i="99"/>
  <c r="AC45" i="100"/>
  <c r="AC104" i="100"/>
  <c r="AC187" i="99"/>
  <c r="AC32" i="99"/>
  <c r="AE187" i="99"/>
  <c r="AE52" i="99"/>
  <c r="AE53" i="99"/>
  <c r="AE120" i="99"/>
  <c r="AE32" i="99"/>
  <c r="AE45" i="100"/>
  <c r="AE104" i="100"/>
  <c r="AN97" i="100"/>
  <c r="AN21" i="100"/>
  <c r="AN54" i="100"/>
  <c r="J52" i="99"/>
  <c r="J53" i="99"/>
  <c r="J120" i="99"/>
  <c r="J45" i="100"/>
  <c r="J187" i="99"/>
  <c r="J32" i="99"/>
  <c r="L52" i="99"/>
  <c r="L53" i="99"/>
  <c r="L120" i="99"/>
  <c r="L45" i="100"/>
  <c r="L187" i="99"/>
  <c r="L32" i="99"/>
  <c r="Y52" i="99"/>
  <c r="Y53" i="99"/>
  <c r="Y120" i="99"/>
  <c r="Y32" i="99"/>
  <c r="Y45" i="100"/>
  <c r="Y104" i="100"/>
  <c r="Y187" i="99"/>
  <c r="V82" i="100"/>
  <c r="V84" i="100"/>
  <c r="V85" i="100"/>
  <c r="V83" i="100"/>
  <c r="E82" i="100"/>
  <c r="E85" i="100"/>
  <c r="E84" i="100"/>
  <c r="E83" i="100"/>
  <c r="M45" i="100"/>
  <c r="M104" i="100"/>
  <c r="M187" i="99"/>
  <c r="M52" i="99"/>
  <c r="M53" i="99"/>
  <c r="M120" i="99"/>
  <c r="M32" i="99"/>
  <c r="V121" i="99"/>
  <c r="V122" i="99"/>
  <c r="M46" i="100"/>
  <c r="M47" i="100"/>
  <c r="AF121" i="99"/>
  <c r="AF122" i="99"/>
  <c r="T96" i="100"/>
  <c r="T98" i="100"/>
  <c r="T100" i="100"/>
  <c r="T102" i="100"/>
  <c r="T106" i="100"/>
  <c r="W96" i="100"/>
  <c r="W98" i="100"/>
  <c r="W100" i="100"/>
  <c r="W102" i="100"/>
  <c r="W106" i="100"/>
  <c r="S121" i="99"/>
  <c r="S122" i="99"/>
  <c r="Z121" i="99"/>
  <c r="Z122" i="99"/>
  <c r="N121" i="99"/>
  <c r="N122" i="99"/>
  <c r="O121" i="99"/>
  <c r="O122" i="99"/>
  <c r="F121" i="99"/>
  <c r="F122" i="99"/>
  <c r="I121" i="99"/>
  <c r="I122" i="99"/>
  <c r="Q46" i="100"/>
  <c r="Q47" i="100"/>
  <c r="K121" i="99"/>
  <c r="K122" i="99"/>
  <c r="N67" i="100"/>
  <c r="AF96" i="100"/>
  <c r="AF98" i="100"/>
  <c r="AF100" i="100"/>
  <c r="AF102" i="100"/>
  <c r="AF106" i="100"/>
  <c r="AC96" i="100"/>
  <c r="AC98" i="100"/>
  <c r="AC100" i="100"/>
  <c r="AC102" i="100"/>
  <c r="AC106" i="100"/>
  <c r="F67" i="100"/>
  <c r="AA121" i="99"/>
  <c r="AA122" i="99"/>
  <c r="AD121" i="99"/>
  <c r="AD122" i="99"/>
  <c r="U106" i="100"/>
  <c r="W121" i="99"/>
  <c r="W122" i="99"/>
  <c r="O106" i="100"/>
  <c r="S67" i="100"/>
  <c r="O67" i="100"/>
  <c r="S46" i="100"/>
  <c r="S47" i="100"/>
  <c r="Q106" i="100"/>
  <c r="Q121" i="99"/>
  <c r="Q122" i="99"/>
  <c r="L104" i="100"/>
  <c r="L106" i="100"/>
  <c r="L67" i="100"/>
  <c r="M189" i="99"/>
  <c r="M54" i="99"/>
  <c r="M57" i="99"/>
  <c r="M121" i="99"/>
  <c r="M122" i="99"/>
  <c r="AE54" i="99"/>
  <c r="AE57" i="99"/>
  <c r="AE189" i="99"/>
  <c r="AH153" i="99"/>
  <c r="AH155" i="99"/>
  <c r="AH144" i="99"/>
  <c r="AE67" i="100"/>
  <c r="Z54" i="99"/>
  <c r="Z57" i="99"/>
  <c r="Z189" i="99"/>
  <c r="U54" i="99"/>
  <c r="U57" i="99"/>
  <c r="U189" i="99"/>
  <c r="V104" i="100"/>
  <c r="V106" i="100"/>
  <c r="V67" i="100"/>
  <c r="R54" i="99"/>
  <c r="R57" i="99"/>
  <c r="R189" i="99"/>
  <c r="L121" i="99"/>
  <c r="L122" i="99"/>
  <c r="AG121" i="99"/>
  <c r="AG122" i="99"/>
  <c r="T189" i="99"/>
  <c r="T54" i="99"/>
  <c r="T57" i="99"/>
  <c r="U67" i="100"/>
  <c r="AK64" i="100"/>
  <c r="AD66" i="100"/>
  <c r="AE121" i="99"/>
  <c r="AE122" i="99"/>
  <c r="D54" i="99"/>
  <c r="D57" i="99"/>
  <c r="D189" i="99"/>
  <c r="G104" i="100"/>
  <c r="G106" i="100"/>
  <c r="G67" i="100"/>
  <c r="AI180" i="99"/>
  <c r="AI51" i="99"/>
  <c r="AI26" i="99"/>
  <c r="AI18" i="100"/>
  <c r="AA189" i="99"/>
  <c r="AA54" i="99"/>
  <c r="AA57" i="99"/>
  <c r="W54" i="99"/>
  <c r="W57" i="99"/>
  <c r="W189" i="99"/>
  <c r="AF67" i="100"/>
  <c r="AM153" i="99"/>
  <c r="AM155" i="99"/>
  <c r="AM144" i="99"/>
  <c r="O54" i="99"/>
  <c r="O57" i="99"/>
  <c r="O189" i="99"/>
  <c r="H96" i="100"/>
  <c r="H98" i="100"/>
  <c r="H100" i="100"/>
  <c r="H102" i="100"/>
  <c r="H106" i="100"/>
  <c r="H46" i="100"/>
  <c r="H47" i="100"/>
  <c r="AJ204" i="99"/>
  <c r="AJ19" i="99"/>
  <c r="AK200" i="99"/>
  <c r="G121" i="99"/>
  <c r="G122" i="99"/>
  <c r="H67" i="100"/>
  <c r="R67" i="100"/>
  <c r="AA67" i="100"/>
  <c r="Y67" i="100"/>
  <c r="J189" i="99"/>
  <c r="J54" i="99"/>
  <c r="J57" i="99"/>
  <c r="AG104" i="100"/>
  <c r="AB104" i="100"/>
  <c r="AB106" i="100"/>
  <c r="AB67" i="100"/>
  <c r="AF189" i="99"/>
  <c r="AF54" i="99"/>
  <c r="AF57" i="99"/>
  <c r="U121" i="99"/>
  <c r="U122" i="99"/>
  <c r="S189" i="99"/>
  <c r="S54" i="99"/>
  <c r="S57" i="99"/>
  <c r="AD54" i="99"/>
  <c r="AD57" i="99"/>
  <c r="AD189" i="99"/>
  <c r="AG47" i="100"/>
  <c r="X104" i="100"/>
  <c r="X106" i="100"/>
  <c r="X67" i="100"/>
  <c r="G189" i="99"/>
  <c r="G54" i="99"/>
  <c r="G57" i="99"/>
  <c r="AN180" i="99"/>
  <c r="AO18" i="100"/>
  <c r="AN51" i="99"/>
  <c r="AN26" i="99"/>
  <c r="N189" i="99"/>
  <c r="N54" i="99"/>
  <c r="N57" i="99"/>
  <c r="AB121" i="99"/>
  <c r="AB122" i="99"/>
  <c r="P104" i="100"/>
  <c r="P106" i="100"/>
  <c r="P67" i="100"/>
  <c r="X121" i="99"/>
  <c r="X122" i="99"/>
  <c r="R96" i="100"/>
  <c r="R98" i="100"/>
  <c r="R100" i="100"/>
  <c r="R102" i="100"/>
  <c r="R106" i="100"/>
  <c r="R46" i="100"/>
  <c r="R47" i="100"/>
  <c r="AD96" i="100"/>
  <c r="AK31" i="100"/>
  <c r="AD46" i="100"/>
  <c r="I104" i="100"/>
  <c r="I106" i="100"/>
  <c r="I67" i="100"/>
  <c r="AJ9" i="100"/>
  <c r="AK197" i="99"/>
  <c r="Q67" i="100"/>
  <c r="T67" i="100"/>
  <c r="L54" i="99"/>
  <c r="L57" i="99"/>
  <c r="L189" i="99"/>
  <c r="AG67" i="100"/>
  <c r="Y54" i="99"/>
  <c r="Y57" i="99"/>
  <c r="Y189" i="99"/>
  <c r="AG189" i="99"/>
  <c r="AG54" i="99"/>
  <c r="AG57" i="99"/>
  <c r="AB54" i="99"/>
  <c r="AB57" i="99"/>
  <c r="AB189" i="99"/>
  <c r="V189" i="99"/>
  <c r="V54" i="99"/>
  <c r="V57" i="99"/>
  <c r="M106" i="100"/>
  <c r="D67" i="100"/>
  <c r="D104" i="100"/>
  <c r="D106" i="100"/>
  <c r="X189" i="99"/>
  <c r="X54" i="99"/>
  <c r="X57" i="99"/>
  <c r="H121" i="99"/>
  <c r="H122" i="99"/>
  <c r="AP13" i="100"/>
  <c r="Q189" i="99"/>
  <c r="Q54" i="99"/>
  <c r="Q57" i="99"/>
  <c r="Y96" i="100"/>
  <c r="Y98" i="100"/>
  <c r="Y100" i="100"/>
  <c r="Y102" i="100"/>
  <c r="Y106" i="100"/>
  <c r="Y46" i="100"/>
  <c r="Y47" i="100"/>
  <c r="AA96" i="100"/>
  <c r="AA98" i="100"/>
  <c r="AA100" i="100"/>
  <c r="AA102" i="100"/>
  <c r="AA106" i="100"/>
  <c r="AA46" i="100"/>
  <c r="AA47" i="100"/>
  <c r="P121" i="99"/>
  <c r="P122" i="99"/>
  <c r="K96" i="100"/>
  <c r="K98" i="100"/>
  <c r="K100" i="100"/>
  <c r="K102" i="100"/>
  <c r="K106" i="100"/>
  <c r="K46" i="100"/>
  <c r="K47" i="100"/>
  <c r="E104" i="100"/>
  <c r="E106" i="100"/>
  <c r="E67" i="100"/>
  <c r="I189" i="99"/>
  <c r="I54" i="99"/>
  <c r="I57" i="99"/>
  <c r="F189" i="99"/>
  <c r="F54" i="99"/>
  <c r="F57" i="99"/>
  <c r="N106" i="100"/>
  <c r="W67" i="100"/>
  <c r="AE106" i="100"/>
  <c r="J104" i="100"/>
  <c r="J106" i="100"/>
  <c r="J67" i="100"/>
  <c r="AC189" i="99"/>
  <c r="AC54" i="99"/>
  <c r="AC57" i="99"/>
  <c r="AH185" i="99"/>
  <c r="AH184" i="99"/>
  <c r="Z104" i="100"/>
  <c r="Z106" i="100"/>
  <c r="Z67" i="100"/>
  <c r="AC121" i="99"/>
  <c r="AC122" i="99"/>
  <c r="K189" i="99"/>
  <c r="K54" i="99"/>
  <c r="K57" i="99"/>
  <c r="T121" i="99"/>
  <c r="T122" i="99"/>
  <c r="S106" i="100"/>
  <c r="H189" i="99"/>
  <c r="H54" i="99"/>
  <c r="H57" i="99"/>
  <c r="AD104" i="100"/>
  <c r="AK45" i="100"/>
  <c r="AG98" i="100"/>
  <c r="E121" i="99"/>
  <c r="E122" i="99"/>
  <c r="D121" i="99"/>
  <c r="D122" i="99"/>
  <c r="Y121" i="99"/>
  <c r="Y122" i="99"/>
  <c r="P189" i="99"/>
  <c r="P54" i="99"/>
  <c r="P57" i="99"/>
  <c r="AO19" i="99"/>
  <c r="AO204" i="99"/>
  <c r="R121" i="99"/>
  <c r="R122" i="99"/>
  <c r="AM184" i="99"/>
  <c r="AM185" i="99"/>
  <c r="E189" i="99"/>
  <c r="E54" i="99"/>
  <c r="E57" i="99"/>
  <c r="J121" i="99"/>
  <c r="J122" i="99"/>
  <c r="AC67" i="100"/>
  <c r="K67" i="100"/>
  <c r="M67" i="100"/>
  <c r="F106" i="100"/>
  <c r="J111" i="99"/>
  <c r="AK104" i="100"/>
  <c r="Z111" i="99"/>
  <c r="L112" i="99"/>
  <c r="Y111" i="99"/>
  <c r="Y112" i="99"/>
  <c r="AC112" i="99"/>
  <c r="AC111" i="99"/>
  <c r="AG100" i="100"/>
  <c r="G112" i="99"/>
  <c r="G111" i="99"/>
  <c r="AL9" i="100"/>
  <c r="AJ11" i="100"/>
  <c r="O111" i="99"/>
  <c r="O112" i="99"/>
  <c r="AO97" i="100"/>
  <c r="AO21" i="100"/>
  <c r="AO54" i="100"/>
  <c r="AM110" i="99"/>
  <c r="AN6" i="100"/>
  <c r="AN15" i="100"/>
  <c r="J112" i="99"/>
  <c r="J113" i="99"/>
  <c r="K112" i="99"/>
  <c r="K111" i="99"/>
  <c r="AJ177" i="99"/>
  <c r="AJ22" i="99"/>
  <c r="AK19" i="99"/>
  <c r="AM156" i="99"/>
  <c r="X112" i="99"/>
  <c r="X111" i="99"/>
  <c r="AI142" i="99"/>
  <c r="AI143" i="99"/>
  <c r="AI182" i="99"/>
  <c r="AI28" i="99"/>
  <c r="AD67" i="100"/>
  <c r="AK66" i="100"/>
  <c r="U111" i="99"/>
  <c r="U112" i="99"/>
  <c r="Z112" i="99"/>
  <c r="AA111" i="99"/>
  <c r="AA112" i="99"/>
  <c r="AH156" i="99"/>
  <c r="AH110" i="99"/>
  <c r="AH6" i="100"/>
  <c r="AH15" i="100"/>
  <c r="Q111" i="99"/>
  <c r="Q112" i="99"/>
  <c r="AO177" i="99"/>
  <c r="AO22" i="99"/>
  <c r="AD112" i="99"/>
  <c r="AD111" i="99"/>
  <c r="R111" i="99"/>
  <c r="R112" i="99"/>
  <c r="AK96" i="100"/>
  <c r="AD98" i="100"/>
  <c r="AE111" i="99"/>
  <c r="AE112" i="99"/>
  <c r="P112" i="99"/>
  <c r="P111" i="99"/>
  <c r="AB112" i="99"/>
  <c r="AB111" i="99"/>
  <c r="S112" i="99"/>
  <c r="S111" i="99"/>
  <c r="AN182" i="99"/>
  <c r="AN142" i="99"/>
  <c r="AN143" i="99"/>
  <c r="AN28" i="99"/>
  <c r="H112" i="99"/>
  <c r="H111" i="99"/>
  <c r="AG111" i="99"/>
  <c r="AG112" i="99"/>
  <c r="D111" i="99"/>
  <c r="E111" i="99"/>
  <c r="D112" i="99"/>
  <c r="E112" i="99"/>
  <c r="V112" i="99"/>
  <c r="V111" i="99"/>
  <c r="AH145" i="99"/>
  <c r="AH147" i="99"/>
  <c r="AH148" i="99"/>
  <c r="AF112" i="99"/>
  <c r="AF111" i="99"/>
  <c r="N112" i="99"/>
  <c r="N111" i="99"/>
  <c r="F111" i="99"/>
  <c r="F112" i="99"/>
  <c r="I112" i="99"/>
  <c r="I111" i="99"/>
  <c r="W112" i="99"/>
  <c r="W111" i="99"/>
  <c r="L111" i="99"/>
  <c r="M111" i="99"/>
  <c r="M112" i="99"/>
  <c r="AD47" i="100"/>
  <c r="AK46" i="100"/>
  <c r="T112" i="99"/>
  <c r="T111" i="99"/>
  <c r="AM145" i="99"/>
  <c r="AM147" i="99"/>
  <c r="AM148" i="99"/>
  <c r="AI97" i="100"/>
  <c r="AI21" i="100"/>
  <c r="AI54" i="100"/>
  <c r="L113" i="99"/>
  <c r="Z113" i="99"/>
  <c r="W113" i="99"/>
  <c r="G113" i="99"/>
  <c r="Y113" i="99"/>
  <c r="N113" i="99"/>
  <c r="R113" i="99"/>
  <c r="AA113" i="99"/>
  <c r="I113" i="99"/>
  <c r="AB113" i="99"/>
  <c r="U113" i="99"/>
  <c r="O113" i="99"/>
  <c r="F113" i="99"/>
  <c r="AD113" i="99"/>
  <c r="X113" i="99"/>
  <c r="AN184" i="99"/>
  <c r="AN185" i="99"/>
  <c r="AI153" i="99"/>
  <c r="AI155" i="99"/>
  <c r="AI156" i="99"/>
  <c r="AI144" i="99"/>
  <c r="AM160" i="99"/>
  <c r="AM157" i="99"/>
  <c r="AM159" i="99"/>
  <c r="K113" i="99"/>
  <c r="AC113" i="99"/>
  <c r="M113" i="99"/>
  <c r="AG113" i="99"/>
  <c r="AN153" i="99"/>
  <c r="AN155" i="99"/>
  <c r="AN156" i="99"/>
  <c r="AN144" i="99"/>
  <c r="Q113" i="99"/>
  <c r="AH157" i="99"/>
  <c r="AH159" i="99"/>
  <c r="AH160" i="99"/>
  <c r="AM228" i="99"/>
  <c r="AN33" i="100"/>
  <c r="AM227" i="99"/>
  <c r="AM119" i="99"/>
  <c r="T113" i="99"/>
  <c r="AF113" i="99"/>
  <c r="V113" i="99"/>
  <c r="E113" i="99"/>
  <c r="H113" i="99"/>
  <c r="AE113" i="99"/>
  <c r="AO26" i="99"/>
  <c r="AP18" i="100"/>
  <c r="AO180" i="99"/>
  <c r="AO51" i="99"/>
  <c r="AH228" i="99"/>
  <c r="AH33" i="100"/>
  <c r="AH227" i="99"/>
  <c r="AH119" i="99"/>
  <c r="AI184" i="99"/>
  <c r="AI185" i="99"/>
  <c r="AJ51" i="99"/>
  <c r="AJ180" i="99"/>
  <c r="AJ18" i="100"/>
  <c r="AJ26" i="99"/>
  <c r="AK22" i="99"/>
  <c r="AJ13" i="100"/>
  <c r="AL11" i="100"/>
  <c r="AG102" i="100"/>
  <c r="D113" i="99"/>
  <c r="S113" i="99"/>
  <c r="P113" i="99"/>
  <c r="AK98" i="100"/>
  <c r="AD100" i="100"/>
  <c r="AH91" i="100"/>
  <c r="AH93" i="100"/>
  <c r="AH53" i="100"/>
  <c r="AH56" i="100"/>
  <c r="AH24" i="100"/>
  <c r="AN53" i="100"/>
  <c r="AN56" i="100"/>
  <c r="AN91" i="100"/>
  <c r="AN93" i="100"/>
  <c r="AN24" i="100"/>
  <c r="AN70" i="100"/>
  <c r="AH70" i="100"/>
  <c r="AJ97" i="100"/>
  <c r="AL97" i="100"/>
  <c r="AJ21" i="100"/>
  <c r="AL18" i="100"/>
  <c r="AP97" i="100"/>
  <c r="AP21" i="100"/>
  <c r="AP54" i="100"/>
  <c r="AN30" i="100"/>
  <c r="AN60" i="100"/>
  <c r="AN101" i="100"/>
  <c r="AN145" i="99"/>
  <c r="AN147" i="99"/>
  <c r="AN148" i="99"/>
  <c r="AI157" i="99"/>
  <c r="AI159" i="99"/>
  <c r="AI160" i="99"/>
  <c r="AL13" i="100"/>
  <c r="AH30" i="100"/>
  <c r="AH60" i="100"/>
  <c r="AH101" i="100"/>
  <c r="AO142" i="99"/>
  <c r="AO143" i="99"/>
  <c r="AO182" i="99"/>
  <c r="AO28" i="99"/>
  <c r="AN74" i="100"/>
  <c r="AN73" i="100"/>
  <c r="AN71" i="100"/>
  <c r="AN72" i="100"/>
  <c r="AN81" i="100"/>
  <c r="AG106" i="100"/>
  <c r="AN157" i="99"/>
  <c r="AN159" i="99"/>
  <c r="AN160" i="99"/>
  <c r="AI148" i="99"/>
  <c r="AI145" i="99"/>
  <c r="AI147" i="99"/>
  <c r="AK100" i="100"/>
  <c r="AD102" i="100"/>
  <c r="AJ142" i="99"/>
  <c r="AJ143" i="99"/>
  <c r="AJ182" i="99"/>
  <c r="AK26" i="99"/>
  <c r="AJ28" i="99"/>
  <c r="AH230" i="99"/>
  <c r="AM230" i="99"/>
  <c r="AJ185" i="99"/>
  <c r="AJ184" i="99"/>
  <c r="AK28" i="99"/>
  <c r="AD106" i="100"/>
  <c r="AK106" i="100"/>
  <c r="AK102" i="100"/>
  <c r="AN83" i="100"/>
  <c r="AN82" i="100"/>
  <c r="AN85" i="100"/>
  <c r="AN84" i="100"/>
  <c r="AN59" i="100"/>
  <c r="AN31" i="100"/>
  <c r="AN96" i="100"/>
  <c r="AN98" i="100"/>
  <c r="AN100" i="100"/>
  <c r="AN102" i="100"/>
  <c r="AH41" i="99"/>
  <c r="AI226" i="99"/>
  <c r="AJ153" i="99"/>
  <c r="AJ155" i="99"/>
  <c r="AJ156" i="99"/>
  <c r="AJ144" i="99"/>
  <c r="AO184" i="99"/>
  <c r="AO185" i="99"/>
  <c r="AH59" i="100"/>
  <c r="AH31" i="100"/>
  <c r="AJ54" i="100"/>
  <c r="AL54" i="100"/>
  <c r="AL21" i="100"/>
  <c r="AN226" i="99"/>
  <c r="AM41" i="99"/>
  <c r="AO153" i="99"/>
  <c r="AO155" i="99"/>
  <c r="AO156" i="99"/>
  <c r="AO144" i="99"/>
  <c r="AH71" i="100"/>
  <c r="AH73" i="100"/>
  <c r="AH72" i="100"/>
  <c r="AH74" i="100"/>
  <c r="AH81" i="100"/>
  <c r="AH96" i="100"/>
  <c r="AH98" i="100"/>
  <c r="AH100" i="100"/>
  <c r="AH102" i="100"/>
  <c r="AH39" i="100"/>
  <c r="AH40" i="100"/>
  <c r="AH42" i="99"/>
  <c r="AO157" i="99"/>
  <c r="AO159" i="99"/>
  <c r="AO160" i="99"/>
  <c r="AJ160" i="99"/>
  <c r="AJ157" i="99"/>
  <c r="AJ159" i="99"/>
  <c r="AH84" i="100"/>
  <c r="AH82" i="100"/>
  <c r="AH85" i="100"/>
  <c r="AH83" i="100"/>
  <c r="AO145" i="99"/>
  <c r="AO147" i="99"/>
  <c r="AO148" i="99"/>
  <c r="AN39" i="100"/>
  <c r="AN40" i="100"/>
  <c r="AM42" i="99"/>
  <c r="AJ145" i="99"/>
  <c r="AJ147" i="99"/>
  <c r="AJ148" i="99"/>
  <c r="AM115" i="99"/>
  <c r="AM116" i="99"/>
  <c r="AM44" i="99"/>
  <c r="AM105" i="99"/>
  <c r="AM67" i="99"/>
  <c r="AN61" i="100"/>
  <c r="AN42" i="100"/>
  <c r="AN46" i="100"/>
  <c r="AN47" i="100"/>
  <c r="AH115" i="99"/>
  <c r="AH116" i="99"/>
  <c r="AH105" i="99"/>
  <c r="AH44" i="99"/>
  <c r="AH67" i="99"/>
  <c r="AH61" i="100"/>
  <c r="AH42" i="100"/>
  <c r="AH46" i="100"/>
  <c r="AH47" i="100"/>
  <c r="AH101" i="99"/>
  <c r="AH64" i="99"/>
  <c r="AH75" i="99"/>
  <c r="AH30" i="99"/>
  <c r="AH71" i="99"/>
  <c r="AM189" i="99"/>
  <c r="AM130" i="99"/>
  <c r="AM132" i="99"/>
  <c r="AM106" i="99"/>
  <c r="AH109" i="100"/>
  <c r="AH111" i="100"/>
  <c r="AH113" i="100"/>
  <c r="AH64" i="100"/>
  <c r="AH66" i="100"/>
  <c r="AH189" i="99"/>
  <c r="AH130" i="99"/>
  <c r="AH132" i="99"/>
  <c r="AH106" i="99"/>
  <c r="AN109" i="100"/>
  <c r="AN111" i="100"/>
  <c r="AN64" i="100"/>
  <c r="AN66" i="100"/>
  <c r="AM75" i="99"/>
  <c r="AM71" i="99"/>
  <c r="AM64" i="99"/>
  <c r="AM30" i="99"/>
  <c r="AM101" i="99"/>
  <c r="AM78" i="99"/>
  <c r="AM79" i="99"/>
  <c r="AM72" i="99"/>
  <c r="AM73" i="99"/>
  <c r="AH32" i="99"/>
  <c r="AH54" i="99"/>
  <c r="AH57" i="99"/>
  <c r="AH45" i="100"/>
  <c r="AH104" i="100"/>
  <c r="AH106" i="100"/>
  <c r="AH187" i="99"/>
  <c r="AH52" i="99"/>
  <c r="AH53" i="99"/>
  <c r="AH120" i="99"/>
  <c r="AM76" i="99"/>
  <c r="AH76" i="99"/>
  <c r="AM32" i="99"/>
  <c r="AM54" i="99"/>
  <c r="AM57" i="99"/>
  <c r="AN45" i="100"/>
  <c r="AN104" i="100"/>
  <c r="AN106" i="100"/>
  <c r="AM187" i="99"/>
  <c r="AM52" i="99"/>
  <c r="AM53" i="99"/>
  <c r="AM120" i="99"/>
  <c r="AM133" i="99"/>
  <c r="AH100" i="99"/>
  <c r="AH99" i="99"/>
  <c r="AM99" i="99"/>
  <c r="AM100" i="99"/>
  <c r="AH133" i="99"/>
  <c r="AH78" i="99"/>
  <c r="AH79" i="99"/>
  <c r="AH72" i="99"/>
  <c r="AH73" i="99"/>
  <c r="AH134" i="99"/>
  <c r="AH136" i="99"/>
  <c r="AH137" i="99"/>
  <c r="AH112" i="99"/>
  <c r="AH111" i="99"/>
  <c r="AM134" i="99"/>
  <c r="AM136" i="99"/>
  <c r="AM137" i="99"/>
  <c r="AM111" i="99"/>
  <c r="AM112" i="99"/>
  <c r="AH121" i="99"/>
  <c r="AH122" i="99"/>
  <c r="AM121" i="99"/>
  <c r="AM122" i="99"/>
  <c r="AH67" i="100"/>
  <c r="AH113" i="99"/>
  <c r="AM113" i="99"/>
  <c r="AI6" i="100"/>
  <c r="AI15" i="100"/>
  <c r="AI110" i="99"/>
  <c r="AN110" i="99"/>
  <c r="AO6" i="100"/>
  <c r="AO15" i="100"/>
  <c r="AI227" i="99"/>
  <c r="AI228" i="99"/>
  <c r="AI33" i="100"/>
  <c r="AI119" i="99"/>
  <c r="AN119" i="99"/>
  <c r="AN228" i="99"/>
  <c r="AO33" i="100"/>
  <c r="AN227" i="99"/>
  <c r="AO53" i="100"/>
  <c r="AO56" i="100"/>
  <c r="AO24" i="100"/>
  <c r="AO70" i="100"/>
  <c r="AO91" i="100"/>
  <c r="AO93" i="100"/>
  <c r="AI53" i="100"/>
  <c r="AI56" i="100"/>
  <c r="AI24" i="100"/>
  <c r="AI91" i="100"/>
  <c r="AI93" i="100"/>
  <c r="AN230" i="99"/>
  <c r="AO226" i="99"/>
  <c r="AI230" i="99"/>
  <c r="AJ226" i="99"/>
  <c r="AI70" i="100"/>
  <c r="AO30" i="100"/>
  <c r="AO60" i="100"/>
  <c r="AO101" i="100"/>
  <c r="AI30" i="100"/>
  <c r="AI60" i="100"/>
  <c r="AI101" i="100"/>
  <c r="AO72" i="100"/>
  <c r="AO74" i="100"/>
  <c r="AO73" i="100"/>
  <c r="AO71" i="100"/>
  <c r="AO81" i="100"/>
  <c r="AN41" i="99"/>
  <c r="AI41" i="99"/>
  <c r="AI42" i="99"/>
  <c r="AO59" i="100"/>
  <c r="AO31" i="100"/>
  <c r="AO96" i="100"/>
  <c r="AO98" i="100"/>
  <c r="AO100" i="100"/>
  <c r="AO102" i="100"/>
  <c r="AO39" i="100"/>
  <c r="AO40" i="100"/>
  <c r="AN42" i="99"/>
  <c r="AI59" i="100"/>
  <c r="AI31" i="100"/>
  <c r="AO82" i="100"/>
  <c r="AO83" i="100"/>
  <c r="AO84" i="100"/>
  <c r="AO85" i="100"/>
  <c r="AI73" i="100"/>
  <c r="AI71" i="100"/>
  <c r="AI72" i="100"/>
  <c r="AI74" i="100"/>
  <c r="AI81" i="100"/>
  <c r="AI39" i="100"/>
  <c r="AI40" i="100"/>
  <c r="AI61" i="100"/>
  <c r="AI109" i="100"/>
  <c r="AI111" i="100"/>
  <c r="AI96" i="100"/>
  <c r="AI98" i="100"/>
  <c r="AI100" i="100"/>
  <c r="AI102" i="100"/>
  <c r="AI82" i="100"/>
  <c r="AI83" i="100"/>
  <c r="AI84" i="100"/>
  <c r="AI85" i="100"/>
  <c r="AN115" i="99"/>
  <c r="AN116" i="99"/>
  <c r="AN105" i="99"/>
  <c r="AN44" i="99"/>
  <c r="AN67" i="99"/>
  <c r="AI115" i="99"/>
  <c r="AI116" i="99"/>
  <c r="AI105" i="99"/>
  <c r="AI44" i="99"/>
  <c r="AI67" i="99"/>
  <c r="AO61" i="100"/>
  <c r="AO109" i="100"/>
  <c r="AO111" i="100"/>
  <c r="AO42" i="100"/>
  <c r="AO46" i="100"/>
  <c r="AO47" i="100"/>
  <c r="AI42" i="100"/>
  <c r="AI46" i="100"/>
  <c r="AI47" i="100"/>
  <c r="AI189" i="99"/>
  <c r="AI130" i="99"/>
  <c r="AI132" i="99"/>
  <c r="AI133" i="99"/>
  <c r="AI106" i="99"/>
  <c r="AO64" i="100"/>
  <c r="AO66" i="100"/>
  <c r="AI64" i="100"/>
  <c r="AI66" i="100"/>
  <c r="AI64" i="99"/>
  <c r="AI101" i="99"/>
  <c r="AI71" i="99"/>
  <c r="AI30" i="99"/>
  <c r="AI75" i="99"/>
  <c r="AN101" i="99"/>
  <c r="AN64" i="99"/>
  <c r="AN30" i="99"/>
  <c r="AN75" i="99"/>
  <c r="AN71" i="99"/>
  <c r="AN189" i="99"/>
  <c r="AN130" i="99"/>
  <c r="AN132" i="99"/>
  <c r="AN133" i="99"/>
  <c r="AN106" i="99"/>
  <c r="AI113" i="100"/>
  <c r="AN134" i="99"/>
  <c r="AN136" i="99"/>
  <c r="AN137" i="99"/>
  <c r="AN76" i="99"/>
  <c r="AN52" i="99"/>
  <c r="AN53" i="99"/>
  <c r="AN120" i="99"/>
  <c r="AN121" i="99"/>
  <c r="AN122" i="99"/>
  <c r="AO45" i="100"/>
  <c r="AO104" i="100"/>
  <c r="AO106" i="100"/>
  <c r="AN32" i="99"/>
  <c r="AN54" i="99"/>
  <c r="AN57" i="99"/>
  <c r="AN187" i="99"/>
  <c r="AI76" i="99"/>
  <c r="AI100" i="99"/>
  <c r="AI99" i="99"/>
  <c r="AI134" i="99"/>
  <c r="AI136" i="99"/>
  <c r="AI137" i="99"/>
  <c r="AN72" i="99"/>
  <c r="AN73" i="99"/>
  <c r="AN78" i="99"/>
  <c r="AN79" i="99"/>
  <c r="AI72" i="99"/>
  <c r="AI73" i="99"/>
  <c r="AI78" i="99"/>
  <c r="AI79" i="99"/>
  <c r="AN100" i="99"/>
  <c r="AN99" i="99"/>
  <c r="AI45" i="100"/>
  <c r="AI104" i="100"/>
  <c r="AI106" i="100"/>
  <c r="AI187" i="99"/>
  <c r="AI52" i="99"/>
  <c r="AI53" i="99"/>
  <c r="AI120" i="99"/>
  <c r="AI121" i="99"/>
  <c r="AI122" i="99"/>
  <c r="AI32" i="99"/>
  <c r="AI54" i="99"/>
  <c r="AI57" i="99"/>
  <c r="AI67" i="100"/>
  <c r="AI112" i="99"/>
  <c r="AI111" i="99"/>
  <c r="AN111" i="99"/>
  <c r="AN112" i="99"/>
  <c r="AN113" i="99"/>
  <c r="AP6" i="100"/>
  <c r="AP15" i="100"/>
  <c r="AO110" i="99"/>
  <c r="AI113" i="99"/>
  <c r="AJ6" i="100"/>
  <c r="AO119" i="99"/>
  <c r="AO227" i="99"/>
  <c r="AP53" i="100"/>
  <c r="AP56" i="100"/>
  <c r="AP91" i="100"/>
  <c r="AP93" i="100"/>
  <c r="AP24" i="100"/>
  <c r="AL6" i="100"/>
  <c r="AJ15" i="100"/>
  <c r="AO228" i="99"/>
  <c r="AP33" i="100"/>
  <c r="AP30" i="100"/>
  <c r="AP70" i="100"/>
  <c r="AJ110" i="99"/>
  <c r="AO230" i="99"/>
  <c r="AO41" i="99"/>
  <c r="AP39" i="100"/>
  <c r="AP40" i="100"/>
  <c r="AP61" i="100"/>
  <c r="AP109" i="100"/>
  <c r="AP111" i="100"/>
  <c r="AP59" i="100"/>
  <c r="AP31" i="100"/>
  <c r="AJ24" i="100"/>
  <c r="AJ53" i="100"/>
  <c r="AJ91" i="100"/>
  <c r="AL15" i="100"/>
  <c r="AJ227" i="99"/>
  <c r="AJ119" i="99"/>
  <c r="AP74" i="100"/>
  <c r="AP71" i="100"/>
  <c r="AP73" i="100"/>
  <c r="AP72" i="100"/>
  <c r="AP81" i="100"/>
  <c r="AP60" i="100"/>
  <c r="AP101" i="100"/>
  <c r="AO42" i="99"/>
  <c r="AO44" i="99"/>
  <c r="AP42" i="100"/>
  <c r="AP46" i="100"/>
  <c r="AP47" i="100"/>
  <c r="AJ56" i="100"/>
  <c r="AL53" i="100"/>
  <c r="AP82" i="100"/>
  <c r="AP83" i="100"/>
  <c r="AP84" i="100"/>
  <c r="AP85" i="100"/>
  <c r="AJ70" i="100"/>
  <c r="AL24" i="100"/>
  <c r="AO115" i="99"/>
  <c r="AO116" i="99"/>
  <c r="AJ228" i="99"/>
  <c r="AJ33" i="100"/>
  <c r="AP96" i="100"/>
  <c r="AP98" i="100"/>
  <c r="AP100" i="100"/>
  <c r="AP102" i="100"/>
  <c r="AJ93" i="100"/>
  <c r="AL91" i="100"/>
  <c r="AP64" i="100"/>
  <c r="AP66" i="100"/>
  <c r="AO105" i="99"/>
  <c r="AO67" i="99"/>
  <c r="AO71" i="99"/>
  <c r="AO189" i="99"/>
  <c r="AO106" i="99"/>
  <c r="AO130" i="99"/>
  <c r="AO132" i="99"/>
  <c r="AO133" i="99"/>
  <c r="AL56" i="100"/>
  <c r="AJ71" i="100"/>
  <c r="AJ73" i="100"/>
  <c r="AJ74" i="100"/>
  <c r="AJ72" i="100"/>
  <c r="AL70" i="100"/>
  <c r="AJ81" i="100"/>
  <c r="AL93" i="100"/>
  <c r="AJ30" i="100"/>
  <c r="AJ60" i="100"/>
  <c r="AL33" i="100"/>
  <c r="AJ230" i="99"/>
  <c r="AJ41" i="99"/>
  <c r="AO75" i="99"/>
  <c r="AO76" i="99"/>
  <c r="AO64" i="99"/>
  <c r="AO30" i="99"/>
  <c r="AP45" i="100"/>
  <c r="AP104" i="100"/>
  <c r="AP106" i="100"/>
  <c r="AO101" i="99"/>
  <c r="AJ101" i="100"/>
  <c r="AL60" i="100"/>
  <c r="AJ82" i="100"/>
  <c r="AJ85" i="100"/>
  <c r="AJ84" i="100"/>
  <c r="AJ83" i="100"/>
  <c r="AL81" i="100"/>
  <c r="AO134" i="99"/>
  <c r="AO136" i="99"/>
  <c r="AO137" i="99"/>
  <c r="AK41" i="99"/>
  <c r="AJ39" i="100"/>
  <c r="AJ42" i="99"/>
  <c r="AJ59" i="100"/>
  <c r="AJ31" i="100"/>
  <c r="AL30" i="100"/>
  <c r="AO78" i="99"/>
  <c r="AO79" i="99"/>
  <c r="AO72" i="99"/>
  <c r="AO73" i="99"/>
  <c r="AO99" i="99"/>
  <c r="AO100" i="99"/>
  <c r="AO32" i="99"/>
  <c r="AO54" i="99"/>
  <c r="AO57" i="99"/>
  <c r="AO111" i="99"/>
  <c r="AO52" i="99"/>
  <c r="AO53" i="99"/>
  <c r="AO120" i="99"/>
  <c r="AO121" i="99"/>
  <c r="AO122" i="99"/>
  <c r="AO187" i="99"/>
  <c r="AK42" i="99"/>
  <c r="AJ44" i="99"/>
  <c r="AJ115" i="99"/>
  <c r="AJ116" i="99"/>
  <c r="AJ105" i="99"/>
  <c r="AJ67" i="99"/>
  <c r="AO112" i="99"/>
  <c r="AJ40" i="100"/>
  <c r="AL39" i="100"/>
  <c r="AJ96" i="100"/>
  <c r="AL31" i="100"/>
  <c r="AL101" i="100"/>
  <c r="AO113" i="99"/>
  <c r="AJ61" i="100"/>
  <c r="AL40" i="100"/>
  <c r="AJ42" i="100"/>
  <c r="AJ98" i="100"/>
  <c r="AL96" i="100"/>
  <c r="AJ130" i="99"/>
  <c r="AJ132" i="99"/>
  <c r="AJ133" i="99"/>
  <c r="AK44" i="99"/>
  <c r="AJ106" i="99"/>
  <c r="AJ189" i="99"/>
  <c r="AJ64" i="99"/>
  <c r="AJ71" i="99"/>
  <c r="AJ75" i="99"/>
  <c r="AJ76" i="99"/>
  <c r="AJ101" i="99"/>
  <c r="AJ30" i="99"/>
  <c r="AJ78" i="99"/>
  <c r="AJ79" i="99"/>
  <c r="AJ72" i="99"/>
  <c r="AJ73" i="99"/>
  <c r="AJ187" i="99"/>
  <c r="AJ52" i="99"/>
  <c r="AJ53" i="99"/>
  <c r="AJ120" i="99"/>
  <c r="AJ121" i="99"/>
  <c r="AJ122" i="99"/>
  <c r="AJ45" i="100"/>
  <c r="AJ32" i="99"/>
  <c r="AK30" i="99"/>
  <c r="AJ100" i="99"/>
  <c r="AJ99" i="99"/>
  <c r="AL98" i="100"/>
  <c r="AJ100" i="100"/>
  <c r="AL42" i="100"/>
  <c r="AJ46" i="100"/>
  <c r="AJ134" i="99"/>
  <c r="AJ136" i="99"/>
  <c r="AJ137" i="99"/>
  <c r="AJ109" i="100"/>
  <c r="AL61" i="100"/>
  <c r="AJ64" i="100"/>
  <c r="AL64" i="100"/>
  <c r="AJ66" i="100"/>
  <c r="AL100" i="100"/>
  <c r="AJ102" i="100"/>
  <c r="AJ47" i="100"/>
  <c r="AL46" i="100"/>
  <c r="AJ54" i="99"/>
  <c r="AJ57" i="99"/>
  <c r="AK32" i="99"/>
  <c r="AL109" i="100"/>
  <c r="AJ111" i="100"/>
  <c r="AJ104" i="100"/>
  <c r="AL104" i="100"/>
  <c r="AL45" i="100"/>
  <c r="AJ106" i="100"/>
  <c r="AL106" i="100"/>
  <c r="AL102" i="100"/>
  <c r="AJ111" i="99"/>
  <c r="AJ112" i="99"/>
  <c r="AL111" i="100"/>
  <c r="AJ113" i="100"/>
  <c r="AJ67" i="100"/>
  <c r="AL66" i="100"/>
  <c r="AJ113" i="99"/>
  <c r="CD34" i="81"/>
  <c r="A4" i="107"/>
  <c r="A4" i="105"/>
  <c r="A4" i="82"/>
  <c r="A4" i="103"/>
  <c r="A4" i="109"/>
  <c r="CB8" i="81" l="1"/>
  <c r="CB14" i="81"/>
  <c r="CB6" i="81"/>
  <c r="CB12" i="81"/>
  <c r="B15" i="81"/>
  <c r="B13" i="81" s="1"/>
  <c r="CB15" i="81"/>
  <c r="CB4" i="81"/>
  <c r="CB2" i="81"/>
  <c r="CC2" i="81" s="1"/>
  <c r="CB13" i="81"/>
  <c r="CB7" i="81"/>
  <c r="CB9" i="81"/>
  <c r="CB3" i="81"/>
  <c r="CC3" i="81" s="1"/>
  <c r="CC4" i="81" l="1"/>
  <c r="CD3" i="81"/>
  <c r="CD2" i="81"/>
  <c r="CE2" i="81" l="1"/>
  <c r="CC5" i="81"/>
  <c r="CE3" i="81"/>
  <c r="CF3" i="81"/>
  <c r="K121" i="6" s="1"/>
  <c r="CF2" i="81"/>
  <c r="K120" i="6" s="1"/>
  <c r="CE4" i="81"/>
  <c r="K223" i="6"/>
  <c r="CF5" i="81"/>
  <c r="K123" i="6" s="1"/>
  <c r="CF4" i="81"/>
  <c r="K122" i="6" s="1"/>
  <c r="K224" i="6" l="1"/>
  <c r="CC6" i="81"/>
  <c r="K226" i="6"/>
  <c r="K327" i="6"/>
  <c r="K326" i="6"/>
  <c r="K225" i="6"/>
  <c r="CG2" i="81" l="1"/>
  <c r="K115" i="6" s="1"/>
  <c r="CH3" i="81"/>
  <c r="K110" i="6" s="1"/>
  <c r="CG6" i="81"/>
  <c r="K119" i="6" s="1"/>
  <c r="CG3" i="81"/>
  <c r="K116" i="6" s="1"/>
  <c r="CC7" i="81"/>
  <c r="CG4" i="81"/>
  <c r="K117" i="6" s="1"/>
  <c r="CG5" i="81"/>
  <c r="K118" i="6" s="1"/>
  <c r="K329" i="6"/>
  <c r="K328" i="6"/>
  <c r="K429" i="6"/>
  <c r="K430" i="6"/>
  <c r="K220" i="6" l="1"/>
  <c r="CJ3" i="81"/>
  <c r="K95" i="6" s="1"/>
  <c r="K213" i="6"/>
  <c r="CH7" i="81"/>
  <c r="K114" i="6" s="1"/>
  <c r="K218" i="6"/>
  <c r="K126" i="6"/>
  <c r="CJ5" i="81"/>
  <c r="K97" i="6" s="1"/>
  <c r="CH2" i="81"/>
  <c r="K109" i="6" s="1"/>
  <c r="K219" i="6"/>
  <c r="CH6" i="81"/>
  <c r="K113" i="6" s="1"/>
  <c r="CC8" i="81"/>
  <c r="K222" i="6"/>
  <c r="CC9" i="81"/>
  <c r="K221" i="6"/>
  <c r="CH5" i="81"/>
  <c r="K112" i="6" s="1"/>
  <c r="CH4" i="81"/>
  <c r="K111" i="6" s="1"/>
  <c r="CJ4" i="81"/>
  <c r="K96" i="6" s="1"/>
  <c r="K432" i="6"/>
  <c r="K533" i="6"/>
  <c r="K431" i="6"/>
  <c r="K532" i="6"/>
  <c r="K199" i="6" l="1"/>
  <c r="CJ9" i="81"/>
  <c r="K101" i="6" s="1"/>
  <c r="CI8" i="81"/>
  <c r="K108" i="6" s="1"/>
  <c r="CJ8" i="81"/>
  <c r="K100" i="6" s="1"/>
  <c r="CI2" i="81"/>
  <c r="K102" i="6" s="1"/>
  <c r="CJ2" i="81"/>
  <c r="K94" i="6" s="1"/>
  <c r="K214" i="6"/>
  <c r="K325" i="6"/>
  <c r="K216" i="6"/>
  <c r="K229" i="6"/>
  <c r="CI5" i="81"/>
  <c r="K105" i="6" s="1"/>
  <c r="K198" i="6"/>
  <c r="K215" i="6"/>
  <c r="CC10" i="81"/>
  <c r="K321" i="6"/>
  <c r="CI6" i="81"/>
  <c r="K106" i="6" s="1"/>
  <c r="K212" i="6"/>
  <c r="CJ7" i="81"/>
  <c r="K99" i="6" s="1"/>
  <c r="K322" i="6"/>
  <c r="K324" i="6"/>
  <c r="CI4" i="81"/>
  <c r="K104" i="6" s="1"/>
  <c r="CI7" i="81"/>
  <c r="K107" i="6" s="1"/>
  <c r="K323" i="6"/>
  <c r="K200" i="6"/>
  <c r="K217" i="6"/>
  <c r="CK5" i="81"/>
  <c r="K88" i="6" s="1"/>
  <c r="CI3" i="81"/>
  <c r="K103" i="6" s="1"/>
  <c r="K316" i="6"/>
  <c r="CJ6" i="81"/>
  <c r="K98" i="6" s="1"/>
  <c r="K635" i="6"/>
  <c r="K535" i="6"/>
  <c r="K636" i="6"/>
  <c r="K534" i="6"/>
  <c r="CL7" i="81" l="1"/>
  <c r="K426" i="6"/>
  <c r="K424" i="6"/>
  <c r="K205" i="6"/>
  <c r="K425" i="6"/>
  <c r="K208" i="6"/>
  <c r="K191" i="6"/>
  <c r="K332" i="6"/>
  <c r="K203" i="6"/>
  <c r="K210" i="6"/>
  <c r="K202" i="6"/>
  <c r="CK10" i="81"/>
  <c r="K93" i="6" s="1"/>
  <c r="CC11" i="81"/>
  <c r="CL2" i="81"/>
  <c r="CC12" i="81"/>
  <c r="CM10" i="81" s="1"/>
  <c r="K71" i="6" s="1"/>
  <c r="CL8" i="81"/>
  <c r="CL6" i="81"/>
  <c r="CL9" i="81"/>
  <c r="CC13" i="81"/>
  <c r="CM8" i="81"/>
  <c r="K69" i="6" s="1"/>
  <c r="CL10" i="81"/>
  <c r="K211" i="6"/>
  <c r="K201" i="6"/>
  <c r="CL3" i="81"/>
  <c r="K207" i="6"/>
  <c r="K315" i="6"/>
  <c r="CK4" i="81"/>
  <c r="K87" i="6" s="1"/>
  <c r="K319" i="6"/>
  <c r="K197" i="6"/>
  <c r="CK9" i="81"/>
  <c r="K92" i="6" s="1"/>
  <c r="K419" i="6"/>
  <c r="K320" i="6"/>
  <c r="CL4" i="81"/>
  <c r="K318" i="6"/>
  <c r="CK7" i="81"/>
  <c r="K90" i="6" s="1"/>
  <c r="K204" i="6"/>
  <c r="K427" i="6"/>
  <c r="K209" i="6"/>
  <c r="K428" i="6"/>
  <c r="CK8" i="81"/>
  <c r="K91" i="6" s="1"/>
  <c r="K302" i="6"/>
  <c r="K206" i="6"/>
  <c r="K303" i="6"/>
  <c r="CL5" i="81"/>
  <c r="K301" i="6"/>
  <c r="CK2" i="81"/>
  <c r="K85" i="6" s="1"/>
  <c r="CK3" i="81"/>
  <c r="K86" i="6" s="1"/>
  <c r="K317" i="6"/>
  <c r="CK6" i="81"/>
  <c r="K89" i="6" s="1"/>
  <c r="K637" i="6"/>
  <c r="K638" i="6"/>
  <c r="K739" i="6"/>
  <c r="K738" i="6"/>
  <c r="K190" i="6" l="1"/>
  <c r="B58" i="6" a="1"/>
  <c r="B58" i="6" s="1"/>
  <c r="B89" i="6" a="1"/>
  <c r="B89" i="6" s="1"/>
  <c r="B28" i="6" a="1"/>
  <c r="B28" i="6" s="1"/>
  <c r="B79" i="6" a="1"/>
  <c r="B79" i="6" s="1"/>
  <c r="B46" i="6" a="1"/>
  <c r="B46" i="6" s="1"/>
  <c r="B97" i="6" a="1"/>
  <c r="B97" i="6" s="1"/>
  <c r="B34" i="6" a="1"/>
  <c r="B34" i="6" s="1"/>
  <c r="B92" i="6" a="1"/>
  <c r="B92" i="6" s="1"/>
  <c r="B80" i="6" a="1"/>
  <c r="B80" i="6" s="1"/>
  <c r="B82" i="6" a="1"/>
  <c r="B82" i="6" s="1"/>
  <c r="K78" i="6"/>
  <c r="B49" i="6" a="1"/>
  <c r="B49" i="6" s="1"/>
  <c r="K404" i="6"/>
  <c r="K174" i="6"/>
  <c r="K314" i="6"/>
  <c r="K194" i="6"/>
  <c r="K307" i="6"/>
  <c r="K522" i="6"/>
  <c r="K418" i="6"/>
  <c r="K313" i="6"/>
  <c r="K308" i="6"/>
  <c r="B217" i="6" a="1"/>
  <c r="B217" i="6" s="1"/>
  <c r="B380" i="6" a="1"/>
  <c r="B380" i="6" s="1"/>
  <c r="B551" i="6" a="1"/>
  <c r="B551" i="6" s="1"/>
  <c r="B421" i="6" a="1"/>
  <c r="B421" i="6" s="1"/>
  <c r="B720" i="6" a="1"/>
  <c r="B720" i="6" s="1"/>
  <c r="B890" i="6" a="1"/>
  <c r="B890" i="6" s="1"/>
  <c r="B160" i="6" a="1"/>
  <c r="B160" i="6" s="1"/>
  <c r="B108" i="6" a="1"/>
  <c r="B108" i="6" s="1"/>
  <c r="B585" i="6" a="1"/>
  <c r="B585" i="6" s="1"/>
  <c r="B812" i="6" a="1"/>
  <c r="B812" i="6" s="1"/>
  <c r="B975" i="6" a="1"/>
  <c r="B975" i="6" s="1"/>
  <c r="B432" i="6" a="1"/>
  <c r="B432" i="6" s="1"/>
  <c r="B686" i="6" a="1"/>
  <c r="B686" i="6" s="1"/>
  <c r="B77" i="6" a="1"/>
  <c r="B77" i="6" s="1"/>
  <c r="B523" i="6" a="1"/>
  <c r="B523" i="6" s="1"/>
  <c r="B982" i="6" a="1"/>
  <c r="B982" i="6" s="1"/>
  <c r="B336" i="6" a="1"/>
  <c r="B336" i="6" s="1"/>
  <c r="B891" i="6" a="1"/>
  <c r="B891" i="6" s="1"/>
  <c r="B38" i="6" a="1"/>
  <c r="B38" i="6" s="1"/>
  <c r="B755" i="6" a="1"/>
  <c r="B755" i="6" s="1"/>
  <c r="B370" i="6" a="1"/>
  <c r="B370" i="6" s="1"/>
  <c r="B234" i="6" a="1"/>
  <c r="B234" i="6" s="1"/>
  <c r="B398" i="6" a="1"/>
  <c r="B398" i="6" s="1"/>
  <c r="B608" i="6" a="1"/>
  <c r="B608" i="6" s="1"/>
  <c r="B500" i="6" a="1"/>
  <c r="B500" i="6" s="1"/>
  <c r="B737" i="6" a="1"/>
  <c r="B737" i="6" s="1"/>
  <c r="B948" i="6" a="1"/>
  <c r="B948" i="6" s="1"/>
  <c r="B261" i="6" a="1"/>
  <c r="B261" i="6" s="1"/>
  <c r="B194" i="6" a="1"/>
  <c r="B194" i="6" s="1"/>
  <c r="L204" i="6" s="1"/>
  <c r="D194" i="6" s="1"/>
  <c r="B619" i="6" a="1"/>
  <c r="B619" i="6" s="1"/>
  <c r="B805" i="6" a="1"/>
  <c r="B805" i="6" s="1"/>
  <c r="B993" i="6" a="1"/>
  <c r="B993" i="6" s="1"/>
  <c r="B466" i="6" a="1"/>
  <c r="B466" i="6" s="1"/>
  <c r="B744" i="6" a="1"/>
  <c r="B744" i="6" s="1"/>
  <c r="B200" i="6" a="1"/>
  <c r="B200" i="6" s="1"/>
  <c r="B636" i="6" a="1"/>
  <c r="B636" i="6" s="1"/>
  <c r="B1009" i="6" a="1"/>
  <c r="B1009" i="6" s="1"/>
  <c r="B449" i="6" a="1"/>
  <c r="B449" i="6" s="1"/>
  <c r="B924" i="6" a="1"/>
  <c r="B924" i="6" s="1"/>
  <c r="B176" i="6" a="1"/>
  <c r="B176" i="6" s="1"/>
  <c r="B806" i="6" a="1"/>
  <c r="B806" i="6" s="1"/>
  <c r="B483" i="6" a="1"/>
  <c r="B483" i="6" s="1"/>
  <c r="B44" i="6" a="1"/>
  <c r="B44" i="6" s="1"/>
  <c r="B285" i="6" a="1"/>
  <c r="B285" i="6" s="1"/>
  <c r="B472" i="6" a="1"/>
  <c r="B472" i="6" s="1"/>
  <c r="B143" i="6" a="1"/>
  <c r="B143" i="6" s="1"/>
  <c r="B584" i="6" a="1"/>
  <c r="B584" i="6" s="1"/>
  <c r="B788" i="6" a="1"/>
  <c r="B788" i="6" s="1"/>
  <c r="B958" i="6" a="1"/>
  <c r="B958" i="6" s="1"/>
  <c r="B330" i="6" a="1"/>
  <c r="B330" i="6" s="1"/>
  <c r="B262" i="6" a="1"/>
  <c r="B262" i="6" s="1"/>
  <c r="B669" i="6" a="1"/>
  <c r="B669" i="6" s="1"/>
  <c r="B880" i="6" a="1"/>
  <c r="B880" i="6" s="1"/>
  <c r="B32" i="6" a="1"/>
  <c r="B32" i="6" s="1"/>
  <c r="B149" i="6" a="1"/>
  <c r="B149" i="6" s="1"/>
  <c r="B822" i="6" a="1"/>
  <c r="B822" i="6" s="1"/>
  <c r="B431" i="6" a="1"/>
  <c r="B431" i="6" s="1"/>
  <c r="B738" i="6" a="1"/>
  <c r="B738" i="6" s="1"/>
  <c r="B296" i="6" a="1"/>
  <c r="B296" i="6" s="1"/>
  <c r="B652" i="6" a="1"/>
  <c r="B652" i="6" s="1"/>
  <c r="B177" i="6" a="1"/>
  <c r="B177" i="6" s="1"/>
  <c r="B465" i="6" a="1"/>
  <c r="B465" i="6" s="1"/>
  <c r="B914" i="6" a="1"/>
  <c r="B914" i="6" s="1"/>
  <c r="B642" i="6" a="1"/>
  <c r="B642" i="6" s="1"/>
  <c r="B54" i="6" a="1"/>
  <c r="B54" i="6" s="1"/>
  <c r="B302" i="6" a="1"/>
  <c r="B302" i="6" s="1"/>
  <c r="B489" i="6" a="1"/>
  <c r="B489" i="6" s="1"/>
  <c r="B193" i="6" a="1"/>
  <c r="B193" i="6" s="1"/>
  <c r="B618" i="6" a="1"/>
  <c r="B618" i="6" s="1"/>
  <c r="B829" i="6" a="1"/>
  <c r="B829" i="6" s="1"/>
  <c r="B992" i="6" a="1"/>
  <c r="B992" i="6" s="1"/>
  <c r="B455" i="6" a="1"/>
  <c r="B455" i="6" s="1"/>
  <c r="B387" i="6" a="1"/>
  <c r="B387" i="6" s="1"/>
  <c r="B727" i="6" a="1"/>
  <c r="B727" i="6" s="1"/>
  <c r="B873" i="6" a="1"/>
  <c r="B873" i="6" s="1"/>
  <c r="B211" i="6" a="1"/>
  <c r="B211" i="6" s="1"/>
  <c r="B278" i="6" a="1"/>
  <c r="B278" i="6" s="1"/>
  <c r="B856" i="6" a="1"/>
  <c r="B856" i="6" s="1"/>
  <c r="B591" i="6" a="1"/>
  <c r="B591" i="6" s="1"/>
  <c r="B771" i="6" a="1"/>
  <c r="B771" i="6" s="1"/>
  <c r="B381" i="6" a="1"/>
  <c r="B381" i="6" s="1"/>
  <c r="B704" i="6" a="1"/>
  <c r="B704" i="6" s="1"/>
  <c r="B244" i="6" a="1"/>
  <c r="B244" i="6" s="1"/>
  <c r="B557" i="6" a="1"/>
  <c r="B557" i="6" s="1"/>
  <c r="B942" i="6" a="1"/>
  <c r="B942" i="6" s="1"/>
  <c r="K77" i="6"/>
  <c r="B126" i="6" a="1"/>
  <c r="B126" i="6" s="1"/>
  <c r="B312" i="6" a="1"/>
  <c r="B312" i="6" s="1"/>
  <c r="L315" i="6" s="1"/>
  <c r="D312" i="6" s="1"/>
  <c r="B506" i="6" a="1"/>
  <c r="B506" i="6" s="1"/>
  <c r="B227" i="6" a="1"/>
  <c r="B227" i="6" s="1"/>
  <c r="B659" i="6" a="1"/>
  <c r="B659" i="6" s="1"/>
  <c r="B846" i="6" a="1"/>
  <c r="B846" i="6" s="1"/>
  <c r="B1010" i="6" a="1"/>
  <c r="B1010" i="6" s="1"/>
  <c r="B482" i="6" a="1"/>
  <c r="B482" i="6" s="1"/>
  <c r="B414" i="6" a="1"/>
  <c r="B414" i="6" s="1"/>
  <c r="L419" i="6" s="1"/>
  <c r="D414" i="6" s="1"/>
  <c r="B721" i="6" a="1"/>
  <c r="B721" i="6" s="1"/>
  <c r="B907" i="6" a="1"/>
  <c r="B907" i="6" s="1"/>
  <c r="B268" i="6" a="1"/>
  <c r="B268" i="6" s="1"/>
  <c r="B415" i="6" a="1"/>
  <c r="B415" i="6" s="1"/>
  <c r="B931" i="6" a="1"/>
  <c r="B931" i="6" s="1"/>
  <c r="B142" i="6" a="1"/>
  <c r="B142" i="6" s="1"/>
  <c r="B823" i="6" a="1"/>
  <c r="B823" i="6" s="1"/>
  <c r="B517" i="6" a="1"/>
  <c r="B517" i="6" s="1"/>
  <c r="B754" i="6" a="1"/>
  <c r="B754" i="6" s="1"/>
  <c r="B404" i="6" a="1"/>
  <c r="B404" i="6" s="1"/>
  <c r="B601" i="6" a="1"/>
  <c r="B601" i="6" s="1"/>
  <c r="B976" i="6" a="1"/>
  <c r="B976" i="6" s="1"/>
  <c r="B166" i="6" a="1"/>
  <c r="B166" i="6" s="1"/>
  <c r="B353" i="6" a="1"/>
  <c r="B353" i="6" s="1"/>
  <c r="B540" i="6" a="1"/>
  <c r="B540" i="6" s="1"/>
  <c r="B329" i="6" a="1"/>
  <c r="B329" i="6" s="1"/>
  <c r="B693" i="6" a="1"/>
  <c r="B693" i="6" s="1"/>
  <c r="B857" i="6" a="1"/>
  <c r="B857" i="6" s="1"/>
  <c r="B115" i="6" a="1"/>
  <c r="B115" i="6" s="1"/>
  <c r="B516" i="6" a="1"/>
  <c r="B516" i="6" s="1"/>
  <c r="B448" i="6" a="1"/>
  <c r="B448" i="6" s="1"/>
  <c r="B761" i="6" a="1"/>
  <c r="B761" i="6" s="1"/>
  <c r="B925" i="6" a="1"/>
  <c r="B925" i="6" s="1"/>
  <c r="B319" i="6" a="1"/>
  <c r="B319" i="6" s="1"/>
  <c r="B499" i="6" a="1"/>
  <c r="B499" i="6" s="1"/>
  <c r="B959" i="6" a="1"/>
  <c r="B959" i="6" s="1"/>
  <c r="B279" i="6" a="1"/>
  <c r="B279" i="6" s="1"/>
  <c r="B874" i="6" a="1"/>
  <c r="B874" i="6" s="1"/>
  <c r="B109" i="6" a="1"/>
  <c r="B109" i="6" s="1"/>
  <c r="B789" i="6" a="1"/>
  <c r="B789" i="6" s="1"/>
  <c r="B533" i="6" a="1"/>
  <c r="B533" i="6" s="1"/>
  <c r="B670" i="6" a="1"/>
  <c r="B670" i="6" s="1"/>
  <c r="B125" i="6" a="1"/>
  <c r="B125" i="6" s="1"/>
  <c r="B183" i="6" a="1"/>
  <c r="B183" i="6" s="1"/>
  <c r="B687" i="6" a="1"/>
  <c r="B687" i="6" s="1"/>
  <c r="B574" i="6" a="1"/>
  <c r="B574" i="6" s="1"/>
  <c r="B635" i="6" a="1"/>
  <c r="B635" i="6" s="1"/>
  <c r="B228" i="6" a="1"/>
  <c r="B228" i="6" s="1"/>
  <c r="B210" i="6" a="1"/>
  <c r="B210" i="6" s="1"/>
  <c r="B245" i="6" a="1"/>
  <c r="B245" i="6" s="1"/>
  <c r="B778" i="6" a="1"/>
  <c r="B778" i="6" s="1"/>
  <c r="B676" i="6" a="1"/>
  <c r="B676" i="6" s="1"/>
  <c r="B772" i="6" a="1"/>
  <c r="B772" i="6" s="1"/>
  <c r="B602" i="6" a="1"/>
  <c r="B602" i="6" s="1"/>
  <c r="B567" i="6" a="1"/>
  <c r="B567" i="6" s="1"/>
  <c r="B347" i="6" a="1"/>
  <c r="B347" i="6" s="1"/>
  <c r="B897" i="6" a="1"/>
  <c r="B897" i="6" s="1"/>
  <c r="B795" i="6" a="1"/>
  <c r="B795" i="6" s="1"/>
  <c r="B1016" i="6" a="1"/>
  <c r="B1016" i="6" s="1"/>
  <c r="B863" i="6" a="1"/>
  <c r="B863" i="6" s="1"/>
  <c r="B438" i="6" a="1"/>
  <c r="B438" i="6" s="1"/>
  <c r="B941" i="6" a="1"/>
  <c r="B941" i="6" s="1"/>
  <c r="B839" i="6" a="1"/>
  <c r="B839" i="6" s="1"/>
  <c r="B346" i="6" a="1"/>
  <c r="B346" i="6" s="1"/>
  <c r="B999" i="6" a="1"/>
  <c r="B999" i="6" s="1"/>
  <c r="B534" i="6" a="1"/>
  <c r="B534" i="6" s="1"/>
  <c r="B132" i="6" a="1"/>
  <c r="B132" i="6" s="1"/>
  <c r="B965" i="6" a="1"/>
  <c r="B965" i="6" s="1"/>
  <c r="B364" i="6" a="1"/>
  <c r="B364" i="6" s="1"/>
  <c r="B625" i="6" a="1"/>
  <c r="B625" i="6" s="1"/>
  <c r="B73" i="6" a="1"/>
  <c r="B73" i="6" s="1"/>
  <c r="B295" i="6" a="1"/>
  <c r="B295" i="6" s="1"/>
  <c r="B83" i="6" a="1"/>
  <c r="B83" i="6" s="1"/>
  <c r="B710" i="6" a="1"/>
  <c r="B710" i="6" s="1"/>
  <c r="B313" i="6" a="1"/>
  <c r="B313" i="6" s="1"/>
  <c r="B53" i="6" a="1"/>
  <c r="B53" i="6" s="1"/>
  <c r="B550" i="6" a="1"/>
  <c r="B550" i="6" s="1"/>
  <c r="B251" i="6" a="1"/>
  <c r="B251" i="6" s="1"/>
  <c r="B568" i="6" a="1"/>
  <c r="B568" i="6" s="1"/>
  <c r="B159" i="6" a="1"/>
  <c r="B159" i="6" s="1"/>
  <c r="B840" i="6" a="1"/>
  <c r="B840" i="6" s="1"/>
  <c r="B363" i="6" a="1"/>
  <c r="B363" i="6" s="1"/>
  <c r="B653" i="6" a="1"/>
  <c r="B653" i="6" s="1"/>
  <c r="B397" i="6" a="1"/>
  <c r="B397" i="6" s="1"/>
  <c r="B908" i="6" a="1"/>
  <c r="B908" i="6" s="1"/>
  <c r="B703" i="6" a="1"/>
  <c r="B703" i="6" s="1"/>
  <c r="L428" i="6"/>
  <c r="D416" i="6" s="1"/>
  <c r="K531" i="6"/>
  <c r="B67" i="6" a="1"/>
  <c r="B67" i="6" s="1"/>
  <c r="B272" i="6" a="1"/>
  <c r="B272" i="6" s="1"/>
  <c r="B450" i="6" a="1"/>
  <c r="B450" i="6" s="1"/>
  <c r="B629" i="6" a="1"/>
  <c r="B629" i="6" s="1"/>
  <c r="B766" i="6" a="1"/>
  <c r="B766" i="6" s="1"/>
  <c r="B909" i="6" a="1"/>
  <c r="B909" i="6" s="1"/>
  <c r="B119" i="6" a="1"/>
  <c r="B119" i="6" s="1"/>
  <c r="K82" i="6"/>
  <c r="B226" i="6" a="1"/>
  <c r="B226" i="6" s="1"/>
  <c r="B416" i="6" a="1"/>
  <c r="B416" i="6" s="1"/>
  <c r="B596" i="6" a="1"/>
  <c r="B596" i="6" s="1"/>
  <c r="B736" i="6" a="1"/>
  <c r="B736" i="6" s="1"/>
  <c r="B875" i="6" a="1"/>
  <c r="B875" i="6" s="1"/>
  <c r="B1004" i="6" a="1"/>
  <c r="B1004" i="6" s="1"/>
  <c r="B566" i="6" a="1"/>
  <c r="B566" i="6" s="1"/>
  <c r="B246" i="6" a="1"/>
  <c r="B246" i="6" s="1"/>
  <c r="B413" i="6" a="1"/>
  <c r="B413" i="6" s="1"/>
  <c r="B603" i="6" a="1"/>
  <c r="B603" i="6" s="1"/>
  <c r="B545" i="6" a="1"/>
  <c r="B545" i="6" s="1"/>
  <c r="B229" i="6" a="1"/>
  <c r="B229" i="6" s="1"/>
  <c r="B399" i="6" a="1"/>
  <c r="B399" i="6" s="1"/>
  <c r="B586" i="6" a="1"/>
  <c r="B586" i="6" s="1"/>
  <c r="B459" i="6" a="1"/>
  <c r="B459" i="6" s="1"/>
  <c r="B824" i="6" a="1"/>
  <c r="B824" i="6" s="1"/>
  <c r="B732" i="6" a="1"/>
  <c r="B732" i="6" s="1"/>
  <c r="B957" i="6" a="1"/>
  <c r="B957" i="6" s="1"/>
  <c r="B834" i="6" a="1"/>
  <c r="B834" i="6" s="1"/>
  <c r="B647" i="6" a="1"/>
  <c r="B647" i="6" s="1"/>
  <c r="B970" i="6" a="1"/>
  <c r="B970" i="6" s="1"/>
  <c r="B103" i="6" a="1"/>
  <c r="B103" i="6" s="1"/>
  <c r="B289" i="6" a="1"/>
  <c r="B289" i="6" s="1"/>
  <c r="B476" i="6" a="1"/>
  <c r="B476" i="6" s="1"/>
  <c r="B646" i="6" a="1"/>
  <c r="B646" i="6" s="1"/>
  <c r="B790" i="6" a="1"/>
  <c r="B790" i="6" s="1"/>
  <c r="B923" i="6" a="1"/>
  <c r="B923" i="6" s="1"/>
  <c r="B175" i="6" a="1"/>
  <c r="B175" i="6" s="1"/>
  <c r="B110" i="6" a="1"/>
  <c r="B110" i="6" s="1"/>
  <c r="B260" i="6" a="1"/>
  <c r="B260" i="6" s="1"/>
  <c r="B433" i="6" a="1"/>
  <c r="B433" i="6" s="1"/>
  <c r="B620" i="6" a="1"/>
  <c r="B620" i="6" s="1"/>
  <c r="L638" i="6" s="1"/>
  <c r="D620" i="6" s="1"/>
  <c r="B756" i="6" a="1"/>
  <c r="B756" i="6" s="1"/>
  <c r="B892" i="6" a="1"/>
  <c r="B892" i="6" s="1"/>
  <c r="B107" i="6" a="1"/>
  <c r="B107" i="6" s="1"/>
  <c r="B52" i="6" a="1"/>
  <c r="B52" i="6" s="1"/>
  <c r="B263" i="6" a="1"/>
  <c r="B263" i="6" s="1"/>
  <c r="B447" i="6" a="1"/>
  <c r="B447" i="6" s="1"/>
  <c r="B29" i="6" a="1"/>
  <c r="B29" i="6" s="1"/>
  <c r="B613" i="6" a="1"/>
  <c r="B613" i="6" s="1"/>
  <c r="B209" i="6" a="1"/>
  <c r="B209" i="6" s="1"/>
  <c r="B425" i="6" a="1"/>
  <c r="B425" i="6" s="1"/>
  <c r="B595" i="6" a="1"/>
  <c r="B595" i="6" s="1"/>
  <c r="B532" i="6" a="1"/>
  <c r="B532" i="6" s="1"/>
  <c r="B855" i="6" a="1"/>
  <c r="B855" i="6" s="1"/>
  <c r="B680" i="6" a="1"/>
  <c r="B680" i="6" s="1"/>
  <c r="B986" i="6" a="1"/>
  <c r="B986" i="6" s="1"/>
  <c r="B868" i="6" a="1"/>
  <c r="B868" i="6" s="1"/>
  <c r="B714" i="6" a="1"/>
  <c r="B714" i="6" s="1"/>
  <c r="B1011" i="6" a="1"/>
  <c r="B1011" i="6" s="1"/>
  <c r="B664" i="6" a="1"/>
  <c r="B664" i="6" s="1"/>
  <c r="B464" i="6" a="1"/>
  <c r="B464" i="6" s="1"/>
  <c r="B770" i="6" a="1"/>
  <c r="B770" i="6" s="1"/>
  <c r="B171" i="6" a="1"/>
  <c r="B171" i="6" s="1"/>
  <c r="B137" i="6" a="1"/>
  <c r="B137" i="6" s="1"/>
  <c r="B311" i="6" a="1"/>
  <c r="B311" i="6" s="1"/>
  <c r="B501" i="6" a="1"/>
  <c r="B501" i="6" s="1"/>
  <c r="B804" i="6" a="1"/>
  <c r="B804" i="6" s="1"/>
  <c r="B940" i="6" a="1"/>
  <c r="B940" i="6" s="1"/>
  <c r="B239" i="6" a="1"/>
  <c r="B239" i="6" s="1"/>
  <c r="B75" i="6" a="1"/>
  <c r="B75" i="6" s="1"/>
  <c r="B280" i="6" a="1"/>
  <c r="B280" i="6" s="1"/>
  <c r="B634" i="6" a="1"/>
  <c r="B634" i="6" s="1"/>
  <c r="B902" i="6" a="1"/>
  <c r="B902" i="6" s="1"/>
  <c r="B24" i="6" a="1"/>
  <c r="B24" i="6" s="1"/>
  <c r="B178" i="6" a="1"/>
  <c r="B178" i="6" s="1"/>
  <c r="B362" i="6" a="1"/>
  <c r="B362" i="6" s="1"/>
  <c r="B544" i="6" a="1"/>
  <c r="B544" i="6" s="1"/>
  <c r="B705" i="6" a="1"/>
  <c r="B705" i="6" s="1"/>
  <c r="B838" i="6" a="1"/>
  <c r="B838" i="6" s="1"/>
  <c r="B977" i="6" a="1"/>
  <c r="B977" i="6" s="1"/>
  <c r="B375" i="6" a="1"/>
  <c r="B375" i="6" s="1"/>
  <c r="B124" i="6" a="1"/>
  <c r="B124" i="6" s="1"/>
  <c r="B323" i="6" a="1"/>
  <c r="B323" i="6" s="1"/>
  <c r="B498" i="6" a="1"/>
  <c r="B498" i="6" s="1"/>
  <c r="B668" i="6" a="1"/>
  <c r="B668" i="6" s="1"/>
  <c r="B800" i="6" a="1"/>
  <c r="B800" i="6" s="1"/>
  <c r="B936" i="6" a="1"/>
  <c r="B936" i="6" s="1"/>
  <c r="B290" i="6" a="1"/>
  <c r="B290" i="6" s="1"/>
  <c r="B141" i="6" a="1"/>
  <c r="B141" i="6" s="1"/>
  <c r="B331" i="6" a="1"/>
  <c r="B331" i="6" s="1"/>
  <c r="B515" i="6" a="1"/>
  <c r="B515" i="6" s="1"/>
  <c r="B273" i="6" a="1"/>
  <c r="B273" i="6" s="1"/>
  <c r="B136" i="6" a="1"/>
  <c r="B136" i="6" s="1"/>
  <c r="B314" i="6" a="1"/>
  <c r="B314" i="6" s="1"/>
  <c r="B493" i="6" a="1"/>
  <c r="B493" i="6" s="1"/>
  <c r="B205" i="6" a="1"/>
  <c r="B205" i="6" s="1"/>
  <c r="B715" i="6" a="1"/>
  <c r="B715" i="6" s="1"/>
  <c r="B952" i="6" a="1"/>
  <c r="B952" i="6" s="1"/>
  <c r="B821" i="6" a="1"/>
  <c r="B821" i="6" s="1"/>
  <c r="B617" i="6" a="1"/>
  <c r="B617" i="6" s="1"/>
  <c r="B974" i="6" a="1"/>
  <c r="B974" i="6" s="1"/>
  <c r="B833" i="6" a="1"/>
  <c r="B833" i="6" s="1"/>
  <c r="B222" i="6" a="1"/>
  <c r="B222" i="6" s="1"/>
  <c r="B409" i="6" a="1"/>
  <c r="B409" i="6" s="1"/>
  <c r="B579" i="6" a="1"/>
  <c r="B579" i="6" s="1"/>
  <c r="B739" i="6" a="1"/>
  <c r="B739" i="6" s="1"/>
  <c r="B872" i="6" a="1"/>
  <c r="B872" i="6" s="1"/>
  <c r="B1008" i="6" a="1"/>
  <c r="B1008" i="6" s="1"/>
  <c r="B518" i="6" a="1"/>
  <c r="B518" i="6" s="1"/>
  <c r="B195" i="6" a="1"/>
  <c r="B195" i="6" s="1"/>
  <c r="B365" i="6" a="1"/>
  <c r="B365" i="6" s="1"/>
  <c r="B549" i="6" a="1"/>
  <c r="B549" i="6" s="1"/>
  <c r="B702" i="6" a="1"/>
  <c r="B702" i="6" s="1"/>
  <c r="B841" i="6" a="1"/>
  <c r="B841" i="6" s="1"/>
  <c r="B969" i="6" a="1"/>
  <c r="B969" i="6" s="1"/>
  <c r="B430" i="6" a="1"/>
  <c r="B430" i="6" s="1"/>
  <c r="B187" i="6" a="1"/>
  <c r="B187" i="6" s="1"/>
  <c r="B382" i="6" a="1"/>
  <c r="B382" i="6" s="1"/>
  <c r="B552" i="6" a="1"/>
  <c r="B552" i="6" s="1"/>
  <c r="B408" i="6" a="1"/>
  <c r="B408" i="6" s="1"/>
  <c r="B170" i="6" a="1"/>
  <c r="B170" i="6" s="1"/>
  <c r="B357" i="6" a="1"/>
  <c r="B357" i="6" s="1"/>
  <c r="B528" i="6" a="1"/>
  <c r="B528" i="6" s="1"/>
  <c r="B328" i="6" a="1"/>
  <c r="B328" i="6" s="1"/>
  <c r="B731" i="6" a="1"/>
  <c r="B731" i="6" s="1"/>
  <c r="B1020" i="6" a="1"/>
  <c r="B1020" i="6" s="1"/>
  <c r="B885" i="6" a="1"/>
  <c r="B885" i="6" s="1"/>
  <c r="B765" i="6" a="1"/>
  <c r="B765" i="6" s="1"/>
  <c r="B637" i="6" a="1"/>
  <c r="B637" i="6" s="1"/>
  <c r="B906" i="6" a="1"/>
  <c r="B906" i="6" s="1"/>
  <c r="B204" i="6" a="1"/>
  <c r="B204" i="6" s="1"/>
  <c r="B681" i="6" a="1"/>
  <c r="B681" i="6" s="1"/>
  <c r="B1021" i="6" a="1"/>
  <c r="B1021" i="6" s="1"/>
  <c r="B783" i="6" a="1"/>
  <c r="B783" i="6" s="1"/>
  <c r="B494" i="6" a="1"/>
  <c r="B494" i="6" s="1"/>
  <c r="B120" i="6" a="1"/>
  <c r="B120" i="6" s="1"/>
  <c r="B442" i="6" a="1"/>
  <c r="B442" i="6" s="1"/>
  <c r="B749" i="6" a="1"/>
  <c r="B749" i="6" s="1"/>
  <c r="B243" i="6" a="1"/>
  <c r="B243" i="6" s="1"/>
  <c r="B722" i="6" a="1"/>
  <c r="B722" i="6" s="1"/>
  <c r="B307" i="6" a="1"/>
  <c r="B307" i="6" s="1"/>
  <c r="B392" i="6" a="1"/>
  <c r="B392" i="6" s="1"/>
  <c r="B817" i="6" a="1"/>
  <c r="B817" i="6" s="1"/>
  <c r="B72" i="6" a="1"/>
  <c r="B72" i="6" s="1"/>
  <c r="B477" i="6" a="1"/>
  <c r="B477" i="6" s="1"/>
  <c r="B78" i="6" a="1"/>
  <c r="B78" i="6" s="1"/>
  <c r="B467" i="6" a="1"/>
  <c r="B467" i="6" s="1"/>
  <c r="B651" i="6" a="1"/>
  <c r="B651" i="6" s="1"/>
  <c r="B787" i="6" a="1"/>
  <c r="B787" i="6" s="1"/>
  <c r="B943" i="6" a="1"/>
  <c r="B943" i="6" s="1"/>
  <c r="B340" i="6" a="1"/>
  <c r="B340" i="6" s="1"/>
  <c r="B443" i="6" a="1"/>
  <c r="B443" i="6" s="1"/>
  <c r="B484" i="6" a="1"/>
  <c r="B484" i="6" s="1"/>
  <c r="B158" i="6" a="1"/>
  <c r="B158" i="6" s="1"/>
  <c r="B153" i="6" a="1"/>
  <c r="B153" i="6" s="1"/>
  <c r="B511" i="6" a="1"/>
  <c r="B511" i="6" s="1"/>
  <c r="B858" i="6" a="1"/>
  <c r="B858" i="6" s="1"/>
  <c r="B212" i="6" a="1"/>
  <c r="B212" i="6" s="1"/>
  <c r="B348" i="6" a="1"/>
  <c r="B348" i="6" s="1"/>
  <c r="B867" i="6" a="1"/>
  <c r="B867" i="6" s="1"/>
  <c r="B748" i="6" a="1"/>
  <c r="B748" i="6" s="1"/>
  <c r="B850" i="6" a="1"/>
  <c r="B850" i="6" s="1"/>
  <c r="B535" i="6" a="1"/>
  <c r="B535" i="6" s="1"/>
  <c r="B663" i="6" a="1"/>
  <c r="B663" i="6" s="1"/>
  <c r="B1003" i="6" a="1"/>
  <c r="B1003" i="6" s="1"/>
  <c r="B960" i="6" a="1"/>
  <c r="B960" i="6" s="1"/>
  <c r="B345" i="6" a="1"/>
  <c r="B345" i="6" s="1"/>
  <c r="B697" i="6" a="1"/>
  <c r="B697" i="6" s="1"/>
  <c r="B379" i="6" a="1"/>
  <c r="B379" i="6" s="1"/>
  <c r="B816" i="6" a="1"/>
  <c r="B816" i="6" s="1"/>
  <c r="B583" i="6" a="1"/>
  <c r="B583" i="6" s="1"/>
  <c r="B527" i="6" a="1"/>
  <c r="B527" i="6" s="1"/>
  <c r="B918" i="6" a="1"/>
  <c r="B918" i="6" s="1"/>
  <c r="B192" i="6" a="1"/>
  <c r="B192" i="6" s="1"/>
  <c r="B578" i="6" a="1"/>
  <c r="B578" i="6" s="1"/>
  <c r="B188" i="6" a="1"/>
  <c r="B188" i="6" s="1"/>
  <c r="B562" i="6" a="1"/>
  <c r="B562" i="6" s="1"/>
  <c r="B782" i="6" a="1"/>
  <c r="B782" i="6" s="1"/>
  <c r="B919" i="6" a="1"/>
  <c r="B919" i="6" s="1"/>
  <c r="B698" i="6" a="1"/>
  <c r="B698" i="6" s="1"/>
  <c r="B561" i="6" a="1"/>
  <c r="B561" i="6" s="1"/>
  <c r="B238" i="6" a="1"/>
  <c r="B238" i="6" s="1"/>
  <c r="B991" i="6" a="1"/>
  <c r="B991" i="6" s="1"/>
  <c r="B426" i="6" a="1"/>
  <c r="B426" i="6" s="1"/>
  <c r="B851" i="6" a="1"/>
  <c r="B851" i="6" s="1"/>
  <c r="B40" i="6" a="1"/>
  <c r="B40" i="6" s="1"/>
  <c r="B569" i="6" a="1"/>
  <c r="B569" i="6" s="1"/>
  <c r="B953" i="6" a="1"/>
  <c r="B953" i="6" s="1"/>
  <c r="B277" i="6" a="1"/>
  <c r="B277" i="6" s="1"/>
  <c r="B154" i="6" a="1"/>
  <c r="B154" i="6" s="1"/>
  <c r="B256" i="6" a="1"/>
  <c r="B256" i="6" s="1"/>
  <c r="B630" i="6" a="1"/>
  <c r="B630" i="6" s="1"/>
  <c r="B884" i="6" a="1"/>
  <c r="B884" i="6" s="1"/>
  <c r="B688" i="6" a="1"/>
  <c r="B688" i="6" s="1"/>
  <c r="B773" i="6" a="1"/>
  <c r="B773" i="6" s="1"/>
  <c r="B324" i="6" a="1"/>
  <c r="B324" i="6" s="1"/>
  <c r="B510" i="6" a="1"/>
  <c r="B510" i="6" s="1"/>
  <c r="B889" i="6" a="1"/>
  <c r="B889" i="6" s="1"/>
  <c r="B144" i="6" a="1"/>
  <c r="B144" i="6" s="1"/>
  <c r="B654" i="6" a="1"/>
  <c r="B654" i="6" s="1"/>
  <c r="B994" i="6" a="1"/>
  <c r="B994" i="6" s="1"/>
  <c r="B306" i="6" a="1"/>
  <c r="B306" i="6" s="1"/>
  <c r="B221" i="6" a="1"/>
  <c r="B221" i="6" s="1"/>
  <c r="B297" i="6" a="1"/>
  <c r="B297" i="6" s="1"/>
  <c r="B127" i="6" a="1"/>
  <c r="B127" i="6" s="1"/>
  <c r="B926" i="6" a="1"/>
  <c r="B926" i="6" s="1"/>
  <c r="B753" i="6" a="1"/>
  <c r="B753" i="6" s="1"/>
  <c r="B807" i="6" a="1"/>
  <c r="B807" i="6" s="1"/>
  <c r="B41" i="6" a="1"/>
  <c r="B41" i="6" s="1"/>
  <c r="B685" i="6" a="1"/>
  <c r="B685" i="6" s="1"/>
  <c r="B255" i="6" a="1"/>
  <c r="B255" i="6" s="1"/>
  <c r="B161" i="6" a="1"/>
  <c r="B161" i="6" s="1"/>
  <c r="B612" i="6" a="1"/>
  <c r="B612" i="6" s="1"/>
  <c r="B987" i="6" a="1"/>
  <c r="B987" i="6" s="1"/>
  <c r="B294" i="6" a="1"/>
  <c r="B294" i="6" s="1"/>
  <c r="B719" i="6" a="1"/>
  <c r="B719" i="6" s="1"/>
  <c r="B358" i="6" a="1"/>
  <c r="B358" i="6" s="1"/>
  <c r="B391" i="6" a="1"/>
  <c r="B391" i="6" s="1"/>
  <c r="B481" i="6" a="1"/>
  <c r="B481" i="6" s="1"/>
  <c r="B374" i="6" a="1"/>
  <c r="B374" i="6" s="1"/>
  <c r="B396" i="6" a="1"/>
  <c r="B396" i="6" s="1"/>
  <c r="B671" i="6" a="1"/>
  <c r="B671" i="6" s="1"/>
  <c r="B799" i="6" a="1"/>
  <c r="B799" i="6" s="1"/>
  <c r="B935" i="6" a="1"/>
  <c r="B935" i="6" s="1"/>
  <c r="B341" i="6" a="1"/>
  <c r="B341" i="6" s="1"/>
  <c r="B460" i="6" a="1"/>
  <c r="B460" i="6" s="1"/>
  <c r="B600" i="6" a="1"/>
  <c r="B600" i="6" s="1"/>
  <c r="B901" i="6" a="1"/>
  <c r="B901" i="6" s="1"/>
  <c r="B300" i="6" a="1"/>
  <c r="B300" i="6" s="1"/>
  <c r="B556" i="6" a="1"/>
  <c r="B556" i="6" s="1"/>
  <c r="B844" i="6" a="1"/>
  <c r="B844" i="6" s="1"/>
  <c r="B232" i="6" a="1"/>
  <c r="B232" i="6" s="1"/>
  <c r="B505" i="6" a="1"/>
  <c r="B505" i="6" s="1"/>
  <c r="B590" i="6" a="1"/>
  <c r="B590" i="6" s="1"/>
  <c r="B827" i="6" a="1"/>
  <c r="B827" i="6" s="1"/>
  <c r="B352" i="6" a="1"/>
  <c r="B352" i="6" s="1"/>
  <c r="B623" i="6" a="1"/>
  <c r="B623" i="6" s="1"/>
  <c r="B182" i="6" a="1"/>
  <c r="B182" i="6" s="1"/>
  <c r="B793" i="6" a="1"/>
  <c r="B793" i="6" s="1"/>
  <c r="B181" i="6" a="1"/>
  <c r="B181" i="6" s="1"/>
  <c r="B794" i="6" a="1"/>
  <c r="B794" i="6" s="1"/>
  <c r="B963" i="6" a="1"/>
  <c r="B963" i="6" s="1"/>
  <c r="B114" i="6" a="1"/>
  <c r="B114" i="6" s="1"/>
  <c r="B334" i="6" a="1"/>
  <c r="B334" i="6" s="1"/>
  <c r="B606" i="6" a="1"/>
  <c r="B606" i="6" s="1"/>
  <c r="B878" i="6" a="1"/>
  <c r="B878" i="6" s="1"/>
  <c r="B283" i="6" a="1"/>
  <c r="B283" i="6" s="1"/>
  <c r="B43" i="6" a="1"/>
  <c r="B43" i="6" s="1"/>
  <c r="B657" i="6" a="1"/>
  <c r="B657" i="6" s="1"/>
  <c r="B879" i="6" a="1"/>
  <c r="B879" i="6" s="1"/>
  <c r="B420" i="6" a="1"/>
  <c r="B420" i="6" s="1"/>
  <c r="B675" i="6" a="1"/>
  <c r="B675" i="6" s="1"/>
  <c r="B249" i="6" a="1"/>
  <c r="B249" i="6" s="1"/>
  <c r="B640" i="6" a="1"/>
  <c r="B640" i="6" s="1"/>
  <c r="B266" i="6" a="1"/>
  <c r="B266" i="6" s="1"/>
  <c r="B845" i="6" a="1"/>
  <c r="B845" i="6" s="1"/>
  <c r="B981" i="6" a="1"/>
  <c r="B981" i="6" s="1"/>
  <c r="B130" i="6" a="1"/>
  <c r="B130" i="6" s="1"/>
  <c r="B402" i="6" a="1"/>
  <c r="B402" i="6" s="1"/>
  <c r="B658" i="6" a="1"/>
  <c r="B658" i="6" s="1"/>
  <c r="B35" i="6" a="1"/>
  <c r="B35" i="6" s="1"/>
  <c r="B335" i="6" a="1"/>
  <c r="B335" i="6" s="1"/>
  <c r="B215" i="6" a="1"/>
  <c r="B215" i="6" s="1"/>
  <c r="B862" i="6" a="1"/>
  <c r="B862" i="6" s="1"/>
  <c r="B980" i="6" a="1"/>
  <c r="B980" i="6" s="1"/>
  <c r="B674" i="6" a="1"/>
  <c r="B674" i="6" s="1"/>
  <c r="B895" i="6" a="1"/>
  <c r="B895" i="6" s="1"/>
  <c r="B385" i="6" a="1"/>
  <c r="B385" i="6" s="1"/>
  <c r="B743" i="6" a="1"/>
  <c r="B743" i="6" s="1"/>
  <c r="B386" i="6" a="1"/>
  <c r="B386" i="6" s="1"/>
  <c r="B555" i="6" a="1"/>
  <c r="B555" i="6" s="1"/>
  <c r="B1015" i="6" a="1"/>
  <c r="B1015" i="6" s="1"/>
  <c r="B164" i="6" a="1"/>
  <c r="B164" i="6" s="1"/>
  <c r="B436" i="6" a="1"/>
  <c r="B436" i="6" s="1"/>
  <c r="B708" i="6" a="1"/>
  <c r="B708" i="6" s="1"/>
  <c r="B62" i="6" a="1"/>
  <c r="B62" i="6" s="1"/>
  <c r="B369" i="6" a="1"/>
  <c r="B369" i="6" s="1"/>
  <c r="B267" i="6" a="1"/>
  <c r="B267" i="6" s="1"/>
  <c r="B1014" i="6" a="1"/>
  <c r="B1014" i="6" s="1"/>
  <c r="B69" i="6" a="1"/>
  <c r="B69" i="6" s="1"/>
  <c r="B725" i="6" a="1"/>
  <c r="B725" i="6" s="1"/>
  <c r="B930" i="6" a="1"/>
  <c r="B930" i="6" s="1"/>
  <c r="B453" i="6" a="1"/>
  <c r="B453" i="6" s="1"/>
  <c r="B896" i="6" a="1"/>
  <c r="B896" i="6" s="1"/>
  <c r="B454" i="6" a="1"/>
  <c r="B454" i="6" s="1"/>
  <c r="B692" i="6" a="1"/>
  <c r="B692" i="6" s="1"/>
  <c r="B861" i="6" a="1"/>
  <c r="B861" i="6" s="1"/>
  <c r="B199" i="6" a="1"/>
  <c r="B199" i="6" s="1"/>
  <c r="B470" i="6" a="1"/>
  <c r="B470" i="6" s="1"/>
  <c r="B726" i="6" a="1"/>
  <c r="B726" i="6" s="1"/>
  <c r="B131" i="6" a="1"/>
  <c r="B131" i="6" s="1"/>
  <c r="B403" i="6" a="1"/>
  <c r="B403" i="6" s="1"/>
  <c r="B351" i="6" a="1"/>
  <c r="B351" i="6" s="1"/>
  <c r="B539" i="6" a="1"/>
  <c r="B539" i="6" s="1"/>
  <c r="B147" i="6" a="1"/>
  <c r="B147" i="6" s="1"/>
  <c r="B777" i="6" a="1"/>
  <c r="B777" i="6" s="1"/>
  <c r="B964" i="6" a="1"/>
  <c r="B964" i="6" s="1"/>
  <c r="B521" i="6" a="1"/>
  <c r="B521" i="6" s="1"/>
  <c r="B947" i="6" a="1"/>
  <c r="B947" i="6" s="1"/>
  <c r="B522" i="6" a="1"/>
  <c r="B522" i="6" s="1"/>
  <c r="B759" i="6" a="1"/>
  <c r="B759" i="6" s="1"/>
  <c r="B946" i="6" a="1"/>
  <c r="B946" i="6" s="1"/>
  <c r="B233" i="6" a="1"/>
  <c r="B233" i="6" s="1"/>
  <c r="B488" i="6" a="1"/>
  <c r="B488" i="6" s="1"/>
  <c r="B776" i="6" a="1"/>
  <c r="B776" i="6" s="1"/>
  <c r="B165" i="6" a="1"/>
  <c r="B165" i="6" s="1"/>
  <c r="B437" i="6" a="1"/>
  <c r="B437" i="6" s="1"/>
  <c r="B419" i="6" a="1"/>
  <c r="B419" i="6" s="1"/>
  <c r="B607" i="6" a="1"/>
  <c r="B607" i="6" s="1"/>
  <c r="B216" i="6" a="1"/>
  <c r="B216" i="6" s="1"/>
  <c r="B998" i="6" a="1"/>
  <c r="B998" i="6" s="1"/>
  <c r="B74" i="6" a="1"/>
  <c r="B74" i="6" s="1"/>
  <c r="B589" i="6" a="1"/>
  <c r="B589" i="6" s="1"/>
  <c r="B98" i="6" a="1"/>
  <c r="B98" i="6" s="1"/>
  <c r="B573" i="6" a="1"/>
  <c r="B573" i="6" s="1"/>
  <c r="B811" i="6" a="1"/>
  <c r="B811" i="6" s="1"/>
  <c r="K80" i="6"/>
  <c r="B810" i="6" a="1"/>
  <c r="B810" i="6" s="1"/>
  <c r="B760" i="6" a="1"/>
  <c r="B760" i="6" s="1"/>
  <c r="B742" i="6" a="1"/>
  <c r="B742" i="6" s="1"/>
  <c r="B113" i="6" a="1"/>
  <c r="B113" i="6" s="1"/>
  <c r="B913" i="6" a="1"/>
  <c r="B913" i="6" s="1"/>
  <c r="B691" i="6" a="1"/>
  <c r="B691" i="6" s="1"/>
  <c r="B198" i="6" a="1"/>
  <c r="B198" i="6" s="1"/>
  <c r="B284" i="6" a="1"/>
  <c r="B284" i="6" s="1"/>
  <c r="B56" i="6" a="1"/>
  <c r="B56" i="6" s="1"/>
  <c r="B37" i="6" a="1"/>
  <c r="B37" i="6" s="1"/>
  <c r="B301" i="6" a="1"/>
  <c r="B301" i="6" s="1"/>
  <c r="B504" i="6" a="1"/>
  <c r="B504" i="6" s="1"/>
  <c r="B318" i="6" a="1"/>
  <c r="B318" i="6" s="1"/>
  <c r="B250" i="6" a="1"/>
  <c r="B250" i="6" s="1"/>
  <c r="B487" i="6" a="1"/>
  <c r="B487" i="6" s="1"/>
  <c r="B572" i="6" a="1"/>
  <c r="B572" i="6" s="1"/>
  <c r="B641" i="6" a="1"/>
  <c r="B641" i="6" s="1"/>
  <c r="B368" i="6" a="1"/>
  <c r="B368" i="6" s="1"/>
  <c r="B148" i="6" a="1"/>
  <c r="B148" i="6" s="1"/>
  <c r="B828" i="6" a="1"/>
  <c r="B828" i="6" s="1"/>
  <c r="B912" i="6" a="1"/>
  <c r="B912" i="6" s="1"/>
  <c r="B624" i="6" a="1"/>
  <c r="B624" i="6" s="1"/>
  <c r="B709" i="6" a="1"/>
  <c r="B709" i="6" s="1"/>
  <c r="B317" i="6" a="1"/>
  <c r="B317" i="6" s="1"/>
  <c r="B997" i="6" a="1"/>
  <c r="B997" i="6" s="1"/>
  <c r="B929" i="6" a="1"/>
  <c r="B929" i="6" s="1"/>
  <c r="B538" i="6" a="1"/>
  <c r="B538" i="6" s="1"/>
  <c r="B471" i="6" a="1"/>
  <c r="B471" i="6" s="1"/>
  <c r="B87" i="6" a="1"/>
  <c r="B87" i="6" s="1"/>
  <c r="K192" i="6"/>
  <c r="L303" i="6"/>
  <c r="D295" i="6" s="1"/>
  <c r="K406" i="6"/>
  <c r="K193" i="6"/>
  <c r="K195" i="6"/>
  <c r="K310" i="6"/>
  <c r="L69" i="6"/>
  <c r="D71" i="6" s="1"/>
  <c r="K172" i="6"/>
  <c r="CN7" i="81"/>
  <c r="K56" i="6" s="1"/>
  <c r="CN12" i="81"/>
  <c r="K61" i="6" s="1"/>
  <c r="CM12" i="81"/>
  <c r="K73" i="6" s="1"/>
  <c r="K306" i="6"/>
  <c r="L191" i="6"/>
  <c r="D187" i="6" s="1"/>
  <c r="K294" i="6"/>
  <c r="K527" i="6"/>
  <c r="L317" i="6"/>
  <c r="D313" i="6" s="1"/>
  <c r="K420" i="6"/>
  <c r="L209" i="6"/>
  <c r="D204" i="6" s="1"/>
  <c r="K312" i="6"/>
  <c r="L318" i="6"/>
  <c r="D309" i="6" s="1"/>
  <c r="K421" i="6"/>
  <c r="L197" i="6"/>
  <c r="D198" i="6" s="1"/>
  <c r="K300" i="6"/>
  <c r="CN6" i="81"/>
  <c r="K55" i="6" s="1"/>
  <c r="CN13" i="81"/>
  <c r="K62" i="6" s="1"/>
  <c r="B435" i="6" a="1"/>
  <c r="B435" i="6" s="1"/>
  <c r="B979" i="6" a="1"/>
  <c r="B979" i="6" s="1"/>
  <c r="B486" i="6" a="1"/>
  <c r="B486" i="6" s="1"/>
  <c r="B503" i="6" a="1"/>
  <c r="B503" i="6" s="1"/>
  <c r="B25" i="6" a="1"/>
  <c r="B25" i="6" s="1"/>
  <c r="B554" i="6" a="1"/>
  <c r="B554" i="6" s="1"/>
  <c r="B64" i="6" a="1"/>
  <c r="B64" i="6" s="1"/>
  <c r="B639" i="6" a="1"/>
  <c r="B639" i="6" s="1"/>
  <c r="B146" i="6" a="1"/>
  <c r="B146" i="6" s="1"/>
  <c r="B690" i="6" a="1"/>
  <c r="B690" i="6" s="1"/>
  <c r="B452" i="6" a="1"/>
  <c r="B452" i="6" s="1"/>
  <c r="B537" i="6" a="1"/>
  <c r="B537" i="6" s="1"/>
  <c r="B333" i="6" a="1"/>
  <c r="B333" i="6" s="1"/>
  <c r="B469" i="6" a="1"/>
  <c r="B469" i="6" s="1"/>
  <c r="B163" i="6" a="1"/>
  <c r="B163" i="6" s="1"/>
  <c r="B707" i="6" a="1"/>
  <c r="B707" i="6" s="1"/>
  <c r="B231" i="6" a="1"/>
  <c r="B231" i="6" s="1"/>
  <c r="B758" i="6" a="1"/>
  <c r="B758" i="6" s="1"/>
  <c r="B588" i="6" a="1"/>
  <c r="B588" i="6" s="1"/>
  <c r="B673" i="6" a="1"/>
  <c r="B673" i="6" s="1"/>
  <c r="B605" i="6" a="1"/>
  <c r="B605" i="6" s="1"/>
  <c r="B741" i="6" a="1"/>
  <c r="B741" i="6" s="1"/>
  <c r="B214" i="6" a="1"/>
  <c r="B214" i="6" s="1"/>
  <c r="B775" i="6" a="1"/>
  <c r="B775" i="6" s="1"/>
  <c r="B282" i="6" a="1"/>
  <c r="B282" i="6" s="1"/>
  <c r="B299" i="6" a="1"/>
  <c r="B299" i="6" s="1"/>
  <c r="B843" i="6" a="1"/>
  <c r="B843" i="6" s="1"/>
  <c r="B350" i="6" a="1"/>
  <c r="B350" i="6" s="1"/>
  <c r="B894" i="6" a="1"/>
  <c r="B894" i="6" s="1"/>
  <c r="B860" i="6" a="1"/>
  <c r="B860" i="6" s="1"/>
  <c r="B945" i="6" a="1"/>
  <c r="B945" i="6" s="1"/>
  <c r="B112" i="6" a="1"/>
  <c r="B112" i="6" s="1"/>
  <c r="K74" i="6"/>
  <c r="B911" i="6" a="1"/>
  <c r="B911" i="6" s="1"/>
  <c r="B316" i="6" a="1"/>
  <c r="B316" i="6" s="1"/>
  <c r="B520" i="6" a="1"/>
  <c r="B520" i="6" s="1"/>
  <c r="B1013" i="6" a="1"/>
  <c r="B1013" i="6" s="1"/>
  <c r="B39" i="6" a="1"/>
  <c r="B39" i="6" s="1"/>
  <c r="B724" i="6" a="1"/>
  <c r="B724" i="6" s="1"/>
  <c r="B792" i="6" a="1"/>
  <c r="B792" i="6" s="1"/>
  <c r="B418" i="6" a="1"/>
  <c r="B418" i="6" s="1"/>
  <c r="B996" i="6" a="1"/>
  <c r="B996" i="6" s="1"/>
  <c r="B106" i="6" a="1"/>
  <c r="B106" i="6" s="1"/>
  <c r="B622" i="6" a="1"/>
  <c r="B622" i="6" s="1"/>
  <c r="B129" i="6" a="1"/>
  <c r="B129" i="6" s="1"/>
  <c r="B877" i="6" a="1"/>
  <c r="B877" i="6" s="1"/>
  <c r="B826" i="6" a="1"/>
  <c r="B826" i="6" s="1"/>
  <c r="B265" i="6" a="1"/>
  <c r="B265" i="6" s="1"/>
  <c r="B384" i="6" a="1"/>
  <c r="B384" i="6" s="1"/>
  <c r="B33" i="6" a="1"/>
  <c r="B33" i="6" s="1"/>
  <c r="B962" i="6" a="1"/>
  <c r="B962" i="6" s="1"/>
  <c r="B401" i="6" a="1"/>
  <c r="B401" i="6" s="1"/>
  <c r="B656" i="6" a="1"/>
  <c r="B656" i="6" s="1"/>
  <c r="B571" i="6" a="1"/>
  <c r="B571" i="6" s="1"/>
  <c r="B180" i="6" a="1"/>
  <c r="B180" i="6" s="1"/>
  <c r="B248" i="6" a="1"/>
  <c r="B248" i="6" s="1"/>
  <c r="B197" i="6" a="1"/>
  <c r="B197" i="6" s="1"/>
  <c r="B367" i="6" a="1"/>
  <c r="B367" i="6" s="1"/>
  <c r="B50" i="6" a="1"/>
  <c r="B50" i="6" s="1"/>
  <c r="B809" i="6" a="1"/>
  <c r="B809" i="6" s="1"/>
  <c r="B928" i="6" a="1"/>
  <c r="B928" i="6" s="1"/>
  <c r="K309" i="6"/>
  <c r="B101" i="6" a="1"/>
  <c r="B101" i="6" s="1"/>
  <c r="B59" i="6" a="1"/>
  <c r="B59" i="6" s="1"/>
  <c r="B42" i="6" a="1"/>
  <c r="B42" i="6" s="1"/>
  <c r="B91" i="6" a="1"/>
  <c r="B91" i="6" s="1"/>
  <c r="B84" i="6" a="1"/>
  <c r="B84" i="6" s="1"/>
  <c r="B94" i="6" a="1"/>
  <c r="B94" i="6" s="1"/>
  <c r="B30" i="6" a="1"/>
  <c r="B30" i="6" s="1"/>
  <c r="K75" i="6"/>
  <c r="B100" i="6" a="1"/>
  <c r="B100" i="6" s="1"/>
  <c r="CM6" i="81"/>
  <c r="K67" i="6" s="1"/>
  <c r="CL11" i="81"/>
  <c r="CN8" i="81"/>
  <c r="K57" i="6" s="1"/>
  <c r="CN9" i="81"/>
  <c r="K58" i="6" s="1"/>
  <c r="CN5" i="81"/>
  <c r="K54" i="6" s="1"/>
  <c r="CN10" i="81"/>
  <c r="K59" i="6" s="1"/>
  <c r="CM7" i="81"/>
  <c r="K68" i="6" s="1"/>
  <c r="CM2" i="81"/>
  <c r="K63" i="6" s="1"/>
  <c r="CM11" i="81"/>
  <c r="K72" i="6" s="1"/>
  <c r="CM9" i="81"/>
  <c r="K70" i="6" s="1"/>
  <c r="CN2" i="81"/>
  <c r="K51" i="6" s="1"/>
  <c r="CN4" i="81"/>
  <c r="K53" i="6" s="1"/>
  <c r="CN11" i="81"/>
  <c r="K60" i="6" s="1"/>
  <c r="CC14" i="81"/>
  <c r="CN3" i="81"/>
  <c r="K52" i="6" s="1"/>
  <c r="CO4" i="81"/>
  <c r="K40" i="6" s="1"/>
  <c r="CM4" i="81"/>
  <c r="K65" i="6" s="1"/>
  <c r="L332" i="6"/>
  <c r="K435" i="6"/>
  <c r="K311" i="6"/>
  <c r="L426" i="6"/>
  <c r="D418" i="6" s="1"/>
  <c r="K529" i="6"/>
  <c r="K189" i="6"/>
  <c r="L427" i="6"/>
  <c r="D415" i="6" s="1"/>
  <c r="K530" i="6"/>
  <c r="B428" i="6" a="1"/>
  <c r="B428" i="6" s="1"/>
  <c r="B802" i="6" a="1"/>
  <c r="B802" i="6" s="1"/>
  <c r="B819" i="6" a="1"/>
  <c r="B819" i="6" s="1"/>
  <c r="B122" i="6" a="1"/>
  <c r="B122" i="6" s="1"/>
  <c r="B666" i="6" a="1"/>
  <c r="B666" i="6" s="1"/>
  <c r="B955" i="6" a="1"/>
  <c r="B955" i="6" s="1"/>
  <c r="B57" i="6" a="1"/>
  <c r="B57" i="6" s="1"/>
  <c r="B90" i="6" a="1"/>
  <c r="B90" i="6" s="1"/>
  <c r="B632" i="6" a="1"/>
  <c r="B632" i="6" s="1"/>
  <c r="B224" i="6" a="1"/>
  <c r="B224" i="6" s="1"/>
  <c r="B513" i="6" a="1"/>
  <c r="B513" i="6" s="1"/>
  <c r="B190" i="6" a="1"/>
  <c r="B190" i="6" s="1"/>
  <c r="B836" i="6" a="1"/>
  <c r="B836" i="6" s="1"/>
  <c r="B1023" i="6" a="1"/>
  <c r="B1023" i="6" s="1"/>
  <c r="B462" i="6" a="1"/>
  <c r="B462" i="6" s="1"/>
  <c r="B785" i="6" a="1"/>
  <c r="B785" i="6" s="1"/>
  <c r="B411" i="6" a="1"/>
  <c r="B411" i="6" s="1"/>
  <c r="B445" i="6" a="1"/>
  <c r="B445" i="6" s="1"/>
  <c r="B972" i="6" a="1"/>
  <c r="B972" i="6" s="1"/>
  <c r="B104" i="6" a="1"/>
  <c r="B104" i="6" s="1"/>
  <c r="B26" i="6" a="1"/>
  <c r="B26" i="6" s="1"/>
  <c r="B615" i="6" a="1"/>
  <c r="B615" i="6" s="1"/>
  <c r="B207" i="6" a="1"/>
  <c r="B207" i="6" s="1"/>
  <c r="B547" i="6" a="1"/>
  <c r="B547" i="6" s="1"/>
  <c r="B581" i="6" a="1"/>
  <c r="B581" i="6" s="1"/>
  <c r="B173" i="6" a="1"/>
  <c r="B173" i="6" s="1"/>
  <c r="B139" i="6" a="1"/>
  <c r="B139" i="6" s="1"/>
  <c r="B530" i="6" a="1"/>
  <c r="B530" i="6" s="1"/>
  <c r="B683" i="6" a="1"/>
  <c r="B683" i="6" s="1"/>
  <c r="B343" i="6" a="1"/>
  <c r="B343" i="6" s="1"/>
  <c r="B717" i="6" a="1"/>
  <c r="B717" i="6" s="1"/>
  <c r="B751" i="6" a="1"/>
  <c r="B751" i="6" s="1"/>
  <c r="B275" i="6" a="1"/>
  <c r="B275" i="6" s="1"/>
  <c r="B700" i="6" a="1"/>
  <c r="B700" i="6" s="1"/>
  <c r="B156" i="6" a="1"/>
  <c r="B156" i="6" s="1"/>
  <c r="B904" i="6" a="1"/>
  <c r="B904" i="6" s="1"/>
  <c r="B649" i="6" a="1"/>
  <c r="B649" i="6" s="1"/>
  <c r="B241" i="6" a="1"/>
  <c r="B241" i="6" s="1"/>
  <c r="B258" i="6" a="1"/>
  <c r="B258" i="6" s="1"/>
  <c r="B598" i="6" a="1"/>
  <c r="B598" i="6" s="1"/>
  <c r="B989" i="6" a="1"/>
  <c r="B989" i="6" s="1"/>
  <c r="B734" i="6" a="1"/>
  <c r="B734" i="6" s="1"/>
  <c r="B887" i="6" a="1"/>
  <c r="B887" i="6" s="1"/>
  <c r="B853" i="6" a="1"/>
  <c r="B853" i="6" s="1"/>
  <c r="B292" i="6" a="1"/>
  <c r="B292" i="6" s="1"/>
  <c r="B377" i="6" a="1"/>
  <c r="B377" i="6" s="1"/>
  <c r="B360" i="6" a="1"/>
  <c r="B360" i="6" s="1"/>
  <c r="K76" i="6"/>
  <c r="B921" i="6" a="1"/>
  <c r="B921" i="6" s="1"/>
  <c r="B768" i="6" a="1"/>
  <c r="B768" i="6" s="1"/>
  <c r="B479" i="6" a="1"/>
  <c r="B479" i="6" s="1"/>
  <c r="B496" i="6" a="1"/>
  <c r="B496" i="6" s="1"/>
  <c r="B564" i="6" a="1"/>
  <c r="B564" i="6" s="1"/>
  <c r="B309" i="6" a="1"/>
  <c r="B309" i="6" s="1"/>
  <c r="B326" i="6" a="1"/>
  <c r="B326" i="6" s="1"/>
  <c r="B938" i="6" a="1"/>
  <c r="B938" i="6" s="1"/>
  <c r="B870" i="6" a="1"/>
  <c r="B870" i="6" s="1"/>
  <c r="B394" i="6" a="1"/>
  <c r="B394" i="6" s="1"/>
  <c r="B76" i="6" a="1"/>
  <c r="B76" i="6" s="1"/>
  <c r="B1006" i="6" a="1"/>
  <c r="B1006" i="6" s="1"/>
  <c r="L319" i="6"/>
  <c r="D311" i="6" s="1"/>
  <c r="K422" i="6"/>
  <c r="L201" i="6"/>
  <c r="D197" i="6" s="1"/>
  <c r="K304" i="6"/>
  <c r="B96" i="6" a="1"/>
  <c r="B96" i="6" s="1"/>
  <c r="B577" i="6" a="1"/>
  <c r="B577" i="6" s="1"/>
  <c r="B45" i="6" a="1"/>
  <c r="B45" i="6" s="1"/>
  <c r="B560" i="6" a="1"/>
  <c r="B560" i="6" s="1"/>
  <c r="B88" i="6" a="1"/>
  <c r="B88" i="6" s="1"/>
  <c r="L90" i="6" s="1"/>
  <c r="D88" i="6" s="1"/>
  <c r="B47" i="6" a="1"/>
  <c r="B47" i="6" s="1"/>
  <c r="B186" i="6" a="1"/>
  <c r="B186" i="6" s="1"/>
  <c r="B85" i="6" a="1"/>
  <c r="B85" i="6" s="1"/>
  <c r="K81" i="6"/>
  <c r="B48" i="6" a="1"/>
  <c r="B48" i="6" s="1"/>
  <c r="B645" i="6" a="1"/>
  <c r="B645" i="6" s="1"/>
  <c r="B55" i="6" a="1"/>
  <c r="B55" i="6" s="1"/>
  <c r="B628" i="6" a="1"/>
  <c r="B628" i="6" s="1"/>
  <c r="B254" i="6" a="1"/>
  <c r="B254" i="6" s="1"/>
  <c r="B203" i="6" a="1"/>
  <c r="B203" i="6" s="1"/>
  <c r="B458" i="6" a="1"/>
  <c r="B458" i="6" s="1"/>
  <c r="B322" i="6" a="1"/>
  <c r="B322" i="6" s="1"/>
  <c r="B237" i="6" a="1"/>
  <c r="B237" i="6" s="1"/>
  <c r="B781" i="6" a="1"/>
  <c r="B781" i="6" s="1"/>
  <c r="B220" i="6" a="1"/>
  <c r="B220" i="6" s="1"/>
  <c r="B764" i="6" a="1"/>
  <c r="B764" i="6" s="1"/>
  <c r="B526" i="6" a="1"/>
  <c r="B526" i="6" s="1"/>
  <c r="B475" i="6" a="1"/>
  <c r="B475" i="6" s="1"/>
  <c r="B1002" i="6" a="1"/>
  <c r="B1002" i="6" s="1"/>
  <c r="B866" i="6" a="1"/>
  <c r="B866" i="6" s="1"/>
  <c r="B305" i="6" a="1"/>
  <c r="B305" i="6" s="1"/>
  <c r="B849" i="6" a="1"/>
  <c r="B849" i="6" s="1"/>
  <c r="B288" i="6" a="1"/>
  <c r="B288" i="6" s="1"/>
  <c r="B832" i="6" a="1"/>
  <c r="B832" i="6" s="1"/>
  <c r="B662" i="6" a="1"/>
  <c r="B662" i="6" s="1"/>
  <c r="B611" i="6" a="1"/>
  <c r="B611" i="6" s="1"/>
  <c r="B60" i="6" a="1"/>
  <c r="B60" i="6" s="1"/>
  <c r="B152" i="6" a="1"/>
  <c r="B152" i="6" s="1"/>
  <c r="B373" i="6" a="1"/>
  <c r="B373" i="6" s="1"/>
  <c r="B917" i="6" a="1"/>
  <c r="B917" i="6" s="1"/>
  <c r="B356" i="6" a="1"/>
  <c r="B356" i="6" s="1"/>
  <c r="B900" i="6" a="1"/>
  <c r="B900" i="6" s="1"/>
  <c r="B798" i="6" a="1"/>
  <c r="B798" i="6" s="1"/>
  <c r="B747" i="6" a="1"/>
  <c r="B747" i="6" s="1"/>
  <c r="B271" i="6" a="1"/>
  <c r="B271" i="6" s="1"/>
  <c r="B407" i="6" a="1"/>
  <c r="B407" i="6" s="1"/>
  <c r="B441" i="6" a="1"/>
  <c r="B441" i="6" s="1"/>
  <c r="B985" i="6" a="1"/>
  <c r="B985" i="6" s="1"/>
  <c r="B424" i="6" a="1"/>
  <c r="B424" i="6" s="1"/>
  <c r="B968" i="6" a="1"/>
  <c r="B968" i="6" s="1"/>
  <c r="B934" i="6" a="1"/>
  <c r="B934" i="6" s="1"/>
  <c r="B883" i="6" a="1"/>
  <c r="B883" i="6" s="1"/>
  <c r="B543" i="6" a="1"/>
  <c r="B543" i="6" s="1"/>
  <c r="B679" i="6" a="1"/>
  <c r="B679" i="6" s="1"/>
  <c r="B509" i="6" a="1"/>
  <c r="B509" i="6" s="1"/>
  <c r="B105" i="6" a="1"/>
  <c r="B105" i="6" s="1"/>
  <c r="B713" i="6" a="1"/>
  <c r="B713" i="6" s="1"/>
  <c r="B339" i="6" a="1"/>
  <c r="B339" i="6" s="1"/>
  <c r="B86" i="6" a="1"/>
  <c r="B86" i="6" s="1"/>
  <c r="B1019" i="6" a="1"/>
  <c r="B1019" i="6" s="1"/>
  <c r="B135" i="6" a="1"/>
  <c r="B135" i="6" s="1"/>
  <c r="B730" i="6" a="1"/>
  <c r="B730" i="6" s="1"/>
  <c r="B492" i="6" a="1"/>
  <c r="B492" i="6" s="1"/>
  <c r="B815" i="6" a="1"/>
  <c r="B815" i="6" s="1"/>
  <c r="B696" i="6" a="1"/>
  <c r="B696" i="6" s="1"/>
  <c r="B594" i="6" a="1"/>
  <c r="B594" i="6" s="1"/>
  <c r="B169" i="6" a="1"/>
  <c r="B169" i="6" s="1"/>
  <c r="B390" i="6" a="1"/>
  <c r="B390" i="6" s="1"/>
  <c r="B61" i="6" a="1"/>
  <c r="B61" i="6" s="1"/>
  <c r="B118" i="6" a="1"/>
  <c r="B118" i="6" s="1"/>
  <c r="B951" i="6" a="1"/>
  <c r="B951" i="6" s="1"/>
  <c r="L93" i="6"/>
  <c r="D85" i="6" s="1"/>
  <c r="K196" i="6"/>
  <c r="L85" i="6"/>
  <c r="D90" i="6" s="1"/>
  <c r="K188" i="6"/>
  <c r="L302" i="6"/>
  <c r="D300" i="6" s="1"/>
  <c r="K405" i="6"/>
  <c r="L320" i="6"/>
  <c r="D310" i="6" s="1"/>
  <c r="K423" i="6"/>
  <c r="CM3" i="81"/>
  <c r="K64" i="6" s="1"/>
  <c r="K305" i="6"/>
  <c r="CM5" i="81"/>
  <c r="K66" i="6" s="1"/>
  <c r="L425" i="6"/>
  <c r="D419" i="6" s="1"/>
  <c r="K528" i="6"/>
  <c r="B70" i="6" a="1"/>
  <c r="B70" i="6" s="1"/>
  <c r="B633" i="6" a="1"/>
  <c r="B633" i="6" s="1"/>
  <c r="B242" i="6" a="1"/>
  <c r="B242" i="6" s="1"/>
  <c r="B786" i="6" a="1"/>
  <c r="B786" i="6" s="1"/>
  <c r="B548" i="6" a="1"/>
  <c r="B548" i="6" s="1"/>
  <c r="B599" i="6" a="1"/>
  <c r="B599" i="6" s="1"/>
  <c r="B616" i="6" a="1"/>
  <c r="B616" i="6" s="1"/>
  <c r="B803" i="6" a="1"/>
  <c r="B803" i="6" s="1"/>
  <c r="B157" i="6" a="1"/>
  <c r="B157" i="6" s="1"/>
  <c r="B701" i="6" a="1"/>
  <c r="B701" i="6" s="1"/>
  <c r="B310" i="6" a="1"/>
  <c r="B310" i="6" s="1"/>
  <c r="B854" i="6" a="1"/>
  <c r="B854" i="6" s="1"/>
  <c r="B684" i="6" a="1"/>
  <c r="B684" i="6" s="1"/>
  <c r="B735" i="6" a="1"/>
  <c r="B735" i="6" s="1"/>
  <c r="B752" i="6" a="1"/>
  <c r="B752" i="6" s="1"/>
  <c r="B939" i="6" a="1"/>
  <c r="B939" i="6" s="1"/>
  <c r="B225" i="6" a="1"/>
  <c r="B225" i="6" s="1"/>
  <c r="B769" i="6" a="1"/>
  <c r="B769" i="6" s="1"/>
  <c r="B378" i="6" a="1"/>
  <c r="B378" i="6" s="1"/>
  <c r="B922" i="6" a="1"/>
  <c r="B922" i="6" s="1"/>
  <c r="B820" i="6" a="1"/>
  <c r="B820" i="6" s="1"/>
  <c r="B871" i="6" a="1"/>
  <c r="B871" i="6" s="1"/>
  <c r="B888" i="6" a="1"/>
  <c r="B888" i="6" s="1"/>
  <c r="B293" i="6" a="1"/>
  <c r="B293" i="6" s="1"/>
  <c r="B837" i="6" a="1"/>
  <c r="B837" i="6" s="1"/>
  <c r="B446" i="6" a="1"/>
  <c r="B446" i="6" s="1"/>
  <c r="B990" i="6" a="1"/>
  <c r="B990" i="6" s="1"/>
  <c r="B956" i="6" a="1"/>
  <c r="B956" i="6" s="1"/>
  <c r="B1007" i="6" a="1"/>
  <c r="B1007" i="6" s="1"/>
  <c r="B71" i="6" a="1"/>
  <c r="B71" i="6" s="1"/>
  <c r="B361" i="6" a="1"/>
  <c r="B361" i="6" s="1"/>
  <c r="B905" i="6" a="1"/>
  <c r="B905" i="6" s="1"/>
  <c r="B514" i="6" a="1"/>
  <c r="B514" i="6" s="1"/>
  <c r="K79" i="6"/>
  <c r="B81" i="6" a="1"/>
  <c r="B81" i="6" s="1"/>
  <c r="B66" i="6" a="1"/>
  <c r="B66" i="6" s="1"/>
  <c r="B259" i="6" a="1"/>
  <c r="B259" i="6" s="1"/>
  <c r="B429" i="6" a="1"/>
  <c r="B429" i="6" s="1"/>
  <c r="B973" i="6" a="1"/>
  <c r="B973" i="6" s="1"/>
  <c r="B582" i="6" a="1"/>
  <c r="B582" i="6" s="1"/>
  <c r="B140" i="6" a="1"/>
  <c r="B140" i="6" s="1"/>
  <c r="B191" i="6" a="1"/>
  <c r="B191" i="6" s="1"/>
  <c r="B174" i="6" a="1"/>
  <c r="B174" i="6" s="1"/>
  <c r="B395" i="6" a="1"/>
  <c r="B395" i="6" s="1"/>
  <c r="B497" i="6" a="1"/>
  <c r="B497" i="6" s="1"/>
  <c r="B123" i="6" a="1"/>
  <c r="B123" i="6" s="1"/>
  <c r="B650" i="6" a="1"/>
  <c r="B650" i="6" s="1"/>
  <c r="B276" i="6" a="1"/>
  <c r="B276" i="6" s="1"/>
  <c r="B327" i="6" a="1"/>
  <c r="B327" i="6" s="1"/>
  <c r="B344" i="6" a="1"/>
  <c r="B344" i="6" s="1"/>
  <c r="B531" i="6" a="1"/>
  <c r="B531" i="6" s="1"/>
  <c r="B565" i="6" a="1"/>
  <c r="B565" i="6" s="1"/>
  <c r="B208" i="6" a="1"/>
  <c r="B208" i="6" s="1"/>
  <c r="L206" i="6" s="1"/>
  <c r="D208" i="6" s="1"/>
  <c r="B718" i="6" a="1"/>
  <c r="B718" i="6" s="1"/>
  <c r="B412" i="6" a="1"/>
  <c r="B412" i="6" s="1"/>
  <c r="B463" i="6" a="1"/>
  <c r="B463" i="6" s="1"/>
  <c r="B480" i="6" a="1"/>
  <c r="B480" i="6" s="1"/>
  <c r="B667" i="6" a="1"/>
  <c r="B667" i="6" s="1"/>
  <c r="K841" i="6"/>
  <c r="L841" i="6" s="1"/>
  <c r="D821" i="6" s="1"/>
  <c r="K740" i="6"/>
  <c r="L740" i="6" s="1"/>
  <c r="D722" i="6" s="1"/>
  <c r="K842" i="6"/>
  <c r="L842" i="6" s="1"/>
  <c r="D823" i="6" s="1"/>
  <c r="K741" i="6"/>
  <c r="L741" i="6" s="1"/>
  <c r="D720" i="6" s="1"/>
  <c r="G410" i="108"/>
  <c r="G535" i="108"/>
  <c r="G449" i="108"/>
  <c r="G998" i="108"/>
  <c r="G537" i="108"/>
  <c r="G945" i="108"/>
  <c r="G689" i="108"/>
  <c r="G739" i="108"/>
  <c r="G612" i="108"/>
  <c r="G78" i="108"/>
  <c r="G821" i="108"/>
  <c r="G59" i="108"/>
  <c r="G745" i="108"/>
  <c r="G65" i="108"/>
  <c r="G723" i="108"/>
  <c r="G104" i="108"/>
  <c r="G808" i="108"/>
  <c r="G277" i="108"/>
  <c r="G121" i="108"/>
  <c r="G508" i="108"/>
  <c r="G61" i="108"/>
  <c r="G899" i="108"/>
  <c r="G106" i="108"/>
  <c r="G707" i="108"/>
  <c r="G635" i="108"/>
  <c r="G1021" i="108"/>
  <c r="G207" i="108"/>
  <c r="G227" i="108"/>
  <c r="G495" i="108"/>
  <c r="G195" i="108"/>
  <c r="G457" i="108"/>
  <c r="G262" i="108"/>
  <c r="G570" i="108"/>
  <c r="G769" i="108"/>
  <c r="G142" i="108"/>
  <c r="G959" i="108"/>
  <c r="G801" i="108"/>
  <c r="G563" i="108"/>
  <c r="G881" i="108"/>
  <c r="G427" i="108"/>
  <c r="G381" i="108"/>
  <c r="G206" i="108"/>
  <c r="G94" i="108"/>
  <c r="G892" i="108"/>
  <c r="G955" i="108"/>
  <c r="G390" i="108"/>
  <c r="G109" i="108"/>
  <c r="G637" i="108"/>
  <c r="G433" i="108"/>
  <c r="G276" i="108"/>
  <c r="G255" i="108"/>
  <c r="G748" i="108"/>
  <c r="G579" i="108"/>
  <c r="G919" i="108"/>
  <c r="G369" i="108"/>
  <c r="G632" i="108"/>
  <c r="G878" i="108"/>
  <c r="G126" i="108"/>
  <c r="G933" i="108"/>
  <c r="G875" i="108"/>
  <c r="G728" i="108"/>
  <c r="G140" i="108"/>
  <c r="G402" i="108"/>
  <c r="G986" i="108"/>
  <c r="G791" i="108"/>
  <c r="G403" i="108"/>
  <c r="G785" i="108"/>
  <c r="G470" i="108"/>
  <c r="G907" i="108"/>
  <c r="G257" i="108"/>
  <c r="G806" i="108"/>
  <c r="G467" i="108"/>
  <c r="G924" i="108"/>
  <c r="G465" i="108"/>
  <c r="G288" i="108"/>
  <c r="G503" i="108"/>
  <c r="G364" i="108"/>
  <c r="G71" i="108"/>
  <c r="G431" i="108"/>
  <c r="G184" i="108"/>
  <c r="G346" i="108"/>
  <c r="G754" i="108"/>
  <c r="G826" i="108"/>
  <c r="G926" i="108"/>
  <c r="G507" i="108"/>
  <c r="G680" i="108"/>
  <c r="G394" i="108"/>
  <c r="G885" i="108"/>
  <c r="G154" i="108"/>
  <c r="G527" i="108"/>
  <c r="G92" i="108"/>
  <c r="G795" i="108"/>
  <c r="G224" i="108"/>
  <c r="G768" i="108"/>
  <c r="G898" i="108"/>
  <c r="G484" i="108"/>
  <c r="G148" i="108"/>
  <c r="G1005" i="108"/>
  <c r="G839" i="108"/>
  <c r="G114" i="108"/>
  <c r="G249" i="108"/>
  <c r="G519" i="108"/>
  <c r="G34" i="108"/>
  <c r="G328" i="108"/>
  <c r="G833" i="108"/>
  <c r="G1020" i="108"/>
  <c r="G756" i="108"/>
  <c r="G830" i="108"/>
  <c r="G85" i="108"/>
  <c r="G640" i="108"/>
  <c r="G953" i="108"/>
  <c r="G308" i="108"/>
  <c r="G234" i="108"/>
  <c r="G269" i="108"/>
  <c r="G33" i="108"/>
  <c r="G452" i="108"/>
  <c r="G724" i="108"/>
  <c r="G345" i="108"/>
  <c r="G731" i="108"/>
  <c r="G343" i="108"/>
  <c r="G908" i="108"/>
  <c r="G504" i="108"/>
  <c r="G585" i="108"/>
  <c r="G800" i="108"/>
  <c r="G423" i="108"/>
  <c r="G979" i="108"/>
  <c r="G956" i="108"/>
  <c r="G225" i="108"/>
  <c r="G309" i="108"/>
  <c r="G736" i="108"/>
  <c r="G107" i="108"/>
  <c r="G770" i="108"/>
  <c r="G362" i="108"/>
  <c r="G300" i="108"/>
  <c r="G124" i="108"/>
  <c r="G101" i="108"/>
  <c r="G58" i="108"/>
  <c r="G669" i="108"/>
  <c r="G848" i="108"/>
  <c r="G609" i="108"/>
  <c r="G271" i="108"/>
  <c r="G264" i="108"/>
  <c r="G80" i="108"/>
  <c r="G678" i="108"/>
  <c r="G156" i="108"/>
  <c r="G653" i="108"/>
  <c r="G1008" i="108"/>
  <c r="G989" i="108"/>
  <c r="G247" i="108"/>
  <c r="G639" i="108"/>
  <c r="G865" i="108"/>
  <c r="G626" i="108"/>
  <c r="G836" i="108"/>
  <c r="G805" i="108"/>
  <c r="G532" i="108"/>
  <c r="G443" i="108"/>
  <c r="G552" i="108"/>
  <c r="G186" i="108"/>
  <c r="G310" i="108"/>
  <c r="G349" i="108"/>
  <c r="G572" i="108"/>
  <c r="G685" i="108"/>
  <c r="G72" i="108"/>
  <c r="G131" i="108"/>
  <c r="G983" i="108"/>
  <c r="G215" i="108"/>
  <c r="G303" i="108"/>
  <c r="G606" i="108"/>
  <c r="G1014" i="108"/>
  <c r="G441" i="108"/>
  <c r="G648" i="108"/>
  <c r="G392" i="108"/>
  <c r="G863" i="108"/>
  <c r="G523" i="108"/>
  <c r="G474" i="108"/>
  <c r="G758" i="108"/>
  <c r="G950" i="108"/>
  <c r="G295" i="108"/>
  <c r="G803" i="108"/>
  <c r="G216" i="108"/>
  <c r="G1003" i="108"/>
  <c r="G645" i="108"/>
  <c r="G401" i="108"/>
  <c r="G618" i="108"/>
  <c r="G729" i="108"/>
  <c r="G1011" i="108"/>
  <c r="G296" i="108"/>
  <c r="G921" i="108"/>
  <c r="G42" i="108"/>
  <c r="G64" i="108"/>
  <c r="G260" i="108"/>
  <c r="G96" i="108"/>
  <c r="G110" i="108"/>
  <c r="G896" i="108"/>
  <c r="G630" i="108"/>
  <c r="G994" i="108"/>
  <c r="G581" i="108"/>
  <c r="G284" i="108"/>
  <c r="G253" i="108"/>
  <c r="G700" i="108"/>
  <c r="G327" i="108"/>
  <c r="G418" i="108"/>
  <c r="G957" i="108"/>
  <c r="G243" i="108"/>
  <c r="G843" i="108"/>
  <c r="G672" i="108"/>
  <c r="G383" i="108"/>
  <c r="G718" i="108"/>
  <c r="G762" i="108"/>
  <c r="G428" i="108"/>
  <c r="G36" i="108"/>
  <c r="G825" i="108"/>
  <c r="G528" i="108"/>
  <c r="G393" i="108"/>
  <c r="G571" i="108"/>
  <c r="G515" i="108"/>
  <c r="G273" i="108"/>
  <c r="G389" i="108"/>
  <c r="G316" i="108"/>
  <c r="G265" i="108"/>
  <c r="G534" i="108"/>
  <c r="G208" i="108"/>
  <c r="G691" i="108"/>
  <c r="G566" i="108"/>
  <c r="G476" i="108"/>
  <c r="G498" i="108"/>
  <c r="G883" i="108"/>
  <c r="G646" i="108"/>
  <c r="G444" i="108"/>
  <c r="G220" i="108"/>
  <c r="G774" i="108"/>
  <c r="G451" i="108"/>
  <c r="G725" i="108"/>
  <c r="G24" i="108"/>
  <c r="G742" i="108"/>
  <c r="G279" i="108"/>
  <c r="G183" i="108"/>
  <c r="G817" i="108"/>
  <c r="G338" i="108"/>
  <c r="G79" i="108"/>
  <c r="G408" i="108"/>
  <c r="G868" i="108"/>
  <c r="G764" i="108"/>
  <c r="G562" i="108"/>
  <c r="G681" i="108"/>
  <c r="F316" i="108"/>
  <c r="F809" i="108"/>
  <c r="F602" i="108"/>
  <c r="G961" i="108"/>
  <c r="G516" i="108"/>
  <c r="G448" i="108"/>
  <c r="G83" i="108"/>
  <c r="G771" i="108"/>
  <c r="G1009" i="108"/>
  <c r="G990" i="108"/>
  <c r="G453" i="108"/>
  <c r="G161" i="108"/>
  <c r="G120" i="108"/>
  <c r="G684" i="108"/>
  <c r="G100" i="108"/>
  <c r="G781" i="108"/>
  <c r="G717" i="108"/>
  <c r="G237" i="108"/>
  <c r="G652" i="108"/>
  <c r="G270" i="108"/>
  <c r="G426" i="108"/>
  <c r="G913" i="108"/>
  <c r="G752" i="108"/>
  <c r="G469" i="108"/>
  <c r="G350" i="108"/>
  <c r="G181" i="108"/>
  <c r="G816" i="108"/>
  <c r="G355" i="108"/>
  <c r="G382" i="108"/>
  <c r="G663" i="108"/>
  <c r="G978" i="108"/>
  <c r="G244" i="108"/>
  <c r="G406" i="108"/>
  <c r="G658" i="108"/>
  <c r="G734" i="108"/>
  <c r="G155" i="108"/>
  <c r="G880" i="108"/>
  <c r="G716" i="108"/>
  <c r="G147" i="108"/>
  <c r="G824" i="108"/>
  <c r="G613" i="108"/>
  <c r="G798" i="108"/>
  <c r="G210" i="108"/>
  <c r="G103" i="108"/>
  <c r="G283" i="108"/>
  <c r="G37" i="108"/>
  <c r="G525" i="108"/>
  <c r="G623" i="108"/>
  <c r="G318" i="108"/>
  <c r="G299" i="108"/>
  <c r="G631" i="108"/>
  <c r="G753" i="108"/>
  <c r="G501" i="108"/>
  <c r="G773" i="108"/>
  <c r="G306" i="108"/>
  <c r="G827" i="108"/>
  <c r="G88" i="108"/>
  <c r="G602" i="108"/>
  <c r="G485" i="108"/>
  <c r="G411" i="108"/>
  <c r="G52" i="108"/>
  <c r="G920" i="108"/>
  <c r="G203" i="108"/>
  <c r="G578" i="108"/>
  <c r="G442" i="108"/>
  <c r="G122" i="108"/>
  <c r="G377" i="108"/>
  <c r="G139" i="108"/>
  <c r="G910" i="108"/>
  <c r="G163" i="108"/>
  <c r="G178" i="108"/>
  <c r="G347" i="108"/>
  <c r="G790" i="108"/>
  <c r="G992" i="108"/>
  <c r="G760" i="108"/>
  <c r="G368" i="108"/>
  <c r="G233" i="108"/>
  <c r="G395" i="108"/>
  <c r="G250" i="108"/>
  <c r="G931" i="108"/>
  <c r="G304" i="108"/>
  <c r="G353" i="108"/>
  <c r="G55" i="108"/>
  <c r="G928" i="108"/>
  <c r="G479" i="108"/>
  <c r="G127" i="108"/>
  <c r="G859" i="108"/>
  <c r="G473" i="108"/>
  <c r="G902" i="108"/>
  <c r="G1016" i="108"/>
  <c r="G471" i="108"/>
  <c r="G478" i="108"/>
  <c r="G846" i="108"/>
  <c r="G906" i="108"/>
  <c r="G123" i="108"/>
  <c r="G530" i="108"/>
  <c r="G1002" i="108"/>
  <c r="G818" i="108"/>
  <c r="G708" i="108"/>
  <c r="G838" i="108"/>
  <c r="G432" i="108"/>
  <c r="G336" i="108"/>
  <c r="G421" i="108"/>
  <c r="G317" i="108"/>
  <c r="G854" i="108"/>
  <c r="G600" i="108"/>
  <c r="G182" i="108"/>
  <c r="G240" i="108"/>
  <c r="G815" i="108"/>
  <c r="G743" i="108"/>
  <c r="G492" i="108"/>
  <c r="G929" i="108"/>
  <c r="G337" i="108"/>
  <c r="G641" i="108"/>
  <c r="G662" i="108"/>
  <c r="G938" i="108"/>
  <c r="G252" i="108"/>
  <c r="G837" i="108"/>
  <c r="G321" i="108"/>
  <c r="G792" i="108"/>
  <c r="G97" i="108"/>
  <c r="G171" i="108"/>
  <c r="G475" i="108"/>
  <c r="G133" i="108"/>
  <c r="G850" i="108"/>
  <c r="G119" i="108"/>
  <c r="G164" i="108"/>
  <c r="G372" i="108"/>
  <c r="F832" i="108"/>
  <c r="F607" i="108"/>
  <c r="G667" i="108"/>
  <c r="G420" i="108"/>
  <c r="G589" i="108"/>
  <c r="G849" i="108"/>
  <c r="G415" i="108"/>
  <c r="G506" i="108"/>
  <c r="G828" i="108"/>
  <c r="G682" i="108"/>
  <c r="G977" i="108"/>
  <c r="G326" i="108"/>
  <c r="G699" i="108"/>
  <c r="G750" i="108"/>
  <c r="G877" i="108"/>
  <c r="G174" i="108"/>
  <c r="G384" i="108"/>
  <c r="G213" i="108"/>
  <c r="G894" i="108"/>
  <c r="G245" i="108"/>
  <c r="G128" i="108"/>
  <c r="G812" i="108"/>
  <c r="G541" i="108"/>
  <c r="G287" i="108"/>
  <c r="G778" i="108"/>
  <c r="G330" i="108"/>
  <c r="G293" i="108"/>
  <c r="G526" i="108"/>
  <c r="G62" i="108"/>
  <c r="G356" i="108"/>
  <c r="G860" i="108"/>
  <c r="G819" i="108"/>
  <c r="G932" i="108"/>
  <c r="G643" i="108"/>
  <c r="G586" i="108"/>
  <c r="G793" i="108"/>
  <c r="G488" i="108"/>
  <c r="G569" i="108"/>
  <c r="G334" i="108"/>
  <c r="G577" i="108"/>
  <c r="G887" i="108"/>
  <c r="G580" i="108"/>
  <c r="G687" i="108"/>
  <c r="G144" i="108"/>
  <c r="G568" i="108"/>
  <c r="G435" i="108"/>
  <c r="G668" i="108"/>
  <c r="G794" i="108"/>
  <c r="G514" i="108"/>
  <c r="G29" i="108"/>
  <c r="G941" i="108"/>
  <c r="G775" i="108"/>
  <c r="G787" i="108"/>
  <c r="G44" i="108"/>
  <c r="G964" i="108"/>
  <c r="G160" i="108"/>
  <c r="G385" i="108"/>
  <c r="G683" i="108"/>
  <c r="G1000" i="108"/>
  <c r="G1018" i="108"/>
  <c r="G496" i="108"/>
  <c r="G546" i="108"/>
  <c r="G494" i="108"/>
  <c r="G997" i="108"/>
  <c r="G755" i="108"/>
  <c r="G87" i="108"/>
  <c r="G564" i="108"/>
  <c r="G152" i="108"/>
  <c r="G861" i="108"/>
  <c r="G732" i="108"/>
  <c r="G407" i="108"/>
  <c r="G862" i="108"/>
  <c r="G26" i="108"/>
  <c r="G129" i="108"/>
  <c r="G744" i="108"/>
  <c r="G727" i="108"/>
  <c r="G759" i="108"/>
  <c r="G954" i="108"/>
  <c r="G396" i="108"/>
  <c r="G962" i="108"/>
  <c r="G703" i="108"/>
  <c r="G876" i="108"/>
  <c r="G871" i="108"/>
  <c r="G911" i="108"/>
  <c r="G786" i="108"/>
  <c r="G512" i="108"/>
  <c r="G622" i="108"/>
  <c r="G610" i="108"/>
  <c r="G749" i="108"/>
  <c r="G258" i="108"/>
  <c r="G125" i="108"/>
  <c r="G820" i="108"/>
  <c r="G604" i="108"/>
  <c r="G422" i="108"/>
  <c r="G711" i="108"/>
  <c r="G659" i="108"/>
  <c r="G472" i="108"/>
  <c r="G239" i="108"/>
  <c r="G789" i="108"/>
  <c r="G30" i="108"/>
  <c r="G947" i="108"/>
  <c r="G322" i="108"/>
  <c r="G438" i="108"/>
  <c r="G266" i="108"/>
  <c r="G710" i="108"/>
  <c r="G692" i="108"/>
  <c r="G851" i="108"/>
  <c r="G943" i="108"/>
  <c r="G424" i="108"/>
  <c r="G331" i="108"/>
  <c r="G726" i="108"/>
  <c r="G312" i="108"/>
  <c r="G187" i="108"/>
  <c r="G987" i="108"/>
  <c r="G1013" i="108"/>
  <c r="G241" i="108"/>
  <c r="G909" i="108"/>
  <c r="G81" i="108"/>
  <c r="G991" i="108"/>
  <c r="G379" i="108"/>
  <c r="G497" i="108"/>
  <c r="G481" i="108"/>
  <c r="G278" i="108"/>
  <c r="G980" i="108"/>
  <c r="G627" i="108"/>
  <c r="G68" i="108"/>
  <c r="G988" i="108"/>
  <c r="F931" i="108"/>
  <c r="F75" i="108"/>
  <c r="G696" i="108"/>
  <c r="G1001" i="108"/>
  <c r="G223" i="108"/>
  <c r="G412" i="108"/>
  <c r="G695" i="108"/>
  <c r="G489" i="108"/>
  <c r="G996" i="108"/>
  <c r="G543" i="108"/>
  <c r="G665" i="108"/>
  <c r="G676" i="108"/>
  <c r="G940" i="108"/>
  <c r="G517" i="108"/>
  <c r="G870" i="108"/>
  <c r="G311" i="108"/>
  <c r="G633" i="108"/>
  <c r="G483" i="108"/>
  <c r="G617" i="108"/>
  <c r="G388" i="108"/>
  <c r="G832" i="108"/>
  <c r="G352" i="108"/>
  <c r="G884" i="108"/>
  <c r="G263" i="108"/>
  <c r="G404" i="108"/>
  <c r="G952" i="108"/>
  <c r="G597" i="108"/>
  <c r="G232" i="108"/>
  <c r="G202" i="108"/>
  <c r="G844" i="108"/>
  <c r="G935" i="108"/>
  <c r="G67" i="108"/>
  <c r="G360" i="108"/>
  <c r="G904" i="108"/>
  <c r="G740" i="108"/>
  <c r="G267" i="108"/>
  <c r="G228" i="108"/>
  <c r="G661" i="108"/>
  <c r="G757" i="108"/>
  <c r="G1019" i="108"/>
  <c r="G149" i="108"/>
  <c r="G361" i="108"/>
  <c r="G130" i="108"/>
  <c r="G43" i="108"/>
  <c r="G229" i="108"/>
  <c r="G576" i="108"/>
  <c r="G63" i="108"/>
  <c r="G89" i="108"/>
  <c r="G180" i="108"/>
  <c r="G351" i="108"/>
  <c r="G677" i="108"/>
  <c r="G230" i="108"/>
  <c r="G664" i="108"/>
  <c r="G319" i="108"/>
  <c r="G558" i="108"/>
  <c r="G520" i="108"/>
  <c r="G268" i="108"/>
  <c r="G614" i="108"/>
  <c r="G1015" i="108"/>
  <c r="G810" i="108"/>
  <c r="G783" i="108"/>
  <c r="G829" i="108"/>
  <c r="G561" i="108"/>
  <c r="G380" i="108"/>
  <c r="G845" i="108"/>
  <c r="G446" i="108"/>
  <c r="G644" i="108"/>
  <c r="G917" i="108"/>
  <c r="G649" i="108"/>
  <c r="G458" i="108"/>
  <c r="G573" i="108"/>
  <c r="G231" i="108"/>
  <c r="G461" i="108"/>
  <c r="G923" i="108"/>
  <c r="G166" i="108"/>
  <c r="G982" i="108"/>
  <c r="G937" i="108"/>
  <c r="G1022" i="108"/>
  <c r="G976" i="108"/>
  <c r="G294" i="108"/>
  <c r="G31" i="108"/>
  <c r="G39" i="108"/>
  <c r="G397" i="108"/>
  <c r="G588" i="108"/>
  <c r="G158" i="108"/>
  <c r="G855" i="108"/>
  <c r="G930" i="108"/>
  <c r="G1007" i="108"/>
  <c r="G782" i="108"/>
  <c r="G176" i="108"/>
  <c r="G242" i="108"/>
  <c r="G942" i="108"/>
  <c r="G697" i="108"/>
  <c r="G455" i="108"/>
  <c r="G852" i="108"/>
  <c r="G730" i="108"/>
  <c r="G999" i="108"/>
  <c r="G592" i="108"/>
  <c r="G218" i="108"/>
  <c r="G670" i="108"/>
  <c r="G192" i="108"/>
  <c r="G1017" i="108"/>
  <c r="G189" i="108"/>
  <c r="G307" i="108"/>
  <c r="G47" i="108"/>
  <c r="G533" i="108"/>
  <c r="G194" i="108"/>
  <c r="G890" i="108"/>
  <c r="G738" i="108"/>
  <c r="G822" i="108"/>
  <c r="G386" i="108"/>
  <c r="G430" i="108"/>
  <c r="G897" i="108"/>
  <c r="G105" i="108"/>
  <c r="G486" i="108"/>
  <c r="G867" i="108"/>
  <c r="G480" i="108"/>
  <c r="G804" i="108"/>
  <c r="G490" i="108"/>
  <c r="G599" i="108"/>
  <c r="G493" i="108"/>
  <c r="G900" i="108"/>
  <c r="G146" i="108"/>
  <c r="G254" i="108"/>
  <c r="G539" i="108"/>
  <c r="G487" i="108"/>
  <c r="G601" i="108"/>
  <c r="G513" i="108"/>
  <c r="G177" i="108"/>
  <c r="G598" i="108"/>
  <c r="G440" i="108"/>
  <c r="G595" i="108"/>
  <c r="G809" i="108"/>
  <c r="G721" i="108"/>
  <c r="G259" i="108"/>
  <c r="G236" i="108"/>
  <c r="G560" i="108"/>
  <c r="G434" i="108"/>
  <c r="G339" i="108"/>
  <c r="G341" i="108"/>
  <c r="G638" i="108"/>
  <c r="G238" i="108"/>
  <c r="G66" i="108"/>
  <c r="G305" i="108"/>
  <c r="G847" i="108"/>
  <c r="G593" i="108"/>
  <c r="G891" i="108"/>
  <c r="G399" i="108"/>
  <c r="G582" i="108"/>
  <c r="G366" i="108"/>
  <c r="G159" i="108"/>
  <c r="G856" i="108"/>
  <c r="G151" i="108"/>
  <c r="G204" i="108"/>
  <c r="G333" i="108"/>
  <c r="G694" i="108"/>
  <c r="G511" i="108"/>
  <c r="G197" i="108"/>
  <c r="G359" i="108"/>
  <c r="G698" i="108"/>
  <c r="G590" i="108"/>
  <c r="G888" i="108"/>
  <c r="G895" i="108"/>
  <c r="G540" i="108"/>
  <c r="G502" i="108"/>
  <c r="G545" i="108"/>
  <c r="G91" i="108"/>
  <c r="G436" i="108"/>
  <c r="G445" i="108"/>
  <c r="G763" i="108"/>
  <c r="G354" i="108"/>
  <c r="G292" i="108"/>
  <c r="G175" i="108"/>
  <c r="G290" i="108"/>
  <c r="G51" i="108"/>
  <c r="G616" i="108"/>
  <c r="G115" i="108"/>
  <c r="G799" i="108"/>
  <c r="G605" i="108"/>
  <c r="G167" i="108"/>
  <c r="G918" i="108"/>
  <c r="G974" i="108"/>
  <c r="G145" i="108"/>
  <c r="G460" i="108"/>
  <c r="G547" i="108"/>
  <c r="G134" i="108"/>
  <c r="G654" i="108"/>
  <c r="G772" i="108"/>
  <c r="G374" i="108"/>
  <c r="G437" i="108"/>
  <c r="G634" i="108"/>
  <c r="G655" i="108"/>
  <c r="G348" i="108"/>
  <c r="G274" i="108"/>
  <c r="G971" i="108"/>
  <c r="G313" i="108"/>
  <c r="G173" i="108"/>
  <c r="G95" i="108"/>
  <c r="G56" i="108"/>
  <c r="G320" i="108"/>
  <c r="G153" i="108"/>
  <c r="G280" i="108"/>
  <c r="G557" i="108"/>
  <c r="G325" i="108"/>
  <c r="G811" i="108"/>
  <c r="G975" i="108"/>
  <c r="G551" i="108"/>
  <c r="G86" i="108"/>
  <c r="G447" i="108"/>
  <c r="F685" i="108"/>
  <c r="F430" i="108"/>
  <c r="G797" i="108"/>
  <c r="G813" i="108"/>
  <c r="G915" i="108"/>
  <c r="G499" i="108"/>
  <c r="G165" i="108"/>
  <c r="G111" i="108"/>
  <c r="G735" i="108"/>
  <c r="G69" i="108"/>
  <c r="G650" i="108"/>
  <c r="G414" i="108"/>
  <c r="G963" i="108"/>
  <c r="G949" i="108"/>
  <c r="G936" i="108"/>
  <c r="G46" i="108"/>
  <c r="G281" i="108"/>
  <c r="G823" i="108"/>
  <c r="G615" i="108"/>
  <c r="G1012" i="108"/>
  <c r="G162" i="108"/>
  <c r="G365" i="108"/>
  <c r="G840" i="108"/>
  <c r="G889" i="108"/>
  <c r="G842" i="108"/>
  <c r="G651" i="108"/>
  <c r="G150" i="108"/>
  <c r="G679" i="108"/>
  <c r="G49" i="108"/>
  <c r="G1004" i="108"/>
  <c r="G398" i="108"/>
  <c r="G628" i="108"/>
  <c r="G688" i="108"/>
  <c r="G886" i="108"/>
  <c r="G190" i="108"/>
  <c r="G704" i="108"/>
  <c r="G531" i="108"/>
  <c r="G948" i="108"/>
  <c r="G482" i="108"/>
  <c r="F676" i="108"/>
  <c r="F308" i="108"/>
  <c r="F38" i="108"/>
  <c r="F421" i="108"/>
  <c r="F918" i="108"/>
  <c r="F437" i="108"/>
  <c r="F905" i="108"/>
  <c r="F276" i="108"/>
  <c r="F661" i="108"/>
  <c r="F757" i="108"/>
  <c r="F996" i="108"/>
  <c r="F594" i="108"/>
  <c r="F978" i="108"/>
  <c r="F44" i="108"/>
  <c r="F334" i="108"/>
  <c r="F469" i="108"/>
  <c r="F508" i="108"/>
  <c r="F342" i="108"/>
  <c r="F135" i="108"/>
  <c r="F991" i="108"/>
  <c r="F986" i="108"/>
  <c r="F99" i="108"/>
  <c r="F596" i="108"/>
  <c r="F810" i="108"/>
  <c r="F253" i="108"/>
  <c r="F149" i="108"/>
  <c r="F337" i="108"/>
  <c r="F567" i="108"/>
  <c r="F291" i="108"/>
  <c r="F443" i="108"/>
  <c r="F233" i="108"/>
  <c r="F53" i="108"/>
  <c r="F1009" i="108"/>
  <c r="F167" i="108"/>
  <c r="F759" i="108"/>
  <c r="F282" i="108"/>
  <c r="F524" i="108"/>
  <c r="F387" i="108"/>
  <c r="F306" i="108"/>
  <c r="F181" i="108"/>
  <c r="F228" i="108"/>
  <c r="F295" i="108"/>
  <c r="F533" i="108"/>
  <c r="F767" i="108"/>
  <c r="F485" i="108"/>
  <c r="F288" i="108"/>
  <c r="F773" i="108"/>
  <c r="F60" i="108"/>
  <c r="F377" i="108"/>
  <c r="F463" i="108"/>
  <c r="F238" i="108"/>
  <c r="F108" i="108"/>
  <c r="F946" i="108"/>
  <c r="F584" i="108"/>
  <c r="F588" i="108"/>
  <c r="F763" i="108"/>
  <c r="F510" i="108"/>
  <c r="F592" i="108"/>
  <c r="F88" i="108"/>
  <c r="F138" i="108"/>
  <c r="F143" i="108"/>
  <c r="F585" i="108"/>
  <c r="F807" i="108"/>
  <c r="F728" i="108"/>
  <c r="F727" i="108"/>
  <c r="F178" i="108"/>
  <c r="F802" i="108"/>
  <c r="F114" i="108"/>
  <c r="F787" i="108"/>
  <c r="F876" i="108"/>
  <c r="F292" i="108"/>
  <c r="F137" i="108"/>
  <c r="F612" i="108"/>
  <c r="F708" i="108"/>
  <c r="F348" i="108"/>
  <c r="F781" i="108"/>
  <c r="F35" i="108"/>
  <c r="F868" i="108"/>
  <c r="G518" i="108"/>
  <c r="G584" i="108"/>
  <c r="G38" i="108"/>
  <c r="G251" i="108"/>
  <c r="G289" i="108"/>
  <c r="G168" i="108"/>
  <c r="G342" i="108"/>
  <c r="G958" i="108"/>
  <c r="G108" i="108"/>
  <c r="G722" i="108"/>
  <c r="G53" i="108"/>
  <c r="G221" i="108"/>
  <c r="G464" i="108"/>
  <c r="G324" i="108"/>
  <c r="G409" i="108"/>
  <c r="G75" i="108"/>
  <c r="G984" i="108"/>
  <c r="G416" i="108"/>
  <c r="G298" i="108"/>
  <c r="G882" i="108"/>
  <c r="G1006" i="108"/>
  <c r="G198" i="108"/>
  <c r="G934" i="108"/>
  <c r="G575" i="108"/>
  <c r="G607" i="108"/>
  <c r="G358" i="108"/>
  <c r="G509" i="108"/>
  <c r="G538" i="108"/>
  <c r="G116" i="108"/>
  <c r="G367" i="108"/>
  <c r="G761" i="108"/>
  <c r="G853" i="108"/>
  <c r="G995" i="108"/>
  <c r="G621" i="108"/>
  <c r="G93" i="108"/>
  <c r="G524" i="108"/>
  <c r="G468" i="108"/>
  <c r="G706" i="108"/>
  <c r="G542" i="108"/>
  <c r="G905" i="108"/>
  <c r="G970" i="108"/>
  <c r="G596" i="108"/>
  <c r="G841" i="108"/>
  <c r="G619" i="108"/>
  <c r="G132" i="108"/>
  <c r="G751" i="108"/>
  <c r="G157" i="108"/>
  <c r="G719" i="108"/>
  <c r="G54" i="108"/>
  <c r="G188" i="108"/>
  <c r="G375" i="108"/>
  <c r="G693" i="108"/>
  <c r="G548" i="108"/>
  <c r="G297" i="108"/>
  <c r="G439" i="108"/>
  <c r="F834" i="108"/>
  <c r="F618" i="108"/>
  <c r="F547" i="108"/>
  <c r="F555" i="108"/>
  <c r="F79" i="108"/>
  <c r="F880" i="108"/>
  <c r="F1006" i="108"/>
  <c r="F62" i="108"/>
  <c r="F483" i="108"/>
  <c r="F27" i="108"/>
  <c r="F681" i="108"/>
  <c r="F1012" i="108"/>
  <c r="F639" i="108"/>
  <c r="F692" i="108"/>
  <c r="F896" i="108"/>
  <c r="F903" i="108"/>
  <c r="F988" i="108"/>
  <c r="F52" i="108"/>
  <c r="F110" i="108"/>
  <c r="F938" i="108"/>
  <c r="F962" i="108"/>
  <c r="F854" i="108"/>
  <c r="F435" i="108"/>
  <c r="F782" i="108"/>
  <c r="F40" i="108"/>
  <c r="F248" i="108"/>
  <c r="F1007" i="108"/>
  <c r="F176" i="108"/>
  <c r="F224" i="108"/>
  <c r="F492" i="108"/>
  <c r="F221" i="108"/>
  <c r="F180" i="108"/>
  <c r="F570" i="108"/>
  <c r="F205" i="108"/>
  <c r="F84" i="108"/>
  <c r="F963" i="108"/>
  <c r="F563" i="108"/>
  <c r="F766" i="108"/>
  <c r="F698" i="108"/>
  <c r="F572" i="108"/>
  <c r="F355" i="108"/>
  <c r="F267" i="108"/>
  <c r="F241" i="108"/>
  <c r="F125" i="108"/>
  <c r="F168" i="108"/>
  <c r="F396" i="108"/>
  <c r="F425" i="108"/>
  <c r="F144" i="108"/>
  <c r="F907" i="108"/>
  <c r="F955" i="108"/>
  <c r="F751" i="108"/>
  <c r="F969" i="108"/>
  <c r="F45" i="108"/>
  <c r="F140" i="108"/>
  <c r="F837" i="108"/>
  <c r="F461" i="108"/>
  <c r="F409" i="108"/>
  <c r="F259" i="108"/>
  <c r="F652" i="108"/>
  <c r="F98" i="108"/>
  <c r="F299" i="108"/>
  <c r="F980" i="108"/>
  <c r="F207" i="108"/>
  <c r="F344" i="108"/>
  <c r="F173" i="108"/>
  <c r="F654" i="108"/>
  <c r="F569" i="108"/>
  <c r="F716" i="108"/>
  <c r="F42" i="108"/>
  <c r="F713" i="108"/>
  <c r="F59" i="108"/>
  <c r="F212" i="108"/>
  <c r="F840" i="108"/>
  <c r="F36" i="108"/>
  <c r="F279" i="108"/>
  <c r="F636" i="108"/>
  <c r="F920" i="108"/>
  <c r="F132" i="108"/>
  <c r="F65" i="108"/>
  <c r="F740" i="108"/>
  <c r="F641" i="108"/>
  <c r="F446" i="108"/>
  <c r="G272" i="108"/>
  <c r="G779" i="108"/>
  <c r="G205" i="108"/>
  <c r="G802" i="108"/>
  <c r="G50" i="108"/>
  <c r="G747" i="108"/>
  <c r="G209" i="108"/>
  <c r="G574" i="108"/>
  <c r="G378" i="108"/>
  <c r="G673" i="108"/>
  <c r="G113" i="108"/>
  <c r="G925" i="108"/>
  <c r="G946" i="108"/>
  <c r="G491" i="108"/>
  <c r="G400" i="108"/>
  <c r="G857" i="108"/>
  <c r="G27" i="108"/>
  <c r="G112" i="108"/>
  <c r="G405" i="108"/>
  <c r="G702" i="108"/>
  <c r="G222" i="108"/>
  <c r="G285" i="108"/>
  <c r="G765" i="108"/>
  <c r="G170" i="108"/>
  <c r="G261" i="108"/>
  <c r="G767" i="108"/>
  <c r="G200" i="108"/>
  <c r="G344" i="108"/>
  <c r="G912" i="108"/>
  <c r="G927" i="108"/>
  <c r="G591" i="108"/>
  <c r="G45" i="108"/>
  <c r="G873" i="108"/>
  <c r="G363" i="108"/>
  <c r="G967" i="108"/>
  <c r="G90" i="108"/>
  <c r="G286" i="108"/>
  <c r="F663" i="108"/>
  <c r="F871" i="108"/>
  <c r="F550" i="108"/>
  <c r="F196" i="108"/>
  <c r="F230" i="108"/>
  <c r="F974" i="108"/>
  <c r="F449" i="108"/>
  <c r="F559" i="108"/>
  <c r="F235" i="108"/>
  <c r="F499" i="108"/>
  <c r="F836" i="108"/>
  <c r="F452" i="108"/>
  <c r="F255" i="108"/>
  <c r="F46" i="108"/>
  <c r="F360" i="108"/>
  <c r="F341" i="108"/>
  <c r="F820" i="108"/>
  <c r="F285" i="108"/>
  <c r="F422" i="108"/>
  <c r="F619" i="108"/>
  <c r="F136" i="108"/>
  <c r="F745" i="108"/>
  <c r="F427" i="108"/>
  <c r="F753" i="108"/>
  <c r="F100" i="108"/>
  <c r="F571" i="108"/>
  <c r="F202" i="108"/>
  <c r="F203" i="108"/>
  <c r="F80" i="108"/>
  <c r="F416" i="108"/>
  <c r="F633" i="108"/>
  <c r="F243" i="108"/>
  <c r="F389" i="108"/>
  <c r="F300" i="108"/>
  <c r="F287" i="108"/>
  <c r="F747" i="108"/>
  <c r="F804" i="108"/>
  <c r="F55" i="108"/>
  <c r="F106" i="108"/>
  <c r="F775" i="108"/>
  <c r="F154" i="108"/>
  <c r="F383" i="108"/>
  <c r="F937" i="108"/>
  <c r="F480" i="108"/>
  <c r="F608" i="108"/>
  <c r="F77" i="108"/>
  <c r="F882" i="108"/>
  <c r="F442" i="108"/>
  <c r="F370" i="108"/>
  <c r="F656" i="108"/>
  <c r="F336" i="108"/>
  <c r="F256" i="108"/>
  <c r="F436" i="108"/>
  <c r="F537" i="108"/>
  <c r="F152" i="108"/>
  <c r="F648" i="108"/>
  <c r="F398" i="108"/>
  <c r="F1022" i="108"/>
  <c r="F888" i="108"/>
  <c r="F866" i="108"/>
  <c r="F169" i="108"/>
  <c r="F966" i="108"/>
  <c r="F493" i="108"/>
  <c r="F589" i="108"/>
  <c r="F843" i="108"/>
  <c r="F417" i="108"/>
  <c r="F76" i="108"/>
  <c r="F992" i="108"/>
  <c r="F897" i="108"/>
  <c r="F50" i="108"/>
  <c r="F413" i="108"/>
  <c r="F984" i="108"/>
  <c r="F604" i="108"/>
  <c r="F131" i="108"/>
  <c r="F210" i="108"/>
  <c r="F851" i="108"/>
  <c r="F646" i="108"/>
  <c r="F653" i="108"/>
  <c r="G565" i="108"/>
  <c r="G141" i="108"/>
  <c r="G922" i="108"/>
  <c r="G60" i="108"/>
  <c r="G864" i="108"/>
  <c r="G869" i="108"/>
  <c r="G117" i="108"/>
  <c r="G656" i="108"/>
  <c r="G301" i="108"/>
  <c r="G459" i="108"/>
  <c r="G500" i="108"/>
  <c r="G246" i="108"/>
  <c r="G733" i="108"/>
  <c r="G555" i="108"/>
  <c r="G903" i="108"/>
  <c r="G235" i="108"/>
  <c r="G35" i="108"/>
  <c r="G136" i="108"/>
  <c r="G777" i="108"/>
  <c r="G332" i="108"/>
  <c r="G866" i="108"/>
  <c r="G76" i="108"/>
  <c r="G709" i="108"/>
  <c r="G624" i="108"/>
  <c r="G329" i="108"/>
  <c r="G99" i="108"/>
  <c r="G335" i="108"/>
  <c r="G387" i="108"/>
  <c r="G466" i="108"/>
  <c r="G282" i="108"/>
  <c r="G690" i="108"/>
  <c r="G972" i="108"/>
  <c r="G302" i="108"/>
  <c r="G611" i="108"/>
  <c r="G893" i="108"/>
  <c r="G549" i="108"/>
  <c r="G219" i="108"/>
  <c r="G796" i="108"/>
  <c r="F505" i="108"/>
  <c r="F535" i="108"/>
  <c r="F25" i="108"/>
  <c r="F491" i="108"/>
  <c r="F479" i="108"/>
  <c r="F476" i="108"/>
  <c r="F94" i="108"/>
  <c r="F254" i="108"/>
  <c r="F194" i="108"/>
  <c r="F519" i="108"/>
  <c r="F1014" i="108"/>
  <c r="F758" i="108"/>
  <c r="F733" i="108"/>
  <c r="F881" i="108"/>
  <c r="F419" i="108"/>
  <c r="F109" i="108"/>
  <c r="F339" i="108"/>
  <c r="F418" i="108"/>
  <c r="F790" i="108"/>
  <c r="F126" i="108"/>
  <c r="F769" i="108"/>
  <c r="F237" i="108"/>
  <c r="F998" i="108"/>
  <c r="F564" i="108"/>
  <c r="F357" i="108"/>
  <c r="F163" i="108"/>
  <c r="F994" i="108"/>
  <c r="F827" i="108"/>
  <c r="F472" i="108"/>
  <c r="F400" i="108"/>
  <c r="F158" i="108"/>
  <c r="F990" i="108"/>
  <c r="F488" i="108"/>
  <c r="F552" i="108"/>
  <c r="F561" i="108"/>
  <c r="F127" i="108"/>
  <c r="F429" i="108"/>
  <c r="F311" i="108"/>
  <c r="F915" i="108"/>
  <c r="F662" i="108"/>
  <c r="F536" i="108"/>
  <c r="F611" i="108"/>
  <c r="F123" i="108"/>
  <c r="F967" i="108"/>
  <c r="F823" i="108"/>
  <c r="F541" i="108"/>
  <c r="F997" i="108"/>
  <c r="F249" i="108"/>
  <c r="F201" i="108"/>
  <c r="F744" i="108"/>
  <c r="F680" i="108"/>
  <c r="F426" i="108"/>
  <c r="F821" i="108"/>
  <c r="F736" i="108"/>
  <c r="F822" i="108"/>
  <c r="F610" i="108"/>
  <c r="F1015" i="108"/>
  <c r="F609" i="108"/>
  <c r="F296" i="108"/>
  <c r="F231" i="108"/>
  <c r="F803" i="108"/>
  <c r="F382" i="108"/>
  <c r="F644" i="108"/>
  <c r="F177" i="108"/>
  <c r="F957" i="108"/>
  <c r="F174" i="108"/>
  <c r="F538" i="108"/>
  <c r="F830" i="108"/>
  <c r="F171" i="108"/>
  <c r="F523" i="108"/>
  <c r="F755" i="108"/>
  <c r="F1017" i="108"/>
  <c r="F722" i="108"/>
  <c r="F371" i="108"/>
  <c r="F415" i="108"/>
  <c r="F910" i="108"/>
  <c r="F912" i="108"/>
  <c r="F786" i="108"/>
  <c r="F190" i="108"/>
  <c r="F935" i="108"/>
  <c r="F182" i="108"/>
  <c r="F361" i="108"/>
  <c r="F460" i="108"/>
  <c r="F600" i="108"/>
  <c r="F408" i="108"/>
  <c r="F878" i="108"/>
  <c r="F613" i="108"/>
  <c r="F51" i="108"/>
  <c r="F490" i="108"/>
  <c r="G835" i="108"/>
  <c r="G211" i="108"/>
  <c r="G660" i="108"/>
  <c r="G248" i="108"/>
  <c r="G226" i="108"/>
  <c r="G567" i="108"/>
  <c r="G901" i="108"/>
  <c r="G914" i="108"/>
  <c r="G179" i="108"/>
  <c r="G74" i="108"/>
  <c r="G559" i="108"/>
  <c r="G879" i="108"/>
  <c r="G143" i="108"/>
  <c r="G456" i="108"/>
  <c r="G608" i="108"/>
  <c r="G193" i="108"/>
  <c r="F263" i="108"/>
  <c r="F459" i="108"/>
  <c r="F445" i="108"/>
  <c r="F573" i="108"/>
  <c r="F565" i="108"/>
  <c r="F976" i="108"/>
  <c r="F995" i="108"/>
  <c r="F853" i="108"/>
  <c r="F777" i="108"/>
  <c r="F929" i="108"/>
  <c r="F889" i="108"/>
  <c r="F659" i="108"/>
  <c r="F349" i="108"/>
  <c r="F898" i="108"/>
  <c r="F873" i="108"/>
  <c r="F928" i="108"/>
  <c r="F115" i="108"/>
  <c r="F801" i="108"/>
  <c r="F558" i="108"/>
  <c r="F621" i="108"/>
  <c r="F768" i="108"/>
  <c r="F629" i="108"/>
  <c r="F32" i="108"/>
  <c r="F120" i="108"/>
  <c r="F625" i="108"/>
  <c r="F367" i="108"/>
  <c r="F765" i="108"/>
  <c r="F560" i="108"/>
  <c r="F754" i="108"/>
  <c r="F199" i="108"/>
  <c r="F281" i="108"/>
  <c r="F376" i="108"/>
  <c r="F290" i="108"/>
  <c r="F225" i="108"/>
  <c r="F856" i="108"/>
  <c r="F428" i="108"/>
  <c r="F86" i="108"/>
  <c r="F113" i="108"/>
  <c r="F407" i="108"/>
  <c r="F289" i="108"/>
  <c r="F384" i="108"/>
  <c r="F70" i="108"/>
  <c r="F566" i="108"/>
  <c r="F859" i="108"/>
  <c r="F721" i="108"/>
  <c r="F922" i="108"/>
  <c r="F989" i="108"/>
  <c r="F829" i="108"/>
  <c r="F346" i="108"/>
  <c r="F351" i="108"/>
  <c r="F526" i="108"/>
  <c r="F545" i="108"/>
  <c r="F160" i="108"/>
  <c r="F450" i="108"/>
  <c r="F245" i="108"/>
  <c r="F467" i="108"/>
  <c r="F234" i="108"/>
  <c r="F872" i="108"/>
  <c r="F129" i="108"/>
  <c r="F723" i="108"/>
  <c r="F959" i="108"/>
  <c r="F375" i="108"/>
  <c r="F553" i="108"/>
  <c r="F548" i="108"/>
  <c r="F68" i="108"/>
  <c r="F502" i="108"/>
  <c r="F638" i="108"/>
  <c r="F512" i="108"/>
  <c r="F855" i="108"/>
  <c r="F420" i="108"/>
  <c r="F772" i="108"/>
  <c r="F470" i="108"/>
  <c r="F247" i="108"/>
  <c r="F54" i="108"/>
  <c r="F104" i="108"/>
  <c r="F184" i="108"/>
  <c r="F899" i="108"/>
  <c r="F590" i="108"/>
  <c r="F714" i="108"/>
  <c r="F578" i="108"/>
  <c r="F816" i="108"/>
  <c r="F503" i="108"/>
  <c r="F274" i="108"/>
  <c r="F66" i="108"/>
  <c r="F586" i="108"/>
  <c r="F576" i="108"/>
  <c r="F849" i="108"/>
  <c r="F353" i="108"/>
  <c r="F1005" i="108"/>
  <c r="F879" i="108"/>
  <c r="F92" i="108"/>
  <c r="F322" i="108"/>
  <c r="F670" i="108"/>
  <c r="F474" i="108"/>
  <c r="F704" i="108"/>
  <c r="F139" i="108"/>
  <c r="F410" i="108"/>
  <c r="F414" i="108"/>
  <c r="F159" i="108"/>
  <c r="F580" i="108"/>
  <c r="F456" i="108"/>
  <c r="F431" i="108"/>
  <c r="F134" i="108"/>
  <c r="F657" i="108"/>
  <c r="F554" i="108"/>
  <c r="F691" i="108"/>
  <c r="F478" i="108"/>
  <c r="F83" i="108"/>
  <c r="F940" i="108"/>
  <c r="F939" i="108"/>
  <c r="F542" i="108"/>
  <c r="G450" i="108"/>
  <c r="G413" i="108"/>
  <c r="G373" i="108"/>
  <c r="G944" i="108"/>
  <c r="G675" i="108"/>
  <c r="G315" i="108"/>
  <c r="G201" i="108"/>
  <c r="G720" i="108"/>
  <c r="G712" i="108"/>
  <c r="G966" i="108"/>
  <c r="G814" i="108"/>
  <c r="G214" i="108"/>
  <c r="G135" i="108"/>
  <c r="G256" i="108"/>
  <c r="G874" i="108"/>
  <c r="G858" i="108"/>
  <c r="G191" i="108"/>
  <c r="F506" i="108"/>
  <c r="F82" i="108"/>
  <c r="F950" i="108"/>
  <c r="F746" i="108"/>
  <c r="F789" i="108"/>
  <c r="F884" i="108"/>
  <c r="F599" i="108"/>
  <c r="F760" i="108"/>
  <c r="F220" i="108"/>
  <c r="F921" i="108"/>
  <c r="F908" i="108"/>
  <c r="F739" i="108"/>
  <c r="F111" i="108"/>
  <c r="F147" i="108"/>
  <c r="F616" i="108"/>
  <c r="F732" i="108"/>
  <c r="F796" i="108"/>
  <c r="F568" i="108"/>
  <c r="F260" i="108"/>
  <c r="F399" i="108"/>
  <c r="F345" i="108"/>
  <c r="F329" i="108"/>
  <c r="F525" i="108"/>
  <c r="F328" i="108"/>
  <c r="F756" i="108"/>
  <c r="F647" i="108"/>
  <c r="F587" i="108"/>
  <c r="F860" i="108"/>
  <c r="F715" i="108"/>
  <c r="F324" i="108"/>
  <c r="F67" i="108"/>
  <c r="F891" i="108"/>
  <c r="F1001" i="108"/>
  <c r="F266" i="108"/>
  <c r="F961" i="108"/>
  <c r="F960" i="108"/>
  <c r="F161" i="108"/>
  <c r="F477" i="108"/>
  <c r="F901" i="108"/>
  <c r="F251" i="108"/>
  <c r="F886" i="108"/>
  <c r="F441" i="108"/>
  <c r="F103" i="108"/>
  <c r="F185" i="108"/>
  <c r="F845" i="108"/>
  <c r="G916" i="108"/>
  <c r="G603" i="108"/>
  <c r="G1010" i="108"/>
  <c r="G340" i="108"/>
  <c r="G594" i="108"/>
  <c r="G686" i="108"/>
  <c r="G807" i="108"/>
  <c r="G583" i="108"/>
  <c r="G553" i="108"/>
  <c r="G98" i="108"/>
  <c r="G666" i="108"/>
  <c r="G715" i="108"/>
  <c r="G454" i="108"/>
  <c r="G371" i="108"/>
  <c r="G522" i="108"/>
  <c r="G463" i="108"/>
  <c r="G969" i="108"/>
  <c r="F762" i="108"/>
  <c r="F637" i="108"/>
  <c r="F770" i="108"/>
  <c r="F551" i="108"/>
  <c r="F677" i="108"/>
  <c r="F273" i="108"/>
  <c r="F471" i="108"/>
  <c r="F606" i="108"/>
  <c r="F208" i="108"/>
  <c r="F953" i="108"/>
  <c r="F105" i="108"/>
  <c r="F927" i="108"/>
  <c r="F312" i="108"/>
  <c r="F624" i="108"/>
  <c r="F373" i="108"/>
  <c r="F49" i="108"/>
  <c r="F701" i="108"/>
  <c r="F397" i="108"/>
  <c r="F620" i="108"/>
  <c r="F527" i="108"/>
  <c r="F448" i="108"/>
  <c r="F841" i="108"/>
  <c r="F244" i="108"/>
  <c r="F813" i="108"/>
  <c r="F484" i="108"/>
  <c r="F268" i="108"/>
  <c r="F865" i="108"/>
  <c r="F411" i="108"/>
  <c r="F668" i="108"/>
  <c r="F847" i="108"/>
  <c r="F926" i="108"/>
  <c r="F522" i="108"/>
  <c r="F630" i="108"/>
  <c r="F465" i="108"/>
  <c r="F451" i="108"/>
  <c r="F725" i="108"/>
  <c r="F486" i="108"/>
  <c r="F265" i="108"/>
  <c r="F749" i="108"/>
  <c r="F424" i="108"/>
  <c r="F981" i="108"/>
  <c r="F87" i="108"/>
  <c r="F805" i="108"/>
  <c r="F562" i="108"/>
  <c r="F877" i="108"/>
  <c r="F833" i="108"/>
  <c r="F844" i="108"/>
  <c r="F985" i="108"/>
  <c r="F779" i="108"/>
  <c r="F923" i="108"/>
  <c r="F640" i="108"/>
  <c r="F73" i="108"/>
  <c r="F890" i="108"/>
  <c r="F69" i="108"/>
  <c r="F211" i="108"/>
  <c r="F487" i="108"/>
  <c r="F812" i="108"/>
  <c r="F1021" i="108"/>
  <c r="F778" i="108"/>
  <c r="F615" i="108"/>
  <c r="F406" i="108"/>
  <c r="F794" i="108"/>
  <c r="F262" i="108"/>
  <c r="F166" i="108"/>
  <c r="F90" i="108"/>
  <c r="F574" i="108"/>
  <c r="F258" i="108"/>
  <c r="F318" i="108"/>
  <c r="F858" i="108"/>
  <c r="F405" i="108"/>
  <c r="F674" i="108"/>
  <c r="F133" i="108"/>
  <c r="G776" i="108"/>
  <c r="G196" i="108"/>
  <c r="G217" i="108"/>
  <c r="G973" i="108"/>
  <c r="G137" i="108"/>
  <c r="G671" i="108"/>
  <c r="G529" i="108"/>
  <c r="G985" i="108"/>
  <c r="G82" i="108"/>
  <c r="G536" i="108"/>
  <c r="G172" i="108"/>
  <c r="G872" i="108"/>
  <c r="G746" i="108"/>
  <c r="G40" i="108"/>
  <c r="G28" i="108"/>
  <c r="G766" i="108"/>
  <c r="F943" i="108"/>
  <c r="F48" i="108"/>
  <c r="F386" i="108"/>
  <c r="F29" i="108"/>
  <c r="F214" i="108"/>
  <c r="F356" i="108"/>
  <c r="F283" i="108"/>
  <c r="F101" i="108"/>
  <c r="F783" i="108"/>
  <c r="F679" i="108"/>
  <c r="F707" i="108"/>
  <c r="F800" i="108"/>
  <c r="F350" i="108"/>
  <c r="F378" i="108"/>
  <c r="F528" i="108"/>
  <c r="F269" i="108"/>
  <c r="F369" i="108"/>
  <c r="F496" i="108"/>
  <c r="F900" i="108"/>
  <c r="F595" i="108"/>
  <c r="F673" i="108"/>
  <c r="F462" i="108"/>
  <c r="F869" i="108"/>
  <c r="F979" i="108"/>
  <c r="F863" i="108"/>
  <c r="F887" i="108"/>
  <c r="F825" i="108"/>
  <c r="F530" i="108"/>
  <c r="F517" i="108"/>
  <c r="F358" i="108"/>
  <c r="F204" i="108"/>
  <c r="F617" i="108"/>
  <c r="F319" i="108"/>
  <c r="F776" i="108"/>
  <c r="F372" i="108"/>
  <c r="F852" i="108"/>
  <c r="F301" i="108"/>
  <c r="F1000" i="108"/>
  <c r="F457" i="108"/>
  <c r="F102" i="108"/>
  <c r="F729" i="108"/>
  <c r="F395" i="108"/>
  <c r="F141" i="108"/>
  <c r="F1011" i="108"/>
  <c r="F544" i="108"/>
  <c r="F466" i="108"/>
  <c r="F642" i="108"/>
  <c r="F495" i="108"/>
  <c r="F293" i="108"/>
  <c r="F85" i="108"/>
  <c r="F983" i="108"/>
  <c r="F581" i="108"/>
  <c r="F193" i="108"/>
  <c r="F826" i="108"/>
  <c r="F227" i="108"/>
  <c r="F95" i="108"/>
  <c r="F902" i="108"/>
  <c r="F403" i="108"/>
  <c r="F146" i="108"/>
  <c r="F91" i="108"/>
  <c r="F861" i="108"/>
  <c r="F818" i="108"/>
  <c r="F626" i="108"/>
  <c r="F482" i="108"/>
  <c r="F314" i="108"/>
  <c r="F197" i="108"/>
  <c r="F501" i="108"/>
  <c r="F165" i="108"/>
  <c r="F824" i="108"/>
  <c r="F948" i="108"/>
  <c r="F719" i="108"/>
  <c r="F635" i="108"/>
  <c r="F951" i="108"/>
  <c r="F219" i="108"/>
  <c r="F264" i="108"/>
  <c r="F909" i="108"/>
  <c r="F1019" i="108"/>
  <c r="F518" i="108"/>
  <c r="F975" i="108"/>
  <c r="F379" i="108"/>
  <c r="F643" i="108"/>
  <c r="F874" i="108"/>
  <c r="F117" i="108"/>
  <c r="F23" i="108"/>
  <c r="G834" i="108"/>
  <c r="F347" i="108"/>
  <c r="F831" i="108"/>
  <c r="F941" i="108"/>
  <c r="F771" i="108"/>
  <c r="F792" i="108"/>
  <c r="F393" i="108"/>
  <c r="F529" i="108"/>
  <c r="F142" i="108"/>
  <c r="F750" i="108"/>
  <c r="F215" i="108"/>
  <c r="F1004" i="108"/>
  <c r="F645" i="108"/>
  <c r="F864" i="108"/>
  <c r="F112" i="108"/>
  <c r="F737" i="108"/>
  <c r="F504" i="108"/>
  <c r="F294" i="108"/>
  <c r="F162" i="108"/>
  <c r="F605" i="108"/>
  <c r="F366" i="108"/>
  <c r="F394" i="108"/>
  <c r="F26" i="108"/>
  <c r="F57" i="108"/>
  <c r="F72" i="108"/>
  <c r="F179" i="108"/>
  <c r="F302" i="108"/>
  <c r="F498" i="108"/>
  <c r="F1013" i="108"/>
  <c r="F280" i="108"/>
  <c r="F593" i="108"/>
  <c r="G965" i="108"/>
  <c r="G544" i="108"/>
  <c r="G169" i="108"/>
  <c r="G185" i="108"/>
  <c r="G73" i="108"/>
  <c r="G314" i="108"/>
  <c r="G625" i="108"/>
  <c r="G642" i="108"/>
  <c r="G737" i="108"/>
  <c r="G587" i="108"/>
  <c r="G77" i="108"/>
  <c r="G647" i="108"/>
  <c r="G57" i="108"/>
  <c r="G705" i="108"/>
  <c r="G521" i="108"/>
  <c r="F28" i="108"/>
  <c r="F720" i="108"/>
  <c r="F672" i="108"/>
  <c r="F150" i="108"/>
  <c r="F213" i="108"/>
  <c r="F364" i="108"/>
  <c r="F434" i="108"/>
  <c r="F257" i="108"/>
  <c r="F540" i="108"/>
  <c r="F447" i="108"/>
  <c r="F340" i="108"/>
  <c r="F706" i="108"/>
  <c r="F200" i="108"/>
  <c r="F63" i="108"/>
  <c r="F250" i="108"/>
  <c r="F261" i="108"/>
  <c r="F206" i="108"/>
  <c r="F895" i="108"/>
  <c r="F78" i="108"/>
  <c r="F622" i="108"/>
  <c r="F412" i="108"/>
  <c r="G981" i="108"/>
  <c r="G118" i="108"/>
  <c r="G477" i="108"/>
  <c r="G48" i="108"/>
  <c r="G425" i="108"/>
  <c r="G831" i="108"/>
  <c r="G951" i="108"/>
  <c r="G510" i="108"/>
  <c r="G714" i="108"/>
  <c r="G138" i="108"/>
  <c r="G788" i="108"/>
  <c r="G462" i="108"/>
  <c r="G291" i="108"/>
  <c r="G32" i="108"/>
  <c r="G429" i="108"/>
  <c r="G41" i="108"/>
  <c r="F534" i="108"/>
  <c r="F390" i="108"/>
  <c r="G780" i="108"/>
  <c r="G554" i="108"/>
  <c r="G713" i="108"/>
  <c r="G376" i="108"/>
  <c r="F381" i="108"/>
  <c r="F791" i="108"/>
  <c r="F597" i="108"/>
  <c r="F246" i="108"/>
  <c r="F709" i="108"/>
  <c r="F335" i="108"/>
  <c r="F515" i="108"/>
  <c r="F970" i="108"/>
  <c r="F1020" i="108"/>
  <c r="F41" i="108"/>
  <c r="F500" i="108"/>
  <c r="F332" i="108"/>
  <c r="F693" i="108"/>
  <c r="F218" i="108"/>
  <c r="F936" i="108"/>
  <c r="F582" i="108"/>
  <c r="F64" i="108"/>
  <c r="F774" i="108"/>
  <c r="F352" i="108"/>
  <c r="F952" i="108"/>
  <c r="F916" i="108"/>
  <c r="F664" i="108"/>
  <c r="F711" i="108"/>
  <c r="F577" i="108"/>
  <c r="F61" i="108"/>
  <c r="F678" i="108"/>
  <c r="F47" i="108"/>
  <c r="F96" i="108"/>
  <c r="F277" i="108"/>
  <c r="F579" i="108"/>
  <c r="F734" i="108"/>
  <c r="F968" i="108"/>
  <c r="F1016" i="108"/>
  <c r="F191" i="108"/>
  <c r="F687" i="108"/>
  <c r="F1003" i="108"/>
  <c r="F702" i="108"/>
  <c r="F949" i="108"/>
  <c r="F440" i="108"/>
  <c r="F958" i="108"/>
  <c r="F785" i="108"/>
  <c r="F494" i="108"/>
  <c r="F811" i="108"/>
  <c r="G550" i="108"/>
  <c r="F977" i="108"/>
  <c r="F278" i="108"/>
  <c r="F198" i="108"/>
  <c r="F330" i="108"/>
  <c r="G275" i="108"/>
  <c r="F1002" i="108"/>
  <c r="F270" i="108"/>
  <c r="F239" i="108"/>
  <c r="F738" i="108"/>
  <c r="G23" i="108"/>
  <c r="G784" i="108"/>
  <c r="G199" i="108"/>
  <c r="G70" i="108"/>
  <c r="G939" i="108"/>
  <c r="F453" i="108"/>
  <c r="F650" i="108"/>
  <c r="F195" i="108"/>
  <c r="F130" i="108"/>
  <c r="F343" i="108"/>
  <c r="F497" i="108"/>
  <c r="F531" i="108"/>
  <c r="F671" i="108"/>
  <c r="F817" i="108"/>
  <c r="F271" i="108"/>
  <c r="F748" i="108"/>
  <c r="F703" i="108"/>
  <c r="F761" i="108"/>
  <c r="F404" i="108"/>
  <c r="F520" i="108"/>
  <c r="F752" i="108"/>
  <c r="F893" i="108"/>
  <c r="F1018" i="108"/>
  <c r="F717" i="108"/>
  <c r="F942" i="108"/>
  <c r="F964" i="108"/>
  <c r="F857" i="108"/>
  <c r="F892" i="108"/>
  <c r="F56" i="108"/>
  <c r="F546" i="108"/>
  <c r="F320" i="108"/>
  <c r="F475" i="108"/>
  <c r="F309" i="108"/>
  <c r="F806" i="108"/>
  <c r="F81" i="108"/>
  <c r="F557" i="108"/>
  <c r="F982" i="108"/>
  <c r="F764" i="108"/>
  <c r="F473" i="108"/>
  <c r="F514" i="108"/>
  <c r="F835" i="108"/>
  <c r="F917" i="108"/>
  <c r="F391" i="108"/>
  <c r="F232" i="108"/>
  <c r="F539" i="108"/>
  <c r="F118" i="108"/>
  <c r="F925" i="108"/>
  <c r="F838" i="108"/>
  <c r="F189" i="108"/>
  <c r="F730" i="108"/>
  <c r="F513" i="108"/>
  <c r="G993" i="108"/>
  <c r="F839" i="108"/>
  <c r="F303" i="108"/>
  <c r="F338" i="108"/>
  <c r="F511" i="108"/>
  <c r="F507" i="108"/>
  <c r="F724" i="108"/>
  <c r="G102" i="108"/>
  <c r="G674" i="108"/>
  <c r="G556" i="108"/>
  <c r="G968" i="108"/>
  <c r="F433" i="108"/>
  <c r="F30" i="108"/>
  <c r="F222" i="108"/>
  <c r="F164" i="108"/>
  <c r="F272" i="108"/>
  <c r="F153" i="108"/>
  <c r="F275" i="108"/>
  <c r="F710" i="108"/>
  <c r="F870" i="108"/>
  <c r="F798" i="108"/>
  <c r="F993" i="108"/>
  <c r="F209" i="108"/>
  <c r="F686" i="108"/>
  <c r="F39" i="108"/>
  <c r="F362" i="108"/>
  <c r="F973" i="108"/>
  <c r="F712" i="108"/>
  <c r="F883" i="108"/>
  <c r="F631" i="108"/>
  <c r="F489" i="108"/>
  <c r="F743" i="108"/>
  <c r="F186" i="108"/>
  <c r="F675" i="108"/>
  <c r="F432" i="108"/>
  <c r="F867" i="108"/>
  <c r="F799" i="108"/>
  <c r="F583" i="108"/>
  <c r="F172" i="108"/>
  <c r="F183" i="108"/>
  <c r="F694" i="108"/>
  <c r="F145" i="108"/>
  <c r="F828" i="108"/>
  <c r="F31" i="108"/>
  <c r="F401" i="108"/>
  <c r="F468" i="108"/>
  <c r="F128" i="108"/>
  <c r="F216" i="108"/>
  <c r="F156" i="108"/>
  <c r="F521" i="108"/>
  <c r="F252" i="108"/>
  <c r="G370" i="108"/>
  <c r="G357" i="108"/>
  <c r="F298" i="108"/>
  <c r="F945" i="108"/>
  <c r="F726" i="108"/>
  <c r="F623" i="108"/>
  <c r="F666" i="108"/>
  <c r="F37" i="108"/>
  <c r="F305" i="108"/>
  <c r="F368" i="108"/>
  <c r="F374" i="108"/>
  <c r="F684" i="108"/>
  <c r="F89" i="108"/>
  <c r="F148" i="108"/>
  <c r="F464" i="108"/>
  <c r="F705" i="108"/>
  <c r="F284" i="108"/>
  <c r="F651" i="108"/>
  <c r="F780" i="108"/>
  <c r="F848" i="108"/>
  <c r="F655" i="108"/>
  <c r="F741" i="108"/>
  <c r="F850" i="108"/>
  <c r="F543" i="108"/>
  <c r="G701" i="108"/>
  <c r="G212" i="108"/>
  <c r="G417" i="108"/>
  <c r="G419" i="108"/>
  <c r="F297" i="108"/>
  <c r="F875" i="108"/>
  <c r="F797" i="108"/>
  <c r="F58" i="108"/>
  <c r="F627" i="108"/>
  <c r="F321" i="108"/>
  <c r="F74" i="108"/>
  <c r="F481" i="108"/>
  <c r="F688" i="108"/>
  <c r="F392" i="108"/>
  <c r="F151" i="108"/>
  <c r="F814" i="108"/>
  <c r="F388" i="108"/>
  <c r="F119" i="108"/>
  <c r="F788" i="108"/>
  <c r="F217" i="108"/>
  <c r="F894" i="108"/>
  <c r="F911" i="108"/>
  <c r="F354" i="108"/>
  <c r="F188" i="108"/>
  <c r="F71" i="108"/>
  <c r="F331" i="108"/>
  <c r="F444" i="108"/>
  <c r="F402" i="108"/>
  <c r="F660" i="108"/>
  <c r="F310" i="108"/>
  <c r="F987" i="108"/>
  <c r="F924" i="108"/>
  <c r="F932" i="108"/>
  <c r="F192" i="108"/>
  <c r="F170" i="108"/>
  <c r="F628" i="108"/>
  <c r="F718" i="108"/>
  <c r="F240" i="108"/>
  <c r="F363" i="108"/>
  <c r="F862" i="108"/>
  <c r="F914" i="108"/>
  <c r="F695" i="108"/>
  <c r="G84" i="108"/>
  <c r="F236" i="108"/>
  <c r="F614" i="108"/>
  <c r="F423" i="108"/>
  <c r="F333" i="108"/>
  <c r="F286" i="108"/>
  <c r="F634" i="108"/>
  <c r="F229" i="108"/>
  <c r="F956" i="108"/>
  <c r="F438" i="108"/>
  <c r="F455" i="108"/>
  <c r="F735" i="108"/>
  <c r="F658" i="108"/>
  <c r="G636" i="108"/>
  <c r="F819" i="108"/>
  <c r="F930" i="108"/>
  <c r="F454" i="108"/>
  <c r="F696" i="108"/>
  <c r="F304" i="108"/>
  <c r="F934" i="108"/>
  <c r="F689" i="108"/>
  <c r="F155" i="108"/>
  <c r="F699" i="108"/>
  <c r="F124" i="108"/>
  <c r="F121" i="108"/>
  <c r="F795" i="108"/>
  <c r="G620" i="108"/>
  <c r="G391" i="108"/>
  <c r="G323" i="108"/>
  <c r="G741" i="108"/>
  <c r="F223" i="108"/>
  <c r="F669" i="108"/>
  <c r="F700" i="108"/>
  <c r="F439" i="108"/>
  <c r="F683" i="108"/>
  <c r="F532" i="108"/>
  <c r="F731" i="108"/>
  <c r="F842" i="108"/>
  <c r="F556" i="108"/>
  <c r="F682" i="108"/>
  <c r="F919" i="108"/>
  <c r="F885" i="108"/>
  <c r="F742" i="108"/>
  <c r="F665" i="108"/>
  <c r="F385" i="108"/>
  <c r="F815" i="108"/>
  <c r="F326" i="108"/>
  <c r="F380" i="108"/>
  <c r="F591" i="108"/>
  <c r="F317" i="108"/>
  <c r="F34" i="108"/>
  <c r="F157" i="108"/>
  <c r="F944" i="108"/>
  <c r="F33" i="108"/>
  <c r="F601" i="108"/>
  <c r="F999" i="108"/>
  <c r="F1008" i="108"/>
  <c r="F509" i="108"/>
  <c r="F697" i="108"/>
  <c r="F516" i="108"/>
  <c r="F365" i="108"/>
  <c r="F793" i="108"/>
  <c r="F913" i="108"/>
  <c r="F965" i="108"/>
  <c r="F43" i="108"/>
  <c r="F307" i="108"/>
  <c r="F325" i="108"/>
  <c r="F808" i="108"/>
  <c r="G960" i="108"/>
  <c r="G629" i="108"/>
  <c r="F323" i="108"/>
  <c r="F933" i="108"/>
  <c r="F575" i="108"/>
  <c r="F632" i="108"/>
  <c r="F116" i="108"/>
  <c r="F690" i="108"/>
  <c r="F667" i="108"/>
  <c r="F458" i="108"/>
  <c r="F187" i="108"/>
  <c r="F93" i="108"/>
  <c r="G505" i="108"/>
  <c r="F315" i="108"/>
  <c r="F598" i="108"/>
  <c r="F97" i="108"/>
  <c r="F971" i="108"/>
  <c r="F784" i="108"/>
  <c r="F972" i="108"/>
  <c r="F107" i="108"/>
  <c r="F954" i="108"/>
  <c r="F175" i="108"/>
  <c r="F24" i="108"/>
  <c r="G657" i="108"/>
  <c r="G25" i="108"/>
  <c r="F313" i="108"/>
  <c r="F649" i="108"/>
  <c r="F603" i="108"/>
  <c r="F906" i="108"/>
  <c r="F1010" i="108"/>
  <c r="F242" i="108"/>
  <c r="F226" i="108"/>
  <c r="F904" i="108"/>
  <c r="F846" i="108"/>
  <c r="F327" i="108"/>
  <c r="F947" i="108"/>
  <c r="F359" i="108"/>
  <c r="F122" i="108"/>
  <c r="F549" i="108"/>
  <c r="L117" i="6" l="1"/>
  <c r="D118" i="6" s="1"/>
  <c r="A117" i="108"/>
  <c r="O545" i="6" a="1"/>
  <c r="O545" i="6" s="1"/>
  <c r="C117" i="108" s="1"/>
  <c r="I117" i="108" s="1"/>
  <c r="I898" i="6"/>
  <c r="D117" i="108" s="1"/>
  <c r="O962" i="6" a="1"/>
  <c r="O962" i="6" s="1"/>
  <c r="C729" i="108" s="1"/>
  <c r="I729" i="108" s="1"/>
  <c r="A729" i="108"/>
  <c r="I231" i="6"/>
  <c r="D729" i="108" s="1"/>
  <c r="O959" i="6" a="1"/>
  <c r="O959" i="6" s="1"/>
  <c r="C678" i="108" s="1"/>
  <c r="I678" i="108" s="1"/>
  <c r="I226" i="6"/>
  <c r="D678" i="108" s="1"/>
  <c r="A678" i="108"/>
  <c r="I770" i="6"/>
  <c r="D406" i="108" s="1"/>
  <c r="A406" i="108"/>
  <c r="O731" i="6" a="1"/>
  <c r="O731" i="6" s="1"/>
  <c r="C406" i="108" s="1"/>
  <c r="A151" i="108"/>
  <c r="O563" i="6" a="1"/>
  <c r="O563" i="6" s="1"/>
  <c r="C151" i="108" s="1"/>
  <c r="I151" i="108" s="1"/>
  <c r="I647" i="6"/>
  <c r="D151" i="108" s="1"/>
  <c r="O974" i="6" a="1"/>
  <c r="O974" i="6" s="1"/>
  <c r="C865" i="108" s="1"/>
  <c r="I865" i="108" s="1"/>
  <c r="A865" i="108"/>
  <c r="I257" i="6"/>
  <c r="D865" i="108" s="1"/>
  <c r="L328" i="6"/>
  <c r="D322" i="6" s="1"/>
  <c r="O624" i="6" a="1"/>
  <c r="O624" i="6" s="1"/>
  <c r="C321" i="108" s="1"/>
  <c r="I321" i="108" s="1"/>
  <c r="A321" i="108"/>
  <c r="I359" i="6"/>
  <c r="D321" i="108" s="1"/>
  <c r="L81" i="6"/>
  <c r="D77" i="6" s="1"/>
  <c r="K184" i="6"/>
  <c r="L99" i="6"/>
  <c r="D96" i="6" s="1"/>
  <c r="A95" i="108"/>
  <c r="O535" i="6" a="1"/>
  <c r="O535" i="6" s="1"/>
  <c r="C95" i="108" s="1"/>
  <c r="I754" i="6"/>
  <c r="D95" i="108" s="1"/>
  <c r="O461" i="6" a="1"/>
  <c r="O461" i="6" s="1"/>
  <c r="C869" i="108" s="1"/>
  <c r="A869" i="108"/>
  <c r="I766" i="6"/>
  <c r="D869" i="108" s="1"/>
  <c r="O492" i="6" a="1"/>
  <c r="O492" i="6" s="1"/>
  <c r="C920" i="108" s="1"/>
  <c r="I217" i="6"/>
  <c r="D920" i="108" s="1"/>
  <c r="A920" i="108"/>
  <c r="A988" i="108"/>
  <c r="O500" i="6" a="1"/>
  <c r="O500" i="6" s="1"/>
  <c r="C988" i="108" s="1"/>
  <c r="I988" i="108" s="1"/>
  <c r="I827" i="6"/>
  <c r="D988" i="108" s="1"/>
  <c r="O411" i="6" a="1"/>
  <c r="O411" i="6" s="1"/>
  <c r="C274" i="108" s="1"/>
  <c r="I274" i="108" s="1"/>
  <c r="I902" i="6"/>
  <c r="D274" i="108" s="1"/>
  <c r="A274" i="108"/>
  <c r="I175" i="6"/>
  <c r="D580" i="108" s="1"/>
  <c r="A580" i="108"/>
  <c r="O444" i="6" a="1"/>
  <c r="O444" i="6" s="1"/>
  <c r="C580" i="108" s="1"/>
  <c r="I55" i="6"/>
  <c r="D410" i="108" s="1"/>
  <c r="O427" i="6" a="1"/>
  <c r="O427" i="6" s="1"/>
  <c r="C410" i="108" s="1"/>
  <c r="A410" i="108"/>
  <c r="A631" i="108"/>
  <c r="I496" i="6"/>
  <c r="D631" i="108" s="1"/>
  <c r="O447" i="6" a="1"/>
  <c r="O447" i="6" s="1"/>
  <c r="C631" i="108" s="1"/>
  <c r="O429" i="6" a="1"/>
  <c r="O429" i="6" s="1"/>
  <c r="C427" i="108" s="1"/>
  <c r="I427" i="108" s="1"/>
  <c r="A427" i="108"/>
  <c r="I238" i="6"/>
  <c r="D427" i="108" s="1"/>
  <c r="O752" i="6" a="1"/>
  <c r="O752" i="6" s="1"/>
  <c r="C479" i="108" s="1"/>
  <c r="I220" i="6"/>
  <c r="D479" i="108" s="1"/>
  <c r="A479" i="108"/>
  <c r="I585" i="6"/>
  <c r="D326" i="108" s="1"/>
  <c r="A326" i="108"/>
  <c r="O708" i="6" a="1"/>
  <c r="O708" i="6" s="1"/>
  <c r="C326" i="108" s="1"/>
  <c r="I326" i="108" s="1"/>
  <c r="A139" i="108"/>
  <c r="O556" i="6" a="1"/>
  <c r="O556" i="6" s="1"/>
  <c r="C139" i="108" s="1"/>
  <c r="I139" i="108" s="1"/>
  <c r="I947" i="6"/>
  <c r="D139" i="108" s="1"/>
  <c r="I60" i="6"/>
  <c r="D513" i="108" s="1"/>
  <c r="A513" i="108"/>
  <c r="O760" i="6" a="1"/>
  <c r="O760" i="6" s="1"/>
  <c r="C513" i="108" s="1"/>
  <c r="A836" i="108"/>
  <c r="O904" i="6" a="1"/>
  <c r="O904" i="6" s="1"/>
  <c r="C836" i="108" s="1"/>
  <c r="I836" i="108" s="1"/>
  <c r="I401" i="6"/>
  <c r="D836" i="108" s="1"/>
  <c r="A224" i="108"/>
  <c r="I451" i="6"/>
  <c r="D224" i="108" s="1"/>
  <c r="O684" i="6" a="1"/>
  <c r="O684" i="6" s="1"/>
  <c r="C224" i="108" s="1"/>
  <c r="I224" i="108" s="1"/>
  <c r="O679" i="6" a="1"/>
  <c r="O679" i="6" s="1"/>
  <c r="C156" i="108" s="1"/>
  <c r="I156" i="108" s="1"/>
  <c r="A156" i="108"/>
  <c r="I672" i="6"/>
  <c r="D156" i="108" s="1"/>
  <c r="A69" i="108"/>
  <c r="I605" i="6"/>
  <c r="D69" i="108" s="1"/>
  <c r="O524" i="6" a="1"/>
  <c r="O524" i="6" s="1"/>
  <c r="C69" i="108" s="1"/>
  <c r="I69" i="108" s="1"/>
  <c r="A927" i="108"/>
  <c r="O493" i="6" a="1"/>
  <c r="O493" i="6" s="1"/>
  <c r="C927" i="108" s="1"/>
  <c r="I927" i="108" s="1"/>
  <c r="I861" i="6"/>
  <c r="D927" i="108" s="1"/>
  <c r="A655" i="108"/>
  <c r="I80" i="6"/>
  <c r="D655" i="108" s="1"/>
  <c r="O474" i="6" a="1"/>
  <c r="O474" i="6" s="1"/>
  <c r="C655" i="108" s="1"/>
  <c r="O394" i="6" a="1"/>
  <c r="O394" i="6" s="1"/>
  <c r="C128" i="108" s="1"/>
  <c r="I970" i="6"/>
  <c r="D128" i="108" s="1"/>
  <c r="A128" i="108"/>
  <c r="O503" i="6" a="1"/>
  <c r="O503" i="6" s="1"/>
  <c r="C1012" i="108" s="1"/>
  <c r="A1012" i="108"/>
  <c r="I468" i="6"/>
  <c r="D1012" i="108" s="1"/>
  <c r="O489" i="6" a="1"/>
  <c r="O489" i="6" s="1"/>
  <c r="C893" i="108" s="1"/>
  <c r="I893" i="108" s="1"/>
  <c r="A893" i="108"/>
  <c r="I563" i="6"/>
  <c r="D893" i="108" s="1"/>
  <c r="O471" i="6" a="1"/>
  <c r="O471" i="6" s="1"/>
  <c r="C604" i="108" s="1"/>
  <c r="I604" i="108" s="1"/>
  <c r="A604" i="108"/>
  <c r="I232" i="6"/>
  <c r="D604" i="108" s="1"/>
  <c r="A332" i="108"/>
  <c r="I181" i="6"/>
  <c r="D332" i="108" s="1"/>
  <c r="O418" i="6" a="1"/>
  <c r="O418" i="6" s="1"/>
  <c r="C332" i="108" s="1"/>
  <c r="O375" i="6" a="1"/>
  <c r="O375" i="6" s="1"/>
  <c r="C24" i="108" s="1"/>
  <c r="A24" i="108"/>
  <c r="I658" i="6"/>
  <c r="D24" i="108" s="1"/>
  <c r="L60" i="6"/>
  <c r="D54" i="6" s="1"/>
  <c r="K163" i="6"/>
  <c r="L54" i="6"/>
  <c r="D56" i="6" s="1"/>
  <c r="K157" i="6"/>
  <c r="L101" i="6"/>
  <c r="D94" i="6" s="1"/>
  <c r="O219" i="6" a="1"/>
  <c r="O219" i="6" s="1"/>
  <c r="C93" i="108" s="1"/>
  <c r="A93" i="108"/>
  <c r="I71" i="6"/>
  <c r="D93" i="108" s="1"/>
  <c r="O764" i="6" a="1"/>
  <c r="O764" i="6" s="1"/>
  <c r="C530" i="108" s="1"/>
  <c r="A530" i="108"/>
  <c r="I794" i="6"/>
  <c r="D530" i="108" s="1"/>
  <c r="L187" i="6"/>
  <c r="D174" i="6" s="1"/>
  <c r="O680" i="6" a="1"/>
  <c r="O680" i="6" s="1"/>
  <c r="C173" i="108" s="1"/>
  <c r="I173" i="108" s="1"/>
  <c r="A173" i="108"/>
  <c r="I234" i="6"/>
  <c r="D173" i="108" s="1"/>
  <c r="A80" i="108"/>
  <c r="O528" i="6" a="1"/>
  <c r="O528" i="6" s="1"/>
  <c r="C80" i="108" s="1"/>
  <c r="I837" i="6"/>
  <c r="D80" i="108" s="1"/>
  <c r="I283" i="6"/>
  <c r="D989" i="108" s="1"/>
  <c r="A989" i="108"/>
  <c r="O1008" i="6" a="1"/>
  <c r="O1008" i="6" s="1"/>
  <c r="C989" i="108" s="1"/>
  <c r="I989" i="108" s="1"/>
  <c r="A377" i="108"/>
  <c r="O722" i="6" a="1"/>
  <c r="O722" i="6" s="1"/>
  <c r="C377" i="108" s="1"/>
  <c r="I377" i="108" s="1"/>
  <c r="I933" i="6"/>
  <c r="D377" i="108" s="1"/>
  <c r="A309" i="108"/>
  <c r="O704" i="6" a="1"/>
  <c r="O704" i="6" s="1"/>
  <c r="C309" i="108" s="1"/>
  <c r="I309" i="108" s="1"/>
  <c r="I316" i="6"/>
  <c r="D309" i="108" s="1"/>
  <c r="O688" i="6" a="1"/>
  <c r="O688" i="6" s="1"/>
  <c r="C241" i="108" s="1"/>
  <c r="I241" i="108" s="1"/>
  <c r="A241" i="108"/>
  <c r="I870" i="6"/>
  <c r="D241" i="108" s="1"/>
  <c r="L64" i="6"/>
  <c r="D73" i="6" s="1"/>
  <c r="K167" i="6"/>
  <c r="I314" i="6"/>
  <c r="D814" i="108" s="1"/>
  <c r="O967" i="6" a="1"/>
  <c r="O967" i="6" s="1"/>
  <c r="C814" i="108" s="1"/>
  <c r="A814" i="108"/>
  <c r="L102" i="6"/>
  <c r="D105" i="6" s="1"/>
  <c r="O538" i="6" a="1"/>
  <c r="O538" i="6" s="1"/>
  <c r="C104" i="108" s="1"/>
  <c r="I104" i="108" s="1"/>
  <c r="I141" i="6"/>
  <c r="D104" i="108" s="1"/>
  <c r="A104" i="108"/>
  <c r="O1007" i="6" a="1"/>
  <c r="O1007" i="6" s="1"/>
  <c r="C984" i="108" s="1"/>
  <c r="I984" i="108" s="1"/>
  <c r="A984" i="108"/>
  <c r="I324" i="6"/>
  <c r="D984" i="108" s="1"/>
  <c r="O987" i="6" a="1"/>
  <c r="O987" i="6" s="1"/>
  <c r="C916" i="108" s="1"/>
  <c r="I916" i="108" s="1"/>
  <c r="A916" i="108"/>
  <c r="I221" i="6"/>
  <c r="D916" i="108" s="1"/>
  <c r="O970" i="6" a="1"/>
  <c r="O970" i="6" s="1"/>
  <c r="C848" i="108" s="1"/>
  <c r="A848" i="108"/>
  <c r="I592" i="6"/>
  <c r="D848" i="108" s="1"/>
  <c r="O965" i="6" a="1"/>
  <c r="O965" i="6" s="1"/>
  <c r="C780" i="108" s="1"/>
  <c r="A780" i="108"/>
  <c r="I290" i="6"/>
  <c r="D780" i="108" s="1"/>
  <c r="A644" i="108"/>
  <c r="I1003" i="6"/>
  <c r="D644" i="108" s="1"/>
  <c r="O957" i="6" a="1"/>
  <c r="O957" i="6" s="1"/>
  <c r="C644" i="108" s="1"/>
  <c r="I1009" i="6"/>
  <c r="D44" i="108" s="1"/>
  <c r="O511" i="6" a="1"/>
  <c r="O511" i="6" s="1"/>
  <c r="C44" i="108" s="1"/>
  <c r="I44" i="108" s="1"/>
  <c r="A44" i="108"/>
  <c r="O387" i="6" a="1"/>
  <c r="O387" i="6" s="1"/>
  <c r="C75" i="108" s="1"/>
  <c r="I75" i="108" s="1"/>
  <c r="I187" i="6"/>
  <c r="D75" i="108" s="1"/>
  <c r="A75" i="108"/>
  <c r="A478" i="108"/>
  <c r="O435" i="6" a="1"/>
  <c r="O435" i="6" s="1"/>
  <c r="C478" i="108" s="1"/>
  <c r="I984" i="6"/>
  <c r="D478" i="108" s="1"/>
  <c r="A886" i="108"/>
  <c r="O488" i="6" a="1"/>
  <c r="O488" i="6" s="1"/>
  <c r="C886" i="108" s="1"/>
  <c r="I259" i="6"/>
  <c r="D886" i="108" s="1"/>
  <c r="A155" i="108"/>
  <c r="O397" i="6" a="1"/>
  <c r="O397" i="6" s="1"/>
  <c r="C155" i="108" s="1"/>
  <c r="I329" i="6"/>
  <c r="D155" i="108" s="1"/>
  <c r="I665" i="6"/>
  <c r="D138" i="108" s="1"/>
  <c r="A138" i="108"/>
  <c r="O395" i="6" a="1"/>
  <c r="O395" i="6" s="1"/>
  <c r="C138" i="108" s="1"/>
  <c r="I138" i="108" s="1"/>
  <c r="A971" i="108"/>
  <c r="O498" i="6" a="1"/>
  <c r="O498" i="6" s="1"/>
  <c r="C971" i="108" s="1"/>
  <c r="I971" i="108" s="1"/>
  <c r="I565" i="6"/>
  <c r="D971" i="108" s="1"/>
  <c r="A512" i="108"/>
  <c r="I615" i="6"/>
  <c r="D512" i="108" s="1"/>
  <c r="O439" i="6" a="1"/>
  <c r="O439" i="6" s="1"/>
  <c r="C512" i="108" s="1"/>
  <c r="I512" i="108" s="1"/>
  <c r="A818" i="108"/>
  <c r="O458" i="6" a="1"/>
  <c r="O458" i="6" s="1"/>
  <c r="C818" i="108" s="1"/>
  <c r="I818" i="108" s="1"/>
  <c r="I772" i="6"/>
  <c r="D818" i="108" s="1"/>
  <c r="L52" i="6"/>
  <c r="D62" i="6" s="1"/>
  <c r="K155" i="6"/>
  <c r="K171" i="6"/>
  <c r="L75" i="6"/>
  <c r="D84" i="6" s="1"/>
  <c r="K178" i="6"/>
  <c r="K412" i="6"/>
  <c r="O400" i="6" a="1"/>
  <c r="O400" i="6" s="1"/>
  <c r="C179" i="108" s="1"/>
  <c r="A179" i="108"/>
  <c r="I977" i="6"/>
  <c r="D179" i="108" s="1"/>
  <c r="A825" i="108"/>
  <c r="O484" i="6" a="1"/>
  <c r="O484" i="6" s="1"/>
  <c r="C825" i="108" s="1"/>
  <c r="I1016" i="6"/>
  <c r="D825" i="108" s="1"/>
  <c r="O478" i="6" a="1"/>
  <c r="O478" i="6" s="1"/>
  <c r="C723" i="108" s="1"/>
  <c r="I723" i="108" s="1"/>
  <c r="A723" i="108"/>
  <c r="I664" i="6"/>
  <c r="D723" i="108" s="1"/>
  <c r="O495" i="6" a="1"/>
  <c r="O495" i="6" s="1"/>
  <c r="C944" i="108" s="1"/>
  <c r="I944" i="108" s="1"/>
  <c r="I624" i="6"/>
  <c r="D944" i="108" s="1"/>
  <c r="A944" i="108"/>
  <c r="L213" i="6"/>
  <c r="D214" i="6" s="1"/>
  <c r="A213" i="108"/>
  <c r="I657" i="6"/>
  <c r="D213" i="108" s="1"/>
  <c r="O402" i="6" a="1"/>
  <c r="O402" i="6" s="1"/>
  <c r="C213" i="108" s="1"/>
  <c r="O398" i="6" a="1"/>
  <c r="O398" i="6" s="1"/>
  <c r="C162" i="108" s="1"/>
  <c r="A162" i="108"/>
  <c r="I575" i="6"/>
  <c r="D162" i="108" s="1"/>
  <c r="A63" i="108"/>
  <c r="O386" i="6" a="1"/>
  <c r="O386" i="6" s="1"/>
  <c r="C63" i="108" s="1"/>
  <c r="I253" i="6"/>
  <c r="D63" i="108" s="1"/>
  <c r="L55" i="6"/>
  <c r="D58" i="6" s="1"/>
  <c r="K158" i="6"/>
  <c r="L61" i="6"/>
  <c r="D52" i="6" s="1"/>
  <c r="K164" i="6"/>
  <c r="L193" i="6"/>
  <c r="D188" i="6" s="1"/>
  <c r="K296" i="6"/>
  <c r="O264" i="6" a="1"/>
  <c r="O264" i="6" s="1"/>
  <c r="C537" i="108" s="1"/>
  <c r="A537" i="108"/>
  <c r="I341" i="6"/>
  <c r="D537" i="108" s="1"/>
  <c r="O59" i="6" a="1"/>
  <c r="O59" i="6" s="1"/>
  <c r="C147" i="108" s="1"/>
  <c r="A147" i="108"/>
  <c r="I759" i="6"/>
  <c r="D147" i="108" s="1"/>
  <c r="O237" i="6" a="1"/>
  <c r="O237" i="6" s="1"/>
  <c r="C300" i="108" s="1"/>
  <c r="A300" i="108"/>
  <c r="I812" i="6"/>
  <c r="D300" i="108" s="1"/>
  <c r="A741" i="108"/>
  <c r="O288" i="6" a="1"/>
  <c r="O288" i="6" s="1"/>
  <c r="C741" i="108" s="1"/>
  <c r="I741" i="108" s="1"/>
  <c r="I924" i="6"/>
  <c r="D741" i="108" s="1"/>
  <c r="L84" i="6"/>
  <c r="D74" i="6" s="1"/>
  <c r="O38" i="6" a="1"/>
  <c r="O38" i="6" s="1"/>
  <c r="C73" i="108" s="1"/>
  <c r="I73" i="108" s="1"/>
  <c r="A73" i="108"/>
  <c r="I904" i="6"/>
  <c r="D73" i="108" s="1"/>
  <c r="A487" i="108"/>
  <c r="O259" i="6" a="1"/>
  <c r="O259" i="6" s="1"/>
  <c r="C487" i="108" s="1"/>
  <c r="I487" i="108" s="1"/>
  <c r="I456" i="6"/>
  <c r="D487" i="108" s="1"/>
  <c r="I328" i="6"/>
  <c r="D776" i="108" s="1"/>
  <c r="A776" i="108"/>
  <c r="O293" i="6" a="1"/>
  <c r="O293" i="6" s="1"/>
  <c r="C776" i="108" s="1"/>
  <c r="I776" i="108" s="1"/>
  <c r="O225" i="6" a="1"/>
  <c r="O225" i="6" s="1"/>
  <c r="C198" i="108" s="1"/>
  <c r="A198" i="108"/>
  <c r="I707" i="6"/>
  <c r="D198" i="108" s="1"/>
  <c r="I896" i="6"/>
  <c r="D68" i="108" s="1"/>
  <c r="O36" i="6" a="1"/>
  <c r="O36" i="6" s="1"/>
  <c r="C68" i="108" s="1"/>
  <c r="I68" i="108" s="1"/>
  <c r="A68" i="108"/>
  <c r="O372" i="6" a="1"/>
  <c r="O372" i="6" s="1"/>
  <c r="C1014" i="108" s="1"/>
  <c r="I1014" i="108" s="1"/>
  <c r="I760" i="6"/>
  <c r="D1014" i="108" s="1"/>
  <c r="A1014" i="108"/>
  <c r="I211" i="6"/>
  <c r="D861" i="108" s="1"/>
  <c r="O317" i="6" a="1"/>
  <c r="O317" i="6" s="1"/>
  <c r="C861" i="108" s="1"/>
  <c r="I861" i="108" s="1"/>
  <c r="A861" i="108"/>
  <c r="O311" i="6" a="1"/>
  <c r="O311" i="6" s="1"/>
  <c r="C844" i="108" s="1"/>
  <c r="I932" i="6"/>
  <c r="D844" i="108" s="1"/>
  <c r="A844" i="108"/>
  <c r="A42" i="108"/>
  <c r="I142" i="6"/>
  <c r="D42" i="108" s="1"/>
  <c r="O31" i="6" a="1"/>
  <c r="O31" i="6" s="1"/>
  <c r="C42" i="108" s="1"/>
  <c r="A180" i="108"/>
  <c r="O222" i="6" a="1"/>
  <c r="O222" i="6" s="1"/>
  <c r="C180" i="108" s="1"/>
  <c r="I180" i="108" s="1"/>
  <c r="I362" i="6"/>
  <c r="D180" i="108" s="1"/>
  <c r="O228" i="6" a="1"/>
  <c r="O228" i="6" s="1"/>
  <c r="C231" i="108" s="1"/>
  <c r="A231" i="108"/>
  <c r="I1011" i="6"/>
  <c r="D231" i="108" s="1"/>
  <c r="A934" i="108"/>
  <c r="O343" i="6" a="1"/>
  <c r="O343" i="6" s="1"/>
  <c r="C934" i="108" s="1"/>
  <c r="I934" i="108" s="1"/>
  <c r="I634" i="6"/>
  <c r="D934" i="108" s="1"/>
  <c r="A718" i="108"/>
  <c r="O195" i="6" a="1"/>
  <c r="O195" i="6" s="1"/>
  <c r="C718" i="108" s="1"/>
  <c r="I718" i="108" s="1"/>
  <c r="I233" i="6"/>
  <c r="D718" i="108" s="1"/>
  <c r="I30" i="6"/>
  <c r="D806" i="108" s="1"/>
  <c r="O297" i="6" a="1"/>
  <c r="O297" i="6" s="1"/>
  <c r="C806" i="108" s="1"/>
  <c r="I806" i="108" s="1"/>
  <c r="A806" i="108"/>
  <c r="I482" i="6"/>
  <c r="D653" i="108" s="1"/>
  <c r="A653" i="108"/>
  <c r="O180" i="6" a="1"/>
  <c r="O180" i="6" s="1"/>
  <c r="C653" i="108" s="1"/>
  <c r="O174" i="6" a="1"/>
  <c r="O174" i="6" s="1"/>
  <c r="C629" i="108" s="1"/>
  <c r="I629" i="108" s="1"/>
  <c r="A629" i="108"/>
  <c r="I879" i="6"/>
  <c r="D629" i="108" s="1"/>
  <c r="O126" i="6" a="1"/>
  <c r="O126" i="6" s="1"/>
  <c r="C425" i="108" s="1"/>
  <c r="I425" i="108" s="1"/>
  <c r="A425" i="108"/>
  <c r="I517" i="6"/>
  <c r="D425" i="108" s="1"/>
  <c r="A187" i="108"/>
  <c r="O70" i="6" a="1"/>
  <c r="O70" i="6" s="1"/>
  <c r="C187" i="108" s="1"/>
  <c r="I884" i="6"/>
  <c r="D187" i="108" s="1"/>
  <c r="O189" i="6" a="1"/>
  <c r="O189" i="6" s="1"/>
  <c r="C696" i="108" s="1"/>
  <c r="A696" i="108"/>
  <c r="I710" i="6"/>
  <c r="D696" i="108" s="1"/>
  <c r="A866" i="108"/>
  <c r="I831" i="6"/>
  <c r="D866" i="108" s="1"/>
  <c r="O318" i="6" a="1"/>
  <c r="O318" i="6" s="1"/>
  <c r="C866" i="108" s="1"/>
  <c r="I866" i="108" s="1"/>
  <c r="O130" i="6" a="1"/>
  <c r="O130" i="6" s="1"/>
  <c r="C442" i="108" s="1"/>
  <c r="A442" i="108"/>
  <c r="I918" i="6"/>
  <c r="D442" i="108" s="1"/>
  <c r="O37" i="6" a="1"/>
  <c r="O37" i="6" s="1"/>
  <c r="C71" i="108" s="1"/>
  <c r="I71" i="108" s="1"/>
  <c r="I103" i="6"/>
  <c r="D71" i="108" s="1"/>
  <c r="A71" i="108"/>
  <c r="L123" i="6"/>
  <c r="D120" i="6" s="1"/>
  <c r="O49" i="6" a="1"/>
  <c r="O49" i="6" s="1"/>
  <c r="C119" i="108" s="1"/>
  <c r="I119" i="108" s="1"/>
  <c r="A119" i="108"/>
  <c r="I54" i="6"/>
  <c r="D119" i="108" s="1"/>
  <c r="A764" i="108"/>
  <c r="I245" i="6"/>
  <c r="D764" i="108" s="1"/>
  <c r="O205" i="6" a="1"/>
  <c r="O205" i="6" s="1"/>
  <c r="C764" i="108" s="1"/>
  <c r="I764" i="108" s="1"/>
  <c r="A407" i="108"/>
  <c r="I32" i="6"/>
  <c r="D407" i="108" s="1"/>
  <c r="O121" i="6" a="1"/>
  <c r="O121" i="6" s="1"/>
  <c r="C407" i="108" s="1"/>
  <c r="I407" i="108" s="1"/>
  <c r="O155" i="6" a="1"/>
  <c r="O155" i="6" s="1"/>
  <c r="C548" i="108" s="1"/>
  <c r="I688" i="6"/>
  <c r="D548" i="108" s="1"/>
  <c r="A548" i="108"/>
  <c r="A408" i="108"/>
  <c r="I94" i="6"/>
  <c r="D408" i="108" s="1"/>
  <c r="O122" i="6" a="1"/>
  <c r="O122" i="6" s="1"/>
  <c r="C408" i="108" s="1"/>
  <c r="O74" i="6" a="1"/>
  <c r="O74" i="6" s="1"/>
  <c r="C204" i="108" s="1"/>
  <c r="I204" i="108" s="1"/>
  <c r="A204" i="108"/>
  <c r="I270" i="6"/>
  <c r="D204" i="108" s="1"/>
  <c r="O94" i="6" a="1"/>
  <c r="O94" i="6" s="1"/>
  <c r="C289" i="108" s="1"/>
  <c r="I289" i="108" s="1"/>
  <c r="A289" i="108"/>
  <c r="I623" i="6"/>
  <c r="D289" i="108" s="1"/>
  <c r="A976" i="108"/>
  <c r="O358" i="6" a="1"/>
  <c r="O358" i="6" s="1"/>
  <c r="C976" i="108" s="1"/>
  <c r="I286" i="6"/>
  <c r="D976" i="108" s="1"/>
  <c r="I988" i="6"/>
  <c r="D633" i="108" s="1"/>
  <c r="O175" i="6" a="1"/>
  <c r="O175" i="6" s="1"/>
  <c r="C633" i="108" s="1"/>
  <c r="A633" i="108"/>
  <c r="O55" i="6" a="1"/>
  <c r="O55" i="6" s="1"/>
  <c r="C136" i="108" s="1"/>
  <c r="A136" i="108"/>
  <c r="I771" i="6"/>
  <c r="D136" i="108" s="1"/>
  <c r="I914" i="6"/>
  <c r="D985" i="108" s="1"/>
  <c r="A985" i="108"/>
  <c r="O361" i="6" a="1"/>
  <c r="O361" i="6" s="1"/>
  <c r="C985" i="108" s="1"/>
  <c r="A28" i="108"/>
  <c r="O25" i="6" a="1"/>
  <c r="O25" i="6" s="1"/>
  <c r="C28" i="108" s="1"/>
  <c r="I28" i="108" s="1"/>
  <c r="I433" i="6"/>
  <c r="D28" i="108" s="1"/>
  <c r="I358" i="6"/>
  <c r="D432" i="108" s="1"/>
  <c r="A432" i="108"/>
  <c r="O128" i="6" a="1"/>
  <c r="O128" i="6" s="1"/>
  <c r="C432" i="108" s="1"/>
  <c r="O93" i="6" a="1"/>
  <c r="O93" i="6" s="1"/>
  <c r="C288" i="108" s="1"/>
  <c r="I288" i="108" s="1"/>
  <c r="A288" i="108"/>
  <c r="I507" i="6"/>
  <c r="D288" i="108" s="1"/>
  <c r="I822" i="6"/>
  <c r="D458" i="108" s="1"/>
  <c r="A458" i="108"/>
  <c r="O133" i="6" a="1"/>
  <c r="O133" i="6" s="1"/>
  <c r="C458" i="108" s="1"/>
  <c r="I458" i="108" s="1"/>
  <c r="O159" i="6" a="1"/>
  <c r="O159" i="6" s="1"/>
  <c r="C565" i="108" s="1"/>
  <c r="I565" i="108" s="1"/>
  <c r="I351" i="6"/>
  <c r="D565" i="108" s="1"/>
  <c r="A565" i="108"/>
  <c r="L116" i="6"/>
  <c r="D119" i="6" s="1"/>
  <c r="I237" i="6"/>
  <c r="D118" i="108" s="1"/>
  <c r="A118" i="108"/>
  <c r="O48" i="6" a="1"/>
  <c r="O48" i="6" s="1"/>
  <c r="C118" i="108" s="1"/>
  <c r="O778" i="6" a="1"/>
  <c r="O778" i="6" s="1"/>
  <c r="C567" i="108" s="1"/>
  <c r="A567" i="108"/>
  <c r="I613" i="6"/>
  <c r="D567" i="108" s="1"/>
  <c r="I651" i="6"/>
  <c r="D72" i="108" s="1"/>
  <c r="A72" i="108"/>
  <c r="O526" i="6" a="1"/>
  <c r="O526" i="6" s="1"/>
  <c r="C72" i="108" s="1"/>
  <c r="I72" i="108" s="1"/>
  <c r="I379" i="6"/>
  <c r="D838" i="108" s="1"/>
  <c r="O905" i="6" a="1"/>
  <c r="O905" i="6" s="1"/>
  <c r="C838" i="108" s="1"/>
  <c r="A838" i="108"/>
  <c r="O777" i="6" a="1"/>
  <c r="O777" i="6" s="1"/>
  <c r="C566" i="108" s="1"/>
  <c r="I566" i="108" s="1"/>
  <c r="A566" i="108"/>
  <c r="I147" i="6"/>
  <c r="D566" i="108" s="1"/>
  <c r="A634" i="108"/>
  <c r="O809" i="6" a="1"/>
  <c r="O809" i="6" s="1"/>
  <c r="C634" i="108" s="1"/>
  <c r="I634" i="108" s="1"/>
  <c r="I650" i="6"/>
  <c r="D634" i="108" s="1"/>
  <c r="L112" i="6"/>
  <c r="D109" i="6" s="1"/>
  <c r="I916" i="6"/>
  <c r="D108" i="108" s="1"/>
  <c r="A108" i="108"/>
  <c r="O540" i="6" a="1"/>
  <c r="O540" i="6" s="1"/>
  <c r="C108" i="108" s="1"/>
  <c r="I940" i="6"/>
  <c r="D447" i="108" s="1"/>
  <c r="O743" i="6" a="1"/>
  <c r="O743" i="6" s="1"/>
  <c r="C447" i="108" s="1"/>
  <c r="A447" i="108"/>
  <c r="I266" i="6"/>
  <c r="D165" i="108" s="1"/>
  <c r="O568" i="6" a="1"/>
  <c r="O568" i="6" s="1"/>
  <c r="C165" i="108" s="1"/>
  <c r="A165" i="108"/>
  <c r="O991" i="6" a="1"/>
  <c r="O991" i="6" s="1"/>
  <c r="C930" i="108" s="1"/>
  <c r="I930" i="108" s="1"/>
  <c r="A930" i="108"/>
  <c r="I415" i="6"/>
  <c r="D930" i="108" s="1"/>
  <c r="A845" i="108"/>
  <c r="O969" i="6" a="1"/>
  <c r="O969" i="6" s="1"/>
  <c r="C845" i="108" s="1"/>
  <c r="I845" i="108" s="1"/>
  <c r="I481" i="6"/>
  <c r="D845" i="108" s="1"/>
  <c r="A556" i="108"/>
  <c r="O772" i="6" a="1"/>
  <c r="O772" i="6" s="1"/>
  <c r="C556" i="108" s="1"/>
  <c r="I556" i="108" s="1"/>
  <c r="I471" i="6"/>
  <c r="D556" i="108" s="1"/>
  <c r="L216" i="6"/>
  <c r="D211" i="6" s="1"/>
  <c r="O590" i="6" a="1"/>
  <c r="O590" i="6" s="1"/>
  <c r="C210" i="108" s="1"/>
  <c r="I210" i="108" s="1"/>
  <c r="A210" i="108"/>
  <c r="I131" i="6"/>
  <c r="D210" i="108" s="1"/>
  <c r="O581" i="6" a="1"/>
  <c r="O581" i="6" s="1"/>
  <c r="C192" i="108" s="1"/>
  <c r="I192" i="108" s="1"/>
  <c r="A192" i="108"/>
  <c r="I642" i="6"/>
  <c r="D192" i="108" s="1"/>
  <c r="O817" i="6" a="1"/>
  <c r="O817" i="6" s="1"/>
  <c r="C651" i="108" s="1"/>
  <c r="I651" i="108" s="1"/>
  <c r="A651" i="108"/>
  <c r="I128" i="6"/>
  <c r="D651" i="108" s="1"/>
  <c r="A668" i="108"/>
  <c r="I622" i="6"/>
  <c r="D668" i="108" s="1"/>
  <c r="O825" i="6" a="1"/>
  <c r="O825" i="6" s="1"/>
  <c r="C668" i="108" s="1"/>
  <c r="I668" i="108" s="1"/>
  <c r="A284" i="108"/>
  <c r="I139" i="6"/>
  <c r="D284" i="108" s="1"/>
  <c r="O699" i="6" a="1"/>
  <c r="O699" i="6" s="1"/>
  <c r="C284" i="108" s="1"/>
  <c r="I284" i="108" s="1"/>
  <c r="O810" i="6" a="1"/>
  <c r="O810" i="6" s="1"/>
  <c r="C635" i="108" s="1"/>
  <c r="A635" i="108"/>
  <c r="I729" i="6"/>
  <c r="D635" i="108" s="1"/>
  <c r="O693" i="6" a="1"/>
  <c r="O693" i="6" s="1"/>
  <c r="C260" i="108" s="1"/>
  <c r="A260" i="108"/>
  <c r="I673" i="6"/>
  <c r="D260" i="108" s="1"/>
  <c r="O866" i="6" a="1"/>
  <c r="O866" i="6" s="1"/>
  <c r="C754" i="108" s="1"/>
  <c r="I754" i="108" s="1"/>
  <c r="I676" i="6"/>
  <c r="D754" i="108" s="1"/>
  <c r="A754" i="108"/>
  <c r="O739" i="6" a="1"/>
  <c r="O739" i="6" s="1"/>
  <c r="C431" i="108" s="1"/>
  <c r="I431" i="108" s="1"/>
  <c r="A431" i="108"/>
  <c r="I736" i="6"/>
  <c r="D431" i="108" s="1"/>
  <c r="L429" i="6"/>
  <c r="D421" i="6" s="1"/>
  <c r="A420" i="108"/>
  <c r="O735" i="6" a="1"/>
  <c r="O735" i="6" s="1"/>
  <c r="C420" i="108" s="1"/>
  <c r="I420" i="108" s="1"/>
  <c r="I632" i="6"/>
  <c r="D420" i="108" s="1"/>
  <c r="L418" i="6"/>
  <c r="D412" i="6" s="1"/>
  <c r="K521" i="6"/>
  <c r="L314" i="6"/>
  <c r="D306" i="6" s="1"/>
  <c r="K417" i="6"/>
  <c r="A81" i="108"/>
  <c r="I522" i="6"/>
  <c r="D81" i="108" s="1"/>
  <c r="O463" i="6" a="1"/>
  <c r="O463" i="6" s="1"/>
  <c r="C81" i="108" s="1"/>
  <c r="I81" i="108" s="1"/>
  <c r="I342" i="6"/>
  <c r="D88" i="108" s="1"/>
  <c r="O464" i="6" a="1"/>
  <c r="O464" i="6" s="1"/>
  <c r="C88" i="108" s="1"/>
  <c r="A88" i="108"/>
  <c r="O824" i="6" a="1"/>
  <c r="O824" i="6" s="1"/>
  <c r="C666" i="108" s="1"/>
  <c r="I869" i="6"/>
  <c r="D666" i="108" s="1"/>
  <c r="A666" i="108"/>
  <c r="O712" i="6" a="1"/>
  <c r="O712" i="6" s="1"/>
  <c r="C343" i="108" s="1"/>
  <c r="A343" i="108"/>
  <c r="I543" i="6"/>
  <c r="D343" i="108" s="1"/>
  <c r="O681" i="6" a="1"/>
  <c r="O681" i="6" s="1"/>
  <c r="C190" i="108" s="1"/>
  <c r="A190" i="108"/>
  <c r="I394" i="6"/>
  <c r="D190" i="108" s="1"/>
  <c r="L79" i="6"/>
  <c r="D79" i="6" s="1"/>
  <c r="K182" i="6"/>
  <c r="O742" i="6" a="1"/>
  <c r="O742" i="6" s="1"/>
  <c r="C445" i="108" s="1"/>
  <c r="A445" i="108"/>
  <c r="I364" i="6"/>
  <c r="D445" i="108" s="1"/>
  <c r="O872" i="6" a="1"/>
  <c r="O872" i="6" s="1"/>
  <c r="C768" i="108" s="1"/>
  <c r="A768" i="108"/>
  <c r="I160" i="6"/>
  <c r="D768" i="108" s="1"/>
  <c r="O840" i="6" a="1"/>
  <c r="O840" i="6" s="1"/>
  <c r="C700" i="108" s="1"/>
  <c r="A700" i="108"/>
  <c r="I368" i="6"/>
  <c r="D700" i="108" s="1"/>
  <c r="I559" i="6"/>
  <c r="D632" i="108" s="1"/>
  <c r="O808" i="6" a="1"/>
  <c r="O808" i="6" s="1"/>
  <c r="C632" i="108" s="1"/>
  <c r="I632" i="108" s="1"/>
  <c r="A632" i="108"/>
  <c r="K526" i="6"/>
  <c r="O997" i="6" a="1"/>
  <c r="O997" i="6" s="1"/>
  <c r="C950" i="108" s="1"/>
  <c r="A950" i="108"/>
  <c r="I52" i="6"/>
  <c r="D950" i="108" s="1"/>
  <c r="A491" i="108"/>
  <c r="O948" i="6" a="1"/>
  <c r="O948" i="6" s="1"/>
  <c r="C491" i="108" s="1"/>
  <c r="I491" i="108" s="1"/>
  <c r="I518" i="6"/>
  <c r="D491" i="108" s="1"/>
  <c r="I1019" i="6"/>
  <c r="D508" i="108" s="1"/>
  <c r="O949" i="6" a="1"/>
  <c r="O949" i="6" s="1"/>
  <c r="C508" i="108" s="1"/>
  <c r="A508" i="108"/>
  <c r="I332" i="6"/>
  <c r="D440" i="108" s="1"/>
  <c r="A440" i="108"/>
  <c r="O741" i="6" a="1"/>
  <c r="O741" i="6" s="1"/>
  <c r="C440" i="108" s="1"/>
  <c r="I440" i="108" s="1"/>
  <c r="O721" i="6" a="1"/>
  <c r="O721" i="6" s="1"/>
  <c r="C372" i="108" s="1"/>
  <c r="I372" i="108" s="1"/>
  <c r="A372" i="108"/>
  <c r="I757" i="6"/>
  <c r="D372" i="108" s="1"/>
  <c r="A304" i="108"/>
  <c r="I304" i="6"/>
  <c r="D304" i="108" s="1"/>
  <c r="O619" i="6" a="1"/>
  <c r="O619" i="6" s="1"/>
  <c r="C304" i="108" s="1"/>
  <c r="I304" i="108" s="1"/>
  <c r="A236" i="108"/>
  <c r="O599" i="6" a="1"/>
  <c r="O599" i="6" s="1"/>
  <c r="C236" i="108" s="1"/>
  <c r="I236" i="108" s="1"/>
  <c r="I586" i="6"/>
  <c r="D236" i="108" s="1"/>
  <c r="A47" i="108"/>
  <c r="O513" i="6" a="1"/>
  <c r="O513" i="6" s="1"/>
  <c r="C47" i="108" s="1"/>
  <c r="I47" i="108" s="1"/>
  <c r="I444" i="6"/>
  <c r="D47" i="108" s="1"/>
  <c r="O953" i="6" a="1"/>
  <c r="O953" i="6" s="1"/>
  <c r="C576" i="108" s="1"/>
  <c r="A576" i="108"/>
  <c r="I326" i="6"/>
  <c r="D576" i="108" s="1"/>
  <c r="O425" i="6" a="1"/>
  <c r="O425" i="6" s="1"/>
  <c r="C393" i="108" s="1"/>
  <c r="I393" i="108" s="1"/>
  <c r="I763" i="6"/>
  <c r="D393" i="108" s="1"/>
  <c r="A393" i="108"/>
  <c r="I74" i="6"/>
  <c r="D767" i="108" s="1"/>
  <c r="O455" i="6" a="1"/>
  <c r="O455" i="6" s="1"/>
  <c r="C767" i="108" s="1"/>
  <c r="A767" i="108"/>
  <c r="A733" i="108"/>
  <c r="I878" i="6"/>
  <c r="D733" i="108" s="1"/>
  <c r="O453" i="6" a="1"/>
  <c r="O453" i="6" s="1"/>
  <c r="C733" i="108" s="1"/>
  <c r="I733" i="108" s="1"/>
  <c r="O451" i="6" a="1"/>
  <c r="O451" i="6" s="1"/>
  <c r="C699" i="108" s="1"/>
  <c r="I699" i="108" s="1"/>
  <c r="A699" i="108"/>
  <c r="I473" i="6"/>
  <c r="D699" i="108" s="1"/>
  <c r="A172" i="108"/>
  <c r="O399" i="6" a="1"/>
  <c r="O399" i="6" s="1"/>
  <c r="C172" i="108" s="1"/>
  <c r="I172" i="108" s="1"/>
  <c r="I243" i="6"/>
  <c r="D172" i="108" s="1"/>
  <c r="O431" i="6" a="1"/>
  <c r="O431" i="6" s="1"/>
  <c r="C444" i="108" s="1"/>
  <c r="A444" i="108"/>
  <c r="I98" i="6"/>
  <c r="D444" i="108" s="1"/>
  <c r="A223" i="108"/>
  <c r="O408" i="6" a="1"/>
  <c r="O408" i="6" s="1"/>
  <c r="C223" i="108" s="1"/>
  <c r="I223" i="108" s="1"/>
  <c r="I158" i="6"/>
  <c r="D223" i="108" s="1"/>
  <c r="I787" i="6"/>
  <c r="D801" i="108" s="1"/>
  <c r="O457" i="6" a="1"/>
  <c r="O457" i="6" s="1"/>
  <c r="C801" i="108" s="1"/>
  <c r="I801" i="108" s="1"/>
  <c r="A801" i="108"/>
  <c r="L311" i="6"/>
  <c r="D302" i="6" s="1"/>
  <c r="K414" i="6"/>
  <c r="CO9" i="81"/>
  <c r="K45" i="6" s="1"/>
  <c r="CO13" i="81"/>
  <c r="K49" i="6" s="1"/>
  <c r="CO11" i="81"/>
  <c r="K47" i="6" s="1"/>
  <c r="CO14" i="81"/>
  <c r="K50" i="6" s="1"/>
  <c r="CP14" i="81"/>
  <c r="K36" i="6" s="1"/>
  <c r="CC15" i="81"/>
  <c r="CP7" i="81"/>
  <c r="K29" i="6" s="1"/>
  <c r="CP10" i="81"/>
  <c r="K32" i="6" s="1"/>
  <c r="CO5" i="81"/>
  <c r="K41" i="6" s="1"/>
  <c r="CO12" i="81"/>
  <c r="K48" i="6" s="1"/>
  <c r="CO6" i="81"/>
  <c r="K42" i="6" s="1"/>
  <c r="CO3" i="81"/>
  <c r="K39" i="6" s="1"/>
  <c r="CO8" i="81"/>
  <c r="K44" i="6" s="1"/>
  <c r="CP12" i="81"/>
  <c r="K34" i="6" s="1"/>
  <c r="CP6" i="81"/>
  <c r="K28" i="6" s="1"/>
  <c r="CO2" i="81"/>
  <c r="K38" i="6" s="1"/>
  <c r="CP5" i="81"/>
  <c r="K27" i="6" s="1"/>
  <c r="CO10" i="81"/>
  <c r="K46" i="6" s="1"/>
  <c r="CP8" i="81"/>
  <c r="K30" i="6" s="1"/>
  <c r="L59" i="6"/>
  <c r="D53" i="6" s="1"/>
  <c r="K162" i="6"/>
  <c r="O26" i="6" a="1"/>
  <c r="O26" i="6" s="1"/>
  <c r="C29" i="108" s="1"/>
  <c r="A29" i="108"/>
  <c r="I717" i="6"/>
  <c r="D29" i="108" s="1"/>
  <c r="A570" i="108"/>
  <c r="I343" i="6"/>
  <c r="D570" i="108" s="1"/>
  <c r="O469" i="6" a="1"/>
  <c r="O469" i="6" s="1"/>
  <c r="C570" i="108" s="1"/>
  <c r="O487" i="6" a="1"/>
  <c r="O487" i="6" s="1"/>
  <c r="C876" i="108" s="1"/>
  <c r="I876" i="108" s="1"/>
  <c r="A876" i="108"/>
  <c r="I300" i="6"/>
  <c r="D876" i="108" s="1"/>
  <c r="O380" i="6" a="1"/>
  <c r="O380" i="6" s="1"/>
  <c r="C38" i="108" s="1"/>
  <c r="I38" i="108" s="1"/>
  <c r="I666" i="6"/>
  <c r="D38" i="108" s="1"/>
  <c r="A38" i="108"/>
  <c r="O486" i="6" a="1"/>
  <c r="O486" i="6" s="1"/>
  <c r="C859" i="108" s="1"/>
  <c r="A859" i="108"/>
  <c r="I467" i="6"/>
  <c r="D859" i="108" s="1"/>
  <c r="O479" i="6" a="1"/>
  <c r="O479" i="6" s="1"/>
  <c r="C740" i="108" s="1"/>
  <c r="A740" i="108"/>
  <c r="I489" i="6"/>
  <c r="D740" i="108" s="1"/>
  <c r="A468" i="108"/>
  <c r="O434" i="6" a="1"/>
  <c r="O434" i="6" s="1"/>
  <c r="C468" i="108" s="1"/>
  <c r="I468" i="108" s="1"/>
  <c r="I723" i="6"/>
  <c r="D468" i="108" s="1"/>
  <c r="I367" i="6"/>
  <c r="D553" i="108" s="1"/>
  <c r="O468" i="6" a="1"/>
  <c r="O468" i="6" s="1"/>
  <c r="C553" i="108" s="1"/>
  <c r="I553" i="108" s="1"/>
  <c r="A553" i="108"/>
  <c r="K403" i="6"/>
  <c r="L527" i="6"/>
  <c r="K630" i="6"/>
  <c r="L56" i="6"/>
  <c r="D57" i="6" s="1"/>
  <c r="K159" i="6"/>
  <c r="A928" i="108"/>
  <c r="O341" i="6" a="1"/>
  <c r="O341" i="6" s="1"/>
  <c r="C928" i="108" s="1"/>
  <c r="I720" i="6"/>
  <c r="D928" i="108" s="1"/>
  <c r="I145" i="6"/>
  <c r="D367" i="108" s="1"/>
  <c r="O244" i="6" a="1"/>
  <c r="O244" i="6" s="1"/>
  <c r="C367" i="108" s="1"/>
  <c r="A367" i="108"/>
  <c r="O28" i="6" a="1"/>
  <c r="O28" i="6" s="1"/>
  <c r="C36" i="108" s="1"/>
  <c r="A36" i="108"/>
  <c r="I743" i="6"/>
  <c r="D36" i="108" s="1"/>
  <c r="I599" i="6"/>
  <c r="D759" i="108" s="1"/>
  <c r="A759" i="108"/>
  <c r="O291" i="6" a="1"/>
  <c r="O291" i="6" s="1"/>
  <c r="C759" i="108" s="1"/>
  <c r="I759" i="108" s="1"/>
  <c r="A997" i="108"/>
  <c r="O366" i="6" a="1"/>
  <c r="O366" i="6" s="1"/>
  <c r="C997" i="108" s="1"/>
  <c r="I997" i="108" s="1"/>
  <c r="I758" i="6"/>
  <c r="D997" i="108" s="1"/>
  <c r="O229" i="6" a="1"/>
  <c r="O229" i="6" s="1"/>
  <c r="C232" i="108" s="1"/>
  <c r="A232" i="108"/>
  <c r="I95" i="6"/>
  <c r="D232" i="108" s="1"/>
  <c r="O58" i="6" a="1"/>
  <c r="O58" i="6" s="1"/>
  <c r="C146" i="108" s="1"/>
  <c r="A146" i="108"/>
  <c r="I58" i="6"/>
  <c r="D146" i="108" s="1"/>
  <c r="A860" i="108"/>
  <c r="I909" i="6"/>
  <c r="D860" i="108" s="1"/>
  <c r="O316" i="6" a="1"/>
  <c r="O316" i="6" s="1"/>
  <c r="C860" i="108" s="1"/>
  <c r="A1013" i="108"/>
  <c r="I428" i="6"/>
  <c r="D1013" i="108" s="1"/>
  <c r="O371" i="6" a="1"/>
  <c r="O371" i="6" s="1"/>
  <c r="C1013" i="108" s="1"/>
  <c r="I1013" i="108" s="1"/>
  <c r="O266" i="6" a="1"/>
  <c r="O266" i="6" s="1"/>
  <c r="C554" i="108" s="1"/>
  <c r="I554" i="108" s="1"/>
  <c r="A554" i="108"/>
  <c r="I744" i="6"/>
  <c r="D554" i="108" s="1"/>
  <c r="L221" i="6"/>
  <c r="D215" i="6" s="1"/>
  <c r="I432" i="6"/>
  <c r="D214" i="108" s="1"/>
  <c r="O226" i="6" a="1"/>
  <c r="O226" i="6" s="1"/>
  <c r="C214" i="108" s="1"/>
  <c r="I214" i="108" s="1"/>
  <c r="A214" i="108"/>
  <c r="O232" i="6" a="1"/>
  <c r="O232" i="6" s="1"/>
  <c r="C265" i="108" s="1"/>
  <c r="I265" i="108" s="1"/>
  <c r="I941" i="6"/>
  <c r="D265" i="108" s="1"/>
  <c r="A265" i="108"/>
  <c r="A282" i="108"/>
  <c r="I312" i="6"/>
  <c r="D282" i="108" s="1"/>
  <c r="O234" i="6" a="1"/>
  <c r="O234" i="6" s="1"/>
  <c r="C282" i="108" s="1"/>
  <c r="I190" i="6"/>
  <c r="D792" i="108" s="1"/>
  <c r="O294" i="6" a="1"/>
  <c r="O294" i="6" s="1"/>
  <c r="C792" i="108" s="1"/>
  <c r="A792" i="108"/>
  <c r="I57" i="6"/>
  <c r="D843" i="108" s="1"/>
  <c r="A843" i="108"/>
  <c r="O310" i="6" a="1"/>
  <c r="O310" i="6" s="1"/>
  <c r="C843" i="108" s="1"/>
  <c r="I843" i="108" s="1"/>
  <c r="O213" i="6" a="1"/>
  <c r="O213" i="6" s="1"/>
  <c r="C798" i="108" s="1"/>
  <c r="A798" i="108"/>
  <c r="I166" i="6"/>
  <c r="D798" i="108" s="1"/>
  <c r="O95" i="6" a="1"/>
  <c r="O95" i="6" s="1"/>
  <c r="C293" i="108" s="1"/>
  <c r="A293" i="108"/>
  <c r="I320" i="6"/>
  <c r="D293" i="108" s="1"/>
  <c r="O203" i="6" a="1"/>
  <c r="O203" i="6" s="1"/>
  <c r="C752" i="108" s="1"/>
  <c r="A752" i="108"/>
  <c r="I458" i="6"/>
  <c r="D752" i="108" s="1"/>
  <c r="O57" i="6" a="1"/>
  <c r="O57" i="6" s="1"/>
  <c r="C143" i="108" s="1"/>
  <c r="I143" i="108" s="1"/>
  <c r="I100" i="6"/>
  <c r="D143" i="108" s="1"/>
  <c r="A143" i="108"/>
  <c r="I731" i="6"/>
  <c r="D255" i="108" s="1"/>
  <c r="O86" i="6" a="1"/>
  <c r="O86" i="6" s="1"/>
  <c r="C255" i="108" s="1"/>
  <c r="I255" i="108" s="1"/>
  <c r="A255" i="108"/>
  <c r="O363" i="6" a="1"/>
  <c r="O363" i="6" s="1"/>
  <c r="C990" i="108" s="1"/>
  <c r="I990" i="108" s="1"/>
  <c r="A990" i="108"/>
  <c r="I811" i="6"/>
  <c r="D990" i="108" s="1"/>
  <c r="A577" i="108"/>
  <c r="I112" i="6"/>
  <c r="D577" i="108" s="1"/>
  <c r="O161" i="6" a="1"/>
  <c r="O161" i="6" s="1"/>
  <c r="C577" i="108" s="1"/>
  <c r="I577" i="108" s="1"/>
  <c r="I254" i="6"/>
  <c r="D344" i="108" s="1"/>
  <c r="A344" i="108"/>
  <c r="O107" i="6" a="1"/>
  <c r="O107" i="6" s="1"/>
  <c r="C344" i="108" s="1"/>
  <c r="I344" i="108" s="1"/>
  <c r="O108" i="6" a="1"/>
  <c r="O108" i="6" s="1"/>
  <c r="C347" i="108" s="1"/>
  <c r="I406" i="6"/>
  <c r="D347" i="108" s="1"/>
  <c r="A347" i="108"/>
  <c r="A339" i="108"/>
  <c r="O105" i="6" a="1"/>
  <c r="O105" i="6" s="1"/>
  <c r="C339" i="108" s="1"/>
  <c r="I339" i="108" s="1"/>
  <c r="I64" i="6"/>
  <c r="D339" i="108" s="1"/>
  <c r="I506" i="6"/>
  <c r="D816" i="108" s="1"/>
  <c r="O301" i="6" a="1"/>
  <c r="O301" i="6" s="1"/>
  <c r="C816" i="108" s="1"/>
  <c r="I816" i="108" s="1"/>
  <c r="A816" i="108"/>
  <c r="A493" i="108"/>
  <c r="O142" i="6" a="1"/>
  <c r="O142" i="6" s="1"/>
  <c r="C493" i="108" s="1"/>
  <c r="I493" i="108" s="1"/>
  <c r="I261" i="6"/>
  <c r="D493" i="108" s="1"/>
  <c r="A884" i="108"/>
  <c r="O327" i="6" a="1"/>
  <c r="O327" i="6" s="1"/>
  <c r="C884" i="108" s="1"/>
  <c r="I884" i="108" s="1"/>
  <c r="I380" i="6"/>
  <c r="D884" i="108" s="1"/>
  <c r="O156" i="6" a="1"/>
  <c r="O156" i="6" s="1"/>
  <c r="C551" i="108" s="1"/>
  <c r="I551" i="108" s="1"/>
  <c r="A551" i="108"/>
  <c r="I38" i="6"/>
  <c r="D551" i="108" s="1"/>
  <c r="A364" i="108"/>
  <c r="O112" i="6" a="1"/>
  <c r="O112" i="6" s="1"/>
  <c r="C364" i="108" s="1"/>
  <c r="I136" i="6"/>
  <c r="D364" i="108" s="1"/>
  <c r="L225" i="6"/>
  <c r="D222" i="6" s="1"/>
  <c r="A221" i="108"/>
  <c r="O78" i="6" a="1"/>
  <c r="O78" i="6" s="1"/>
  <c r="C221" i="108" s="1"/>
  <c r="I221" i="108" s="1"/>
  <c r="I399" i="6"/>
  <c r="D221" i="108" s="1"/>
  <c r="O141" i="6" a="1"/>
  <c r="O141" i="6" s="1"/>
  <c r="C492" i="108" s="1"/>
  <c r="A492" i="108"/>
  <c r="I132" i="6"/>
  <c r="D492" i="108" s="1"/>
  <c r="O344" i="6" a="1"/>
  <c r="O344" i="6" s="1"/>
  <c r="C935" i="108" s="1"/>
  <c r="A935" i="108"/>
  <c r="I963" i="6"/>
  <c r="D935" i="108" s="1"/>
  <c r="O308" i="6" a="1"/>
  <c r="O308" i="6" s="1"/>
  <c r="C837" i="108" s="1"/>
  <c r="I837" i="108" s="1"/>
  <c r="A837" i="108"/>
  <c r="I862" i="6"/>
  <c r="D837" i="108" s="1"/>
  <c r="O92" i="6" a="1"/>
  <c r="O92" i="6" s="1"/>
  <c r="C279" i="108" s="1"/>
  <c r="I279" i="108" s="1"/>
  <c r="A279" i="108"/>
  <c r="I118" i="6"/>
  <c r="D279" i="108" s="1"/>
  <c r="A170" i="108"/>
  <c r="O66" i="6" a="1"/>
  <c r="O66" i="6" s="1"/>
  <c r="C170" i="108" s="1"/>
  <c r="I486" i="6"/>
  <c r="D170" i="108" s="1"/>
  <c r="A679" i="108"/>
  <c r="O185" i="6" a="1"/>
  <c r="O185" i="6" s="1"/>
  <c r="C679" i="108" s="1"/>
  <c r="I679" i="108" s="1"/>
  <c r="I692" i="6"/>
  <c r="D679" i="108" s="1"/>
  <c r="A446" i="108"/>
  <c r="O131" i="6" a="1"/>
  <c r="O131" i="6" s="1"/>
  <c r="C446" i="108" s="1"/>
  <c r="I446" i="108" s="1"/>
  <c r="I946" i="6"/>
  <c r="D446" i="108" s="1"/>
  <c r="I310" i="6"/>
  <c r="D259" i="108" s="1"/>
  <c r="O87" i="6" a="1"/>
  <c r="O87" i="6" s="1"/>
  <c r="C259" i="108" s="1"/>
  <c r="I259" i="108" s="1"/>
  <c r="A259" i="108"/>
  <c r="O43" i="6" a="1"/>
  <c r="O43" i="6" s="1"/>
  <c r="C102" i="108" s="1"/>
  <c r="I102" i="108" s="1"/>
  <c r="L107" i="6"/>
  <c r="D103" i="6" s="1"/>
  <c r="A102" i="108"/>
  <c r="I263" i="6"/>
  <c r="D102" i="108" s="1"/>
  <c r="O164" i="6" a="1"/>
  <c r="O164" i="6" s="1"/>
  <c r="C585" i="108" s="1"/>
  <c r="I585" i="108" s="1"/>
  <c r="A585" i="108"/>
  <c r="I252" i="6"/>
  <c r="D585" i="108" s="1"/>
  <c r="O368" i="6" a="1"/>
  <c r="O368" i="6" s="1"/>
  <c r="C1003" i="108" s="1"/>
  <c r="A1003" i="108"/>
  <c r="I229" i="6"/>
  <c r="D1003" i="108" s="1"/>
  <c r="A908" i="108"/>
  <c r="O334" i="6" a="1"/>
  <c r="O334" i="6" s="1"/>
  <c r="C908" i="108" s="1"/>
  <c r="I908" i="108" s="1"/>
  <c r="I198" i="6"/>
  <c r="D908" i="108" s="1"/>
  <c r="I660" i="6"/>
  <c r="D702" i="108" s="1"/>
  <c r="A702" i="108"/>
  <c r="O841" i="6" a="1"/>
  <c r="O841" i="6" s="1"/>
  <c r="C702" i="108" s="1"/>
  <c r="O691" i="6" a="1"/>
  <c r="O691" i="6" s="1"/>
  <c r="C250" i="108" s="1"/>
  <c r="A250" i="108"/>
  <c r="I746" i="6"/>
  <c r="D250" i="108" s="1"/>
  <c r="A624" i="108"/>
  <c r="I41" i="6"/>
  <c r="D624" i="108" s="1"/>
  <c r="O804" i="6" a="1"/>
  <c r="O804" i="6" s="1"/>
  <c r="C624" i="108" s="1"/>
  <c r="O994" i="6" a="1"/>
  <c r="O994" i="6" s="1"/>
  <c r="C940" i="108" s="1"/>
  <c r="I940" i="108" s="1"/>
  <c r="A940" i="108"/>
  <c r="I531" i="6"/>
  <c r="D940" i="108" s="1"/>
  <c r="O794" i="6" a="1"/>
  <c r="O794" i="6" s="1"/>
  <c r="C601" i="108" s="1"/>
  <c r="I601" i="108" s="1"/>
  <c r="A601" i="108"/>
  <c r="I212" i="6"/>
  <c r="D601" i="108" s="1"/>
  <c r="L599" i="6"/>
  <c r="D574" i="6" s="1"/>
  <c r="O780" i="6" a="1"/>
  <c r="O780" i="6" s="1"/>
  <c r="C573" i="108" s="1"/>
  <c r="I620" i="6"/>
  <c r="D573" i="108" s="1"/>
  <c r="A573" i="108"/>
  <c r="L908" i="6"/>
  <c r="D874" i="6" s="1"/>
  <c r="O976" i="6" a="1"/>
  <c r="O976" i="6" s="1"/>
  <c r="C873" i="108" s="1"/>
  <c r="I873" i="108" s="1"/>
  <c r="A873" i="108"/>
  <c r="I972" i="6"/>
  <c r="D873" i="108" s="1"/>
  <c r="A515" i="108"/>
  <c r="O761" i="6" a="1"/>
  <c r="O761" i="6" s="1"/>
  <c r="C515" i="108" s="1"/>
  <c r="I576" i="6"/>
  <c r="D515" i="108" s="1"/>
  <c r="O1005" i="6" a="1"/>
  <c r="O1005" i="6" s="1"/>
  <c r="C975" i="108" s="1"/>
  <c r="I667" i="6"/>
  <c r="D975" i="108" s="1"/>
  <c r="A975" i="108"/>
  <c r="A414" i="108"/>
  <c r="O734" i="6" a="1"/>
  <c r="O734" i="6" s="1"/>
  <c r="C414" i="108" s="1"/>
  <c r="I414" i="108" s="1"/>
  <c r="I750" i="6"/>
  <c r="D414" i="108" s="1"/>
  <c r="A658" i="108"/>
  <c r="O820" i="6" a="1"/>
  <c r="O820" i="6" s="1"/>
  <c r="C658" i="108" s="1"/>
  <c r="I658" i="108" s="1"/>
  <c r="I571" i="6"/>
  <c r="D658" i="108" s="1"/>
  <c r="O689" i="6" a="1"/>
  <c r="O689" i="6" s="1"/>
  <c r="C243" i="108" s="1"/>
  <c r="I243" i="108" s="1"/>
  <c r="I443" i="6"/>
  <c r="D243" i="108" s="1"/>
  <c r="A243" i="108"/>
  <c r="A872" i="108"/>
  <c r="I151" i="6"/>
  <c r="D872" i="108" s="1"/>
  <c r="O975" i="6" a="1"/>
  <c r="O975" i="6" s="1"/>
  <c r="C872" i="108" s="1"/>
  <c r="I164" i="6"/>
  <c r="D488" i="108" s="1"/>
  <c r="A488" i="108"/>
  <c r="O755" i="6" a="1"/>
  <c r="O755" i="6" s="1"/>
  <c r="C488" i="108" s="1"/>
  <c r="I488" i="108" s="1"/>
  <c r="O702" i="6" a="1"/>
  <c r="O702" i="6" s="1"/>
  <c r="C295" i="108" s="1"/>
  <c r="I295" i="108" s="1"/>
  <c r="A295" i="108"/>
  <c r="I645" i="6"/>
  <c r="D295" i="108" s="1"/>
  <c r="A261" i="108"/>
  <c r="O694" i="6" a="1"/>
  <c r="O694" i="6" s="1"/>
  <c r="C261" i="108" s="1"/>
  <c r="I294" i="6"/>
  <c r="D261" i="108" s="1"/>
  <c r="O510" i="6" a="1"/>
  <c r="O510" i="6" s="1"/>
  <c r="C43" i="108" s="1"/>
  <c r="I580" i="6"/>
  <c r="D43" i="108" s="1"/>
  <c r="A43" i="108"/>
  <c r="L199" i="6"/>
  <c r="D200" i="6" s="1"/>
  <c r="I784" i="6"/>
  <c r="D199" i="108" s="1"/>
  <c r="A199" i="108"/>
  <c r="O584" i="6" a="1"/>
  <c r="O584" i="6" s="1"/>
  <c r="C199" i="108" s="1"/>
  <c r="I704" i="6"/>
  <c r="D947" i="108" s="1"/>
  <c r="O996" i="6" a="1"/>
  <c r="O996" i="6" s="1"/>
  <c r="C947" i="108" s="1"/>
  <c r="A947" i="108"/>
  <c r="O509" i="6" a="1"/>
  <c r="O509" i="6" s="1"/>
  <c r="C37" i="108" s="1"/>
  <c r="I37" i="108" s="1"/>
  <c r="A37" i="108"/>
  <c r="I607" i="6"/>
  <c r="D37" i="108" s="1"/>
  <c r="A974" i="108"/>
  <c r="O1004" i="6" a="1"/>
  <c r="O1004" i="6" s="1"/>
  <c r="C974" i="108" s="1"/>
  <c r="I703" i="6"/>
  <c r="D974" i="108" s="1"/>
  <c r="O770" i="6" a="1"/>
  <c r="O770" i="6" s="1"/>
  <c r="C550" i="108" s="1"/>
  <c r="A550" i="108"/>
  <c r="I608" i="6"/>
  <c r="D550" i="108" s="1"/>
  <c r="I434" i="6"/>
  <c r="D79" i="108" s="1"/>
  <c r="O462" i="6" a="1"/>
  <c r="O462" i="6" s="1"/>
  <c r="C79" i="108" s="1"/>
  <c r="A79" i="108"/>
  <c r="O385" i="6" a="1"/>
  <c r="O385" i="6" s="1"/>
  <c r="C57" i="108" s="1"/>
  <c r="A57" i="108"/>
  <c r="I453" i="6"/>
  <c r="D57" i="108" s="1"/>
  <c r="L172" i="6"/>
  <c r="D171" i="6" s="1"/>
  <c r="K275" i="6"/>
  <c r="L406" i="6"/>
  <c r="D395" i="6" s="1"/>
  <c r="K509" i="6"/>
  <c r="A996" i="108"/>
  <c r="O365" i="6" a="1"/>
  <c r="O365" i="6" s="1"/>
  <c r="C996" i="108" s="1"/>
  <c r="I191" i="6"/>
  <c r="D996" i="108" s="1"/>
  <c r="O277" i="6" a="1"/>
  <c r="O277" i="6" s="1"/>
  <c r="C640" i="108" s="1"/>
  <c r="A640" i="108"/>
  <c r="I284" i="6"/>
  <c r="D640" i="108" s="1"/>
  <c r="O33" i="6" a="1"/>
  <c r="O33" i="6" s="1"/>
  <c r="C55" i="108" s="1"/>
  <c r="I216" i="6"/>
  <c r="D55" i="108" s="1"/>
  <c r="A55" i="108"/>
  <c r="O298" i="6" a="1"/>
  <c r="O298" i="6" s="1"/>
  <c r="C809" i="108" s="1"/>
  <c r="A809" i="108"/>
  <c r="I144" i="6"/>
  <c r="D809" i="108" s="1"/>
  <c r="L222" i="6"/>
  <c r="D216" i="6" s="1"/>
  <c r="O227" i="6" a="1"/>
  <c r="O227" i="6" s="1"/>
  <c r="C215" i="108" s="1"/>
  <c r="I176" i="6"/>
  <c r="D215" i="108" s="1"/>
  <c r="A215" i="108"/>
  <c r="A945" i="108"/>
  <c r="O347" i="6" a="1"/>
  <c r="O347" i="6" s="1"/>
  <c r="C945" i="108" s="1"/>
  <c r="I973" i="6"/>
  <c r="D945" i="108" s="1"/>
  <c r="O265" i="6" a="1"/>
  <c r="O265" i="6" s="1"/>
  <c r="C538" i="108" s="1"/>
  <c r="A538" i="108"/>
  <c r="I407" i="6"/>
  <c r="D538" i="108" s="1"/>
  <c r="I414" i="6"/>
  <c r="D691" i="108" s="1"/>
  <c r="O283" i="6" a="1"/>
  <c r="O283" i="6" s="1"/>
  <c r="C691" i="108" s="1"/>
  <c r="A691" i="108"/>
  <c r="A266" i="108"/>
  <c r="O233" i="6" a="1"/>
  <c r="O233" i="6" s="1"/>
  <c r="C266" i="108" s="1"/>
  <c r="I266" i="108" s="1"/>
  <c r="I61" i="6"/>
  <c r="D266" i="108" s="1"/>
  <c r="A385" i="108"/>
  <c r="O247" i="6" a="1"/>
  <c r="O247" i="6" s="1"/>
  <c r="C385" i="108" s="1"/>
  <c r="I385" i="108" s="1"/>
  <c r="I353" i="6"/>
  <c r="D385" i="108" s="1"/>
  <c r="O241" i="6" a="1"/>
  <c r="O241" i="6" s="1"/>
  <c r="C334" i="108" s="1"/>
  <c r="A334" i="108"/>
  <c r="I410" i="6"/>
  <c r="D334" i="108" s="1"/>
  <c r="O276" i="6" a="1"/>
  <c r="O276" i="6" s="1"/>
  <c r="C639" i="108" s="1"/>
  <c r="I639" i="108" s="1"/>
  <c r="I908" i="6"/>
  <c r="D639" i="108" s="1"/>
  <c r="A639" i="108"/>
  <c r="O322" i="6" a="1"/>
  <c r="O322" i="6" s="1"/>
  <c r="C877" i="108" s="1"/>
  <c r="I877" i="108" s="1"/>
  <c r="A877" i="108"/>
  <c r="I372" i="6"/>
  <c r="D877" i="108" s="1"/>
  <c r="A181" i="108"/>
  <c r="I864" i="6"/>
  <c r="D181" i="108" s="1"/>
  <c r="O223" i="6" a="1"/>
  <c r="O223" i="6" s="1"/>
  <c r="C181" i="108" s="1"/>
  <c r="O267" i="6" a="1"/>
  <c r="O267" i="6" s="1"/>
  <c r="C555" i="108" s="1"/>
  <c r="I555" i="108" s="1"/>
  <c r="A555" i="108"/>
  <c r="I135" i="6"/>
  <c r="D555" i="108" s="1"/>
  <c r="O184" i="6" a="1"/>
  <c r="O184" i="6" s="1"/>
  <c r="C670" i="108" s="1"/>
  <c r="A670" i="108"/>
  <c r="I749" i="6"/>
  <c r="D670" i="108" s="1"/>
  <c r="O362" i="6" a="1"/>
  <c r="O362" i="6" s="1"/>
  <c r="C986" i="108" s="1"/>
  <c r="A986" i="108"/>
  <c r="I716" i="6"/>
  <c r="D986" i="108" s="1"/>
  <c r="A925" i="108"/>
  <c r="I867" i="6"/>
  <c r="D925" i="108" s="1"/>
  <c r="O340" i="6" a="1"/>
  <c r="O340" i="6" s="1"/>
  <c r="C925" i="108" s="1"/>
  <c r="I925" i="108" s="1"/>
  <c r="A888" i="108"/>
  <c r="O328" i="6" a="1"/>
  <c r="O328" i="6" s="1"/>
  <c r="C888" i="108" s="1"/>
  <c r="I888" i="108" s="1"/>
  <c r="I681" i="6"/>
  <c r="D888" i="108" s="1"/>
  <c r="O61" i="6" a="1"/>
  <c r="O61" i="6" s="1"/>
  <c r="C153" i="108" s="1"/>
  <c r="I153" i="108" s="1"/>
  <c r="A153" i="108"/>
  <c r="I917" i="6"/>
  <c r="D153" i="108" s="1"/>
  <c r="I308" i="6"/>
  <c r="D237" i="108" s="1"/>
  <c r="A237" i="108"/>
  <c r="O81" i="6" a="1"/>
  <c r="O81" i="6" s="1"/>
  <c r="C237" i="108" s="1"/>
  <c r="I237" i="108" s="1"/>
  <c r="A191" i="108"/>
  <c r="O71" i="6" a="1"/>
  <c r="O71" i="6" s="1"/>
  <c r="C191" i="108" s="1"/>
  <c r="I955" i="6"/>
  <c r="D191" i="108" s="1"/>
  <c r="O352" i="6" a="1"/>
  <c r="O352" i="6" s="1"/>
  <c r="C959" i="108" s="1"/>
  <c r="I959" i="108" s="1"/>
  <c r="A959" i="108"/>
  <c r="I675" i="6"/>
  <c r="D959" i="108" s="1"/>
  <c r="L212" i="6"/>
  <c r="D212" i="6" s="1"/>
  <c r="O76" i="6" a="1"/>
  <c r="O76" i="6" s="1"/>
  <c r="C211" i="108" s="1"/>
  <c r="I211" i="108" s="1"/>
  <c r="I69" i="6"/>
  <c r="D211" i="108" s="1"/>
  <c r="A211" i="108"/>
  <c r="A942" i="108"/>
  <c r="O346" i="6" a="1"/>
  <c r="O346" i="6" s="1"/>
  <c r="C942" i="108" s="1"/>
  <c r="I497" i="6"/>
  <c r="D942" i="108" s="1"/>
  <c r="A391" i="108"/>
  <c r="O118" i="6" a="1"/>
  <c r="O118" i="6" s="1"/>
  <c r="C391" i="108" s="1"/>
  <c r="I696" i="6"/>
  <c r="D391" i="108" s="1"/>
  <c r="I857" i="6"/>
  <c r="D782" i="108" s="1"/>
  <c r="O210" i="6" a="1"/>
  <c r="O210" i="6" s="1"/>
  <c r="C782" i="108" s="1"/>
  <c r="A782" i="108"/>
  <c r="O373" i="6" a="1"/>
  <c r="O373" i="6" s="1"/>
  <c r="C1019" i="108" s="1"/>
  <c r="I1019" i="108" s="1"/>
  <c r="A1019" i="108"/>
  <c r="I923" i="6"/>
  <c r="D1019" i="108" s="1"/>
  <c r="O116" i="6" a="1"/>
  <c r="O116" i="6" s="1"/>
  <c r="C381" i="108" s="1"/>
  <c r="A381" i="108"/>
  <c r="I327" i="6"/>
  <c r="D381" i="108" s="1"/>
  <c r="L200" i="6"/>
  <c r="D195" i="6" s="1"/>
  <c r="O72" i="6" a="1"/>
  <c r="O72" i="6" s="1"/>
  <c r="C194" i="108" s="1"/>
  <c r="I194" i="108" s="1"/>
  <c r="A194" i="108"/>
  <c r="I1005" i="6"/>
  <c r="D194" i="108" s="1"/>
  <c r="I694" i="6"/>
  <c r="D832" i="108" s="1"/>
  <c r="O306" i="6" a="1"/>
  <c r="O306" i="6" s="1"/>
  <c r="C832" i="108" s="1"/>
  <c r="A832" i="108"/>
  <c r="L316" i="6"/>
  <c r="D314" i="6" s="1"/>
  <c r="I381" i="6"/>
  <c r="D313" i="108" s="1"/>
  <c r="A313" i="108"/>
  <c r="O100" i="6" a="1"/>
  <c r="O100" i="6" s="1"/>
  <c r="C313" i="108" s="1"/>
  <c r="I662" i="6"/>
  <c r="D799" i="108" s="1"/>
  <c r="O214" i="6" a="1"/>
  <c r="O214" i="6" s="1"/>
  <c r="C799" i="108" s="1"/>
  <c r="I799" i="108" s="1"/>
  <c r="A799" i="108"/>
  <c r="I210" i="6"/>
  <c r="D704" i="108" s="1"/>
  <c r="O192" i="6" a="1"/>
  <c r="O192" i="6" s="1"/>
  <c r="C704" i="108" s="1"/>
  <c r="I704" i="108" s="1"/>
  <c r="A704" i="108"/>
  <c r="I177" i="6"/>
  <c r="D74" i="108" s="1"/>
  <c r="O39" i="6" a="1"/>
  <c r="O39" i="6" s="1"/>
  <c r="C74" i="108" s="1"/>
  <c r="A74" i="108"/>
  <c r="O207" i="6" a="1"/>
  <c r="O207" i="6" s="1"/>
  <c r="C769" i="108" s="1"/>
  <c r="I769" i="108" s="1"/>
  <c r="A769" i="108"/>
  <c r="I852" i="6"/>
  <c r="D769" i="108" s="1"/>
  <c r="A854" i="108"/>
  <c r="O314" i="6" a="1"/>
  <c r="O314" i="6" s="1"/>
  <c r="C854" i="108" s="1"/>
  <c r="I84" i="6"/>
  <c r="D854" i="108" s="1"/>
  <c r="O88" i="6" a="1"/>
  <c r="O88" i="6" s="1"/>
  <c r="C262" i="108" s="1"/>
  <c r="A262" i="108"/>
  <c r="I424" i="6"/>
  <c r="D262" i="108" s="1"/>
  <c r="L114" i="6"/>
  <c r="D110" i="6" s="1"/>
  <c r="O45" i="6" a="1"/>
  <c r="O45" i="6" s="1"/>
  <c r="C109" i="108" s="1"/>
  <c r="A109" i="108"/>
  <c r="I417" i="6"/>
  <c r="D109" i="108" s="1"/>
  <c r="I256" i="6"/>
  <c r="D969" i="108" s="1"/>
  <c r="O356" i="6" a="1"/>
  <c r="O356" i="6" s="1"/>
  <c r="C969" i="108" s="1"/>
  <c r="A969" i="108"/>
  <c r="O120" i="6" a="1"/>
  <c r="O120" i="6" s="1"/>
  <c r="C398" i="108" s="1"/>
  <c r="I318" i="6"/>
  <c r="D398" i="108" s="1"/>
  <c r="A398" i="108"/>
  <c r="O321" i="6" a="1"/>
  <c r="O321" i="6" s="1"/>
  <c r="C874" i="108" s="1"/>
  <c r="I874" i="108" s="1"/>
  <c r="A874" i="108"/>
  <c r="I275" i="6"/>
  <c r="D874" i="108" s="1"/>
  <c r="A765" i="108"/>
  <c r="O206" i="6" a="1"/>
  <c r="O206" i="6" s="1"/>
  <c r="C765" i="108" s="1"/>
  <c r="I765" i="108" s="1"/>
  <c r="I390" i="6"/>
  <c r="D765" i="108" s="1"/>
  <c r="O985" i="6" a="1"/>
  <c r="O985" i="6" s="1"/>
  <c r="C907" i="108" s="1"/>
  <c r="I108" i="6"/>
  <c r="D907" i="108" s="1"/>
  <c r="A907" i="108"/>
  <c r="I101" i="6"/>
  <c r="D549" i="108" s="1"/>
  <c r="O769" i="6" a="1"/>
  <c r="O769" i="6" s="1"/>
  <c r="C549" i="108" s="1"/>
  <c r="I549" i="108" s="1"/>
  <c r="A549" i="108"/>
  <c r="O719" i="6" a="1"/>
  <c r="O719" i="6" s="1"/>
  <c r="C363" i="108" s="1"/>
  <c r="A363" i="108"/>
  <c r="I397" i="6"/>
  <c r="D363" i="108" s="1"/>
  <c r="A437" i="108"/>
  <c r="O740" i="6" a="1"/>
  <c r="O740" i="6" s="1"/>
  <c r="C437" i="108" s="1"/>
  <c r="I437" i="108" s="1"/>
  <c r="I302" i="6"/>
  <c r="D437" i="108" s="1"/>
  <c r="O874" i="6" a="1"/>
  <c r="O874" i="6" s="1"/>
  <c r="C771" i="108" s="1"/>
  <c r="I771" i="108" s="1"/>
  <c r="I791" i="6"/>
  <c r="D771" i="108" s="1"/>
  <c r="A771" i="108"/>
  <c r="A686" i="108"/>
  <c r="I826" i="6"/>
  <c r="D686" i="108" s="1"/>
  <c r="O834" i="6" a="1"/>
  <c r="O834" i="6" s="1"/>
  <c r="C686" i="108" s="1"/>
  <c r="I686" i="108" s="1"/>
  <c r="A278" i="108"/>
  <c r="I42" i="6"/>
  <c r="D278" i="108" s="1"/>
  <c r="O698" i="6" a="1"/>
  <c r="O698" i="6" s="1"/>
  <c r="C278" i="108" s="1"/>
  <c r="L118" i="6"/>
  <c r="D115" i="6" s="1"/>
  <c r="O542" i="6" a="1"/>
  <c r="O542" i="6" s="1"/>
  <c r="C114" i="108" s="1"/>
  <c r="A114" i="108"/>
  <c r="I296" i="6"/>
  <c r="D114" i="108" s="1"/>
  <c r="I186" i="6"/>
  <c r="D600" i="108" s="1"/>
  <c r="A600" i="108"/>
  <c r="O793" i="6" a="1"/>
  <c r="O793" i="6" s="1"/>
  <c r="C600" i="108" s="1"/>
  <c r="I412" i="6"/>
  <c r="D267" i="108" s="1"/>
  <c r="O695" i="6" a="1"/>
  <c r="O695" i="6" s="1"/>
  <c r="C267" i="108" s="1"/>
  <c r="A267" i="108"/>
  <c r="I708" i="6"/>
  <c r="D226" i="108" s="1"/>
  <c r="O685" i="6" a="1"/>
  <c r="O685" i="6" s="1"/>
  <c r="C226" i="108" s="1"/>
  <c r="A226" i="108"/>
  <c r="O842" i="6" a="1"/>
  <c r="O842" i="6" s="1"/>
  <c r="C703" i="108" s="1"/>
  <c r="I703" i="108" s="1"/>
  <c r="A703" i="108"/>
  <c r="I430" i="6"/>
  <c r="D703" i="108" s="1"/>
  <c r="A726" i="108"/>
  <c r="I783" i="6"/>
  <c r="D726" i="108" s="1"/>
  <c r="O852" i="6" a="1"/>
  <c r="O852" i="6" s="1"/>
  <c r="C726" i="108" s="1"/>
  <c r="I726" i="108" s="1"/>
  <c r="A301" i="108"/>
  <c r="I641" i="6"/>
  <c r="D301" i="108" s="1"/>
  <c r="O703" i="6" a="1"/>
  <c r="O703" i="6" s="1"/>
  <c r="C301" i="108" s="1"/>
  <c r="I301" i="108" s="1"/>
  <c r="A737" i="108"/>
  <c r="O858" i="6" a="1"/>
  <c r="O858" i="6" s="1"/>
  <c r="C737" i="108" s="1"/>
  <c r="I737" i="108" s="1"/>
  <c r="I292" i="6"/>
  <c r="D737" i="108" s="1"/>
  <c r="A329" i="108"/>
  <c r="O710" i="6" a="1"/>
  <c r="O710" i="6" s="1"/>
  <c r="C329" i="108" s="1"/>
  <c r="I329" i="108" s="1"/>
  <c r="I281" i="6"/>
  <c r="D329" i="108" s="1"/>
  <c r="A482" i="108"/>
  <c r="O754" i="6" a="1"/>
  <c r="O754" i="6" s="1"/>
  <c r="C482" i="108" s="1"/>
  <c r="I482" i="108" s="1"/>
  <c r="I512" i="6"/>
  <c r="D482" i="108" s="1"/>
  <c r="A743" i="108"/>
  <c r="O860" i="6" a="1"/>
  <c r="O860" i="6" s="1"/>
  <c r="C743" i="108" s="1"/>
  <c r="I775" i="6"/>
  <c r="D743" i="108" s="1"/>
  <c r="O857" i="6" a="1"/>
  <c r="O857" i="6" s="1"/>
  <c r="C736" i="108" s="1"/>
  <c r="I736" i="108" s="1"/>
  <c r="A736" i="108"/>
  <c r="I182" i="6"/>
  <c r="D736" i="108" s="1"/>
  <c r="A890" i="108"/>
  <c r="I993" i="6"/>
  <c r="D890" i="108" s="1"/>
  <c r="O980" i="6" a="1"/>
  <c r="O980" i="6" s="1"/>
  <c r="C890" i="108" s="1"/>
  <c r="I655" i="6"/>
  <c r="D811" i="108" s="1"/>
  <c r="A811" i="108"/>
  <c r="O892" i="6" a="1"/>
  <c r="O892" i="6" s="1"/>
  <c r="C811" i="108" s="1"/>
  <c r="I811" i="108" s="1"/>
  <c r="I27" i="6"/>
  <c r="D379" i="108" s="1"/>
  <c r="O723" i="6" a="1"/>
  <c r="O723" i="6" s="1"/>
  <c r="C379" i="108" s="1"/>
  <c r="A379" i="108"/>
  <c r="L522" i="6"/>
  <c r="D514" i="6" s="1"/>
  <c r="K625" i="6"/>
  <c r="L174" i="6"/>
  <c r="D164" i="6" s="1"/>
  <c r="K277" i="6"/>
  <c r="A91" i="108"/>
  <c r="O465" i="6" a="1"/>
  <c r="O465" i="6" s="1"/>
  <c r="C91" i="108" s="1"/>
  <c r="I588" i="6"/>
  <c r="D91" i="108" s="1"/>
  <c r="L190" i="6"/>
  <c r="D192" i="6" s="1"/>
  <c r="K293" i="6"/>
  <c r="O747" i="6" a="1"/>
  <c r="O747" i="6" s="1"/>
  <c r="C462" i="108" s="1"/>
  <c r="I462" i="108" s="1"/>
  <c r="I516" i="6"/>
  <c r="D462" i="108" s="1"/>
  <c r="A462" i="108"/>
  <c r="A275" i="108"/>
  <c r="O696" i="6" a="1"/>
  <c r="O696" i="6" s="1"/>
  <c r="C275" i="108" s="1"/>
  <c r="I51" i="6"/>
  <c r="D275" i="108" s="1"/>
  <c r="O784" i="6" a="1"/>
  <c r="O784" i="6" s="1"/>
  <c r="C581" i="108" s="1"/>
  <c r="I581" i="108" s="1"/>
  <c r="A581" i="108"/>
  <c r="I860" i="6"/>
  <c r="D581" i="108" s="1"/>
  <c r="A904" i="108"/>
  <c r="I986" i="6"/>
  <c r="D904" i="108" s="1"/>
  <c r="O983" i="6" a="1"/>
  <c r="O983" i="6" s="1"/>
  <c r="C904" i="108" s="1"/>
  <c r="I904" i="108" s="1"/>
  <c r="I218" i="6"/>
  <c r="D292" i="108" s="1"/>
  <c r="A292" i="108"/>
  <c r="O700" i="6" a="1"/>
  <c r="O700" i="6" s="1"/>
  <c r="C292" i="108" s="1"/>
  <c r="I292" i="108" s="1"/>
  <c r="I617" i="6"/>
  <c r="D938" i="108" s="1"/>
  <c r="O993" i="6" a="1"/>
  <c r="O993" i="6" s="1"/>
  <c r="C938" i="108" s="1"/>
  <c r="I938" i="108" s="1"/>
  <c r="A938" i="108"/>
  <c r="O888" i="6" a="1"/>
  <c r="O888" i="6" s="1"/>
  <c r="C802" i="108" s="1"/>
  <c r="A802" i="108"/>
  <c r="I846" i="6"/>
  <c r="D802" i="108" s="1"/>
  <c r="K631" i="6"/>
  <c r="K508" i="6"/>
  <c r="O519" i="6" a="1"/>
  <c r="O519" i="6" s="1"/>
  <c r="C60" i="108" s="1"/>
  <c r="I60" i="108" s="1"/>
  <c r="A60" i="108"/>
  <c r="I534" i="6"/>
  <c r="D60" i="108" s="1"/>
  <c r="A134" i="108"/>
  <c r="O554" i="6" a="1"/>
  <c r="O554" i="6" s="1"/>
  <c r="C134" i="108" s="1"/>
  <c r="I134" i="108" s="1"/>
  <c r="I524" i="6"/>
  <c r="D134" i="108" s="1"/>
  <c r="O951" i="6" a="1"/>
  <c r="O951" i="6" s="1"/>
  <c r="C542" i="108" s="1"/>
  <c r="A542" i="108"/>
  <c r="I295" i="6"/>
  <c r="D542" i="108" s="1"/>
  <c r="I1015" i="6"/>
  <c r="D270" i="108" s="1"/>
  <c r="O609" i="6" a="1"/>
  <c r="O609" i="6" s="1"/>
  <c r="C270" i="108" s="1"/>
  <c r="I270" i="108" s="1"/>
  <c r="A270" i="108"/>
  <c r="O518" i="6" a="1"/>
  <c r="O518" i="6" s="1"/>
  <c r="C59" i="108" s="1"/>
  <c r="I59" i="108" s="1"/>
  <c r="I223" i="6"/>
  <c r="D59" i="108" s="1"/>
  <c r="A59" i="108"/>
  <c r="I227" i="6"/>
  <c r="D1001" i="108" s="1"/>
  <c r="O1013" i="6" a="1"/>
  <c r="O1013" i="6" s="1"/>
  <c r="C1001" i="108" s="1"/>
  <c r="I1001" i="108" s="1"/>
  <c r="A1001" i="108"/>
  <c r="A457" i="108"/>
  <c r="O746" i="6" a="1"/>
  <c r="O746" i="6" s="1"/>
  <c r="C457" i="108" s="1"/>
  <c r="I858" i="6"/>
  <c r="D457" i="108" s="1"/>
  <c r="A84" i="108"/>
  <c r="I814" i="6"/>
  <c r="D84" i="108" s="1"/>
  <c r="O530" i="6" a="1"/>
  <c r="O530" i="6" s="1"/>
  <c r="C84" i="108" s="1"/>
  <c r="L304" i="6"/>
  <c r="D297" i="6" s="1"/>
  <c r="K407" i="6"/>
  <c r="A937" i="108"/>
  <c r="O494" i="6" a="1"/>
  <c r="O494" i="6" s="1"/>
  <c r="C937" i="108" s="1"/>
  <c r="I330" i="6"/>
  <c r="D937" i="108" s="1"/>
  <c r="L76" i="6"/>
  <c r="D83" i="6" s="1"/>
  <c r="K179" i="6"/>
  <c r="O445" i="6" a="1"/>
  <c r="O445" i="6" s="1"/>
  <c r="C597" i="108" s="1"/>
  <c r="I597" i="108" s="1"/>
  <c r="I405" i="6"/>
  <c r="D597" i="108" s="1"/>
  <c r="A597" i="108"/>
  <c r="O454" i="6" a="1"/>
  <c r="O454" i="6" s="1"/>
  <c r="C750" i="108" s="1"/>
  <c r="I750" i="108" s="1"/>
  <c r="A750" i="108"/>
  <c r="I125" i="6"/>
  <c r="D750" i="108" s="1"/>
  <c r="I992" i="6"/>
  <c r="D546" i="108" s="1"/>
  <c r="A546" i="108"/>
  <c r="O442" i="6" a="1"/>
  <c r="O442" i="6" s="1"/>
  <c r="C546" i="108" s="1"/>
  <c r="I546" i="108" s="1"/>
  <c r="I423" i="6"/>
  <c r="D784" i="108" s="1"/>
  <c r="O456" i="6" a="1"/>
  <c r="O456" i="6" s="1"/>
  <c r="C784" i="108" s="1"/>
  <c r="A784" i="108"/>
  <c r="O389" i="6" a="1"/>
  <c r="O389" i="6" s="1"/>
  <c r="C89" i="108" s="1"/>
  <c r="I581" i="6"/>
  <c r="D89" i="108" s="1"/>
  <c r="A89" i="108"/>
  <c r="L530" i="6"/>
  <c r="D515" i="6" s="1"/>
  <c r="K633" i="6"/>
  <c r="K538" i="6"/>
  <c r="L53" i="6"/>
  <c r="K124" i="6"/>
  <c r="K156" i="6"/>
  <c r="L58" i="6"/>
  <c r="D55" i="6" s="1"/>
  <c r="K161" i="6"/>
  <c r="O217" i="6" a="1"/>
  <c r="O217" i="6" s="1"/>
  <c r="C83" i="108" s="1"/>
  <c r="I83" i="108" s="1"/>
  <c r="I886" i="6"/>
  <c r="D83" i="108" s="1"/>
  <c r="A83" i="108"/>
  <c r="I626" i="6"/>
  <c r="D808" i="108" s="1"/>
  <c r="O483" i="6" a="1"/>
  <c r="O483" i="6" s="1"/>
  <c r="C808" i="108" s="1"/>
  <c r="A808" i="108"/>
  <c r="I91" i="6"/>
  <c r="D400" i="108" s="1"/>
  <c r="A400" i="108"/>
  <c r="O426" i="6" a="1"/>
  <c r="O426" i="6" s="1"/>
  <c r="C400" i="108" s="1"/>
  <c r="I400" i="108" s="1"/>
  <c r="A621" i="108"/>
  <c r="O472" i="6" a="1"/>
  <c r="O472" i="6" s="1"/>
  <c r="C621" i="108" s="1"/>
  <c r="I540" i="6"/>
  <c r="D621" i="108" s="1"/>
  <c r="L535" i="6"/>
  <c r="D520" i="6" s="1"/>
  <c r="O440" i="6" a="1"/>
  <c r="O440" i="6" s="1"/>
  <c r="C519" i="108" s="1"/>
  <c r="A519" i="108"/>
  <c r="I31" i="6"/>
  <c r="D519" i="108" s="1"/>
  <c r="A349" i="108"/>
  <c r="I37" i="6"/>
  <c r="D349" i="108" s="1"/>
  <c r="O420" i="6" a="1"/>
  <c r="O420" i="6" s="1"/>
  <c r="C349" i="108" s="1"/>
  <c r="A672" i="108"/>
  <c r="O475" i="6" a="1"/>
  <c r="O475" i="6" s="1"/>
  <c r="C672" i="108" s="1"/>
  <c r="I515" i="6"/>
  <c r="D672" i="108" s="1"/>
  <c r="A536" i="108"/>
  <c r="O467" i="6" a="1"/>
  <c r="O467" i="6" s="1"/>
  <c r="C536" i="108" s="1"/>
  <c r="I77" i="6"/>
  <c r="D536" i="108" s="1"/>
  <c r="I268" i="6"/>
  <c r="D502" i="108" s="1"/>
  <c r="A502" i="108"/>
  <c r="O438" i="6" a="1"/>
  <c r="O438" i="6" s="1"/>
  <c r="C502" i="108" s="1"/>
  <c r="I502" i="108" s="1"/>
  <c r="L421" i="6"/>
  <c r="D409" i="6" s="1"/>
  <c r="K524" i="6"/>
  <c r="L294" i="6"/>
  <c r="D287" i="6" s="1"/>
  <c r="K397" i="6"/>
  <c r="L321" i="6"/>
  <c r="D317" i="6" s="1"/>
  <c r="A316" i="108"/>
  <c r="O238" i="6" a="1"/>
  <c r="O238" i="6" s="1"/>
  <c r="C316" i="108" s="1"/>
  <c r="I88" i="6"/>
  <c r="D316" i="108" s="1"/>
  <c r="A571" i="108"/>
  <c r="O268" i="6" a="1"/>
  <c r="O268" i="6" s="1"/>
  <c r="C571" i="108" s="1"/>
  <c r="I571" i="108" s="1"/>
  <c r="I793" i="6"/>
  <c r="D571" i="108" s="1"/>
  <c r="O235" i="6" a="1"/>
  <c r="O235" i="6" s="1"/>
  <c r="C283" i="108" s="1"/>
  <c r="A283" i="108"/>
  <c r="I40" i="6"/>
  <c r="D283" i="108" s="1"/>
  <c r="L80" i="6"/>
  <c r="D82" i="6" s="1"/>
  <c r="K183" i="6"/>
  <c r="I479" i="6"/>
  <c r="D606" i="108" s="1"/>
  <c r="A606" i="108"/>
  <c r="O273" i="6" a="1"/>
  <c r="O273" i="6" s="1"/>
  <c r="C606" i="108" s="1"/>
  <c r="I606" i="108" s="1"/>
  <c r="I790" i="6"/>
  <c r="D758" i="108" s="1"/>
  <c r="O290" i="6" a="1"/>
  <c r="O290" i="6" s="1"/>
  <c r="C758" i="108" s="1"/>
  <c r="I758" i="108" s="1"/>
  <c r="A758" i="108"/>
  <c r="I892" i="6"/>
  <c r="D350" i="108" s="1"/>
  <c r="A350" i="108"/>
  <c r="O242" i="6" a="1"/>
  <c r="O242" i="6" s="1"/>
  <c r="C350" i="108" s="1"/>
  <c r="A453" i="108"/>
  <c r="O255" i="6" a="1"/>
  <c r="O255" i="6" s="1"/>
  <c r="C453" i="108" s="1"/>
  <c r="I453" i="108" s="1"/>
  <c r="I719" i="6"/>
  <c r="D453" i="108" s="1"/>
  <c r="O245" i="6" a="1"/>
  <c r="O245" i="6" s="1"/>
  <c r="C368" i="108" s="1"/>
  <c r="I368" i="108" s="1"/>
  <c r="A368" i="108"/>
  <c r="I877" i="6"/>
  <c r="D368" i="108" s="1"/>
  <c r="O289" i="6" a="1"/>
  <c r="O289" i="6" s="1"/>
  <c r="C742" i="108" s="1"/>
  <c r="I853" i="6"/>
  <c r="D742" i="108" s="1"/>
  <c r="A742" i="108"/>
  <c r="A34" i="108"/>
  <c r="O27" i="6" a="1"/>
  <c r="O27" i="6" s="1"/>
  <c r="C34" i="108" s="1"/>
  <c r="I579" i="6"/>
  <c r="D34" i="108" s="1"/>
  <c r="A248" i="108"/>
  <c r="I636" i="6"/>
  <c r="D248" i="108" s="1"/>
  <c r="O230" i="6" a="1"/>
  <c r="O230" i="6" s="1"/>
  <c r="C248" i="108" s="1"/>
  <c r="I248" i="108" s="1"/>
  <c r="O272" i="6" a="1"/>
  <c r="O272" i="6" s="1"/>
  <c r="C605" i="108" s="1"/>
  <c r="I915" i="6"/>
  <c r="D605" i="108" s="1"/>
  <c r="A605" i="108"/>
  <c r="L636" i="6"/>
  <c r="D623" i="6" s="1"/>
  <c r="A622" i="108"/>
  <c r="O274" i="6" a="1"/>
  <c r="O274" i="6" s="1"/>
  <c r="C622" i="108" s="1"/>
  <c r="I413" i="6"/>
  <c r="D622" i="108" s="1"/>
  <c r="A299" i="108"/>
  <c r="O236" i="6" a="1"/>
  <c r="O236" i="6" s="1"/>
  <c r="C299" i="108" s="1"/>
  <c r="I523" i="6"/>
  <c r="D299" i="108" s="1"/>
  <c r="O119" i="6" a="1"/>
  <c r="O119" i="6" s="1"/>
  <c r="C395" i="108" s="1"/>
  <c r="I395" i="108" s="1"/>
  <c r="A395" i="108"/>
  <c r="I291" i="6"/>
  <c r="D395" i="108" s="1"/>
  <c r="A611" i="108"/>
  <c r="O169" i="6" a="1"/>
  <c r="O169" i="6" s="1"/>
  <c r="C611" i="108" s="1"/>
  <c r="I562" i="6"/>
  <c r="D611" i="108" s="1"/>
  <c r="O51" i="6" a="1"/>
  <c r="O51" i="6" s="1"/>
  <c r="C126" i="108" s="1"/>
  <c r="A126" i="108"/>
  <c r="I976" i="6"/>
  <c r="D126" i="108" s="1"/>
  <c r="A509" i="108"/>
  <c r="O145" i="6" a="1"/>
  <c r="O145" i="6" s="1"/>
  <c r="C509" i="108" s="1"/>
  <c r="I509" i="108" s="1"/>
  <c r="I542" i="6"/>
  <c r="D509" i="108" s="1"/>
  <c r="O91" i="6" a="1"/>
  <c r="O91" i="6" s="1"/>
  <c r="C276" i="108" s="1"/>
  <c r="A276" i="108"/>
  <c r="I653" i="6"/>
  <c r="D276" i="108" s="1"/>
  <c r="A560" i="108"/>
  <c r="O157" i="6" a="1"/>
  <c r="O157" i="6" s="1"/>
  <c r="C560" i="108" s="1"/>
  <c r="I560" i="108" s="1"/>
  <c r="I117" i="6"/>
  <c r="D560" i="108" s="1"/>
  <c r="A917" i="108"/>
  <c r="I461" i="6"/>
  <c r="D917" i="108" s="1"/>
  <c r="O337" i="6" a="1"/>
  <c r="O337" i="6" s="1"/>
  <c r="C917" i="108" s="1"/>
  <c r="O367" i="6" a="1"/>
  <c r="O367" i="6" s="1"/>
  <c r="C1002" i="108" s="1"/>
  <c r="I1002" i="108" s="1"/>
  <c r="A1002" i="108"/>
  <c r="I695" i="6"/>
  <c r="D1002" i="108" s="1"/>
  <c r="I477" i="6"/>
  <c r="D857" i="108" s="1"/>
  <c r="A857" i="108"/>
  <c r="O315" i="6" a="1"/>
  <c r="O315" i="6" s="1"/>
  <c r="C857" i="108" s="1"/>
  <c r="I857" i="108" s="1"/>
  <c r="O211" i="6" a="1"/>
  <c r="O211" i="6" s="1"/>
  <c r="C786" i="108" s="1"/>
  <c r="I385" i="6"/>
  <c r="D786" i="108" s="1"/>
  <c r="A786" i="108"/>
  <c r="I462" i="6"/>
  <c r="D306" i="108" s="1"/>
  <c r="O98" i="6" a="1"/>
  <c r="O98" i="6" s="1"/>
  <c r="C306" i="108" s="1"/>
  <c r="A306" i="108"/>
  <c r="A1020" i="108"/>
  <c r="I991" i="6"/>
  <c r="D1020" i="108" s="1"/>
  <c r="O374" i="6" a="1"/>
  <c r="O374" i="6" s="1"/>
  <c r="C1020" i="108" s="1"/>
  <c r="I1020" i="108" s="1"/>
  <c r="O197" i="6" a="1"/>
  <c r="O197" i="6" s="1"/>
  <c r="C730" i="108" s="1"/>
  <c r="A730" i="108"/>
  <c r="I222" i="6"/>
  <c r="D730" i="108" s="1"/>
  <c r="A186" i="108"/>
  <c r="O69" i="6" a="1"/>
  <c r="O69" i="6" s="1"/>
  <c r="C186" i="108" s="1"/>
  <c r="I186" i="108" s="1"/>
  <c r="I438" i="6"/>
  <c r="D186" i="108" s="1"/>
  <c r="A517" i="108"/>
  <c r="O148" i="6" a="1"/>
  <c r="O148" i="6" s="1"/>
  <c r="C517" i="108" s="1"/>
  <c r="I789" i="6"/>
  <c r="D517" i="108" s="1"/>
  <c r="L1011" i="6"/>
  <c r="D974" i="6" s="1"/>
  <c r="A973" i="108"/>
  <c r="O357" i="6" a="1"/>
  <c r="O357" i="6" s="1"/>
  <c r="C973" i="108" s="1"/>
  <c r="I973" i="108" s="1"/>
  <c r="I501" i="6"/>
  <c r="D973" i="108" s="1"/>
  <c r="O54" i="6" a="1"/>
  <c r="O54" i="6" s="1"/>
  <c r="C135" i="108" s="1"/>
  <c r="A135" i="108"/>
  <c r="I375" i="6"/>
  <c r="D135" i="108" s="1"/>
  <c r="O183" i="6" a="1"/>
  <c r="O183" i="6" s="1"/>
  <c r="C667" i="108" s="1"/>
  <c r="A667" i="108"/>
  <c r="I429" i="6"/>
  <c r="D667" i="108" s="1"/>
  <c r="A543" i="108"/>
  <c r="O153" i="6" a="1"/>
  <c r="O153" i="6" s="1"/>
  <c r="C543" i="108" s="1"/>
  <c r="I543" i="108" s="1"/>
  <c r="I282" i="6"/>
  <c r="D543" i="108" s="1"/>
  <c r="I178" i="6"/>
  <c r="D238" i="108" s="1"/>
  <c r="A238" i="108"/>
  <c r="O82" i="6" a="1"/>
  <c r="O82" i="6" s="1"/>
  <c r="C238" i="108" s="1"/>
  <c r="O135" i="6" a="1"/>
  <c r="O135" i="6" s="1"/>
  <c r="C463" i="108" s="1"/>
  <c r="I463" i="108" s="1"/>
  <c r="A463" i="108"/>
  <c r="I979" i="6"/>
  <c r="D463" i="108" s="1"/>
  <c r="A531" i="108"/>
  <c r="I154" i="6"/>
  <c r="D531" i="108" s="1"/>
  <c r="O151" i="6" a="1"/>
  <c r="O151" i="6" s="1"/>
  <c r="C531" i="108" s="1"/>
  <c r="A51" i="108"/>
  <c r="O32" i="6" a="1"/>
  <c r="O32" i="6" s="1"/>
  <c r="C51" i="108" s="1"/>
  <c r="I228" i="6"/>
  <c r="D51" i="108" s="1"/>
  <c r="O67" i="6" a="1"/>
  <c r="O67" i="6" s="1"/>
  <c r="C174" i="108" s="1"/>
  <c r="A174" i="108"/>
  <c r="I241" i="6"/>
  <c r="D174" i="108" s="1"/>
  <c r="O178" i="6" a="1"/>
  <c r="O178" i="6" s="1"/>
  <c r="C646" i="108" s="1"/>
  <c r="I265" i="6"/>
  <c r="D646" i="108" s="1"/>
  <c r="A646" i="108"/>
  <c r="I618" i="6"/>
  <c r="D228" i="108" s="1"/>
  <c r="O80" i="6" a="1"/>
  <c r="O80" i="6" s="1"/>
  <c r="C228" i="108" s="1"/>
  <c r="I228" i="108" s="1"/>
  <c r="A228" i="108"/>
  <c r="A735" i="108"/>
  <c r="I773" i="6"/>
  <c r="D735" i="108" s="1"/>
  <c r="O199" i="6" a="1"/>
  <c r="O199" i="6" s="1"/>
  <c r="C735" i="108" s="1"/>
  <c r="O173" i="6" a="1"/>
  <c r="O173" i="6" s="1"/>
  <c r="C628" i="108" s="1"/>
  <c r="I628" i="108" s="1"/>
  <c r="A628" i="108"/>
  <c r="I382" i="6"/>
  <c r="D628" i="108" s="1"/>
  <c r="A396" i="108"/>
  <c r="O728" i="6" a="1"/>
  <c r="O728" i="6" s="1"/>
  <c r="C396" i="108" s="1"/>
  <c r="I942" i="6"/>
  <c r="D396" i="108" s="1"/>
  <c r="A52" i="108"/>
  <c r="O515" i="6" a="1"/>
  <c r="O515" i="6" s="1"/>
  <c r="C52" i="108" s="1"/>
  <c r="I398" i="6"/>
  <c r="D52" i="108" s="1"/>
  <c r="O1001" i="6" a="1"/>
  <c r="O1001" i="6" s="1"/>
  <c r="C964" i="108" s="1"/>
  <c r="I386" i="6"/>
  <c r="D964" i="108" s="1"/>
  <c r="A964" i="108"/>
  <c r="A862" i="108"/>
  <c r="O973" i="6" a="1"/>
  <c r="O973" i="6" s="1"/>
  <c r="C862" i="108" s="1"/>
  <c r="I862" i="108" s="1"/>
  <c r="I553" i="6"/>
  <c r="D862" i="108" s="1"/>
  <c r="O828" i="6" a="1"/>
  <c r="O828" i="6" s="1"/>
  <c r="C675" i="108" s="1"/>
  <c r="A675" i="108"/>
  <c r="I209" i="6"/>
  <c r="D675" i="108" s="1"/>
  <c r="O576" i="6" a="1"/>
  <c r="O576" i="6" s="1"/>
  <c r="C182" i="108" s="1"/>
  <c r="I182" i="108" s="1"/>
  <c r="I841" i="6"/>
  <c r="D182" i="108" s="1"/>
  <c r="A182" i="108"/>
  <c r="O1000" i="6" a="1"/>
  <c r="O1000" i="6" s="1"/>
  <c r="C958" i="108" s="1"/>
  <c r="A958" i="108"/>
  <c r="I90" i="6"/>
  <c r="D958" i="108" s="1"/>
  <c r="A856" i="108"/>
  <c r="I249" i="6"/>
  <c r="D856" i="108" s="1"/>
  <c r="O972" i="6" a="1"/>
  <c r="O972" i="6" s="1"/>
  <c r="C856" i="108" s="1"/>
  <c r="A403" i="108"/>
  <c r="I123" i="6"/>
  <c r="D403" i="108" s="1"/>
  <c r="O730" i="6" a="1"/>
  <c r="O730" i="6" s="1"/>
  <c r="C403" i="108" s="1"/>
  <c r="I403" i="108" s="1"/>
  <c r="A906" i="108"/>
  <c r="I889" i="6"/>
  <c r="D906" i="108" s="1"/>
  <c r="O984" i="6" a="1"/>
  <c r="O984" i="6" s="1"/>
  <c r="C906" i="108" s="1"/>
  <c r="O759" i="6" a="1"/>
  <c r="O759" i="6" s="1"/>
  <c r="C505" i="108" s="1"/>
  <c r="I796" i="6"/>
  <c r="D505" i="108" s="1"/>
  <c r="A505" i="108"/>
  <c r="A380" i="108"/>
  <c r="O724" i="6" a="1"/>
  <c r="O724" i="6" s="1"/>
  <c r="C380" i="108" s="1"/>
  <c r="I380" i="108" s="1"/>
  <c r="I78" i="6"/>
  <c r="D380" i="108" s="1"/>
  <c r="O725" i="6" a="1"/>
  <c r="O725" i="6" s="1"/>
  <c r="C386" i="108" s="1"/>
  <c r="A386" i="108"/>
  <c r="I45" i="6"/>
  <c r="D386" i="108" s="1"/>
  <c r="O516" i="6" a="1"/>
  <c r="O516" i="6" s="1"/>
  <c r="C53" i="108" s="1"/>
  <c r="I53" i="108" s="1"/>
  <c r="I835" i="6"/>
  <c r="D53" i="108" s="1"/>
  <c r="A53" i="108"/>
  <c r="O738" i="6" a="1"/>
  <c r="O738" i="6" s="1"/>
  <c r="C430" i="108" s="1"/>
  <c r="A430" i="108"/>
  <c r="I1014" i="6"/>
  <c r="D430" i="108" s="1"/>
  <c r="O999" i="6" a="1"/>
  <c r="O999" i="6" s="1"/>
  <c r="C957" i="108" s="1"/>
  <c r="I957" i="108" s="1"/>
  <c r="I1023" i="6"/>
  <c r="D957" i="108" s="1"/>
  <c r="A957" i="108"/>
  <c r="A805" i="108"/>
  <c r="O890" i="6" a="1"/>
  <c r="O890" i="6" s="1"/>
  <c r="C805" i="108" s="1"/>
  <c r="I705" i="6"/>
  <c r="D805" i="108" s="1"/>
  <c r="O749" i="6" a="1"/>
  <c r="O749" i="6" s="1"/>
  <c r="C465" i="108" s="1"/>
  <c r="I465" i="108" s="1"/>
  <c r="A465" i="108"/>
  <c r="I391" i="6"/>
  <c r="D465" i="108" s="1"/>
  <c r="A499" i="108"/>
  <c r="O758" i="6" a="1"/>
  <c r="O758" i="6" s="1"/>
  <c r="C499" i="108" s="1"/>
  <c r="I765" i="6"/>
  <c r="D499" i="108" s="1"/>
  <c r="A335" i="108"/>
  <c r="O711" i="6" a="1"/>
  <c r="O711" i="6" s="1"/>
  <c r="C335" i="108" s="1"/>
  <c r="I335" i="108" s="1"/>
  <c r="I363" i="6"/>
  <c r="D335" i="108" s="1"/>
  <c r="A584" i="108"/>
  <c r="O786" i="6" a="1"/>
  <c r="O786" i="6" s="1"/>
  <c r="C584" i="108" s="1"/>
  <c r="I584" i="108" s="1"/>
  <c r="I920" i="6"/>
  <c r="D584" i="108" s="1"/>
  <c r="L218" i="6"/>
  <c r="L229" i="6"/>
  <c r="O683" i="6" a="1"/>
  <c r="O683" i="6" s="1"/>
  <c r="C216" i="108" s="1"/>
  <c r="A216" i="108"/>
  <c r="I656" i="6"/>
  <c r="D216" i="108" s="1"/>
  <c r="L71" i="6"/>
  <c r="D64" i="6" s="1"/>
  <c r="I81" i="6"/>
  <c r="D33" i="108" s="1"/>
  <c r="A33" i="108"/>
  <c r="O379" i="6" a="1"/>
  <c r="O379" i="6" s="1"/>
  <c r="C33" i="108" s="1"/>
  <c r="L87" i="6"/>
  <c r="D92" i="6" s="1"/>
  <c r="O732" i="6" a="1"/>
  <c r="O732" i="6" s="1"/>
  <c r="C411" i="108" s="1"/>
  <c r="I426" i="6"/>
  <c r="D411" i="108" s="1"/>
  <c r="A411" i="108"/>
  <c r="O816" i="6" a="1"/>
  <c r="O816" i="6" s="1"/>
  <c r="C649" i="108" s="1"/>
  <c r="A649" i="108"/>
  <c r="I99" i="6"/>
  <c r="D649" i="108" s="1"/>
  <c r="I197" i="6"/>
  <c r="D972" i="108" s="1"/>
  <c r="A972" i="108"/>
  <c r="O1003" i="6" a="1"/>
  <c r="O1003" i="6" s="1"/>
  <c r="C972" i="108" s="1"/>
  <c r="A360" i="108"/>
  <c r="O717" i="6" a="1"/>
  <c r="O717" i="6" s="1"/>
  <c r="C360" i="108" s="1"/>
  <c r="I360" i="108" s="1"/>
  <c r="I35" i="6"/>
  <c r="D360" i="108" s="1"/>
  <c r="I137" i="6"/>
  <c r="D887" i="108" s="1"/>
  <c r="A887" i="108"/>
  <c r="O921" i="6" a="1"/>
  <c r="O921" i="6" s="1"/>
  <c r="C887" i="108" s="1"/>
  <c r="O864" i="6" a="1"/>
  <c r="O864" i="6" s="1"/>
  <c r="C751" i="108" s="1"/>
  <c r="I751" i="108" s="1"/>
  <c r="A751" i="108"/>
  <c r="I777" i="6"/>
  <c r="D751" i="108" s="1"/>
  <c r="I873" i="6"/>
  <c r="D615" i="108" s="1"/>
  <c r="A615" i="108"/>
  <c r="O800" i="6" a="1"/>
  <c r="O800" i="6" s="1"/>
  <c r="C615" i="108" s="1"/>
  <c r="I615" i="108" s="1"/>
  <c r="O726" i="6" a="1"/>
  <c r="O726" i="6" s="1"/>
  <c r="C389" i="108" s="1"/>
  <c r="I389" i="108" s="1"/>
  <c r="A389" i="108"/>
  <c r="I92" i="6"/>
  <c r="D389" i="108" s="1"/>
  <c r="A1018" i="108"/>
  <c r="I999" i="6"/>
  <c r="D1018" i="108" s="1"/>
  <c r="O1022" i="6" a="1"/>
  <c r="O1022" i="6" s="1"/>
  <c r="C1018" i="108" s="1"/>
  <c r="I1018" i="108" s="1"/>
  <c r="A882" i="108"/>
  <c r="I718" i="6"/>
  <c r="D882" i="108" s="1"/>
  <c r="O978" i="6" a="1"/>
  <c r="O978" i="6" s="1"/>
  <c r="C882" i="108" s="1"/>
  <c r="I882" i="108" s="1"/>
  <c r="A746" i="108"/>
  <c r="I47" i="6"/>
  <c r="D746" i="108" s="1"/>
  <c r="O963" i="6" a="1"/>
  <c r="O963" i="6" s="1"/>
  <c r="C746" i="108" s="1"/>
  <c r="A610" i="108"/>
  <c r="I700" i="6"/>
  <c r="D610" i="108" s="1"/>
  <c r="O955" i="6" a="1"/>
  <c r="O955" i="6" s="1"/>
  <c r="C610" i="108" s="1"/>
  <c r="A474" i="108"/>
  <c r="O751" i="6" a="1"/>
  <c r="O751" i="6" s="1"/>
  <c r="C474" i="108" s="1"/>
  <c r="I958" i="6"/>
  <c r="D474" i="108" s="1"/>
  <c r="I348" i="6"/>
  <c r="D202" i="108" s="1"/>
  <c r="O587" i="6" a="1"/>
  <c r="O587" i="6" s="1"/>
  <c r="C202" i="108" s="1"/>
  <c r="A202" i="108"/>
  <c r="I239" i="6"/>
  <c r="D185" i="108" s="1"/>
  <c r="O579" i="6" a="1"/>
  <c r="O579" i="6" s="1"/>
  <c r="C185" i="108" s="1"/>
  <c r="A185" i="108"/>
  <c r="O417" i="6" a="1"/>
  <c r="O417" i="6" s="1"/>
  <c r="C325" i="108" s="1"/>
  <c r="I325" i="108" s="1"/>
  <c r="A325" i="108"/>
  <c r="I832" i="6"/>
  <c r="D325" i="108" s="1"/>
  <c r="O421" i="6" a="1"/>
  <c r="O421" i="6" s="1"/>
  <c r="C359" i="108" s="1"/>
  <c r="A359" i="108"/>
  <c r="I120" i="6"/>
  <c r="D359" i="108" s="1"/>
  <c r="O410" i="6" a="1"/>
  <c r="O410" i="6" s="1"/>
  <c r="C257" i="108" s="1"/>
  <c r="A257" i="108"/>
  <c r="I199" i="6"/>
  <c r="D257" i="108" s="1"/>
  <c r="A716" i="108"/>
  <c r="I159" i="6"/>
  <c r="D716" i="108" s="1"/>
  <c r="O452" i="6" a="1"/>
  <c r="O452" i="6" s="1"/>
  <c r="C716" i="108" s="1"/>
  <c r="A206" i="108"/>
  <c r="O407" i="6" a="1"/>
  <c r="O407" i="6" s="1"/>
  <c r="C206" i="108" s="1"/>
  <c r="I206" i="108" s="1"/>
  <c r="I820" i="6"/>
  <c r="D206" i="108" s="1"/>
  <c r="O433" i="6" a="1"/>
  <c r="O433" i="6" s="1"/>
  <c r="C461" i="108" s="1"/>
  <c r="I461" i="108" s="1"/>
  <c r="A461" i="108"/>
  <c r="I337" i="6"/>
  <c r="D461" i="108" s="1"/>
  <c r="O384" i="6" a="1"/>
  <c r="O384" i="6" s="1"/>
  <c r="C56" i="108" s="1"/>
  <c r="I56" i="108" s="1"/>
  <c r="A56" i="108"/>
  <c r="I682" i="6"/>
  <c r="D56" i="108" s="1"/>
  <c r="L51" i="6"/>
  <c r="D59" i="6" s="1"/>
  <c r="K154" i="6"/>
  <c r="L57" i="6"/>
  <c r="D60" i="6" s="1"/>
  <c r="K160" i="6"/>
  <c r="O218" i="6" a="1"/>
  <c r="O218" i="6" s="1"/>
  <c r="C90" i="108" s="1"/>
  <c r="A90" i="108"/>
  <c r="I325" i="6"/>
  <c r="D90" i="108" s="1"/>
  <c r="A49" i="108"/>
  <c r="I897" i="6"/>
  <c r="D49" i="108" s="1"/>
  <c r="O383" i="6" a="1"/>
  <c r="O383" i="6" s="1"/>
  <c r="C49" i="108" s="1"/>
  <c r="I593" i="6"/>
  <c r="D961" i="108" s="1"/>
  <c r="A961" i="108"/>
  <c r="O497" i="6" a="1"/>
  <c r="O497" i="6" s="1"/>
  <c r="C961" i="108" s="1"/>
  <c r="L108" i="6"/>
  <c r="D106" i="6" s="1"/>
  <c r="A105" i="108"/>
  <c r="O391" i="6" a="1"/>
  <c r="O391" i="6" s="1"/>
  <c r="C105" i="108" s="1"/>
  <c r="I105" i="108" s="1"/>
  <c r="I173" i="6"/>
  <c r="D105" i="108" s="1"/>
  <c r="L325" i="6"/>
  <c r="D316" i="6" s="1"/>
  <c r="A315" i="108"/>
  <c r="I361" i="6"/>
  <c r="D315" i="108" s="1"/>
  <c r="O416" i="6" a="1"/>
  <c r="O416" i="6" s="1"/>
  <c r="C315" i="108" s="1"/>
  <c r="I788" i="6"/>
  <c r="D842" i="108" s="1"/>
  <c r="O485" i="6" a="1"/>
  <c r="O485" i="6" s="1"/>
  <c r="C842" i="108" s="1"/>
  <c r="A842" i="108"/>
  <c r="A587" i="108"/>
  <c r="O470" i="6" a="1"/>
  <c r="O470" i="6" s="1"/>
  <c r="C587" i="108" s="1"/>
  <c r="I567" i="6"/>
  <c r="D587" i="108" s="1"/>
  <c r="O432" i="6" a="1"/>
  <c r="O432" i="6" s="1"/>
  <c r="C451" i="108" s="1"/>
  <c r="I451" i="108" s="1"/>
  <c r="A451" i="108"/>
  <c r="I204" i="6"/>
  <c r="D451" i="108" s="1"/>
  <c r="A485" i="108"/>
  <c r="O436" i="6" a="1"/>
  <c r="O436" i="6" s="1"/>
  <c r="C485" i="108" s="1"/>
  <c r="I485" i="108" s="1"/>
  <c r="I289" i="6"/>
  <c r="D485" i="108" s="1"/>
  <c r="L310" i="6"/>
  <c r="D307" i="6" s="1"/>
  <c r="K413" i="6"/>
  <c r="K295" i="6"/>
  <c r="O285" i="6" a="1"/>
  <c r="O285" i="6" s="1"/>
  <c r="C708" i="108" s="1"/>
  <c r="I708" i="108" s="1"/>
  <c r="A708" i="108"/>
  <c r="I174" i="6"/>
  <c r="D708" i="108" s="1"/>
  <c r="O258" i="6" a="1"/>
  <c r="O258" i="6" s="1"/>
  <c r="C486" i="108" s="1"/>
  <c r="I486" i="108" s="1"/>
  <c r="A486" i="108"/>
  <c r="I910" i="6"/>
  <c r="D486" i="108" s="1"/>
  <c r="O224" i="6" a="1"/>
  <c r="O224" i="6" s="1"/>
  <c r="C197" i="108" s="1"/>
  <c r="I63" i="6"/>
  <c r="D197" i="108" s="1"/>
  <c r="A197" i="108"/>
  <c r="A810" i="108"/>
  <c r="O299" i="6" a="1"/>
  <c r="O299" i="6" s="1"/>
  <c r="C810" i="108" s="1"/>
  <c r="I810" i="108" s="1"/>
  <c r="I842" i="6"/>
  <c r="D810" i="108" s="1"/>
  <c r="O250" i="6" a="1"/>
  <c r="O250" i="6" s="1"/>
  <c r="C418" i="108" s="1"/>
  <c r="A418" i="108"/>
  <c r="I67" i="6"/>
  <c r="D418" i="108" s="1"/>
  <c r="L534" i="6"/>
  <c r="D522" i="6" s="1"/>
  <c r="O263" i="6" a="1"/>
  <c r="O263" i="6" s="1"/>
  <c r="C521" i="108" s="1"/>
  <c r="I521" i="108" s="1"/>
  <c r="A521" i="108"/>
  <c r="I721" i="6"/>
  <c r="D521" i="108" s="1"/>
  <c r="A402" i="108"/>
  <c r="O249" i="6" a="1"/>
  <c r="O249" i="6" s="1"/>
  <c r="C402" i="108" s="1"/>
  <c r="I578" i="6"/>
  <c r="D402" i="108" s="1"/>
  <c r="A895" i="108"/>
  <c r="O330" i="6" a="1"/>
  <c r="O330" i="6" s="1"/>
  <c r="C895" i="108" s="1"/>
  <c r="I888" i="6"/>
  <c r="D895" i="108" s="1"/>
  <c r="O34" i="6" a="1"/>
  <c r="O34" i="6" s="1"/>
  <c r="C61" i="108" s="1"/>
  <c r="A61" i="108"/>
  <c r="I487" i="6"/>
  <c r="D61" i="108" s="1"/>
  <c r="O246" i="6" a="1"/>
  <c r="O246" i="6" s="1"/>
  <c r="C384" i="108" s="1"/>
  <c r="A384" i="108"/>
  <c r="I62" i="6"/>
  <c r="D384" i="108" s="1"/>
  <c r="I525" i="6"/>
  <c r="D657" i="108" s="1"/>
  <c r="O279" i="6" a="1"/>
  <c r="O279" i="6" s="1"/>
  <c r="C657" i="108" s="1"/>
  <c r="I657" i="108" s="1"/>
  <c r="A657" i="108"/>
  <c r="I734" i="6"/>
  <c r="D674" i="108" s="1"/>
  <c r="A674" i="108"/>
  <c r="O281" i="6" a="1"/>
  <c r="O281" i="6" s="1"/>
  <c r="C674" i="108" s="1"/>
  <c r="I313" i="6"/>
  <c r="D333" i="108" s="1"/>
  <c r="A333" i="108"/>
  <c r="O240" i="6" a="1"/>
  <c r="O240" i="6" s="1"/>
  <c r="C333" i="108" s="1"/>
  <c r="O243" i="6" a="1"/>
  <c r="O243" i="6" s="1"/>
  <c r="C351" i="108" s="1"/>
  <c r="I802" i="6"/>
  <c r="D351" i="108" s="1"/>
  <c r="A351" i="108"/>
  <c r="O331" i="6" a="1"/>
  <c r="O331" i="6" s="1"/>
  <c r="C900" i="108" s="1"/>
  <c r="I900" i="108" s="1"/>
  <c r="A900" i="108"/>
  <c r="I813" i="6"/>
  <c r="D900" i="108" s="1"/>
  <c r="L393" i="6"/>
  <c r="D374" i="6" s="1"/>
  <c r="I714" i="6"/>
  <c r="D373" i="108" s="1"/>
  <c r="A373" i="108"/>
  <c r="O113" i="6" a="1"/>
  <c r="O113" i="6" s="1"/>
  <c r="C373" i="108" s="1"/>
  <c r="A160" i="108"/>
  <c r="I355" i="6"/>
  <c r="D160" i="108" s="1"/>
  <c r="O63" i="6" a="1"/>
  <c r="O63" i="6" s="1"/>
  <c r="C160" i="108" s="1"/>
  <c r="I251" i="6"/>
  <c r="D296" i="108" s="1"/>
  <c r="A296" i="108"/>
  <c r="O96" i="6" a="1"/>
  <c r="O96" i="6" s="1"/>
  <c r="C296" i="108" s="1"/>
  <c r="O102" i="6" a="1"/>
  <c r="O102" i="6" s="1"/>
  <c r="C323" i="108" s="1"/>
  <c r="I323" i="108" s="1"/>
  <c r="A323" i="108"/>
  <c r="I110" i="6"/>
  <c r="D323" i="108" s="1"/>
  <c r="O350" i="6" a="1"/>
  <c r="O350" i="6" s="1"/>
  <c r="C952" i="108" s="1"/>
  <c r="I952" i="108" s="1"/>
  <c r="A952" i="108"/>
  <c r="I352" i="6"/>
  <c r="D952" i="108" s="1"/>
  <c r="A697" i="108"/>
  <c r="O190" i="6" a="1"/>
  <c r="O190" i="6" s="1"/>
  <c r="C697" i="108" s="1"/>
  <c r="I697" i="108" s="1"/>
  <c r="I674" i="6"/>
  <c r="D697" i="108" s="1"/>
  <c r="I966" i="6"/>
  <c r="D526" i="108" s="1"/>
  <c r="O149" i="6" a="1"/>
  <c r="O149" i="6" s="1"/>
  <c r="C526" i="108" s="1"/>
  <c r="A526" i="108"/>
  <c r="A662" i="108"/>
  <c r="O181" i="6" a="1"/>
  <c r="O181" i="6" s="1"/>
  <c r="C662" i="108" s="1"/>
  <c r="I662" i="108" s="1"/>
  <c r="I520" i="6"/>
  <c r="D662" i="108" s="1"/>
  <c r="A510" i="108"/>
  <c r="I155" i="6"/>
  <c r="D510" i="108" s="1"/>
  <c r="O146" i="6" a="1"/>
  <c r="O146" i="6" s="1"/>
  <c r="C510" i="108" s="1"/>
  <c r="I317" i="6"/>
  <c r="D650" i="108" s="1"/>
  <c r="O179" i="6" a="1"/>
  <c r="O179" i="6" s="1"/>
  <c r="C650" i="108" s="1"/>
  <c r="I650" i="108" s="1"/>
  <c r="A650" i="108"/>
  <c r="A721" i="108"/>
  <c r="O196" i="6" a="1"/>
  <c r="O196" i="6" s="1"/>
  <c r="C721" i="108" s="1"/>
  <c r="I269" i="6"/>
  <c r="D721" i="108" s="1"/>
  <c r="A680" i="108"/>
  <c r="O186" i="6" a="1"/>
  <c r="O186" i="6" s="1"/>
  <c r="C680" i="108" s="1"/>
  <c r="I709" i="6"/>
  <c r="D680" i="108" s="1"/>
  <c r="O103" i="6" a="1"/>
  <c r="O103" i="6" s="1"/>
  <c r="C327" i="108" s="1"/>
  <c r="I327" i="108" s="1"/>
  <c r="A327" i="108"/>
  <c r="I596" i="6"/>
  <c r="D327" i="108" s="1"/>
  <c r="O127" i="6" a="1"/>
  <c r="O127" i="6" s="1"/>
  <c r="C429" i="108" s="1"/>
  <c r="I429" i="108" s="1"/>
  <c r="A429" i="108"/>
  <c r="I989" i="6"/>
  <c r="D429" i="108" s="1"/>
  <c r="O369" i="6" a="1"/>
  <c r="O369" i="6" s="1"/>
  <c r="C1007" i="108" s="1"/>
  <c r="A1007" i="108"/>
  <c r="I346" i="6"/>
  <c r="D1007" i="108" s="1"/>
  <c r="O171" i="6" a="1"/>
  <c r="O171" i="6" s="1"/>
  <c r="C616" i="108" s="1"/>
  <c r="I463" i="6"/>
  <c r="D616" i="108" s="1"/>
  <c r="A616" i="108"/>
  <c r="O90" i="6" a="1"/>
  <c r="O90" i="6" s="1"/>
  <c r="C272" i="108" s="1"/>
  <c r="A272" i="108"/>
  <c r="I93" i="6"/>
  <c r="D272" i="108" s="1"/>
  <c r="O143" i="6" a="1"/>
  <c r="O143" i="6" s="1"/>
  <c r="C497" i="108" s="1"/>
  <c r="A497" i="108"/>
  <c r="I961" i="6"/>
  <c r="D497" i="108" s="1"/>
  <c r="I646" i="6"/>
  <c r="D361" i="108" s="1"/>
  <c r="O111" i="6" a="1"/>
  <c r="O111" i="6" s="1"/>
  <c r="C361" i="108" s="1"/>
  <c r="I361" i="108" s="1"/>
  <c r="A361" i="108"/>
  <c r="O345" i="6" a="1"/>
  <c r="O345" i="6" s="1"/>
  <c r="C939" i="108" s="1"/>
  <c r="I939" i="108" s="1"/>
  <c r="A939" i="108"/>
  <c r="I24" i="6"/>
  <c r="D939" i="108" s="1"/>
  <c r="O182" i="6" a="1"/>
  <c r="O182" i="6" s="1"/>
  <c r="C663" i="108" s="1"/>
  <c r="I663" i="108" s="1"/>
  <c r="A663" i="108"/>
  <c r="I987" i="6"/>
  <c r="D663" i="108" s="1"/>
  <c r="I901" i="6"/>
  <c r="D594" i="108" s="1"/>
  <c r="O165" i="6" a="1"/>
  <c r="O165" i="6" s="1"/>
  <c r="C594" i="108" s="1"/>
  <c r="A594" i="108"/>
  <c r="L104" i="6"/>
  <c r="D107" i="6" s="1"/>
  <c r="O44" i="6" a="1"/>
  <c r="O44" i="6" s="1"/>
  <c r="C106" i="108" s="1"/>
  <c r="I106" i="108" s="1"/>
  <c r="I1001" i="6"/>
  <c r="D106" i="108" s="1"/>
  <c r="A106" i="108"/>
  <c r="O339" i="6" a="1"/>
  <c r="O339" i="6" s="1"/>
  <c r="C922" i="108" s="1"/>
  <c r="I922" i="108" s="1"/>
  <c r="I810" i="6"/>
  <c r="D922" i="108" s="1"/>
  <c r="A922" i="108"/>
  <c r="A833" i="108"/>
  <c r="I597" i="6"/>
  <c r="D833" i="108" s="1"/>
  <c r="O307" i="6" a="1"/>
  <c r="O307" i="6" s="1"/>
  <c r="C833" i="108" s="1"/>
  <c r="I833" i="108" s="1"/>
  <c r="A544" i="108"/>
  <c r="O154" i="6" a="1"/>
  <c r="O154" i="6" s="1"/>
  <c r="C544" i="108" s="1"/>
  <c r="I627" i="6"/>
  <c r="D544" i="108" s="1"/>
  <c r="O166" i="6" a="1"/>
  <c r="O166" i="6" s="1"/>
  <c r="C595" i="108" s="1"/>
  <c r="I595" i="108" s="1"/>
  <c r="A595" i="108"/>
  <c r="I370" i="6"/>
  <c r="D595" i="108" s="1"/>
  <c r="I785" i="6"/>
  <c r="D449" i="108" s="1"/>
  <c r="O132" i="6" a="1"/>
  <c r="O132" i="6" s="1"/>
  <c r="C449" i="108" s="1"/>
  <c r="A449" i="108"/>
  <c r="I699" i="6"/>
  <c r="D652" i="108" s="1"/>
  <c r="O818" i="6" a="1"/>
  <c r="O818" i="6" s="1"/>
  <c r="C652" i="108" s="1"/>
  <c r="I652" i="108" s="1"/>
  <c r="A652" i="108"/>
  <c r="I614" i="6"/>
  <c r="D312" i="108" s="1"/>
  <c r="O706" i="6" a="1"/>
  <c r="O706" i="6" s="1"/>
  <c r="C312" i="108" s="1"/>
  <c r="I312" i="108" s="1"/>
  <c r="A312" i="108"/>
  <c r="A131" i="108"/>
  <c r="O551" i="6" a="1"/>
  <c r="O551" i="6" s="1"/>
  <c r="C131" i="108" s="1"/>
  <c r="I131" i="108" s="1"/>
  <c r="I201" i="6"/>
  <c r="D131" i="108" s="1"/>
  <c r="O1019" i="6" a="1"/>
  <c r="O1019" i="6" s="1"/>
  <c r="C1015" i="108" s="1"/>
  <c r="I1015" i="108" s="1"/>
  <c r="A1015" i="108"/>
  <c r="I140" i="6"/>
  <c r="D1015" i="108" s="1"/>
  <c r="A777" i="108"/>
  <c r="O876" i="6" a="1"/>
  <c r="O876" i="6" s="1"/>
  <c r="C777" i="108" s="1"/>
  <c r="I349" i="6"/>
  <c r="D777" i="108" s="1"/>
  <c r="A124" i="108"/>
  <c r="O548" i="6" a="1"/>
  <c r="O548" i="6" s="1"/>
  <c r="C124" i="108" s="1"/>
  <c r="I146" i="6"/>
  <c r="D124" i="108" s="1"/>
  <c r="O757" i="6" a="1"/>
  <c r="O757" i="6" s="1"/>
  <c r="C498" i="108" s="1"/>
  <c r="I498" i="108" s="1"/>
  <c r="A498" i="108"/>
  <c r="I339" i="6"/>
  <c r="D498" i="108" s="1"/>
  <c r="A692" i="108"/>
  <c r="O836" i="6" a="1"/>
  <c r="O836" i="6" s="1"/>
  <c r="C692" i="108" s="1"/>
  <c r="I692" i="108" s="1"/>
  <c r="I72" i="6"/>
  <c r="D692" i="108" s="1"/>
  <c r="A753" i="108"/>
  <c r="O865" i="6" a="1"/>
  <c r="O865" i="6" s="1"/>
  <c r="C753" i="108" s="1"/>
  <c r="I753" i="108" s="1"/>
  <c r="I129" i="6"/>
  <c r="D753" i="108" s="1"/>
  <c r="O850" i="6" a="1"/>
  <c r="O850" i="6" s="1"/>
  <c r="C720" i="108" s="1"/>
  <c r="A720" i="108"/>
  <c r="I274" i="6"/>
  <c r="D720" i="108" s="1"/>
  <c r="A311" i="108"/>
  <c r="O705" i="6" a="1"/>
  <c r="O705" i="6" s="1"/>
  <c r="C311" i="108" s="1"/>
  <c r="I311" i="108" s="1"/>
  <c r="I393" i="6"/>
  <c r="D311" i="108" s="1"/>
  <c r="O873" i="6" a="1"/>
  <c r="O873" i="6" s="1"/>
  <c r="C770" i="108" s="1"/>
  <c r="I770" i="108" s="1"/>
  <c r="A770" i="108"/>
  <c r="I510" i="6"/>
  <c r="D770" i="108" s="1"/>
  <c r="O745" i="6" a="1"/>
  <c r="O745" i="6" s="1"/>
  <c r="C454" i="108" s="1"/>
  <c r="I454" i="108" s="1"/>
  <c r="A454" i="108"/>
  <c r="I1002" i="6"/>
  <c r="D454" i="108" s="1"/>
  <c r="O812" i="6" a="1"/>
  <c r="O812" i="6" s="1"/>
  <c r="C641" i="108" s="1"/>
  <c r="I641" i="108" s="1"/>
  <c r="A641" i="108"/>
  <c r="I46" i="6"/>
  <c r="D641" i="108" s="1"/>
  <c r="A821" i="108"/>
  <c r="O897" i="6" a="1"/>
  <c r="O897" i="6" s="1"/>
  <c r="C821" i="108" s="1"/>
  <c r="I745" i="6"/>
  <c r="D821" i="108" s="1"/>
  <c r="O881" i="6" a="1"/>
  <c r="O881" i="6" s="1"/>
  <c r="C787" i="108" s="1"/>
  <c r="A787" i="108"/>
  <c r="I738" i="6"/>
  <c r="D787" i="108" s="1"/>
  <c r="O573" i="6" a="1"/>
  <c r="O573" i="6" s="1"/>
  <c r="C175" i="108" s="1"/>
  <c r="I670" i="6"/>
  <c r="D175" i="108" s="1"/>
  <c r="A175" i="108"/>
  <c r="O1010" i="6" a="1"/>
  <c r="O1010" i="6" s="1"/>
  <c r="C992" i="108" s="1"/>
  <c r="I992" i="108" s="1"/>
  <c r="I203" i="6"/>
  <c r="D992" i="108" s="1"/>
  <c r="A992" i="108"/>
  <c r="A607" i="108"/>
  <c r="I119" i="6"/>
  <c r="D607" i="108" s="1"/>
  <c r="O796" i="6" a="1"/>
  <c r="O796" i="6" s="1"/>
  <c r="C607" i="108" s="1"/>
  <c r="O1006" i="6" a="1"/>
  <c r="O1006" i="6" s="1"/>
  <c r="C981" i="108" s="1"/>
  <c r="I981" i="108" s="1"/>
  <c r="A981" i="108"/>
  <c r="I1021" i="6"/>
  <c r="D981" i="108" s="1"/>
  <c r="L103" i="6"/>
  <c r="D108" i="6" s="1"/>
  <c r="O539" i="6" a="1"/>
  <c r="O539" i="6" s="1"/>
  <c r="C107" i="108" s="1"/>
  <c r="A107" i="108"/>
  <c r="I631" i="6"/>
  <c r="D107" i="108" s="1"/>
  <c r="L308" i="6"/>
  <c r="D305" i="6" s="1"/>
  <c r="K411" i="6"/>
  <c r="L307" i="6"/>
  <c r="D294" i="6" s="1"/>
  <c r="K410" i="6"/>
  <c r="L404" i="6"/>
  <c r="D401" i="6" s="1"/>
  <c r="K507" i="6"/>
  <c r="L98" i="6"/>
  <c r="D97" i="6" s="1"/>
  <c r="A96" i="108"/>
  <c r="O466" i="6" a="1"/>
  <c r="O466" i="6" s="1"/>
  <c r="C96" i="108" s="1"/>
  <c r="I389" i="6"/>
  <c r="D96" i="108" s="1"/>
  <c r="L637" i="6"/>
  <c r="D622" i="6" s="1"/>
  <c r="O848" i="6" a="1"/>
  <c r="O848" i="6" s="1"/>
  <c r="C717" i="108" s="1"/>
  <c r="A717" i="108"/>
  <c r="I751" i="6"/>
  <c r="D717" i="108" s="1"/>
  <c r="L121" i="6"/>
  <c r="D123" i="6" s="1"/>
  <c r="A122" i="108"/>
  <c r="I840" i="6"/>
  <c r="D122" i="108" s="1"/>
  <c r="O547" i="6" a="1"/>
  <c r="O547" i="6" s="1"/>
  <c r="C122" i="108" s="1"/>
  <c r="A428" i="108"/>
  <c r="O737" i="6" a="1"/>
  <c r="O737" i="6" s="1"/>
  <c r="C428" i="108" s="1"/>
  <c r="I428" i="108" s="1"/>
  <c r="I834" i="6"/>
  <c r="D428" i="108" s="1"/>
  <c r="I950" i="6"/>
  <c r="D70" i="108" s="1"/>
  <c r="O525" i="6" a="1"/>
  <c r="O525" i="6" s="1"/>
  <c r="C70" i="108" s="1"/>
  <c r="A70" i="108"/>
  <c r="O916" i="6" a="1"/>
  <c r="O916" i="6" s="1"/>
  <c r="C870" i="108" s="1"/>
  <c r="A870" i="108"/>
  <c r="I800" i="6"/>
  <c r="D870" i="108" s="1"/>
  <c r="O856" i="6" a="1"/>
  <c r="O856" i="6" s="1"/>
  <c r="C734" i="108" s="1"/>
  <c r="A734" i="108"/>
  <c r="I248" i="6"/>
  <c r="D734" i="108" s="1"/>
  <c r="A598" i="108"/>
  <c r="I102" i="6"/>
  <c r="D598" i="108" s="1"/>
  <c r="O792" i="6" a="1"/>
  <c r="O792" i="6" s="1"/>
  <c r="C598" i="108" s="1"/>
  <c r="L66" i="6"/>
  <c r="D67" i="6" s="1"/>
  <c r="K169" i="6"/>
  <c r="L188" i="6"/>
  <c r="D190" i="6" s="1"/>
  <c r="K291" i="6"/>
  <c r="I701" i="6"/>
  <c r="D168" i="108" s="1"/>
  <c r="A168" i="108"/>
  <c r="O571" i="6" a="1"/>
  <c r="O571" i="6" s="1"/>
  <c r="C168" i="108" s="1"/>
  <c r="I168" i="108" s="1"/>
  <c r="I354" i="6"/>
  <c r="D85" i="108" s="1"/>
  <c r="O531" i="6" a="1"/>
  <c r="O531" i="6" s="1"/>
  <c r="C85" i="108" s="1"/>
  <c r="I85" i="108" s="1"/>
  <c r="A85" i="108"/>
  <c r="A933" i="108"/>
  <c r="O992" i="6" a="1"/>
  <c r="O992" i="6" s="1"/>
  <c r="C933" i="108" s="1"/>
  <c r="I933" i="108" s="1"/>
  <c r="I207" i="6"/>
  <c r="D933" i="108" s="1"/>
  <c r="O966" i="6" a="1"/>
  <c r="O966" i="6" s="1"/>
  <c r="C797" i="108" s="1"/>
  <c r="A797" i="108"/>
  <c r="I96" i="6"/>
  <c r="D797" i="108" s="1"/>
  <c r="A661" i="108"/>
  <c r="O958" i="6" a="1"/>
  <c r="O958" i="6" s="1"/>
  <c r="C661" i="108" s="1"/>
  <c r="I829" i="6"/>
  <c r="D661" i="108" s="1"/>
  <c r="O950" i="6" a="1"/>
  <c r="O950" i="6" s="1"/>
  <c r="C525" i="108" s="1"/>
  <c r="I124" i="6"/>
  <c r="D525" i="108" s="1"/>
  <c r="A525" i="108"/>
  <c r="I194" i="6"/>
  <c r="D253" i="108" s="1"/>
  <c r="A253" i="108"/>
  <c r="O604" i="6" a="1"/>
  <c r="O604" i="6" s="1"/>
  <c r="C253" i="108" s="1"/>
  <c r="I253" i="108" s="1"/>
  <c r="A46" i="108"/>
  <c r="O512" i="6" a="1"/>
  <c r="O512" i="6" s="1"/>
  <c r="C46" i="108" s="1"/>
  <c r="I46" i="108" s="1"/>
  <c r="I172" i="6"/>
  <c r="D46" i="108" s="1"/>
  <c r="L422" i="6"/>
  <c r="D411" i="6" s="1"/>
  <c r="K525" i="6"/>
  <c r="A308" i="108"/>
  <c r="O415" i="6" a="1"/>
  <c r="O415" i="6" s="1"/>
  <c r="C308" i="108" s="1"/>
  <c r="I965" i="6"/>
  <c r="D308" i="108" s="1"/>
  <c r="O423" i="6" a="1"/>
  <c r="O423" i="6" s="1"/>
  <c r="C376" i="108" s="1"/>
  <c r="A376" i="108"/>
  <c r="I189" i="6"/>
  <c r="D376" i="108" s="1"/>
  <c r="A240" i="108"/>
  <c r="I345" i="6"/>
  <c r="D240" i="108" s="1"/>
  <c r="O409" i="6" a="1"/>
  <c r="O409" i="6" s="1"/>
  <c r="C240" i="108" s="1"/>
  <c r="I240" i="108" s="1"/>
  <c r="I247" i="6"/>
  <c r="D342" i="108" s="1"/>
  <c r="A342" i="108"/>
  <c r="O419" i="6" a="1"/>
  <c r="O419" i="6" s="1"/>
  <c r="C342" i="108" s="1"/>
  <c r="I890" i="6"/>
  <c r="D614" i="108" s="1"/>
  <c r="A614" i="108"/>
  <c r="O446" i="6" a="1"/>
  <c r="O446" i="6" s="1"/>
  <c r="C614" i="108" s="1"/>
  <c r="O504" i="6" a="1"/>
  <c r="O504" i="6" s="1"/>
  <c r="C1022" i="108" s="1"/>
  <c r="A1022" i="108"/>
  <c r="I609" i="6"/>
  <c r="D1022" i="108" s="1"/>
  <c r="I590" i="6"/>
  <c r="D954" i="108" s="1"/>
  <c r="O496" i="6" a="1"/>
  <c r="O496" i="6" s="1"/>
  <c r="C954" i="108" s="1"/>
  <c r="A954" i="108"/>
  <c r="L189" i="6"/>
  <c r="D193" i="6" s="1"/>
  <c r="K292" i="6"/>
  <c r="CO7" i="81"/>
  <c r="K43" i="6" s="1"/>
  <c r="L70" i="6"/>
  <c r="D66" i="6" s="1"/>
  <c r="K173" i="6"/>
  <c r="B133" i="6" a="1"/>
  <c r="B133" i="6" s="1"/>
  <c r="B264" i="6" a="1"/>
  <c r="B264" i="6" s="1"/>
  <c r="B405" i="6" a="1"/>
  <c r="B405" i="6" s="1"/>
  <c r="B525" i="6" a="1"/>
  <c r="B525" i="6" s="1"/>
  <c r="B661" i="6" a="1"/>
  <c r="B661" i="6" s="1"/>
  <c r="B818" i="6" a="1"/>
  <c r="B818" i="6" s="1"/>
  <c r="B949" i="6" a="1"/>
  <c r="B949" i="6" s="1"/>
  <c r="B111" i="6" a="1"/>
  <c r="B111" i="6" s="1"/>
  <c r="B247" i="6" a="1"/>
  <c r="B247" i="6" s="1"/>
  <c r="B410" i="6" a="1"/>
  <c r="B410" i="6" s="1"/>
  <c r="B541" i="6" a="1"/>
  <c r="B541" i="6" s="1"/>
  <c r="B672" i="6" a="1"/>
  <c r="B672" i="6" s="1"/>
  <c r="B797" i="6" a="1"/>
  <c r="B797" i="6" s="1"/>
  <c r="B145" i="6" a="1"/>
  <c r="B145" i="6" s="1"/>
  <c r="B286" i="6" a="1"/>
  <c r="B286" i="6" s="1"/>
  <c r="B417" i="6" a="1"/>
  <c r="B417" i="6" s="1"/>
  <c r="L435" i="6" s="1"/>
  <c r="B185" i="6" a="1"/>
  <c r="B185" i="6" s="1"/>
  <c r="B325" i="6" a="1"/>
  <c r="B325" i="6" s="1"/>
  <c r="B440" i="6" a="1"/>
  <c r="B440" i="6" s="1"/>
  <c r="B592" i="6" a="1"/>
  <c r="B592" i="6" s="1"/>
  <c r="B723" i="6" a="1"/>
  <c r="B723" i="6" s="1"/>
  <c r="B869" i="6" a="1"/>
  <c r="B869" i="6" s="1"/>
  <c r="B1005" i="6" a="1"/>
  <c r="B1005" i="6" s="1"/>
  <c r="B162" i="6" a="1"/>
  <c r="B162" i="6" s="1"/>
  <c r="B320" i="6" a="1"/>
  <c r="B320" i="6" s="1"/>
  <c r="B451" i="6" a="1"/>
  <c r="B451" i="6" s="1"/>
  <c r="B597" i="6" a="1"/>
  <c r="B597" i="6" s="1"/>
  <c r="B236" i="6" a="1"/>
  <c r="B236" i="6" s="1"/>
  <c r="B468" i="6" a="1"/>
  <c r="B468" i="6" s="1"/>
  <c r="B648" i="6" a="1"/>
  <c r="B648" i="6" s="1"/>
  <c r="B814" i="6" a="1"/>
  <c r="B814" i="6" s="1"/>
  <c r="B1017" i="6" a="1"/>
  <c r="B1017" i="6" s="1"/>
  <c r="B223" i="6" a="1"/>
  <c r="B223" i="6" s="1"/>
  <c r="B422" i="6" a="1"/>
  <c r="B422" i="6" s="1"/>
  <c r="B593" i="6" a="1"/>
  <c r="B593" i="6" s="1"/>
  <c r="B910" i="6" a="1"/>
  <c r="B910" i="6" s="1"/>
  <c r="B51" i="6" a="1"/>
  <c r="B51" i="6" s="1"/>
  <c r="B376" i="6" a="1"/>
  <c r="B376" i="6" s="1"/>
  <c r="B638" i="6" a="1"/>
  <c r="B638" i="6" s="1"/>
  <c r="B202" i="6" a="1"/>
  <c r="B202" i="6" s="1"/>
  <c r="B121" i="6" a="1"/>
  <c r="B121" i="6" s="1"/>
  <c r="B269" i="6" a="1"/>
  <c r="B269" i="6" s="1"/>
  <c r="B495" i="6" a="1"/>
  <c r="B495" i="6" s="1"/>
  <c r="B660" i="6" a="1"/>
  <c r="B660" i="6" s="1"/>
  <c r="B847" i="6" a="1"/>
  <c r="B847" i="6" s="1"/>
  <c r="B36" i="6" a="1"/>
  <c r="B36" i="6" s="1"/>
  <c r="B230" i="6" a="1"/>
  <c r="B230" i="6" s="1"/>
  <c r="B439" i="6" a="1"/>
  <c r="B439" i="6" s="1"/>
  <c r="B631" i="6" a="1"/>
  <c r="B631" i="6" s="1"/>
  <c r="B774" i="6" a="1"/>
  <c r="B774" i="6" s="1"/>
  <c r="B932" i="6" a="1"/>
  <c r="B932" i="6" s="1"/>
  <c r="B138" i="6" a="1"/>
  <c r="B138" i="6" s="1"/>
  <c r="B389" i="6" a="1"/>
  <c r="B389" i="6" s="1"/>
  <c r="B677" i="6" a="1"/>
  <c r="B677" i="6" s="1"/>
  <c r="B954" i="6" a="1"/>
  <c r="B954" i="6" s="1"/>
  <c r="B257" i="6" a="1"/>
  <c r="B257" i="6" s="1"/>
  <c r="B519" i="6" a="1"/>
  <c r="B519" i="6" s="1"/>
  <c r="L528" i="6" s="1"/>
  <c r="D519" i="6" s="1"/>
  <c r="B780" i="6" a="1"/>
  <c r="B780" i="6" s="1"/>
  <c r="B68" i="6" a="1"/>
  <c r="B68" i="6" s="1"/>
  <c r="B338" i="6" a="1"/>
  <c r="B338" i="6" s="1"/>
  <c r="B610" i="6" a="1"/>
  <c r="B610" i="6" s="1"/>
  <c r="B903" i="6" a="1"/>
  <c r="B903" i="6" s="1"/>
  <c r="B196" i="6" a="1"/>
  <c r="B196" i="6" s="1"/>
  <c r="B457" i="6" a="1"/>
  <c r="B457" i="6" s="1"/>
  <c r="B729" i="6" a="1"/>
  <c r="B729" i="6" s="1"/>
  <c r="B1001" i="6" a="1"/>
  <c r="B1001" i="6" s="1"/>
  <c r="B117" i="6" a="1"/>
  <c r="B117" i="6" s="1"/>
  <c r="B308" i="6" a="1"/>
  <c r="B308" i="6" s="1"/>
  <c r="B507" i="6" a="1"/>
  <c r="B507" i="6" s="1"/>
  <c r="B694" i="6" a="1"/>
  <c r="B694" i="6" s="1"/>
  <c r="B865" i="6" a="1"/>
  <c r="B865" i="6" s="1"/>
  <c r="B102" i="6" a="1"/>
  <c r="B102" i="6" s="1"/>
  <c r="B270" i="6" a="1"/>
  <c r="B270" i="6" s="1"/>
  <c r="B473" i="6" a="1"/>
  <c r="B473" i="6" s="1"/>
  <c r="B643" i="6" a="1"/>
  <c r="B643" i="6" s="1"/>
  <c r="B796" i="6" a="1"/>
  <c r="B796" i="6" s="1"/>
  <c r="B944" i="6" a="1"/>
  <c r="B944" i="6" s="1"/>
  <c r="B167" i="6" a="1"/>
  <c r="B167" i="6" s="1"/>
  <c r="B423" i="6" a="1"/>
  <c r="B423" i="6" s="1"/>
  <c r="B716" i="6" a="1"/>
  <c r="B716" i="6" s="1"/>
  <c r="B967" i="6" a="1"/>
  <c r="B967" i="6" s="1"/>
  <c r="B281" i="6" a="1"/>
  <c r="B281" i="6" s="1"/>
  <c r="B553" i="6" a="1"/>
  <c r="B553" i="6" s="1"/>
  <c r="B835" i="6" a="1"/>
  <c r="B835" i="6" s="1"/>
  <c r="B63" i="6" a="1"/>
  <c r="B63" i="6" s="1"/>
  <c r="B372" i="6" a="1"/>
  <c r="B372" i="6" s="1"/>
  <c r="B655" i="6" a="1"/>
  <c r="B655" i="6" s="1"/>
  <c r="B916" i="6" a="1"/>
  <c r="B916" i="6" s="1"/>
  <c r="B240" i="6" a="1"/>
  <c r="B240" i="6" s="1"/>
  <c r="B502" i="6" a="1"/>
  <c r="B502" i="6" s="1"/>
  <c r="B763" i="6" a="1"/>
  <c r="B763" i="6" s="1"/>
  <c r="B99" i="6" a="1"/>
  <c r="B99" i="6" s="1"/>
  <c r="B342" i="6" a="1"/>
  <c r="B342" i="6" s="1"/>
  <c r="B508" i="6" a="1"/>
  <c r="B508" i="6" s="1"/>
  <c r="B695" i="6" a="1"/>
  <c r="B695" i="6" s="1"/>
  <c r="B898" i="6" a="1"/>
  <c r="B898" i="6" s="1"/>
  <c r="B93" i="6" a="1"/>
  <c r="B93" i="6" s="1"/>
  <c r="B287" i="6" a="1"/>
  <c r="B287" i="6" s="1"/>
  <c r="B474" i="6" a="1"/>
  <c r="B474" i="6" s="1"/>
  <c r="B665" i="6" a="1"/>
  <c r="B665" i="6" s="1"/>
  <c r="B830" i="6" a="1"/>
  <c r="B830" i="6" s="1"/>
  <c r="B950" i="6" a="1"/>
  <c r="B950" i="6" s="1"/>
  <c r="B201" i="6" a="1"/>
  <c r="B201" i="6" s="1"/>
  <c r="B478" i="6" a="1"/>
  <c r="B478" i="6" s="1"/>
  <c r="B750" i="6" a="1"/>
  <c r="B750" i="6" s="1"/>
  <c r="B1012" i="6" a="1"/>
  <c r="B1012" i="6" s="1"/>
  <c r="B315" i="6" a="1"/>
  <c r="B315" i="6" s="1"/>
  <c r="B576" i="6" a="1"/>
  <c r="B576" i="6" s="1"/>
  <c r="B864" i="6" a="1"/>
  <c r="B864" i="6" s="1"/>
  <c r="B150" i="6" a="1"/>
  <c r="B150" i="6" s="1"/>
  <c r="B427" i="6" a="1"/>
  <c r="B427" i="6" s="1"/>
  <c r="B699" i="6" a="1"/>
  <c r="B699" i="6" s="1"/>
  <c r="B961" i="6" a="1"/>
  <c r="B961" i="6" s="1"/>
  <c r="B274" i="6" a="1"/>
  <c r="B274" i="6" s="1"/>
  <c r="B536" i="6" a="1"/>
  <c r="B536" i="6" s="1"/>
  <c r="B808" i="6" a="1"/>
  <c r="B808" i="6" s="1"/>
  <c r="B95" i="6" a="1"/>
  <c r="B95" i="6" s="1"/>
  <c r="B359" i="6" a="1"/>
  <c r="B359" i="6" s="1"/>
  <c r="B542" i="6" a="1"/>
  <c r="B542" i="6" s="1"/>
  <c r="B740" i="6" a="1"/>
  <c r="B740" i="6" s="1"/>
  <c r="B899" i="6" a="1"/>
  <c r="B899" i="6" s="1"/>
  <c r="B134" i="6" a="1"/>
  <c r="B134" i="6" s="1"/>
  <c r="B337" i="6" a="1"/>
  <c r="B337" i="6" s="1"/>
  <c r="B491" i="6" a="1"/>
  <c r="B491" i="6" s="1"/>
  <c r="B689" i="6" a="1"/>
  <c r="B689" i="6" s="1"/>
  <c r="B842" i="6" a="1"/>
  <c r="B842" i="6" s="1"/>
  <c r="B978" i="6" a="1"/>
  <c r="B978" i="6" s="1"/>
  <c r="B235" i="6" a="1"/>
  <c r="B235" i="6" s="1"/>
  <c r="B512" i="6" a="1"/>
  <c r="B512" i="6" s="1"/>
  <c r="B784" i="6" a="1"/>
  <c r="B784" i="6" s="1"/>
  <c r="K83" i="6"/>
  <c r="B349" i="6" a="1"/>
  <c r="B349" i="6" s="1"/>
  <c r="B621" i="6" a="1"/>
  <c r="B621" i="6" s="1"/>
  <c r="B882" i="6" a="1"/>
  <c r="B882" i="6" s="1"/>
  <c r="B189" i="6" a="1"/>
  <c r="B189" i="6" s="1"/>
  <c r="B168" i="6" a="1"/>
  <c r="B168" i="6" s="1"/>
  <c r="B371" i="6" a="1"/>
  <c r="B371" i="6" s="1"/>
  <c r="B580" i="6" a="1"/>
  <c r="B580" i="6" s="1"/>
  <c r="B757" i="6" a="1"/>
  <c r="B757" i="6" s="1"/>
  <c r="B937" i="6" a="1"/>
  <c r="B937" i="6" s="1"/>
  <c r="B151" i="6" a="1"/>
  <c r="B151" i="6" s="1"/>
  <c r="B354" i="6" a="1"/>
  <c r="B354" i="6" s="1"/>
  <c r="B529" i="6" a="1"/>
  <c r="B529" i="6" s="1"/>
  <c r="B711" i="6" a="1"/>
  <c r="B711" i="6" s="1"/>
  <c r="B859" i="6" a="1"/>
  <c r="B859" i="6" s="1"/>
  <c r="B1000" i="6" a="1"/>
  <c r="B1000" i="6" s="1"/>
  <c r="B253" i="6" a="1"/>
  <c r="B253" i="6" s="1"/>
  <c r="B546" i="6" a="1"/>
  <c r="B546" i="6" s="1"/>
  <c r="B813" i="6" a="1"/>
  <c r="B813" i="6" s="1"/>
  <c r="B31" i="6" a="1"/>
  <c r="B31" i="6" s="1"/>
  <c r="B388" i="6" a="1"/>
  <c r="B388" i="6" s="1"/>
  <c r="B644" i="6" a="1"/>
  <c r="B644" i="6" s="1"/>
  <c r="B927" i="6" a="1"/>
  <c r="B927" i="6" s="1"/>
  <c r="B213" i="6" a="1"/>
  <c r="B213" i="6" s="1"/>
  <c r="B490" i="6" a="1"/>
  <c r="B490" i="6" s="1"/>
  <c r="B767" i="6" a="1"/>
  <c r="B767" i="6" s="1"/>
  <c r="B116" i="6" a="1"/>
  <c r="B116" i="6" s="1"/>
  <c r="B321" i="6" a="1"/>
  <c r="B321" i="6" s="1"/>
  <c r="B614" i="6" a="1"/>
  <c r="B614" i="6" s="1"/>
  <c r="B876" i="6" a="1"/>
  <c r="B876" i="6" s="1"/>
  <c r="B219" i="6" a="1"/>
  <c r="B219" i="6" s="1"/>
  <c r="B434" i="6" a="1"/>
  <c r="B434" i="6" s="1"/>
  <c r="B626" i="6" a="1"/>
  <c r="B626" i="6" s="1"/>
  <c r="B801" i="6" a="1"/>
  <c r="B801" i="6" s="1"/>
  <c r="B988" i="6" a="1"/>
  <c r="B988" i="6" s="1"/>
  <c r="B206" i="6" a="1"/>
  <c r="B206" i="6" s="1"/>
  <c r="B383" i="6" a="1"/>
  <c r="B383" i="6" s="1"/>
  <c r="B575" i="6" a="1"/>
  <c r="B575" i="6" s="1"/>
  <c r="B745" i="6" a="1"/>
  <c r="B745" i="6" s="1"/>
  <c r="B893" i="6" a="1"/>
  <c r="B893" i="6" s="1"/>
  <c r="B1018" i="6" a="1"/>
  <c r="B1018" i="6" s="1"/>
  <c r="B332" i="6" a="1"/>
  <c r="B332" i="6" s="1"/>
  <c r="B604" i="6" a="1"/>
  <c r="B604" i="6" s="1"/>
  <c r="B886" i="6" a="1"/>
  <c r="B886" i="6" s="1"/>
  <c r="B179" i="6" a="1"/>
  <c r="B179" i="6" s="1"/>
  <c r="B461" i="6" a="1"/>
  <c r="B461" i="6" s="1"/>
  <c r="B733" i="6" a="1"/>
  <c r="B733" i="6" s="1"/>
  <c r="B984" i="6" a="1"/>
  <c r="B984" i="6" s="1"/>
  <c r="B291" i="6" a="1"/>
  <c r="B291" i="6" s="1"/>
  <c r="B558" i="6" a="1"/>
  <c r="B558" i="6" s="1"/>
  <c r="B825" i="6" a="1"/>
  <c r="B825" i="6" s="1"/>
  <c r="B128" i="6" a="1"/>
  <c r="B128" i="6" s="1"/>
  <c r="B400" i="6" a="1"/>
  <c r="B400" i="6" s="1"/>
  <c r="B682" i="6" a="1"/>
  <c r="B682" i="6" s="1"/>
  <c r="B933" i="6" a="1"/>
  <c r="B933" i="6" s="1"/>
  <c r="B762" i="6" a="1"/>
  <c r="B762" i="6" s="1"/>
  <c r="B920" i="6" a="1"/>
  <c r="B920" i="6" s="1"/>
  <c r="B485" i="6" a="1"/>
  <c r="B485" i="6" s="1"/>
  <c r="B971" i="6" a="1"/>
  <c r="B971" i="6" s="1"/>
  <c r="B559" i="6" a="1"/>
  <c r="B559" i="6" s="1"/>
  <c r="B252" i="6" a="1"/>
  <c r="B252" i="6" s="1"/>
  <c r="B995" i="6" a="1"/>
  <c r="B995" i="6" s="1"/>
  <c r="B706" i="6" a="1"/>
  <c r="B706" i="6" s="1"/>
  <c r="B184" i="6" a="1"/>
  <c r="B184" i="6" s="1"/>
  <c r="B831" i="6" a="1"/>
  <c r="B831" i="6" s="1"/>
  <c r="B304" i="6" a="1"/>
  <c r="B304" i="6" s="1"/>
  <c r="B27" i="6" a="1"/>
  <c r="B27" i="6" s="1"/>
  <c r="B852" i="6" a="1"/>
  <c r="B852" i="6" s="1"/>
  <c r="B155" i="6" a="1"/>
  <c r="B155" i="6" s="1"/>
  <c r="B456" i="6" a="1"/>
  <c r="B456" i="6" s="1"/>
  <c r="B172" i="6" a="1"/>
  <c r="B172" i="6" s="1"/>
  <c r="B915" i="6" a="1"/>
  <c r="B915" i="6" s="1"/>
  <c r="B570" i="6" a="1"/>
  <c r="B570" i="6" s="1"/>
  <c r="B355" i="6" a="1"/>
  <c r="B355" i="6" s="1"/>
  <c r="B791" i="6" a="1"/>
  <c r="B791" i="6" s="1"/>
  <c r="B563" i="6" a="1"/>
  <c r="B563" i="6" s="1"/>
  <c r="B406" i="6" a="1"/>
  <c r="B406" i="6" s="1"/>
  <c r="B524" i="6" a="1"/>
  <c r="B524" i="6" s="1"/>
  <c r="B303" i="6" a="1"/>
  <c r="B303" i="6" s="1"/>
  <c r="B983" i="6" a="1"/>
  <c r="B983" i="6" s="1"/>
  <c r="B609" i="6" a="1"/>
  <c r="B609" i="6" s="1"/>
  <c r="B218" i="6" a="1"/>
  <c r="B218" i="6" s="1"/>
  <c r="B712" i="6" a="1"/>
  <c r="B712" i="6" s="1"/>
  <c r="B678" i="6" a="1"/>
  <c r="B678" i="6" s="1"/>
  <c r="B587" i="6" a="1"/>
  <c r="B587" i="6" s="1"/>
  <c r="B366" i="6" a="1"/>
  <c r="B366" i="6" s="1"/>
  <c r="B1022" i="6" a="1"/>
  <c r="B1022" i="6" s="1"/>
  <c r="B393" i="6" a="1"/>
  <c r="B393" i="6" s="1"/>
  <c r="B881" i="6" a="1"/>
  <c r="B881" i="6" s="1"/>
  <c r="B746" i="6" a="1"/>
  <c r="B746" i="6" s="1"/>
  <c r="B728" i="6" a="1"/>
  <c r="B728" i="6" s="1"/>
  <c r="B444" i="6" a="1"/>
  <c r="B444" i="6" s="1"/>
  <c r="B966" i="6" a="1"/>
  <c r="B966" i="6" s="1"/>
  <c r="B779" i="6" a="1"/>
  <c r="B779" i="6" s="1"/>
  <c r="B298" i="6" a="1"/>
  <c r="B298" i="6" s="1"/>
  <c r="L300" i="6" s="1"/>
  <c r="D298" i="6" s="1"/>
  <c r="B65" i="6" a="1"/>
  <c r="B65" i="6" s="1"/>
  <c r="B848" i="6" a="1"/>
  <c r="B848" i="6" s="1"/>
  <c r="B627" i="6" a="1"/>
  <c r="B627" i="6" s="1"/>
  <c r="O215" i="6" a="1"/>
  <c r="O215" i="6" s="1"/>
  <c r="C41" i="108" s="1"/>
  <c r="A41" i="108"/>
  <c r="I511" i="6"/>
  <c r="D41" i="108" s="1"/>
  <c r="I968" i="6"/>
  <c r="D366" i="108" s="1"/>
  <c r="A366" i="108"/>
  <c r="O422" i="6" a="1"/>
  <c r="O422" i="6" s="1"/>
  <c r="C366" i="108" s="1"/>
  <c r="O378" i="6" a="1"/>
  <c r="O378" i="6" s="1"/>
  <c r="C32" i="108" s="1"/>
  <c r="I32" i="108" s="1"/>
  <c r="I747" i="6"/>
  <c r="D32" i="108" s="1"/>
  <c r="A32" i="108"/>
  <c r="I262" i="6"/>
  <c r="D995" i="108" s="1"/>
  <c r="A995" i="108"/>
  <c r="O501" i="6" a="1"/>
  <c r="O501" i="6" s="1"/>
  <c r="C995" i="108" s="1"/>
  <c r="I411" i="6"/>
  <c r="D910" i="108" s="1"/>
  <c r="O491" i="6" a="1"/>
  <c r="O491" i="6" s="1"/>
  <c r="C910" i="108" s="1"/>
  <c r="A910" i="108"/>
  <c r="O414" i="6" a="1"/>
  <c r="O414" i="6" s="1"/>
  <c r="C298" i="108" s="1"/>
  <c r="I529" i="6"/>
  <c r="D298" i="108" s="1"/>
  <c r="A298" i="108"/>
  <c r="O480" i="6" a="1"/>
  <c r="O480" i="6" s="1"/>
  <c r="C757" i="108" s="1"/>
  <c r="I757" i="108" s="1"/>
  <c r="A757" i="108"/>
  <c r="I454" i="6"/>
  <c r="D757" i="108" s="1"/>
  <c r="O476" i="6" a="1"/>
  <c r="O476" i="6" s="1"/>
  <c r="C689" i="108" s="1"/>
  <c r="A689" i="108"/>
  <c r="I678" i="6"/>
  <c r="D689" i="108" s="1"/>
  <c r="A978" i="108"/>
  <c r="I823" i="6"/>
  <c r="D978" i="108" s="1"/>
  <c r="O499" i="6" a="1"/>
  <c r="O499" i="6" s="1"/>
  <c r="C978" i="108" s="1"/>
  <c r="I978" i="108" s="1"/>
  <c r="K415" i="6"/>
  <c r="L306" i="6"/>
  <c r="D299" i="6" s="1"/>
  <c r="K409" i="6"/>
  <c r="L207" i="6"/>
  <c r="D207" i="6" s="1"/>
  <c r="L89" i="6"/>
  <c r="D89" i="6" s="1"/>
  <c r="O275" i="6" a="1"/>
  <c r="O275" i="6" s="1"/>
  <c r="C623" i="108" s="1"/>
  <c r="A623" i="108"/>
  <c r="I331" i="6"/>
  <c r="D623" i="108" s="1"/>
  <c r="A249" i="108"/>
  <c r="O231" i="6" a="1"/>
  <c r="O231" i="6" s="1"/>
  <c r="C249" i="108" s="1"/>
  <c r="I59" i="6"/>
  <c r="D249" i="108" s="1"/>
  <c r="A690" i="108"/>
  <c r="O282" i="6" a="1"/>
  <c r="O282" i="6" s="1"/>
  <c r="C690" i="108" s="1"/>
  <c r="I48" i="6"/>
  <c r="D690" i="108" s="1"/>
  <c r="O269" i="6" a="1"/>
  <c r="O269" i="6" s="1"/>
  <c r="C572" i="108" s="1"/>
  <c r="I572" i="108" s="1"/>
  <c r="A572" i="108"/>
  <c r="I630" i="6"/>
  <c r="D572" i="108" s="1"/>
  <c r="O253" i="6" a="1"/>
  <c r="O253" i="6" s="1"/>
  <c r="C436" i="108" s="1"/>
  <c r="A436" i="108"/>
  <c r="I1012" i="6"/>
  <c r="D436" i="108" s="1"/>
  <c r="I669" i="6"/>
  <c r="D946" i="108" s="1"/>
  <c r="O348" i="6" a="1"/>
  <c r="O348" i="6" s="1"/>
  <c r="C946" i="108" s="1"/>
  <c r="A946" i="108"/>
  <c r="I236" i="6"/>
  <c r="D130" i="108" s="1"/>
  <c r="O53" i="6" a="1"/>
  <c r="O53" i="6" s="1"/>
  <c r="C130" i="108" s="1"/>
  <c r="I130" i="108" s="1"/>
  <c r="A130" i="108"/>
  <c r="O254" i="6" a="1"/>
  <c r="O254" i="6" s="1"/>
  <c r="C452" i="108" s="1"/>
  <c r="A452" i="108"/>
  <c r="I113" i="6"/>
  <c r="D452" i="108" s="1"/>
  <c r="O284" i="6" a="1"/>
  <c r="O284" i="6" s="1"/>
  <c r="C707" i="108" s="1"/>
  <c r="A707" i="108"/>
  <c r="I944" i="6"/>
  <c r="D707" i="108" s="1"/>
  <c r="O324" i="6" a="1"/>
  <c r="O324" i="6" s="1"/>
  <c r="C894" i="108" s="1"/>
  <c r="I894" i="108" s="1"/>
  <c r="A894" i="108"/>
  <c r="I97" i="6"/>
  <c r="D894" i="108" s="1"/>
  <c r="A401" i="108"/>
  <c r="I995" i="6"/>
  <c r="D401" i="108" s="1"/>
  <c r="O248" i="6" a="1"/>
  <c r="O248" i="6" s="1"/>
  <c r="C401" i="108" s="1"/>
  <c r="I401" i="108" s="1"/>
  <c r="L432" i="6"/>
  <c r="D420" i="6" s="1"/>
  <c r="O251" i="6" a="1"/>
  <c r="O251" i="6" s="1"/>
  <c r="C419" i="108" s="1"/>
  <c r="I419" i="108" s="1"/>
  <c r="I179" i="6"/>
  <c r="D419" i="108" s="1"/>
  <c r="A419" i="108"/>
  <c r="L110" i="6"/>
  <c r="D114" i="6" s="1"/>
  <c r="A113" i="108"/>
  <c r="O47" i="6" a="1"/>
  <c r="O47" i="6" s="1"/>
  <c r="C113" i="108" s="1"/>
  <c r="I440" i="6"/>
  <c r="D113" i="108" s="1"/>
  <c r="A826" i="108"/>
  <c r="O304" i="6" a="1"/>
  <c r="O304" i="6" s="1"/>
  <c r="C826" i="108" s="1"/>
  <c r="I445" i="6"/>
  <c r="D826" i="108" s="1"/>
  <c r="O167" i="6" a="1"/>
  <c r="O167" i="6" s="1"/>
  <c r="C599" i="108" s="1"/>
  <c r="A599" i="108"/>
  <c r="I509" i="6"/>
  <c r="D599" i="108" s="1"/>
  <c r="A480" i="108"/>
  <c r="I455" i="6"/>
  <c r="D480" i="108" s="1"/>
  <c r="O139" i="6" a="1"/>
  <c r="O139" i="6" s="1"/>
  <c r="C480" i="108" s="1"/>
  <c r="I480" i="108" s="1"/>
  <c r="I595" i="6"/>
  <c r="D254" i="108" s="1"/>
  <c r="O85" i="6" a="1"/>
  <c r="O85" i="6" s="1"/>
  <c r="C254" i="108" s="1"/>
  <c r="I254" i="108" s="1"/>
  <c r="A254" i="108"/>
  <c r="L223" i="6"/>
  <c r="D221" i="6" s="1"/>
  <c r="O77" i="6" a="1"/>
  <c r="O77" i="6" s="1"/>
  <c r="C220" i="108" s="1"/>
  <c r="I220" i="108" s="1"/>
  <c r="A220" i="108"/>
  <c r="I344" i="6"/>
  <c r="D220" i="108" s="1"/>
  <c r="A772" i="108"/>
  <c r="I369" i="6"/>
  <c r="D772" i="108" s="1"/>
  <c r="O208" i="6" a="1"/>
  <c r="O208" i="6" s="1"/>
  <c r="C772" i="108" s="1"/>
  <c r="I808" i="6"/>
  <c r="D568" i="108" s="1"/>
  <c r="A568" i="108"/>
  <c r="O160" i="6" a="1"/>
  <c r="O160" i="6" s="1"/>
  <c r="C568" i="108" s="1"/>
  <c r="I568" i="108" s="1"/>
  <c r="A918" i="108"/>
  <c r="O338" i="6" a="1"/>
  <c r="O338" i="6" s="1"/>
  <c r="C918" i="108" s="1"/>
  <c r="I918" i="108" s="1"/>
  <c r="I594" i="6"/>
  <c r="D918" i="108" s="1"/>
  <c r="O163" i="6" a="1"/>
  <c r="O163" i="6" s="1"/>
  <c r="C582" i="108" s="1"/>
  <c r="A582" i="108"/>
  <c r="I819" i="6"/>
  <c r="D582" i="108" s="1"/>
  <c r="O152" i="6" a="1"/>
  <c r="O152" i="6" s="1"/>
  <c r="C534" i="108" s="1"/>
  <c r="A534" i="108"/>
  <c r="I752" i="6"/>
  <c r="D534" i="108" s="1"/>
  <c r="O60" i="6" a="1"/>
  <c r="O60" i="6" s="1"/>
  <c r="C152" i="108" s="1"/>
  <c r="A152" i="108"/>
  <c r="I654" i="6"/>
  <c r="D152" i="108" s="1"/>
  <c r="O136" i="6" a="1"/>
  <c r="O136" i="6" s="1"/>
  <c r="C466" i="108" s="1"/>
  <c r="I466" i="108" s="1"/>
  <c r="A466" i="108"/>
  <c r="I551" i="6"/>
  <c r="D466" i="108" s="1"/>
  <c r="O83" i="6" a="1"/>
  <c r="O83" i="6" s="1"/>
  <c r="C242" i="108" s="1"/>
  <c r="I242" i="108" s="1"/>
  <c r="A242" i="108"/>
  <c r="I722" i="6"/>
  <c r="D242" i="108" s="1"/>
  <c r="A203" i="108"/>
  <c r="O73" i="6" a="1"/>
  <c r="O73" i="6" s="1"/>
  <c r="C203" i="108" s="1"/>
  <c r="I817" i="6"/>
  <c r="D203" i="108" s="1"/>
  <c r="I805" i="6"/>
  <c r="D527" i="108" s="1"/>
  <c r="O150" i="6" a="1"/>
  <c r="O150" i="6" s="1"/>
  <c r="C527" i="108" s="1"/>
  <c r="A527" i="108"/>
  <c r="I75" i="6"/>
  <c r="D968" i="108" s="1"/>
  <c r="A968" i="108"/>
  <c r="O355" i="6" a="1"/>
  <c r="O355" i="6" s="1"/>
  <c r="C968" i="108" s="1"/>
  <c r="I968" i="108" s="1"/>
  <c r="I725" i="6"/>
  <c r="D871" i="108" s="1"/>
  <c r="O320" i="6" a="1"/>
  <c r="O320" i="6" s="1"/>
  <c r="C871" i="108" s="1"/>
  <c r="I871" i="108" s="1"/>
  <c r="A871" i="108"/>
  <c r="O302" i="6" a="1"/>
  <c r="O302" i="6" s="1"/>
  <c r="C820" i="108" s="1"/>
  <c r="I564" i="6"/>
  <c r="D820" i="108" s="1"/>
  <c r="A820" i="108"/>
  <c r="A514" i="108"/>
  <c r="I881" i="6"/>
  <c r="D514" i="108" s="1"/>
  <c r="O147" i="6" a="1"/>
  <c r="O147" i="6" s="1"/>
  <c r="C514" i="108" s="1"/>
  <c r="L327" i="6"/>
  <c r="D323" i="6" s="1"/>
  <c r="A322" i="108"/>
  <c r="I347" i="6"/>
  <c r="D322" i="108" s="1"/>
  <c r="O101" i="6" a="1"/>
  <c r="O101" i="6" s="1"/>
  <c r="C322" i="108" s="1"/>
  <c r="I322" i="108" s="1"/>
  <c r="I404" i="6"/>
  <c r="D177" i="108" s="1"/>
  <c r="O68" i="6" a="1"/>
  <c r="O68" i="6" s="1"/>
  <c r="C177" i="108" s="1"/>
  <c r="A177" i="108"/>
  <c r="O296" i="6" a="1"/>
  <c r="O296" i="6" s="1"/>
  <c r="C803" i="108" s="1"/>
  <c r="A803" i="108"/>
  <c r="I554" i="6"/>
  <c r="D803" i="108" s="1"/>
  <c r="O370" i="6" a="1"/>
  <c r="O370" i="6" s="1"/>
  <c r="C1010" i="108" s="1"/>
  <c r="A1010" i="108"/>
  <c r="I566" i="6"/>
  <c r="D1010" i="108" s="1"/>
  <c r="O125" i="6" a="1"/>
  <c r="O125" i="6" s="1"/>
  <c r="C424" i="108" s="1"/>
  <c r="A424" i="108"/>
  <c r="I824" i="6"/>
  <c r="D424" i="108" s="1"/>
  <c r="O329" i="6" a="1"/>
  <c r="O329" i="6" s="1"/>
  <c r="C891" i="108" s="1"/>
  <c r="I891" i="108" s="1"/>
  <c r="A891" i="108"/>
  <c r="I437" i="6"/>
  <c r="D891" i="108" s="1"/>
  <c r="A789" i="108"/>
  <c r="O212" i="6" a="1"/>
  <c r="O212" i="6" s="1"/>
  <c r="C789" i="108" s="1"/>
  <c r="I698" i="6"/>
  <c r="D789" i="108" s="1"/>
  <c r="I919" i="6"/>
  <c r="D956" i="108" s="1"/>
  <c r="O351" i="6" a="1"/>
  <c r="O351" i="6" s="1"/>
  <c r="C956" i="108" s="1"/>
  <c r="A956" i="108"/>
  <c r="O168" i="6" a="1"/>
  <c r="O168" i="6" s="1"/>
  <c r="C602" i="108" s="1"/>
  <c r="I277" i="6"/>
  <c r="D602" i="108" s="1"/>
  <c r="A602" i="108"/>
  <c r="A415" i="108"/>
  <c r="O124" i="6" a="1"/>
  <c r="O124" i="6" s="1"/>
  <c r="C415" i="108" s="1"/>
  <c r="I415" i="108" s="1"/>
  <c r="I538" i="6"/>
  <c r="D415" i="108" s="1"/>
  <c r="A271" i="108"/>
  <c r="O89" i="6" a="1"/>
  <c r="O89" i="6" s="1"/>
  <c r="C271" i="108" s="1"/>
  <c r="I271" i="108" s="1"/>
  <c r="I521" i="6"/>
  <c r="D271" i="108" s="1"/>
  <c r="I880" i="6"/>
  <c r="D362" i="108" s="1"/>
  <c r="O718" i="6" a="1"/>
  <c r="O718" i="6" s="1"/>
  <c r="C362" i="108" s="1"/>
  <c r="I362" i="108" s="1"/>
  <c r="A362" i="108"/>
  <c r="O844" i="6" a="1"/>
  <c r="O844" i="6" s="1"/>
  <c r="C709" i="108" s="1"/>
  <c r="A709" i="108"/>
  <c r="I184" i="6"/>
  <c r="D709" i="108" s="1"/>
  <c r="A533" i="108"/>
  <c r="O766" i="6" a="1"/>
  <c r="O766" i="6" s="1"/>
  <c r="C533" i="108" s="1"/>
  <c r="I761" i="6"/>
  <c r="D533" i="108" s="1"/>
  <c r="A794" i="108"/>
  <c r="O884" i="6" a="1"/>
  <c r="O884" i="6" s="1"/>
  <c r="C794" i="108" s="1"/>
  <c r="I448" i="6"/>
  <c r="D794" i="108" s="1"/>
  <c r="I28" i="6"/>
  <c r="D244" i="108" s="1"/>
  <c r="A244" i="108"/>
  <c r="O690" i="6" a="1"/>
  <c r="O690" i="6" s="1"/>
  <c r="C244" i="108" s="1"/>
  <c r="I244" i="108" s="1"/>
  <c r="I82" i="6"/>
  <c r="D669" i="108" s="1"/>
  <c r="O826" i="6" a="1"/>
  <c r="O826" i="6" s="1"/>
  <c r="C669" i="108" s="1"/>
  <c r="A669" i="108"/>
  <c r="L322" i="6"/>
  <c r="D319" i="6" s="1"/>
  <c r="A318" i="108"/>
  <c r="I816" i="6"/>
  <c r="D318" i="108" s="1"/>
  <c r="O707" i="6" a="1"/>
  <c r="O707" i="6" s="1"/>
  <c r="C318" i="108" s="1"/>
  <c r="A328" i="108"/>
  <c r="I127" i="6"/>
  <c r="D328" i="108" s="1"/>
  <c r="O709" i="6" a="1"/>
  <c r="O709" i="6" s="1"/>
  <c r="C328" i="108" s="1"/>
  <c r="A516" i="108"/>
  <c r="I1018" i="6"/>
  <c r="D516" i="108" s="1"/>
  <c r="O762" i="6" a="1"/>
  <c r="O762" i="6" s="1"/>
  <c r="C516" i="108" s="1"/>
  <c r="I516" i="108" s="1"/>
  <c r="A413" i="108"/>
  <c r="I34" i="6"/>
  <c r="D413" i="108" s="1"/>
  <c r="O733" i="6" a="1"/>
  <c r="O733" i="6" s="1"/>
  <c r="C413" i="108" s="1"/>
  <c r="A125" i="108"/>
  <c r="I493" i="6"/>
  <c r="D125" i="108" s="1"/>
  <c r="O549" i="6" a="1"/>
  <c r="O549" i="6" s="1"/>
  <c r="C125" i="108" s="1"/>
  <c r="I125" i="108" s="1"/>
  <c r="I457" i="6"/>
  <c r="D590" i="108" s="1"/>
  <c r="O788" i="6" a="1"/>
  <c r="O788" i="6" s="1"/>
  <c r="C590" i="108" s="1"/>
  <c r="A590" i="108"/>
  <c r="O1009" i="6" a="1"/>
  <c r="O1009" i="6" s="1"/>
  <c r="C991" i="108" s="1"/>
  <c r="I991" i="108" s="1"/>
  <c r="I53" i="6"/>
  <c r="D991" i="108" s="1"/>
  <c r="A991" i="108"/>
  <c r="A913" i="108"/>
  <c r="I943" i="6"/>
  <c r="D913" i="108" s="1"/>
  <c r="O986" i="6" a="1"/>
  <c r="O986" i="6" s="1"/>
  <c r="C913" i="108" s="1"/>
  <c r="O560" i="6" a="1"/>
  <c r="O560" i="6" s="1"/>
  <c r="C148" i="108" s="1"/>
  <c r="A148" i="108"/>
  <c r="I134" i="6"/>
  <c r="D148" i="108" s="1"/>
  <c r="O785" i="6" a="1"/>
  <c r="O785" i="6" s="1"/>
  <c r="C583" i="108" s="1"/>
  <c r="I583" i="108" s="1"/>
  <c r="A583" i="108"/>
  <c r="I635" i="6"/>
  <c r="D583" i="108" s="1"/>
  <c r="O989" i="6" a="1"/>
  <c r="O989" i="6" s="1"/>
  <c r="C923" i="108" s="1"/>
  <c r="I923" i="108" s="1"/>
  <c r="A923" i="108"/>
  <c r="I377" i="6"/>
  <c r="D923" i="108" s="1"/>
  <c r="O889" i="6" a="1"/>
  <c r="O889" i="6" s="1"/>
  <c r="C804" i="108" s="1"/>
  <c r="I804" i="108" s="1"/>
  <c r="A804" i="108"/>
  <c r="I839" i="6"/>
  <c r="D804" i="108" s="1"/>
  <c r="A397" i="108"/>
  <c r="O729" i="6" a="1"/>
  <c r="O729" i="6" s="1"/>
  <c r="C397" i="108" s="1"/>
  <c r="I397" i="108" s="1"/>
  <c r="I319" i="6"/>
  <c r="D397" i="108" s="1"/>
  <c r="L533" i="6"/>
  <c r="D523" i="6" s="1"/>
  <c r="A522" i="108"/>
  <c r="I536" i="6"/>
  <c r="D522" i="108" s="1"/>
  <c r="O763" i="6" a="1"/>
  <c r="O763" i="6" s="1"/>
  <c r="C522" i="108" s="1"/>
  <c r="O566" i="6" a="1"/>
  <c r="O566" i="6" s="1"/>
  <c r="C159" i="108" s="1"/>
  <c r="I159" i="108" s="1"/>
  <c r="I996" i="6"/>
  <c r="D159" i="108" s="1"/>
  <c r="A159" i="108"/>
  <c r="L205" i="6"/>
  <c r="D205" i="6" s="1"/>
  <c r="L301" i="6"/>
  <c r="D301" i="6" s="1"/>
  <c r="O381" i="6" a="1"/>
  <c r="O381" i="6" s="1"/>
  <c r="C45" i="108" s="1"/>
  <c r="A45" i="108"/>
  <c r="I730" i="6"/>
  <c r="D45" i="108" s="1"/>
  <c r="I366" i="6"/>
  <c r="D207" i="108" s="1"/>
  <c r="O682" i="6" a="1"/>
  <c r="O682" i="6" s="1"/>
  <c r="C207" i="108" s="1"/>
  <c r="A207" i="108"/>
  <c r="O756" i="6" a="1"/>
  <c r="O756" i="6" s="1"/>
  <c r="C496" i="108" s="1"/>
  <c r="I496" i="108" s="1"/>
  <c r="A496" i="108"/>
  <c r="I504" i="6"/>
  <c r="D496" i="108" s="1"/>
  <c r="O692" i="6" a="1"/>
  <c r="O692" i="6" s="1"/>
  <c r="C258" i="108" s="1"/>
  <c r="I258" i="108" s="1"/>
  <c r="A258" i="108"/>
  <c r="I845" i="6"/>
  <c r="D258" i="108" s="1"/>
  <c r="O1015" i="6" a="1"/>
  <c r="O1015" i="6" s="1"/>
  <c r="C1006" i="108" s="1"/>
  <c r="I306" i="6"/>
  <c r="D1006" i="108" s="1"/>
  <c r="A1006" i="108"/>
  <c r="O896" i="6" a="1"/>
  <c r="O896" i="6" s="1"/>
  <c r="C819" i="108" s="1"/>
  <c r="A819" i="108"/>
  <c r="I637" i="6"/>
  <c r="D819" i="108" s="1"/>
  <c r="A683" i="108"/>
  <c r="O832" i="6" a="1"/>
  <c r="O832" i="6" s="1"/>
  <c r="C683" i="108" s="1"/>
  <c r="I683" i="108" s="1"/>
  <c r="I1010" i="6"/>
  <c r="D683" i="108" s="1"/>
  <c r="A547" i="108"/>
  <c r="O768" i="6" a="1"/>
  <c r="O768" i="6" s="1"/>
  <c r="C547" i="108" s="1"/>
  <c r="I547" i="108" s="1"/>
  <c r="I838" i="6"/>
  <c r="D547" i="108" s="1"/>
  <c r="L305" i="6"/>
  <c r="D296" i="6" s="1"/>
  <c r="K408" i="6"/>
  <c r="O954" i="6" a="1"/>
  <c r="O954" i="6" s="1"/>
  <c r="C593" i="108" s="1"/>
  <c r="A593" i="108"/>
  <c r="I287" i="6"/>
  <c r="D593" i="108" s="1"/>
  <c r="A338" i="108"/>
  <c r="I86" i="6"/>
  <c r="D338" i="108" s="1"/>
  <c r="O629" i="6" a="1"/>
  <c r="O629" i="6" s="1"/>
  <c r="C338" i="108" s="1"/>
  <c r="I715" i="6"/>
  <c r="D967" i="108" s="1"/>
  <c r="A967" i="108"/>
  <c r="O1002" i="6" a="1"/>
  <c r="O1002" i="6" s="1"/>
  <c r="C967" i="108" s="1"/>
  <c r="I652" i="6"/>
  <c r="D899" i="108" s="1"/>
  <c r="O982" i="6" a="1"/>
  <c r="O982" i="6" s="1"/>
  <c r="C899" i="108" s="1"/>
  <c r="A899" i="108"/>
  <c r="A831" i="108"/>
  <c r="I797" i="6"/>
  <c r="D831" i="108" s="1"/>
  <c r="O968" i="6" a="1"/>
  <c r="O968" i="6" s="1"/>
  <c r="C831" i="108" s="1"/>
  <c r="I831" i="108" s="1"/>
  <c r="I240" i="6"/>
  <c r="D763" i="108" s="1"/>
  <c r="A763" i="108"/>
  <c r="O964" i="6" a="1"/>
  <c r="O964" i="6" s="1"/>
  <c r="C763" i="108" s="1"/>
  <c r="I763" i="108" s="1"/>
  <c r="O956" i="6" a="1"/>
  <c r="O956" i="6" s="1"/>
  <c r="C627" i="108" s="1"/>
  <c r="A627" i="108"/>
  <c r="I472" i="6"/>
  <c r="D627" i="108" s="1"/>
  <c r="O532" i="6" a="1"/>
  <c r="O532" i="6" s="1"/>
  <c r="C87" i="108" s="1"/>
  <c r="A87" i="108"/>
  <c r="I936" i="6"/>
  <c r="D87" i="108" s="1"/>
  <c r="O443" i="6" a="1"/>
  <c r="O443" i="6" s="1"/>
  <c r="C563" i="108" s="1"/>
  <c r="A563" i="108"/>
  <c r="I50" i="6"/>
  <c r="D563" i="108" s="1"/>
  <c r="O413" i="6" a="1"/>
  <c r="O413" i="6" s="1"/>
  <c r="C291" i="108" s="1"/>
  <c r="I188" i="6"/>
  <c r="D291" i="108" s="1"/>
  <c r="A291" i="108"/>
  <c r="O448" i="6" a="1"/>
  <c r="O448" i="6" s="1"/>
  <c r="C648" i="108" s="1"/>
  <c r="A648" i="108"/>
  <c r="I421" i="6"/>
  <c r="D648" i="108" s="1"/>
  <c r="O450" i="6" a="1"/>
  <c r="O450" i="6" s="1"/>
  <c r="C682" i="108" s="1"/>
  <c r="I682" i="108" s="1"/>
  <c r="A682" i="108"/>
  <c r="I825" i="6"/>
  <c r="D682" i="108" s="1"/>
  <c r="A25" i="108"/>
  <c r="O376" i="6" a="1"/>
  <c r="O376" i="6" s="1"/>
  <c r="C25" i="108" s="1"/>
  <c r="I587" i="6"/>
  <c r="D25" i="108" s="1"/>
  <c r="A835" i="108"/>
  <c r="I488" i="6"/>
  <c r="D835" i="108" s="1"/>
  <c r="O459" i="6" a="1"/>
  <c r="O459" i="6" s="1"/>
  <c r="C835" i="108" s="1"/>
  <c r="I866" i="6"/>
  <c r="D665" i="108" s="1"/>
  <c r="A665" i="108"/>
  <c r="O449" i="6" a="1"/>
  <c r="O449" i="6" s="1"/>
  <c r="C665" i="108" s="1"/>
  <c r="I665" i="108" s="1"/>
  <c r="L65" i="6"/>
  <c r="D72" i="6" s="1"/>
  <c r="K168" i="6"/>
  <c r="L72" i="6"/>
  <c r="D65" i="6" s="1"/>
  <c r="K175" i="6"/>
  <c r="L67" i="6"/>
  <c r="D69" i="6" s="1"/>
  <c r="K170" i="6"/>
  <c r="I200" i="6"/>
  <c r="D58" i="108" s="1"/>
  <c r="O216" i="6" a="1"/>
  <c r="O216" i="6" s="1"/>
  <c r="C58" i="108" s="1"/>
  <c r="I58" i="108" s="1"/>
  <c r="A58" i="108"/>
  <c r="A196" i="108"/>
  <c r="I906" i="6"/>
  <c r="D196" i="108" s="1"/>
  <c r="O401" i="6" a="1"/>
  <c r="O401" i="6" s="1"/>
  <c r="C196" i="108" s="1"/>
  <c r="O424" i="6" a="1"/>
  <c r="O424" i="6" s="1"/>
  <c r="C383" i="108" s="1"/>
  <c r="I383" i="108" s="1"/>
  <c r="A383" i="108"/>
  <c r="I492" i="6"/>
  <c r="D383" i="108" s="1"/>
  <c r="I732" i="6"/>
  <c r="D417" i="108" s="1"/>
  <c r="A417" i="108"/>
  <c r="O428" i="6" a="1"/>
  <c r="O428" i="6" s="1"/>
  <c r="C417" i="108" s="1"/>
  <c r="I417" i="108" s="1"/>
  <c r="L74" i="6"/>
  <c r="D81" i="6" s="1"/>
  <c r="K177" i="6"/>
  <c r="A281" i="108"/>
  <c r="O412" i="6" a="1"/>
  <c r="O412" i="6" s="1"/>
  <c r="C281" i="108" s="1"/>
  <c r="I107" i="6"/>
  <c r="D281" i="108" s="1"/>
  <c r="A230" i="108"/>
  <c r="O403" i="6" a="1"/>
  <c r="O403" i="6" s="1"/>
  <c r="C230" i="108" s="1"/>
  <c r="I899" i="6"/>
  <c r="D230" i="108" s="1"/>
  <c r="A145" i="108"/>
  <c r="O396" i="6" a="1"/>
  <c r="O396" i="6" s="1"/>
  <c r="C145" i="108" s="1"/>
  <c r="I546" i="6"/>
  <c r="D145" i="108" s="1"/>
  <c r="O430" i="6" a="1"/>
  <c r="O430" i="6" s="1"/>
  <c r="C434" i="108" s="1"/>
  <c r="A434" i="108"/>
  <c r="I633" i="6"/>
  <c r="D434" i="108" s="1"/>
  <c r="L203" i="6"/>
  <c r="D199" i="6" s="1"/>
  <c r="L195" i="6"/>
  <c r="D186" i="6" s="1"/>
  <c r="K298" i="6"/>
  <c r="L88" i="6"/>
  <c r="D87" i="6" s="1"/>
  <c r="A86" i="108"/>
  <c r="O41" i="6" a="1"/>
  <c r="O41" i="6" s="1"/>
  <c r="C86" i="108" s="1"/>
  <c r="I847" i="6"/>
  <c r="D86" i="108" s="1"/>
  <c r="O335" i="6" a="1"/>
  <c r="O335" i="6" s="1"/>
  <c r="C911" i="108" s="1"/>
  <c r="I911" i="108" s="1"/>
  <c r="A911" i="108"/>
  <c r="I833" i="6"/>
  <c r="D911" i="108" s="1"/>
  <c r="L323" i="6"/>
  <c r="D318" i="6" s="1"/>
  <c r="I962" i="6"/>
  <c r="D317" i="108" s="1"/>
  <c r="A317" i="108"/>
  <c r="O239" i="6" a="1"/>
  <c r="O239" i="6" s="1"/>
  <c r="C317" i="108" s="1"/>
  <c r="O336" i="6" a="1"/>
  <c r="O336" i="6" s="1"/>
  <c r="C912" i="108" s="1"/>
  <c r="A912" i="108"/>
  <c r="I1007" i="6"/>
  <c r="D912" i="108" s="1"/>
  <c r="L94" i="6"/>
  <c r="D98" i="6" s="1"/>
  <c r="A97" i="108"/>
  <c r="I138" i="6"/>
  <c r="D97" i="108" s="1"/>
  <c r="O42" i="6" a="1"/>
  <c r="O42" i="6" s="1"/>
  <c r="C97" i="108" s="1"/>
  <c r="O221" i="6" a="1"/>
  <c r="O221" i="6" s="1"/>
  <c r="C164" i="108" s="1"/>
  <c r="I106" i="6"/>
  <c r="D164" i="108" s="1"/>
  <c r="A164" i="108"/>
  <c r="L532" i="6"/>
  <c r="D521" i="6" s="1"/>
  <c r="O262" i="6" a="1"/>
  <c r="O262" i="6" s="1"/>
  <c r="C520" i="108" s="1"/>
  <c r="I520" i="108" s="1"/>
  <c r="I133" i="6"/>
  <c r="D520" i="108" s="1"/>
  <c r="A520" i="108"/>
  <c r="O287" i="6" a="1"/>
  <c r="O287" i="6" s="1"/>
  <c r="C725" i="108" s="1"/>
  <c r="I725" i="108" s="1"/>
  <c r="I872" i="6"/>
  <c r="D725" i="108" s="1"/>
  <c r="A725" i="108"/>
  <c r="O342" i="6" a="1"/>
  <c r="O342" i="6" s="1"/>
  <c r="C929" i="108" s="1"/>
  <c r="I967" i="6"/>
  <c r="D929" i="108" s="1"/>
  <c r="A929" i="108"/>
  <c r="O252" i="6" a="1"/>
  <c r="O252" i="6" s="1"/>
  <c r="C435" i="108" s="1"/>
  <c r="I435" i="108" s="1"/>
  <c r="I416" i="6"/>
  <c r="D435" i="108" s="1"/>
  <c r="A435" i="108"/>
  <c r="L702" i="6"/>
  <c r="D674" i="6" s="1"/>
  <c r="A673" i="108"/>
  <c r="O280" i="6" a="1"/>
  <c r="O280" i="6" s="1"/>
  <c r="C673" i="108" s="1"/>
  <c r="I673" i="108" s="1"/>
  <c r="I589" i="6"/>
  <c r="D673" i="108" s="1"/>
  <c r="O52" i="6" a="1"/>
  <c r="O52" i="6" s="1"/>
  <c r="C129" i="108" s="1"/>
  <c r="A129" i="108"/>
  <c r="I157" i="6"/>
  <c r="D129" i="108" s="1"/>
  <c r="A878" i="108"/>
  <c r="I442" i="6"/>
  <c r="D878" i="108" s="1"/>
  <c r="O323" i="6" a="1"/>
  <c r="O323" i="6" s="1"/>
  <c r="C878" i="108" s="1"/>
  <c r="O353" i="6" a="1"/>
  <c r="O353" i="6" s="1"/>
  <c r="C962" i="108" s="1"/>
  <c r="I962" i="108" s="1"/>
  <c r="A962" i="108"/>
  <c r="I686" i="6"/>
  <c r="D962" i="108" s="1"/>
  <c r="O271" i="6" a="1"/>
  <c r="O271" i="6" s="1"/>
  <c r="C589" i="108" s="1"/>
  <c r="I589" i="108" s="1"/>
  <c r="A589" i="108"/>
  <c r="I230" i="6"/>
  <c r="D589" i="108" s="1"/>
  <c r="A459" i="108"/>
  <c r="O134" i="6" a="1"/>
  <c r="O134" i="6" s="1"/>
  <c r="C459" i="108" s="1"/>
  <c r="I459" i="108" s="1"/>
  <c r="I663" i="6"/>
  <c r="D459" i="108" s="1"/>
  <c r="A390" i="108"/>
  <c r="O117" i="6" a="1"/>
  <c r="O117" i="6" s="1"/>
  <c r="C390" i="108" s="1"/>
  <c r="I390" i="108" s="1"/>
  <c r="I994" i="6"/>
  <c r="D390" i="108" s="1"/>
  <c r="O187" i="6" a="1"/>
  <c r="O187" i="6" s="1"/>
  <c r="C684" i="108" s="1"/>
  <c r="A684" i="108"/>
  <c r="I206" i="6"/>
  <c r="D684" i="108" s="1"/>
  <c r="A305" i="108"/>
  <c r="O97" i="6" a="1"/>
  <c r="O97" i="6" s="1"/>
  <c r="C305" i="108" s="1"/>
  <c r="I305" i="108" s="1"/>
  <c r="I781" i="6"/>
  <c r="D305" i="108" s="1"/>
  <c r="O188" i="6" a="1"/>
  <c r="O188" i="6" s="1"/>
  <c r="C687" i="108" s="1"/>
  <c r="A687" i="108"/>
  <c r="I882" i="6"/>
  <c r="D687" i="108" s="1"/>
  <c r="O29" i="6" a="1"/>
  <c r="O29" i="6" s="1"/>
  <c r="C39" i="108" s="1"/>
  <c r="I39" i="108" s="1"/>
  <c r="I945" i="6"/>
  <c r="D39" i="108" s="1"/>
  <c r="A39" i="108"/>
  <c r="I105" i="6"/>
  <c r="D781" i="108" s="1"/>
  <c r="O209" i="6" a="1"/>
  <c r="O209" i="6" s="1"/>
  <c r="C781" i="108" s="1"/>
  <c r="A781" i="108"/>
  <c r="A815" i="108"/>
  <c r="I371" i="6"/>
  <c r="D815" i="108" s="1"/>
  <c r="O300" i="6" a="1"/>
  <c r="O300" i="6" s="1"/>
  <c r="C815" i="108" s="1"/>
  <c r="A849" i="108"/>
  <c r="O312" i="6" a="1"/>
  <c r="O312" i="6" s="1"/>
  <c r="C849" i="108" s="1"/>
  <c r="I849" i="108" s="1"/>
  <c r="I939" i="6"/>
  <c r="D849" i="108" s="1"/>
  <c r="O62" i="6" a="1"/>
  <c r="O62" i="6" s="1"/>
  <c r="C157" i="108" s="1"/>
  <c r="A157" i="108"/>
  <c r="I638" i="6"/>
  <c r="D157" i="108" s="1"/>
  <c r="A77" i="108"/>
  <c r="O40" i="6" a="1"/>
  <c r="O40" i="6" s="1"/>
  <c r="C77" i="108" s="1"/>
  <c r="I77" i="108" s="1"/>
  <c r="I26" i="6"/>
  <c r="D77" i="108" s="1"/>
  <c r="A748" i="108"/>
  <c r="I957" i="6"/>
  <c r="D748" i="108" s="1"/>
  <c r="O202" i="6" a="1"/>
  <c r="O202" i="6" s="1"/>
  <c r="C748" i="108" s="1"/>
  <c r="O333" i="6" a="1"/>
  <c r="O333" i="6" s="1"/>
  <c r="C905" i="108" s="1"/>
  <c r="A905" i="108"/>
  <c r="I871" i="6"/>
  <c r="D905" i="108" s="1"/>
  <c r="O109" i="6" a="1"/>
  <c r="O109" i="6" s="1"/>
  <c r="C356" i="108" s="1"/>
  <c r="I356" i="108" s="1"/>
  <c r="A356" i="108"/>
  <c r="I293" i="6"/>
  <c r="D356" i="108" s="1"/>
  <c r="A840" i="108"/>
  <c r="O309" i="6" a="1"/>
  <c r="O309" i="6" s="1"/>
  <c r="C840" i="108" s="1"/>
  <c r="I502" i="6"/>
  <c r="D840" i="108" s="1"/>
  <c r="A738" i="108"/>
  <c r="O200" i="6" a="1"/>
  <c r="O200" i="6" s="1"/>
  <c r="C738" i="108" s="1"/>
  <c r="I170" i="6"/>
  <c r="D738" i="108" s="1"/>
  <c r="A951" i="108"/>
  <c r="O349" i="6" a="1"/>
  <c r="O349" i="6" s="1"/>
  <c r="C951" i="108" s="1"/>
  <c r="I951" i="108" s="1"/>
  <c r="I931" i="6"/>
  <c r="D951" i="108" s="1"/>
  <c r="O104" i="6" a="1"/>
  <c r="O104" i="6" s="1"/>
  <c r="C330" i="108" s="1"/>
  <c r="A330" i="108"/>
  <c r="I56" i="6"/>
  <c r="D330" i="108" s="1"/>
  <c r="A123" i="108"/>
  <c r="O50" i="6" a="1"/>
  <c r="O50" i="6" s="1"/>
  <c r="C123" i="108" s="1"/>
  <c r="I123" i="108" s="1"/>
  <c r="I937" i="6"/>
  <c r="D123" i="108" s="1"/>
  <c r="A23" i="108"/>
  <c r="O24" i="6" a="1"/>
  <c r="O24" i="6" s="1"/>
  <c r="C23" i="108" s="1"/>
  <c r="I644" i="6"/>
  <c r="D23" i="108" s="1"/>
  <c r="E18" i="105"/>
  <c r="A500" i="108"/>
  <c r="I460" i="6"/>
  <c r="D500" i="108" s="1"/>
  <c r="O144" i="6" a="1"/>
  <c r="O144" i="6" s="1"/>
  <c r="C500" i="108" s="1"/>
  <c r="A713" i="108"/>
  <c r="O193" i="6" a="1"/>
  <c r="O193" i="6" s="1"/>
  <c r="C713" i="108" s="1"/>
  <c r="I713" i="108" s="1"/>
  <c r="I65" i="6"/>
  <c r="D713" i="108" s="1"/>
  <c r="L215" i="6"/>
  <c r="D209" i="6" s="1"/>
  <c r="A208" i="108"/>
  <c r="O75" i="6" a="1"/>
  <c r="O75" i="6" s="1"/>
  <c r="C208" i="108" s="1"/>
  <c r="I384" i="6"/>
  <c r="D208" i="108" s="1"/>
  <c r="A755" i="108"/>
  <c r="O204" i="6" a="1"/>
  <c r="O204" i="6" s="1"/>
  <c r="C755" i="108" s="1"/>
  <c r="I755" i="108" s="1"/>
  <c r="I185" i="6"/>
  <c r="D755" i="108" s="1"/>
  <c r="A645" i="108"/>
  <c r="O177" i="6" a="1"/>
  <c r="O177" i="6" s="1"/>
  <c r="C645" i="108" s="1"/>
  <c r="I645" i="108" s="1"/>
  <c r="I303" i="6"/>
  <c r="D645" i="108" s="1"/>
  <c r="I68" i="6"/>
  <c r="D731" i="108" s="1"/>
  <c r="A731" i="108"/>
  <c r="O198" i="6" a="1"/>
  <c r="O198" i="6" s="1"/>
  <c r="C731" i="108" s="1"/>
  <c r="I514" i="6"/>
  <c r="D412" i="108" s="1"/>
  <c r="A412" i="108"/>
  <c r="O123" i="6" a="1"/>
  <c r="O123" i="6" s="1"/>
  <c r="C412" i="108" s="1"/>
  <c r="I425" i="6"/>
  <c r="D225" i="108" s="1"/>
  <c r="A225" i="108"/>
  <c r="O79" i="6" a="1"/>
  <c r="O79" i="6" s="1"/>
  <c r="C225" i="108" s="1"/>
  <c r="O35" i="6" a="1"/>
  <c r="O35" i="6" s="1"/>
  <c r="C66" i="108" s="1"/>
  <c r="I66" i="108" s="1"/>
  <c r="A66" i="108"/>
  <c r="I475" i="6"/>
  <c r="D66" i="108" s="1"/>
  <c r="A839" i="108"/>
  <c r="O906" i="6" a="1"/>
  <c r="O906" i="6" s="1"/>
  <c r="C839" i="108" s="1"/>
  <c r="I850" i="6"/>
  <c r="D839" i="108" s="1"/>
  <c r="I180" i="6"/>
  <c r="D82" i="108" s="1"/>
  <c r="O529" i="6" a="1"/>
  <c r="O529" i="6" s="1"/>
  <c r="C82" i="108" s="1"/>
  <c r="A82" i="108"/>
  <c r="A998" i="108"/>
  <c r="O1011" i="6" a="1"/>
  <c r="O1011" i="6" s="1"/>
  <c r="C998" i="108" s="1"/>
  <c r="I998" i="108" s="1"/>
  <c r="I148" i="6"/>
  <c r="D998" i="108" s="1"/>
  <c r="O981" i="6" a="1"/>
  <c r="O981" i="6" s="1"/>
  <c r="C896" i="108" s="1"/>
  <c r="A896" i="108"/>
  <c r="I109" i="6"/>
  <c r="D896" i="108" s="1"/>
  <c r="L217" i="6"/>
  <c r="D210" i="6" s="1"/>
  <c r="O589" i="6" a="1"/>
  <c r="O589" i="6" s="1"/>
  <c r="C209" i="108" s="1"/>
  <c r="I209" i="108" s="1"/>
  <c r="A209" i="108"/>
  <c r="I33" i="6"/>
  <c r="D209" i="108" s="1"/>
  <c r="A532" i="108"/>
  <c r="O765" i="6" a="1"/>
  <c r="O765" i="6" s="1"/>
  <c r="C532" i="108" s="1"/>
  <c r="I340" i="6"/>
  <c r="D532" i="108" s="1"/>
  <c r="O990" i="6" a="1"/>
  <c r="O990" i="6" s="1"/>
  <c r="C924" i="108" s="1"/>
  <c r="I924" i="108" s="1"/>
  <c r="A924" i="108"/>
  <c r="I610" i="6"/>
  <c r="D924" i="108" s="1"/>
  <c r="O767" i="6" a="1"/>
  <c r="O767" i="6" s="1"/>
  <c r="C539" i="108" s="1"/>
  <c r="A539" i="108"/>
  <c r="I728" i="6"/>
  <c r="D539" i="108" s="1"/>
  <c r="A822" i="108"/>
  <c r="I706" i="6"/>
  <c r="D822" i="108" s="1"/>
  <c r="O898" i="6" a="1"/>
  <c r="O898" i="6" s="1"/>
  <c r="C822" i="108" s="1"/>
  <c r="I822" i="108" s="1"/>
  <c r="O753" i="6" a="1"/>
  <c r="O753" i="6" s="1"/>
  <c r="C481" i="108" s="1"/>
  <c r="I481" i="108" s="1"/>
  <c r="I334" i="6"/>
  <c r="D481" i="108" s="1"/>
  <c r="A481" i="108"/>
  <c r="L77" i="6"/>
  <c r="D78" i="6" s="1"/>
  <c r="K180" i="6"/>
  <c r="O971" i="6" a="1"/>
  <c r="O971" i="6" s="1"/>
  <c r="C855" i="108" s="1"/>
  <c r="A855" i="108"/>
  <c r="I280" i="6"/>
  <c r="D855" i="108" s="1"/>
  <c r="O900" i="6" a="1"/>
  <c r="O900" i="6" s="1"/>
  <c r="C828" i="108" s="1"/>
  <c r="A828" i="108"/>
  <c r="I387" i="6"/>
  <c r="D828" i="108" s="1"/>
  <c r="O748" i="6" a="1"/>
  <c r="O748" i="6" s="1"/>
  <c r="C464" i="108" s="1"/>
  <c r="A464" i="108"/>
  <c r="I376" i="6"/>
  <c r="D464" i="108" s="1"/>
  <c r="A31" i="108"/>
  <c r="O507" i="6" a="1"/>
  <c r="O507" i="6" s="1"/>
  <c r="C31" i="108" s="1"/>
  <c r="I31" i="108" s="1"/>
  <c r="I183" i="6"/>
  <c r="D31" i="108" s="1"/>
  <c r="O558" i="6" a="1"/>
  <c r="O558" i="6" s="1"/>
  <c r="C142" i="108" s="1"/>
  <c r="I142" i="108" s="1"/>
  <c r="I778" i="6"/>
  <c r="D142" i="108" s="1"/>
  <c r="A142" i="108"/>
  <c r="A448" i="108"/>
  <c r="O744" i="6" a="1"/>
  <c r="O744" i="6" s="1"/>
  <c r="C448" i="108" s="1"/>
  <c r="I779" i="6"/>
  <c r="D448" i="108" s="1"/>
  <c r="O802" i="6" a="1"/>
  <c r="O802" i="6" s="1"/>
  <c r="C618" i="108" s="1"/>
  <c r="I618" i="108" s="1"/>
  <c r="A618" i="108"/>
  <c r="I868" i="6"/>
  <c r="D618" i="108" s="1"/>
  <c r="O687" i="6" a="1"/>
  <c r="O687" i="6" s="1"/>
  <c r="C233" i="108" s="1"/>
  <c r="A233" i="108"/>
  <c r="I570" i="6"/>
  <c r="D233" i="108" s="1"/>
  <c r="A76" i="108"/>
  <c r="O527" i="6" a="1"/>
  <c r="O527" i="6" s="1"/>
  <c r="C76" i="108" s="1"/>
  <c r="I76" i="108" s="1"/>
  <c r="I494" i="6"/>
  <c r="D76" i="108" s="1"/>
  <c r="A889" i="108"/>
  <c r="O979" i="6" a="1"/>
  <c r="O979" i="6" s="1"/>
  <c r="C889" i="108" s="1"/>
  <c r="I889" i="108" s="1"/>
  <c r="I557" i="6"/>
  <c r="D889" i="108" s="1"/>
  <c r="L313" i="6"/>
  <c r="D303" i="6" s="1"/>
  <c r="K416" i="6"/>
  <c r="L194" i="6"/>
  <c r="D191" i="6" s="1"/>
  <c r="K297" i="6"/>
  <c r="A48" i="108"/>
  <c r="I735" i="6"/>
  <c r="D48" i="108" s="1"/>
  <c r="O382" i="6" a="1"/>
  <c r="O382" i="6" s="1"/>
  <c r="C48" i="108" s="1"/>
  <c r="I985" i="6"/>
  <c r="D78" i="108" s="1"/>
  <c r="O388" i="6" a="1"/>
  <c r="O388" i="6" s="1"/>
  <c r="C78" i="108" s="1"/>
  <c r="A78" i="108"/>
  <c r="I70" i="6"/>
  <c r="D564" i="108" s="1"/>
  <c r="O776" i="6" a="1"/>
  <c r="O776" i="6" s="1"/>
  <c r="C564" i="108" s="1"/>
  <c r="A564" i="108"/>
  <c r="O727" i="6" a="1"/>
  <c r="O727" i="6" s="1"/>
  <c r="C394" i="108" s="1"/>
  <c r="I394" i="108" s="1"/>
  <c r="I484" i="6"/>
  <c r="D394" i="108" s="1"/>
  <c r="A394" i="108"/>
  <c r="A65" i="108"/>
  <c r="I235" i="6"/>
  <c r="D65" i="108" s="1"/>
  <c r="O522" i="6" a="1"/>
  <c r="O522" i="6" s="1"/>
  <c r="C65" i="108" s="1"/>
  <c r="O998" i="6" a="1"/>
  <c r="O998" i="6" s="1"/>
  <c r="C955" i="108" s="1"/>
  <c r="A955" i="108"/>
  <c r="I273" i="6"/>
  <c r="D955" i="108" s="1"/>
  <c r="A921" i="108"/>
  <c r="I163" i="6"/>
  <c r="D921" i="108" s="1"/>
  <c r="O988" i="6" a="1"/>
  <c r="O988" i="6" s="1"/>
  <c r="C921" i="108" s="1"/>
  <c r="O911" i="6" a="1"/>
  <c r="O911" i="6" s="1"/>
  <c r="C853" i="108" s="1"/>
  <c r="I795" i="6"/>
  <c r="D853" i="108" s="1"/>
  <c r="A853" i="108"/>
  <c r="O880" i="6" a="1"/>
  <c r="O880" i="6" s="1"/>
  <c r="C785" i="108" s="1"/>
  <c r="I785" i="108" s="1"/>
  <c r="A785" i="108"/>
  <c r="I927" i="6"/>
  <c r="D785" i="108" s="1"/>
  <c r="L196" i="6"/>
  <c r="D185" i="6" s="1"/>
  <c r="K299" i="6"/>
  <c r="O960" i="6" a="1"/>
  <c r="O960" i="6" s="1"/>
  <c r="C695" i="108" s="1"/>
  <c r="I695" i="108" s="1"/>
  <c r="A695" i="108"/>
  <c r="I649" i="6"/>
  <c r="D695" i="108" s="1"/>
  <c r="O961" i="6" a="1"/>
  <c r="O961" i="6" s="1"/>
  <c r="C712" i="108" s="1"/>
  <c r="I712" i="108" s="1"/>
  <c r="A712" i="108"/>
  <c r="I246" i="6"/>
  <c r="D712" i="108" s="1"/>
  <c r="O736" i="6" a="1"/>
  <c r="O736" i="6" s="1"/>
  <c r="C423" i="108" s="1"/>
  <c r="I499" i="6"/>
  <c r="D423" i="108" s="1"/>
  <c r="A423" i="108"/>
  <c r="O716" i="6" a="1"/>
  <c r="O716" i="6" s="1"/>
  <c r="C355" i="108" s="1"/>
  <c r="A355" i="108"/>
  <c r="I89" i="6"/>
  <c r="D355" i="108" s="1"/>
  <c r="I568" i="6"/>
  <c r="D287" i="108" s="1"/>
  <c r="O614" i="6" a="1"/>
  <c r="O614" i="6" s="1"/>
  <c r="C287" i="108" s="1"/>
  <c r="I287" i="108" s="1"/>
  <c r="A287" i="108"/>
  <c r="L226" i="6"/>
  <c r="D220" i="6" s="1"/>
  <c r="O594" i="6" a="1"/>
  <c r="O594" i="6" s="1"/>
  <c r="C219" i="108" s="1"/>
  <c r="I219" i="108" s="1"/>
  <c r="A219" i="108"/>
  <c r="I762" i="6"/>
  <c r="D219" i="108" s="1"/>
  <c r="A54" i="108"/>
  <c r="O517" i="6" a="1"/>
  <c r="O517" i="6" s="1"/>
  <c r="C54" i="108" s="1"/>
  <c r="I818" i="6"/>
  <c r="D54" i="108" s="1"/>
  <c r="O952" i="6" a="1"/>
  <c r="O952" i="6" s="1"/>
  <c r="C559" i="108" s="1"/>
  <c r="I1000" i="6"/>
  <c r="D559" i="108" s="1"/>
  <c r="A559" i="108"/>
  <c r="A1005" i="108"/>
  <c r="O502" i="6" a="1"/>
  <c r="O502" i="6" s="1"/>
  <c r="C1005" i="108" s="1"/>
  <c r="I1005" i="108" s="1"/>
  <c r="I619" i="6"/>
  <c r="D1005" i="108" s="1"/>
  <c r="O437" i="6" a="1"/>
  <c r="O437" i="6" s="1"/>
  <c r="C495" i="108" s="1"/>
  <c r="A495" i="108"/>
  <c r="I998" i="6"/>
  <c r="D495" i="108" s="1"/>
  <c r="O460" i="6" a="1"/>
  <c r="O460" i="6" s="1"/>
  <c r="C852" i="108" s="1"/>
  <c r="A852" i="108"/>
  <c r="I913" i="6"/>
  <c r="D852" i="108" s="1"/>
  <c r="A903" i="108"/>
  <c r="I465" i="6"/>
  <c r="D903" i="108" s="1"/>
  <c r="O490" i="6" a="1"/>
  <c r="O490" i="6" s="1"/>
  <c r="C903" i="108" s="1"/>
  <c r="O441" i="6" a="1"/>
  <c r="O441" i="6" s="1"/>
  <c r="C529" i="108" s="1"/>
  <c r="I529" i="108" s="1"/>
  <c r="A529" i="108"/>
  <c r="I336" i="6"/>
  <c r="D529" i="108" s="1"/>
  <c r="L106" i="6"/>
  <c r="D104" i="6" s="1"/>
  <c r="A103" i="108"/>
  <c r="O390" i="6" a="1"/>
  <c r="O390" i="6" s="1"/>
  <c r="C103" i="108" s="1"/>
  <c r="I103" i="108" s="1"/>
  <c r="I66" i="6"/>
  <c r="D103" i="108" s="1"/>
  <c r="A189" i="108"/>
  <c r="O406" i="6" a="1"/>
  <c r="O406" i="6" s="1"/>
  <c r="C189" i="108" s="1"/>
  <c r="I189" i="108" s="1"/>
  <c r="I803" i="6"/>
  <c r="D189" i="108" s="1"/>
  <c r="L122" i="6"/>
  <c r="D122" i="6" s="1"/>
  <c r="O393" i="6" a="1"/>
  <c r="O393" i="6" s="1"/>
  <c r="C121" i="108" s="1"/>
  <c r="I121" i="108" s="1"/>
  <c r="A121" i="108"/>
  <c r="I849" i="6"/>
  <c r="D121" i="108" s="1"/>
  <c r="L529" i="6"/>
  <c r="D518" i="6" s="1"/>
  <c r="K632" i="6"/>
  <c r="L40" i="6"/>
  <c r="D48" i="6" s="1"/>
  <c r="K143" i="6"/>
  <c r="L63" i="6"/>
  <c r="D70" i="6" s="1"/>
  <c r="K166" i="6"/>
  <c r="L96" i="6"/>
  <c r="D100" i="6" s="1"/>
  <c r="O220" i="6" a="1"/>
  <c r="O220" i="6" s="1"/>
  <c r="C99" i="108" s="1"/>
  <c r="I99" i="108" s="1"/>
  <c r="I639" i="6"/>
  <c r="D99" i="108" s="1"/>
  <c r="A99" i="108"/>
  <c r="L95" i="6"/>
  <c r="D101" i="6" s="1"/>
  <c r="O325" i="6" a="1"/>
  <c r="O325" i="6" s="1"/>
  <c r="C100" i="108" s="1"/>
  <c r="A100" i="108"/>
  <c r="I848" i="6"/>
  <c r="D100" i="108" s="1"/>
  <c r="O404" i="6" a="1"/>
  <c r="O404" i="6" s="1"/>
  <c r="C247" i="108" s="1"/>
  <c r="A247" i="108"/>
  <c r="I491" i="6"/>
  <c r="D247" i="108" s="1"/>
  <c r="O405" i="6" a="1"/>
  <c r="O405" i="6" s="1"/>
  <c r="C264" i="108" s="1"/>
  <c r="I742" i="6"/>
  <c r="D264" i="108" s="1"/>
  <c r="A264" i="108"/>
  <c r="A791" i="108"/>
  <c r="O482" i="6" a="1"/>
  <c r="O482" i="6" s="1"/>
  <c r="C791" i="108" s="1"/>
  <c r="I791" i="108" s="1"/>
  <c r="I591" i="6"/>
  <c r="D791" i="108" s="1"/>
  <c r="L109" i="6"/>
  <c r="D112" i="6" s="1"/>
  <c r="A111" i="108"/>
  <c r="O392" i="6" a="1"/>
  <c r="O392" i="6" s="1"/>
  <c r="C111" i="108" s="1"/>
  <c r="I545" i="6"/>
  <c r="D111" i="108" s="1"/>
  <c r="I935" i="6"/>
  <c r="D774" i="108" s="1"/>
  <c r="O481" i="6" a="1"/>
  <c r="O481" i="6" s="1"/>
  <c r="C774" i="108" s="1"/>
  <c r="A774" i="108"/>
  <c r="A706" i="108"/>
  <c r="O477" i="6" a="1"/>
  <c r="O477" i="6" s="1"/>
  <c r="C706" i="108" s="1"/>
  <c r="I706" i="108" s="1"/>
  <c r="I400" i="6"/>
  <c r="D706" i="108" s="1"/>
  <c r="I466" i="6"/>
  <c r="D638" i="108" s="1"/>
  <c r="O473" i="6" a="1"/>
  <c r="O473" i="6" s="1"/>
  <c r="C638" i="108" s="1"/>
  <c r="I638" i="108" s="1"/>
  <c r="A638" i="108"/>
  <c r="L62" i="6"/>
  <c r="D51" i="6" s="1"/>
  <c r="K165" i="6"/>
  <c r="L420" i="6"/>
  <c r="D413" i="6" s="1"/>
  <c r="K523" i="6"/>
  <c r="L73" i="6"/>
  <c r="D63" i="6" s="1"/>
  <c r="K176" i="6"/>
  <c r="L92" i="6"/>
  <c r="D86" i="6" s="1"/>
  <c r="A470" i="108"/>
  <c r="O257" i="6" a="1"/>
  <c r="O257" i="6" s="1"/>
  <c r="C470" i="108" s="1"/>
  <c r="I470" i="108" s="1"/>
  <c r="I887" i="6"/>
  <c r="D470" i="108" s="1"/>
  <c r="I726" i="6"/>
  <c r="D827" i="108" s="1"/>
  <c r="O305" i="6" a="1"/>
  <c r="O305" i="6" s="1"/>
  <c r="C827" i="108" s="1"/>
  <c r="A827" i="108"/>
  <c r="O260" i="6" a="1"/>
  <c r="O260" i="6" s="1"/>
  <c r="C503" i="108" s="1"/>
  <c r="A503" i="108"/>
  <c r="I948" i="6"/>
  <c r="D503" i="108" s="1"/>
  <c r="L111" i="6"/>
  <c r="D113" i="6" s="1"/>
  <c r="O46" i="6" a="1"/>
  <c r="O46" i="6" s="1"/>
  <c r="C112" i="108" s="1"/>
  <c r="I112" i="108" s="1"/>
  <c r="A112" i="108"/>
  <c r="I513" i="6"/>
  <c r="D112" i="108" s="1"/>
  <c r="I875" i="6"/>
  <c r="D588" i="108" s="1"/>
  <c r="O270" i="6" a="1"/>
  <c r="O270" i="6" s="1"/>
  <c r="C588" i="108" s="1"/>
  <c r="A588" i="108"/>
  <c r="I478" i="6"/>
  <c r="D775" i="108" s="1"/>
  <c r="O292" i="6" a="1"/>
  <c r="O292" i="6" s="1"/>
  <c r="C775" i="108" s="1"/>
  <c r="A775" i="108"/>
  <c r="O354" i="6" a="1"/>
  <c r="O354" i="6" s="1"/>
  <c r="C963" i="108" s="1"/>
  <c r="A963" i="108"/>
  <c r="I85" i="6"/>
  <c r="D963" i="108" s="1"/>
  <c r="O256" i="6" a="1"/>
  <c r="O256" i="6" s="1"/>
  <c r="C469" i="108" s="1"/>
  <c r="A469" i="108"/>
  <c r="I603" i="6"/>
  <c r="D469" i="108" s="1"/>
  <c r="A724" i="108"/>
  <c r="O286" i="6" a="1"/>
  <c r="O286" i="6" s="1"/>
  <c r="C724" i="108" s="1"/>
  <c r="I724" i="108" s="1"/>
  <c r="I537" i="6"/>
  <c r="D724" i="108" s="1"/>
  <c r="O64" i="6" a="1"/>
  <c r="O64" i="6" s="1"/>
  <c r="C163" i="108" s="1"/>
  <c r="A163" i="108"/>
  <c r="I427" i="6"/>
  <c r="D163" i="108" s="1"/>
  <c r="A979" i="108"/>
  <c r="I357" i="6"/>
  <c r="D979" i="108" s="1"/>
  <c r="O359" i="6" a="1"/>
  <c r="O359" i="6" s="1"/>
  <c r="C979" i="108" s="1"/>
  <c r="A980" i="108"/>
  <c r="I894" i="6"/>
  <c r="D980" i="108" s="1"/>
  <c r="O360" i="6" a="1"/>
  <c r="O360" i="6" s="1"/>
  <c r="C980" i="108" s="1"/>
  <c r="I980" i="108" s="1"/>
  <c r="A656" i="108"/>
  <c r="O278" i="6" a="1"/>
  <c r="O278" i="6" s="1"/>
  <c r="C656" i="108" s="1"/>
  <c r="I244" i="6"/>
  <c r="D656" i="108" s="1"/>
  <c r="O295" i="6" a="1"/>
  <c r="O295" i="6" s="1"/>
  <c r="C793" i="108" s="1"/>
  <c r="I793" i="108" s="1"/>
  <c r="A793" i="108"/>
  <c r="I1022" i="6"/>
  <c r="D793" i="108" s="1"/>
  <c r="A504" i="108"/>
  <c r="O261" i="6" a="1"/>
  <c r="O261" i="6" s="1"/>
  <c r="C504" i="108" s="1"/>
  <c r="I504" i="108" s="1"/>
  <c r="I859" i="6"/>
  <c r="D504" i="108" s="1"/>
  <c r="O106" i="6" a="1"/>
  <c r="O106" i="6" s="1"/>
  <c r="C340" i="108" s="1"/>
  <c r="I480" i="6"/>
  <c r="D340" i="108" s="1"/>
  <c r="A340" i="108"/>
  <c r="O110" i="6" a="1"/>
  <c r="O110" i="6" s="1"/>
  <c r="C357" i="108" s="1"/>
  <c r="A357" i="108"/>
  <c r="I548" i="6"/>
  <c r="D357" i="108" s="1"/>
  <c r="A40" i="108"/>
  <c r="I926" i="6"/>
  <c r="D40" i="108" s="1"/>
  <c r="O30" i="6" a="1"/>
  <c r="O30" i="6" s="1"/>
  <c r="C40" i="108" s="1"/>
  <c r="O364" i="6" a="1"/>
  <c r="O364" i="6" s="1"/>
  <c r="C993" i="108" s="1"/>
  <c r="I993" i="108" s="1"/>
  <c r="A993" i="108"/>
  <c r="I764" i="6"/>
  <c r="D993" i="108" s="1"/>
  <c r="O326" i="6" a="1"/>
  <c r="O326" i="6" s="1"/>
  <c r="C883" i="108" s="1"/>
  <c r="I883" i="108" s="1"/>
  <c r="A883" i="108"/>
  <c r="I219" i="6"/>
  <c r="D883" i="108" s="1"/>
  <c r="O313" i="6" a="1"/>
  <c r="O313" i="6" s="1"/>
  <c r="C850" i="108" s="1"/>
  <c r="I850" i="108" s="1"/>
  <c r="A850" i="108"/>
  <c r="I526" i="6"/>
  <c r="D850" i="108" s="1"/>
  <c r="I584" i="6"/>
  <c r="D561" i="108" s="1"/>
  <c r="O158" i="6" a="1"/>
  <c r="O158" i="6" s="1"/>
  <c r="C561" i="108" s="1"/>
  <c r="A561" i="108"/>
  <c r="I409" i="6"/>
  <c r="D378" i="108" s="1"/>
  <c r="A378" i="108"/>
  <c r="O115" i="6" a="1"/>
  <c r="O115" i="6" s="1"/>
  <c r="C378" i="108" s="1"/>
  <c r="I378" i="108" s="1"/>
  <c r="O201" i="6" a="1"/>
  <c r="O201" i="6" s="1"/>
  <c r="C747" i="108" s="1"/>
  <c r="A747" i="108"/>
  <c r="I271" i="6"/>
  <c r="D747" i="108" s="1"/>
  <c r="A483" i="108"/>
  <c r="O140" i="6" a="1"/>
  <c r="O140" i="6" s="1"/>
  <c r="C483" i="108" s="1"/>
  <c r="I483" i="108" s="1"/>
  <c r="I928" i="6"/>
  <c r="D483" i="108" s="1"/>
  <c r="O138" i="6" a="1"/>
  <c r="O138" i="6" s="1"/>
  <c r="C476" i="108" s="1"/>
  <c r="A476" i="108"/>
  <c r="I911" i="6"/>
  <c r="D476" i="108" s="1"/>
  <c r="A441" i="108"/>
  <c r="O129" i="6" a="1"/>
  <c r="O129" i="6" s="1"/>
  <c r="C441" i="108" s="1"/>
  <c r="I659" i="6"/>
  <c r="D441" i="108" s="1"/>
  <c r="A636" i="108"/>
  <c r="O176" i="6" a="1"/>
  <c r="O176" i="6" s="1"/>
  <c r="C636" i="108" s="1"/>
  <c r="I640" i="6"/>
  <c r="D636" i="108" s="1"/>
  <c r="A169" i="108"/>
  <c r="O65" i="6" a="1"/>
  <c r="O65" i="6" s="1"/>
  <c r="C169" i="108" s="1"/>
  <c r="I395" i="6"/>
  <c r="D169" i="108" s="1"/>
  <c r="A701" i="108"/>
  <c r="O191" i="6" a="1"/>
  <c r="O191" i="6" s="1"/>
  <c r="C701" i="108" s="1"/>
  <c r="I539" i="6"/>
  <c r="D701" i="108" s="1"/>
  <c r="A578" i="108"/>
  <c r="O162" i="6" a="1"/>
  <c r="O162" i="6" s="1"/>
  <c r="C578" i="108" s="1"/>
  <c r="I578" i="108" s="1"/>
  <c r="I307" i="6"/>
  <c r="D578" i="108" s="1"/>
  <c r="A714" i="108"/>
  <c r="I971" i="6"/>
  <c r="D714" i="108" s="1"/>
  <c r="O194" i="6" a="1"/>
  <c r="O194" i="6" s="1"/>
  <c r="C714" i="108" s="1"/>
  <c r="I714" i="108" s="1"/>
  <c r="A140" i="108"/>
  <c r="I153" i="6"/>
  <c r="D140" i="108" s="1"/>
  <c r="O56" i="6" a="1"/>
  <c r="O56" i="6" s="1"/>
  <c r="C140" i="108" s="1"/>
  <c r="I140" i="108" s="1"/>
  <c r="I782" i="6"/>
  <c r="D374" i="108" s="1"/>
  <c r="O114" i="6" a="1"/>
  <c r="O114" i="6" s="1"/>
  <c r="C374" i="108" s="1"/>
  <c r="I374" i="108" s="1"/>
  <c r="A374" i="108"/>
  <c r="O332" i="6" a="1"/>
  <c r="O332" i="6" s="1"/>
  <c r="C901" i="108" s="1"/>
  <c r="I901" i="108" s="1"/>
  <c r="A901" i="108"/>
  <c r="I213" i="6"/>
  <c r="D901" i="108" s="1"/>
  <c r="I621" i="6"/>
  <c r="D310" i="108" s="1"/>
  <c r="A310" i="108"/>
  <c r="O99" i="6" a="1"/>
  <c r="O99" i="6" s="1"/>
  <c r="C310" i="108" s="1"/>
  <c r="I310" i="108" s="1"/>
  <c r="A867" i="108"/>
  <c r="I288" i="6"/>
  <c r="D867" i="108" s="1"/>
  <c r="O319" i="6" a="1"/>
  <c r="O319" i="6" s="1"/>
  <c r="C867" i="108" s="1"/>
  <c r="A612" i="108"/>
  <c r="I149" i="6"/>
  <c r="D612" i="108" s="1"/>
  <c r="O170" i="6" a="1"/>
  <c r="O170" i="6" s="1"/>
  <c r="C612" i="108" s="1"/>
  <c r="I612" i="108" s="1"/>
  <c r="O172" i="6" a="1"/>
  <c r="O172" i="6" s="1"/>
  <c r="C619" i="108" s="1"/>
  <c r="A619" i="108"/>
  <c r="I956" i="6"/>
  <c r="D619" i="108" s="1"/>
  <c r="O137" i="6" a="1"/>
  <c r="O137" i="6" s="1"/>
  <c r="C475" i="108" s="1"/>
  <c r="I724" i="6"/>
  <c r="D475" i="108" s="1"/>
  <c r="A475" i="108"/>
  <c r="A823" i="108"/>
  <c r="I39" i="6"/>
  <c r="D823" i="108" s="1"/>
  <c r="O303" i="6" a="1"/>
  <c r="O303" i="6" s="1"/>
  <c r="C823" i="108" s="1"/>
  <c r="I823" i="108" s="1"/>
  <c r="A245" i="108"/>
  <c r="O84" i="6" a="1"/>
  <c r="O84" i="6" s="1"/>
  <c r="C245" i="108" s="1"/>
  <c r="I245" i="108" s="1"/>
  <c r="I165" i="6"/>
  <c r="D245" i="108" s="1"/>
  <c r="L82" i="6"/>
  <c r="D75" i="6" s="1"/>
  <c r="K185" i="6"/>
  <c r="L531" i="6"/>
  <c r="D516" i="6" s="1"/>
  <c r="K634" i="6"/>
  <c r="A158" i="108"/>
  <c r="I828" i="6"/>
  <c r="D158" i="108" s="1"/>
  <c r="O565" i="6" a="1"/>
  <c r="O565" i="6" s="1"/>
  <c r="C158" i="108" s="1"/>
  <c r="I158" i="108" s="1"/>
  <c r="I36" i="6"/>
  <c r="D294" i="108" s="1"/>
  <c r="O701" i="6" a="1"/>
  <c r="O701" i="6" s="1"/>
  <c r="C294" i="108" s="1"/>
  <c r="I294" i="108" s="1"/>
  <c r="A294" i="108"/>
  <c r="A345" i="108"/>
  <c r="I470" i="6"/>
  <c r="D345" i="108" s="1"/>
  <c r="O713" i="6" a="1"/>
  <c r="O713" i="6" s="1"/>
  <c r="C345" i="108" s="1"/>
  <c r="I345" i="108" s="1"/>
  <c r="O714" i="6" a="1"/>
  <c r="O714" i="6" s="1"/>
  <c r="C346" i="108" s="1"/>
  <c r="A346" i="108"/>
  <c r="I960" i="6"/>
  <c r="D346" i="108" s="1"/>
  <c r="A227" i="108"/>
  <c r="I900" i="6"/>
  <c r="D227" i="108" s="1"/>
  <c r="O686" i="6" a="1"/>
  <c r="O686" i="6" s="1"/>
  <c r="C227" i="108" s="1"/>
  <c r="I806" i="6"/>
  <c r="D788" i="108" s="1"/>
  <c r="O882" i="6" a="1"/>
  <c r="O882" i="6" s="1"/>
  <c r="C788" i="108" s="1"/>
  <c r="A788" i="108"/>
  <c r="A760" i="108"/>
  <c r="O868" i="6" a="1"/>
  <c r="O868" i="6" s="1"/>
  <c r="C760" i="108" s="1"/>
  <c r="I815" i="6"/>
  <c r="D760" i="108" s="1"/>
  <c r="O715" i="6" a="1"/>
  <c r="O715" i="6" s="1"/>
  <c r="C352" i="108" s="1"/>
  <c r="I321" i="6"/>
  <c r="D352" i="108" s="1"/>
  <c r="A352" i="108"/>
  <c r="O557" i="6" a="1"/>
  <c r="O557" i="6" s="1"/>
  <c r="C141" i="108" s="1"/>
  <c r="A141" i="108"/>
  <c r="I929" i="6"/>
  <c r="D141" i="108" s="1"/>
  <c r="O1017" i="6" a="1"/>
  <c r="O1017" i="6" s="1"/>
  <c r="C1009" i="108" s="1"/>
  <c r="A1009" i="108"/>
  <c r="I436" i="6"/>
  <c r="D1009" i="108" s="1"/>
  <c r="A941" i="108"/>
  <c r="O995" i="6" a="1"/>
  <c r="O995" i="6" s="1"/>
  <c r="C941" i="108" s="1"/>
  <c r="I941" i="108" s="1"/>
  <c r="I680" i="6"/>
  <c r="D941" i="108" s="1"/>
  <c r="I25" i="6"/>
  <c r="D277" i="108" s="1"/>
  <c r="O697" i="6" a="1"/>
  <c r="O697" i="6" s="1"/>
  <c r="C277" i="108" s="1"/>
  <c r="I277" i="108" s="1"/>
  <c r="A277" i="108"/>
  <c r="A617" i="108"/>
  <c r="O801" i="6" a="1"/>
  <c r="O801" i="6" s="1"/>
  <c r="C617" i="108" s="1"/>
  <c r="I583" i="6"/>
  <c r="D617" i="108" s="1"/>
  <c r="A176" i="108"/>
  <c r="O574" i="6" a="1"/>
  <c r="O574" i="6" s="1"/>
  <c r="C176" i="108" s="1"/>
  <c r="I104" i="6"/>
  <c r="D176" i="108" s="1"/>
  <c r="I1006" i="6"/>
  <c r="D879" i="108" s="1"/>
  <c r="O977" i="6" a="1"/>
  <c r="O977" i="6" s="1"/>
  <c r="C879" i="108" s="1"/>
  <c r="A879" i="108"/>
  <c r="I408" i="6"/>
  <c r="D471" i="108" s="1"/>
  <c r="A471" i="108"/>
  <c r="O750" i="6" a="1"/>
  <c r="O750" i="6" s="1"/>
  <c r="C471" i="108" s="1"/>
  <c r="I471" i="108" s="1"/>
  <c r="A1008" i="108"/>
  <c r="O1016" i="6" a="1"/>
  <c r="O1016" i="6" s="1"/>
  <c r="C1008" i="108" s="1"/>
  <c r="I1008" i="108" s="1"/>
  <c r="I661" i="6"/>
  <c r="D1008" i="108" s="1"/>
  <c r="A193" i="108"/>
  <c r="O582" i="6" a="1"/>
  <c r="O582" i="6" s="1"/>
  <c r="C193" i="108" s="1"/>
  <c r="I193" i="108" s="1"/>
  <c r="I532" i="6"/>
  <c r="D193" i="108" s="1"/>
  <c r="O720" i="6" a="1"/>
  <c r="O720" i="6" s="1"/>
  <c r="C369" i="108" s="1"/>
  <c r="A369" i="108"/>
  <c r="I555" i="6"/>
  <c r="D369" i="108" s="1"/>
  <c r="A685" i="108"/>
  <c r="O833" i="6" a="1"/>
  <c r="O833" i="6" s="1"/>
  <c r="C685" i="108" s="1"/>
  <c r="I685" i="108" s="1"/>
  <c r="I756" i="6"/>
  <c r="D685" i="108" s="1"/>
  <c r="O849" i="6" a="1"/>
  <c r="O849" i="6" s="1"/>
  <c r="C719" i="108" s="1"/>
  <c r="I719" i="108" s="1"/>
  <c r="A719" i="108"/>
  <c r="I285" i="6"/>
  <c r="D719" i="108" s="1"/>
  <c r="L210" i="6"/>
  <c r="D203" i="6" s="1"/>
  <c r="L91" i="6"/>
  <c r="D91" i="6" s="1"/>
  <c r="L78" i="6"/>
  <c r="D80" i="6" s="1"/>
  <c r="K181" i="6"/>
  <c r="O377" i="6" a="1"/>
  <c r="O377" i="6" s="1"/>
  <c r="C27" i="108" s="1"/>
  <c r="A27" i="108"/>
  <c r="I419" i="6"/>
  <c r="D27" i="108" s="1"/>
  <c r="L738" i="6"/>
  <c r="D721" i="6" s="1"/>
  <c r="G20" i="108"/>
  <c r="F20" i="108"/>
  <c r="F16" i="105"/>
  <c r="CD33" i="81"/>
  <c r="K843" i="6"/>
  <c r="L843" i="6" s="1"/>
  <c r="D822" i="6" s="1"/>
  <c r="G19" i="108"/>
  <c r="CE25" i="81" s="1"/>
  <c r="F13" i="105"/>
  <c r="K944" i="6"/>
  <c r="L944" i="6" s="1"/>
  <c r="D921" i="6" s="1"/>
  <c r="F12" i="105"/>
  <c r="O30" i="108"/>
  <c r="O27" i="108"/>
  <c r="O24" i="108"/>
  <c r="O29" i="108"/>
  <c r="O26" i="108"/>
  <c r="F19" i="108"/>
  <c r="CE24" i="81" s="1"/>
  <c r="O23" i="108"/>
  <c r="O28" i="108"/>
  <c r="O25" i="108"/>
  <c r="O22" i="108"/>
  <c r="F21" i="105"/>
  <c r="F17" i="105"/>
  <c r="F14" i="105"/>
  <c r="F15" i="105"/>
  <c r="F19" i="105"/>
  <c r="K844" i="6"/>
  <c r="L844" i="6" s="1"/>
  <c r="D820" i="6" s="1"/>
  <c r="F20" i="105"/>
  <c r="F18" i="105"/>
  <c r="K945" i="6"/>
  <c r="L945" i="6" s="1"/>
  <c r="D923" i="6" s="1"/>
  <c r="D217" i="6" l="1"/>
  <c r="L181" i="6"/>
  <c r="D180" i="6" s="1"/>
  <c r="K284" i="6"/>
  <c r="L408" i="6"/>
  <c r="D396" i="6" s="1"/>
  <c r="K511" i="6"/>
  <c r="O939" i="6" a="1"/>
  <c r="O939" i="6" s="1"/>
  <c r="C965" i="108" s="1"/>
  <c r="I905" i="6"/>
  <c r="D965" i="108" s="1"/>
  <c r="A965" i="108"/>
  <c r="O787" i="6" a="1"/>
  <c r="O787" i="6" s="1"/>
  <c r="C586" i="108" s="1"/>
  <c r="A586" i="108"/>
  <c r="I959" i="6"/>
  <c r="D586" i="108" s="1"/>
  <c r="O645" i="6" a="1"/>
  <c r="O645" i="6" s="1"/>
  <c r="C405" i="108" s="1"/>
  <c r="A405" i="108"/>
  <c r="I741" i="6"/>
  <c r="D405" i="108" s="1"/>
  <c r="A154" i="108"/>
  <c r="O564" i="6" a="1"/>
  <c r="O564" i="6" s="1"/>
  <c r="C154" i="108" s="1"/>
  <c r="I154" i="108" s="1"/>
  <c r="I774" i="6"/>
  <c r="D154" i="108" s="1"/>
  <c r="O602" i="6" a="1"/>
  <c r="O602" i="6" s="1"/>
  <c r="C251" i="108" s="1"/>
  <c r="I251" i="108" s="1"/>
  <c r="I44" i="6"/>
  <c r="D251" i="108" s="1"/>
  <c r="A251" i="108"/>
  <c r="O643" i="6" a="1"/>
  <c r="O643" i="6" s="1"/>
  <c r="C399" i="108" s="1"/>
  <c r="I399" i="108" s="1"/>
  <c r="I449" i="6"/>
  <c r="D399" i="108" s="1"/>
  <c r="A399" i="108"/>
  <c r="A178" i="108"/>
  <c r="O575" i="6" a="1"/>
  <c r="O575" i="6" s="1"/>
  <c r="C178" i="108" s="1"/>
  <c r="I574" i="6"/>
  <c r="D178" i="108" s="1"/>
  <c r="O639" i="6" a="1"/>
  <c r="O639" i="6" s="1"/>
  <c r="C382" i="108" s="1"/>
  <c r="I382" i="108" s="1"/>
  <c r="A382" i="108"/>
  <c r="I541" i="6"/>
  <c r="D382" i="108" s="1"/>
  <c r="A613" i="108"/>
  <c r="O799" i="6" a="1"/>
  <c r="O799" i="6" s="1"/>
  <c r="C613" i="108" s="1"/>
  <c r="I435" i="6"/>
  <c r="D613" i="108" s="1"/>
  <c r="O640" i="6" a="1"/>
  <c r="O640" i="6" s="1"/>
  <c r="C387" i="108" s="1"/>
  <c r="A387" i="108"/>
  <c r="I643" i="6"/>
  <c r="D387" i="108" s="1"/>
  <c r="A528" i="108"/>
  <c r="O674" i="6" a="1"/>
  <c r="O674" i="6" s="1"/>
  <c r="C528" i="108" s="1"/>
  <c r="I528" i="108" s="1"/>
  <c r="I685" i="6"/>
  <c r="D528" i="108" s="1"/>
  <c r="I598" i="6"/>
  <c r="D188" i="108" s="1"/>
  <c r="A188" i="108"/>
  <c r="O580" i="6" a="1"/>
  <c r="O580" i="6" s="1"/>
  <c r="C188" i="108" s="1"/>
  <c r="O942" i="6" a="1"/>
  <c r="O942" i="6" s="1"/>
  <c r="C977" i="108" s="1"/>
  <c r="I977" i="108" s="1"/>
  <c r="A977" i="108"/>
  <c r="I278" i="6"/>
  <c r="D977" i="108" s="1"/>
  <c r="O677" i="6" a="1"/>
  <c r="O677" i="6" s="1"/>
  <c r="C541" i="108" s="1"/>
  <c r="I541" i="108" s="1"/>
  <c r="A541" i="108"/>
  <c r="I431" i="6"/>
  <c r="D541" i="108" s="1"/>
  <c r="O650" i="6" a="1"/>
  <c r="O650" i="6" s="1"/>
  <c r="C426" i="108" s="1"/>
  <c r="I426" i="108" s="1"/>
  <c r="A426" i="108"/>
  <c r="I439" i="6"/>
  <c r="D426" i="108" s="1"/>
  <c r="L198" i="6"/>
  <c r="D201" i="6" s="1"/>
  <c r="A200" i="108"/>
  <c r="O585" i="6" a="1"/>
  <c r="O585" i="6" s="1"/>
  <c r="C200" i="108" s="1"/>
  <c r="I200" i="108" s="1"/>
  <c r="I854" i="6"/>
  <c r="D200" i="108" s="1"/>
  <c r="I628" i="6"/>
  <c r="D694" i="108" s="1"/>
  <c r="O838" i="6" a="1"/>
  <c r="O838" i="6" s="1"/>
  <c r="C694" i="108" s="1"/>
  <c r="I694" i="108" s="1"/>
  <c r="A694" i="108"/>
  <c r="O819" i="6" a="1"/>
  <c r="O819" i="6" s="1"/>
  <c r="C654" i="108" s="1"/>
  <c r="I654" i="108" s="1"/>
  <c r="A654" i="108"/>
  <c r="I76" i="6"/>
  <c r="D654" i="108" s="1"/>
  <c r="L430" i="6"/>
  <c r="D423" i="6" s="1"/>
  <c r="O649" i="6" a="1"/>
  <c r="O649" i="6" s="1"/>
  <c r="C422" i="108" s="1"/>
  <c r="I422" i="108" s="1"/>
  <c r="A422" i="108"/>
  <c r="I885" i="6"/>
  <c r="D422" i="108" s="1"/>
  <c r="A864" i="108"/>
  <c r="O914" i="6" a="1"/>
  <c r="O914" i="6" s="1"/>
  <c r="C864" i="108" s="1"/>
  <c r="I864" i="108" s="1"/>
  <c r="I612" i="6"/>
  <c r="D864" i="108" s="1"/>
  <c r="I712" i="6"/>
  <c r="D195" i="108" s="1"/>
  <c r="O583" i="6" a="1"/>
  <c r="O583" i="6" s="1"/>
  <c r="C195" i="108" s="1"/>
  <c r="A195" i="108"/>
  <c r="L202" i="6"/>
  <c r="D196" i="6" s="1"/>
  <c r="A953" i="108"/>
  <c r="O937" i="6" a="1"/>
  <c r="O937" i="6" s="1"/>
  <c r="C953" i="108" s="1"/>
  <c r="I792" i="6"/>
  <c r="D953" i="108" s="1"/>
  <c r="I737" i="6"/>
  <c r="D229" i="108" s="1"/>
  <c r="A229" i="108"/>
  <c r="O596" i="6" a="1"/>
  <c r="O596" i="6" s="1"/>
  <c r="C229" i="108" s="1"/>
  <c r="I229" i="108" s="1"/>
  <c r="A637" i="108"/>
  <c r="O811" i="6" a="1"/>
  <c r="O811" i="6" s="1"/>
  <c r="C637" i="108" s="1"/>
  <c r="I637" i="108" s="1"/>
  <c r="I865" i="6"/>
  <c r="D637" i="108" s="1"/>
  <c r="A813" i="108"/>
  <c r="O894" i="6" a="1"/>
  <c r="O894" i="6" s="1"/>
  <c r="C813" i="108" s="1"/>
  <c r="I813" i="108" s="1"/>
  <c r="I982" i="6"/>
  <c r="D813" i="108" s="1"/>
  <c r="O1014" i="6" a="1"/>
  <c r="O1014" i="6" s="1"/>
  <c r="C1004" i="108" s="1"/>
  <c r="A1004" i="108"/>
  <c r="I807" i="6"/>
  <c r="D1004" i="108" s="1"/>
  <c r="I150" i="6"/>
  <c r="D285" i="108" s="1"/>
  <c r="O612" i="6" a="1"/>
  <c r="O612" i="6" s="1"/>
  <c r="C285" i="108" s="1"/>
  <c r="I285" i="108" s="1"/>
  <c r="A285" i="108"/>
  <c r="A948" i="108"/>
  <c r="I403" i="6"/>
  <c r="D948" i="108" s="1"/>
  <c r="O935" i="6" a="1"/>
  <c r="O935" i="6" s="1"/>
  <c r="C948" i="108" s="1"/>
  <c r="L631" i="6"/>
  <c r="D619" i="6" s="1"/>
  <c r="K734" i="6"/>
  <c r="L403" i="6"/>
  <c r="D398" i="6" s="1"/>
  <c r="K506" i="6"/>
  <c r="L28" i="6"/>
  <c r="D32" i="6" s="1"/>
  <c r="K131" i="6"/>
  <c r="L32" i="6"/>
  <c r="D26" i="6" s="1"/>
  <c r="K135" i="6"/>
  <c r="L414" i="6"/>
  <c r="D402" i="6" s="1"/>
  <c r="K517" i="6"/>
  <c r="L164" i="6"/>
  <c r="D152" i="6" s="1"/>
  <c r="K267" i="6"/>
  <c r="L155" i="6"/>
  <c r="D162" i="6" s="1"/>
  <c r="K258" i="6"/>
  <c r="L298" i="6"/>
  <c r="D286" i="6" s="1"/>
  <c r="K401" i="6"/>
  <c r="I346" i="108"/>
  <c r="I476" i="108"/>
  <c r="I955" i="108"/>
  <c r="I564" i="108"/>
  <c r="L297" i="6"/>
  <c r="D291" i="6" s="1"/>
  <c r="K400" i="6"/>
  <c r="E15" i="105"/>
  <c r="E14" i="105"/>
  <c r="I905" i="108"/>
  <c r="I687" i="108"/>
  <c r="I129" i="108"/>
  <c r="L168" i="6"/>
  <c r="D172" i="6" s="1"/>
  <c r="K271" i="6"/>
  <c r="I648" i="108"/>
  <c r="I45" i="108"/>
  <c r="I148" i="108"/>
  <c r="I590" i="108"/>
  <c r="I709" i="108"/>
  <c r="I424" i="108"/>
  <c r="I177" i="108"/>
  <c r="I152" i="108"/>
  <c r="I707" i="108"/>
  <c r="I946" i="108"/>
  <c r="I623" i="108"/>
  <c r="O654" i="6" a="1"/>
  <c r="O654" i="6" s="1"/>
  <c r="C443" i="108" s="1"/>
  <c r="A443" i="108"/>
  <c r="I49" i="6"/>
  <c r="D443" i="108" s="1"/>
  <c r="O830" i="6" a="1"/>
  <c r="O830" i="6" s="1"/>
  <c r="C677" i="108" s="1"/>
  <c r="I677" i="108" s="1"/>
  <c r="A677" i="108"/>
  <c r="I572" i="6"/>
  <c r="D677" i="108" s="1"/>
  <c r="A562" i="108"/>
  <c r="O775" i="6" a="1"/>
  <c r="O775" i="6" s="1"/>
  <c r="C562" i="108" s="1"/>
  <c r="I297" i="6"/>
  <c r="D562" i="108" s="1"/>
  <c r="O910" i="6" a="1"/>
  <c r="O910" i="6" s="1"/>
  <c r="C851" i="108" s="1"/>
  <c r="A851" i="108"/>
  <c r="I242" i="6"/>
  <c r="D851" i="108" s="1"/>
  <c r="A558" i="108"/>
  <c r="O774" i="6" a="1"/>
  <c r="O774" i="6" s="1"/>
  <c r="C558" i="108" s="1"/>
  <c r="I558" i="108" s="1"/>
  <c r="I733" i="6"/>
  <c r="D558" i="108" s="1"/>
  <c r="I73" i="6"/>
  <c r="D127" i="108" s="1"/>
  <c r="O550" i="6" a="1"/>
  <c r="O550" i="6" s="1"/>
  <c r="C127" i="108" s="1"/>
  <c r="I127" i="108" s="1"/>
  <c r="A127" i="108"/>
  <c r="A885" i="108"/>
  <c r="O920" i="6" a="1"/>
  <c r="O920" i="6" s="1"/>
  <c r="C885" i="108" s="1"/>
  <c r="I885" i="108" s="1"/>
  <c r="I264" i="6"/>
  <c r="D885" i="108" s="1"/>
  <c r="O588" i="6" a="1"/>
  <c r="O588" i="6" s="1"/>
  <c r="C205" i="108" s="1"/>
  <c r="I205" i="108" s="1"/>
  <c r="I679" i="6"/>
  <c r="D205" i="108" s="1"/>
  <c r="A205" i="108"/>
  <c r="L211" i="6"/>
  <c r="D206" i="6" s="1"/>
  <c r="L326" i="6"/>
  <c r="D321" i="6" s="1"/>
  <c r="O623" i="6" a="1"/>
  <c r="O623" i="6" s="1"/>
  <c r="C320" i="108" s="1"/>
  <c r="I320" i="108" s="1"/>
  <c r="I702" i="6"/>
  <c r="D320" i="108" s="1"/>
  <c r="A320" i="108"/>
  <c r="O506" i="6" a="1"/>
  <c r="O506" i="6" s="1"/>
  <c r="C30" i="108" s="1"/>
  <c r="I30" i="108" s="1"/>
  <c r="I836" i="6"/>
  <c r="D30" i="108" s="1"/>
  <c r="A30" i="108"/>
  <c r="O632" i="6" a="1"/>
  <c r="O632" i="6" s="1"/>
  <c r="C353" i="108" s="1"/>
  <c r="I687" i="6"/>
  <c r="D353" i="108" s="1"/>
  <c r="A353" i="108"/>
  <c r="I130" i="6"/>
  <c r="D881" i="108" s="1"/>
  <c r="A881" i="108"/>
  <c r="O919" i="6" a="1"/>
  <c r="O919" i="6" s="1"/>
  <c r="C881" i="108" s="1"/>
  <c r="I881" i="108" s="1"/>
  <c r="I799" i="6"/>
  <c r="D841" i="108" s="1"/>
  <c r="A841" i="108"/>
  <c r="O907" i="6" a="1"/>
  <c r="O907" i="6" s="1"/>
  <c r="C841" i="108" s="1"/>
  <c r="I841" i="108" s="1"/>
  <c r="A358" i="108"/>
  <c r="O634" i="6" a="1"/>
  <c r="O634" i="6" s="1"/>
  <c r="C358" i="108" s="1"/>
  <c r="I358" i="108" s="1"/>
  <c r="I143" i="6"/>
  <c r="D358" i="108" s="1"/>
  <c r="O561" i="6" a="1"/>
  <c r="O561" i="6" s="1"/>
  <c r="C149" i="108" s="1"/>
  <c r="A149" i="108"/>
  <c r="I952" i="6"/>
  <c r="D149" i="108" s="1"/>
  <c r="A949" i="108"/>
  <c r="I561" i="6"/>
  <c r="D949" i="108" s="1"/>
  <c r="O936" i="6" a="1"/>
  <c r="O936" i="6" s="1"/>
  <c r="C949" i="108" s="1"/>
  <c r="I949" i="108" s="1"/>
  <c r="A507" i="108"/>
  <c r="O669" i="6" a="1"/>
  <c r="O669" i="6" s="1"/>
  <c r="C507" i="108" s="1"/>
  <c r="I507" i="108" s="1"/>
  <c r="I162" i="6"/>
  <c r="D507" i="108" s="1"/>
  <c r="I975" i="6"/>
  <c r="D371" i="108" s="1"/>
  <c r="A371" i="108"/>
  <c r="O637" i="6" a="1"/>
  <c r="O637" i="6" s="1"/>
  <c r="C371" i="108" s="1"/>
  <c r="A166" i="108"/>
  <c r="I459" i="6"/>
  <c r="D166" i="108" s="1"/>
  <c r="O569" i="6" a="1"/>
  <c r="O569" i="6" s="1"/>
  <c r="C166" i="108" s="1"/>
  <c r="I166" i="108" s="1"/>
  <c r="A693" i="108"/>
  <c r="O837" i="6" a="1"/>
  <c r="O837" i="6" s="1"/>
  <c r="C693" i="108" s="1"/>
  <c r="I711" i="6"/>
  <c r="D693" i="108" s="1"/>
  <c r="O925" i="6" a="1"/>
  <c r="O925" i="6" s="1"/>
  <c r="C902" i="108" s="1"/>
  <c r="I902" i="108" s="1"/>
  <c r="I980" i="6"/>
  <c r="D902" i="108" s="1"/>
  <c r="A902" i="108"/>
  <c r="O829" i="6" a="1"/>
  <c r="O829" i="6" s="1"/>
  <c r="C676" i="108" s="1"/>
  <c r="I676" i="108" s="1"/>
  <c r="A676" i="108"/>
  <c r="I550" i="6"/>
  <c r="D676" i="108" s="1"/>
  <c r="A35" i="108"/>
  <c r="O508" i="6" a="1"/>
  <c r="O508" i="6" s="1"/>
  <c r="C35" i="108" s="1"/>
  <c r="I35" i="108" s="1"/>
  <c r="I420" i="6"/>
  <c r="D35" i="108" s="1"/>
  <c r="O638" i="6" a="1"/>
  <c r="O638" i="6" s="1"/>
  <c r="C375" i="108" s="1"/>
  <c r="I375" i="108" s="1"/>
  <c r="A375" i="108"/>
  <c r="I315" i="6"/>
  <c r="D375" i="108" s="1"/>
  <c r="A647" i="108"/>
  <c r="O815" i="6" a="1"/>
  <c r="O815" i="6" s="1"/>
  <c r="C647" i="108" s="1"/>
  <c r="I647" i="108" s="1"/>
  <c r="I974" i="6"/>
  <c r="D647" i="108" s="1"/>
  <c r="A868" i="108"/>
  <c r="I1017" i="6"/>
  <c r="D868" i="108" s="1"/>
  <c r="O915" i="6" a="1"/>
  <c r="O915" i="6" s="1"/>
  <c r="C868" i="108" s="1"/>
  <c r="I953" i="6"/>
  <c r="D144" i="108" s="1"/>
  <c r="A144" i="108"/>
  <c r="O559" i="6" a="1"/>
  <c r="O559" i="6" s="1"/>
  <c r="C144" i="108" s="1"/>
  <c r="A817" i="108"/>
  <c r="O895" i="6" a="1"/>
  <c r="O895" i="6" s="1"/>
  <c r="C817" i="108" s="1"/>
  <c r="I569" i="6"/>
  <c r="D817" i="108" s="1"/>
  <c r="L43" i="6"/>
  <c r="D44" i="6" s="1"/>
  <c r="K146" i="6"/>
  <c r="I1022" i="108"/>
  <c r="L525" i="6"/>
  <c r="D511" i="6" s="1"/>
  <c r="K628" i="6"/>
  <c r="I797" i="108"/>
  <c r="I70" i="108"/>
  <c r="I449" i="108"/>
  <c r="I497" i="108"/>
  <c r="I526" i="108"/>
  <c r="I430" i="108"/>
  <c r="I958" i="108"/>
  <c r="I306" i="108"/>
  <c r="L524" i="6"/>
  <c r="D509" i="6" s="1"/>
  <c r="K627" i="6"/>
  <c r="I519" i="108"/>
  <c r="L156" i="6"/>
  <c r="K259" i="6"/>
  <c r="I379" i="108"/>
  <c r="I109" i="108"/>
  <c r="I334" i="108"/>
  <c r="I691" i="108"/>
  <c r="L509" i="6"/>
  <c r="D495" i="6" s="1"/>
  <c r="K612" i="6"/>
  <c r="I79" i="108"/>
  <c r="I935" i="108"/>
  <c r="I146" i="108"/>
  <c r="I29" i="108"/>
  <c r="L34" i="6"/>
  <c r="D25" i="6" s="1"/>
  <c r="K137" i="6"/>
  <c r="L29" i="6"/>
  <c r="D31" i="6" s="1"/>
  <c r="K132" i="6"/>
  <c r="I567" i="108"/>
  <c r="I162" i="108"/>
  <c r="I179" i="108"/>
  <c r="I814" i="108"/>
  <c r="L163" i="6"/>
  <c r="D154" i="6" s="1"/>
  <c r="K266" i="6"/>
  <c r="I1012" i="108"/>
  <c r="I163" i="108"/>
  <c r="I827" i="108"/>
  <c r="L523" i="6"/>
  <c r="D513" i="6" s="1"/>
  <c r="K626" i="6"/>
  <c r="I176" i="108"/>
  <c r="I141" i="108"/>
  <c r="I788" i="108"/>
  <c r="I619" i="108"/>
  <c r="I636" i="108"/>
  <c r="I963" i="108"/>
  <c r="I247" i="108"/>
  <c r="I355" i="108"/>
  <c r="I65" i="108"/>
  <c r="I448" i="108"/>
  <c r="I855" i="108"/>
  <c r="I532" i="108"/>
  <c r="I896" i="108"/>
  <c r="I839" i="108"/>
  <c r="I412" i="108"/>
  <c r="E13" i="105"/>
  <c r="I23" i="108"/>
  <c r="I330" i="108"/>
  <c r="I840" i="108"/>
  <c r="I748" i="108"/>
  <c r="I157" i="108"/>
  <c r="I781" i="108"/>
  <c r="I230" i="108"/>
  <c r="I25" i="108"/>
  <c r="I87" i="108"/>
  <c r="I338" i="108"/>
  <c r="I819" i="108"/>
  <c r="I913" i="108"/>
  <c r="I794" i="108"/>
  <c r="I789" i="108"/>
  <c r="I113" i="108"/>
  <c r="I690" i="108"/>
  <c r="I41" i="108"/>
  <c r="A727" i="108"/>
  <c r="O853" i="6" a="1"/>
  <c r="O853" i="6" s="1"/>
  <c r="C727" i="108" s="1"/>
  <c r="I727" i="108" s="1"/>
  <c r="I893" i="6"/>
  <c r="D727" i="108" s="1"/>
  <c r="O846" i="6" a="1"/>
  <c r="O846" i="6" s="1"/>
  <c r="C711" i="108" s="1"/>
  <c r="I711" i="108" s="1"/>
  <c r="I485" i="6"/>
  <c r="D711" i="108" s="1"/>
  <c r="A711" i="108"/>
  <c r="A790" i="108"/>
  <c r="I309" i="6"/>
  <c r="D790" i="108" s="1"/>
  <c r="O883" i="6" a="1"/>
  <c r="O883" i="6" s="1"/>
  <c r="C790" i="108" s="1"/>
  <c r="A26" i="108"/>
  <c r="V24" i="108" s="1"/>
  <c r="O505" i="6" a="1"/>
  <c r="O505" i="6" s="1"/>
  <c r="C26" i="108" s="1"/>
  <c r="I450" i="6"/>
  <c r="D26" i="108" s="1"/>
  <c r="A970" i="108"/>
  <c r="O941" i="6" a="1"/>
  <c r="O941" i="6" s="1"/>
  <c r="C970" i="108" s="1"/>
  <c r="I464" i="6"/>
  <c r="D970" i="108" s="1"/>
  <c r="A824" i="108"/>
  <c r="I114" i="6"/>
  <c r="D824" i="108" s="1"/>
  <c r="O899" i="6" a="1"/>
  <c r="O899" i="6" s="1"/>
  <c r="C824" i="108" s="1"/>
  <c r="I824" i="108" s="1"/>
  <c r="A603" i="108"/>
  <c r="O795" i="6" a="1"/>
  <c r="O795" i="6" s="1"/>
  <c r="C603" i="108" s="1"/>
  <c r="I603" i="108" s="1"/>
  <c r="I447" i="6"/>
  <c r="D603" i="108" s="1"/>
  <c r="O945" i="6" a="1"/>
  <c r="O945" i="6" s="1"/>
  <c r="C987" i="108" s="1"/>
  <c r="A987" i="108"/>
  <c r="I474" i="6"/>
  <c r="D987" i="108" s="1"/>
  <c r="L119" i="6"/>
  <c r="D116" i="6" s="1"/>
  <c r="O543" i="6" a="1"/>
  <c r="O543" i="6" s="1"/>
  <c r="C115" i="108" s="1"/>
  <c r="I115" i="108" s="1"/>
  <c r="I452" i="6"/>
  <c r="D115" i="108" s="1"/>
  <c r="A115" i="108"/>
  <c r="O893" i="6" a="1"/>
  <c r="O893" i="6" s="1"/>
  <c r="C812" i="108" s="1"/>
  <c r="I812" i="108" s="1"/>
  <c r="A812" i="108"/>
  <c r="I883" i="6"/>
  <c r="D812" i="108" s="1"/>
  <c r="A150" i="108"/>
  <c r="I215" i="6"/>
  <c r="D150" i="108" s="1"/>
  <c r="O562" i="6" a="1"/>
  <c r="O562" i="6" s="1"/>
  <c r="C150" i="108" s="1"/>
  <c r="I150" i="108" s="1"/>
  <c r="L635" i="6"/>
  <c r="D621" i="6" s="1"/>
  <c r="I446" i="6"/>
  <c r="D620" i="108" s="1"/>
  <c r="A620" i="108"/>
  <c r="O803" i="6" a="1"/>
  <c r="O803" i="6" s="1"/>
  <c r="C620" i="108" s="1"/>
  <c r="O835" i="6" a="1"/>
  <c r="O835" i="6" s="1"/>
  <c r="C688" i="108" s="1"/>
  <c r="I688" i="108" s="1"/>
  <c r="A688" i="108"/>
  <c r="I938" i="6"/>
  <c r="D688" i="108" s="1"/>
  <c r="L97" i="6"/>
  <c r="D95" i="6" s="1"/>
  <c r="O534" i="6" a="1"/>
  <c r="O534" i="6" s="1"/>
  <c r="C94" i="108" s="1"/>
  <c r="A94" i="108"/>
  <c r="I981" i="6"/>
  <c r="D94" i="108" s="1"/>
  <c r="O913" i="6" a="1"/>
  <c r="O913" i="6" s="1"/>
  <c r="C863" i="108" s="1"/>
  <c r="I167" i="6"/>
  <c r="D863" i="108" s="1"/>
  <c r="A863" i="108"/>
  <c r="A829" i="108"/>
  <c r="O901" i="6" a="1"/>
  <c r="O901" i="6" s="1"/>
  <c r="C829" i="108" s="1"/>
  <c r="I829" i="108" s="1"/>
  <c r="I418" i="6"/>
  <c r="D829" i="108" s="1"/>
  <c r="O630" i="6" a="1"/>
  <c r="O630" i="6" s="1"/>
  <c r="C341" i="108" s="1"/>
  <c r="A341" i="108"/>
  <c r="I1020" i="6"/>
  <c r="D341" i="108" s="1"/>
  <c r="O520" i="6" a="1"/>
  <c r="O520" i="6" s="1"/>
  <c r="C62" i="108" s="1"/>
  <c r="I62" i="108" s="1"/>
  <c r="A62" i="108"/>
  <c r="I748" i="6"/>
  <c r="D62" i="108" s="1"/>
  <c r="O934" i="6" a="1"/>
  <c r="O934" i="6" s="1"/>
  <c r="C943" i="108" s="1"/>
  <c r="I943" i="108" s="1"/>
  <c r="A943" i="108"/>
  <c r="I821" i="6"/>
  <c r="D943" i="108" s="1"/>
  <c r="I954" i="6"/>
  <c r="D506" i="108" s="1"/>
  <c r="A506" i="108"/>
  <c r="O668" i="6" a="1"/>
  <c r="O668" i="6" s="1"/>
  <c r="C506" i="108" s="1"/>
  <c r="I506" i="108" s="1"/>
  <c r="A609" i="108"/>
  <c r="O798" i="6" a="1"/>
  <c r="O798" i="6" s="1"/>
  <c r="C609" i="108" s="1"/>
  <c r="I609" i="108" s="1"/>
  <c r="I79" i="6"/>
  <c r="D609" i="108" s="1"/>
  <c r="I786" i="6"/>
  <c r="D388" i="108" s="1"/>
  <c r="A388" i="108"/>
  <c r="O641" i="6" a="1"/>
  <c r="O641" i="6" s="1"/>
  <c r="C388" i="108" s="1"/>
  <c r="I388" i="108" s="1"/>
  <c r="A846" i="108"/>
  <c r="O908" i="6" a="1"/>
  <c r="O908" i="6" s="1"/>
  <c r="C846" i="108" s="1"/>
  <c r="I846" i="108" s="1"/>
  <c r="I671" i="6"/>
  <c r="D846" i="108" s="1"/>
  <c r="A50" i="108"/>
  <c r="I544" i="6"/>
  <c r="D50" i="108" s="1"/>
  <c r="O514" i="6" a="1"/>
  <c r="O514" i="6" s="1"/>
  <c r="C50" i="108" s="1"/>
  <c r="I519" i="6"/>
  <c r="D467" i="108" s="1"/>
  <c r="O659" i="6" a="1"/>
  <c r="O659" i="6" s="1"/>
  <c r="C467" i="108" s="1"/>
  <c r="I467" i="108" s="1"/>
  <c r="A467" i="108"/>
  <c r="A722" i="108"/>
  <c r="I469" i="6"/>
  <c r="D722" i="108" s="1"/>
  <c r="O851" i="6" a="1"/>
  <c r="O851" i="6" s="1"/>
  <c r="C722" i="108" s="1"/>
  <c r="I722" i="108" s="1"/>
  <c r="L739" i="6"/>
  <c r="D723" i="6" s="1"/>
  <c r="O886" i="6" a="1"/>
  <c r="O886" i="6" s="1"/>
  <c r="C796" i="108" s="1"/>
  <c r="A796" i="108"/>
  <c r="I255" i="6"/>
  <c r="D796" i="108" s="1"/>
  <c r="O822" i="6" a="1"/>
  <c r="O822" i="6" s="1"/>
  <c r="C660" i="108" s="1"/>
  <c r="A660" i="108"/>
  <c r="I272" i="6"/>
  <c r="D660" i="108" s="1"/>
  <c r="L292" i="6"/>
  <c r="D293" i="6" s="1"/>
  <c r="K395" i="6"/>
  <c r="I614" i="108"/>
  <c r="L507" i="6"/>
  <c r="D501" i="6" s="1"/>
  <c r="K610" i="6"/>
  <c r="I107" i="108"/>
  <c r="I787" i="108"/>
  <c r="I777" i="108"/>
  <c r="I1007" i="108"/>
  <c r="I680" i="108"/>
  <c r="I510" i="108"/>
  <c r="I373" i="108"/>
  <c r="I61" i="108"/>
  <c r="I842" i="108"/>
  <c r="I716" i="108"/>
  <c r="I359" i="108"/>
  <c r="I202" i="108"/>
  <c r="I746" i="108"/>
  <c r="I972" i="108"/>
  <c r="I411" i="108"/>
  <c r="I216" i="108"/>
  <c r="I805" i="108"/>
  <c r="I396" i="108"/>
  <c r="I174" i="108"/>
  <c r="I126" i="108"/>
  <c r="I299" i="108"/>
  <c r="I605" i="108"/>
  <c r="I350" i="108"/>
  <c r="I672" i="108"/>
  <c r="I808" i="108"/>
  <c r="L124" i="6"/>
  <c r="D61" i="6" s="1"/>
  <c r="K227" i="6"/>
  <c r="I89" i="108"/>
  <c r="I937" i="108"/>
  <c r="I457" i="108"/>
  <c r="I275" i="108"/>
  <c r="I91" i="108"/>
  <c r="I226" i="108"/>
  <c r="I907" i="108"/>
  <c r="I832" i="108"/>
  <c r="I381" i="108"/>
  <c r="I391" i="108"/>
  <c r="I670" i="108"/>
  <c r="I55" i="108"/>
  <c r="I364" i="108"/>
  <c r="I293" i="108"/>
  <c r="I792" i="108"/>
  <c r="I928" i="108"/>
  <c r="I740" i="108"/>
  <c r="L162" i="6"/>
  <c r="D153" i="6" s="1"/>
  <c r="K265" i="6"/>
  <c r="L44" i="6"/>
  <c r="D47" i="6" s="1"/>
  <c r="K147" i="6"/>
  <c r="CP15" i="81"/>
  <c r="K37" i="6" s="1"/>
  <c r="CP3" i="81"/>
  <c r="K25" i="6" s="1"/>
  <c r="CP9" i="81"/>
  <c r="K31" i="6" s="1"/>
  <c r="CP11" i="81"/>
  <c r="K33" i="6" s="1"/>
  <c r="CP4" i="81"/>
  <c r="K26" i="6" s="1"/>
  <c r="CP2" i="81"/>
  <c r="K24" i="6" s="1"/>
  <c r="I444" i="108"/>
  <c r="I445" i="108"/>
  <c r="I343" i="108"/>
  <c r="I165" i="108"/>
  <c r="I838" i="108"/>
  <c r="I118" i="108"/>
  <c r="I136" i="108"/>
  <c r="I696" i="108"/>
  <c r="I231" i="108"/>
  <c r="I147" i="108"/>
  <c r="L158" i="6"/>
  <c r="D158" i="6" s="1"/>
  <c r="K261" i="6"/>
  <c r="I213" i="108"/>
  <c r="L412" i="6"/>
  <c r="D408" i="6" s="1"/>
  <c r="K515" i="6"/>
  <c r="I886" i="108"/>
  <c r="I780" i="108"/>
  <c r="I80" i="108"/>
  <c r="I530" i="108"/>
  <c r="I479" i="108"/>
  <c r="I410" i="108"/>
  <c r="I869" i="108"/>
  <c r="L165" i="6"/>
  <c r="D151" i="6" s="1"/>
  <c r="K268" i="6"/>
  <c r="L166" i="6"/>
  <c r="D170" i="6" s="1"/>
  <c r="K269" i="6"/>
  <c r="I853" i="108"/>
  <c r="L416" i="6"/>
  <c r="D403" i="6" s="1"/>
  <c r="K519" i="6"/>
  <c r="L180" i="6"/>
  <c r="D178" i="6" s="1"/>
  <c r="K283" i="6"/>
  <c r="E19" i="105"/>
  <c r="E20" i="105"/>
  <c r="I929" i="108"/>
  <c r="I298" i="108"/>
  <c r="O806" i="6" a="1"/>
  <c r="O806" i="6" s="1"/>
  <c r="C626" i="108" s="1"/>
  <c r="A626" i="108"/>
  <c r="I611" i="6"/>
  <c r="D626" i="108" s="1"/>
  <c r="O862" i="6" a="1"/>
  <c r="O862" i="6" s="1"/>
  <c r="C745" i="108" s="1"/>
  <c r="I745" i="108" s="1"/>
  <c r="A745" i="108"/>
  <c r="I753" i="6"/>
  <c r="D745" i="108" s="1"/>
  <c r="L220" i="6"/>
  <c r="D218" i="6" s="1"/>
  <c r="A217" i="108"/>
  <c r="O592" i="6" a="1"/>
  <c r="O592" i="6" s="1"/>
  <c r="C217" i="108" s="1"/>
  <c r="I217" i="108" s="1"/>
  <c r="I298" i="6"/>
  <c r="D217" i="108" s="1"/>
  <c r="I1013" i="6"/>
  <c r="D354" i="108" s="1"/>
  <c r="O633" i="6" a="1"/>
  <c r="O633" i="6" s="1"/>
  <c r="C354" i="108" s="1"/>
  <c r="I354" i="108" s="1"/>
  <c r="A354" i="108"/>
  <c r="A303" i="108"/>
  <c r="O618" i="6" a="1"/>
  <c r="O618" i="6" s="1"/>
  <c r="C303" i="108" s="1"/>
  <c r="I303" i="108" s="1"/>
  <c r="I490" i="6"/>
  <c r="D303" i="108" s="1"/>
  <c r="I333" i="6"/>
  <c r="D484" i="108" s="1"/>
  <c r="O663" i="6" a="1"/>
  <c r="O663" i="6" s="1"/>
  <c r="C484" i="108" s="1"/>
  <c r="A484" i="108"/>
  <c r="I335" i="6"/>
  <c r="D557" i="108" s="1"/>
  <c r="A557" i="108"/>
  <c r="O773" i="6" a="1"/>
  <c r="O773" i="6" s="1"/>
  <c r="C557" i="108" s="1"/>
  <c r="I557" i="108" s="1"/>
  <c r="A331" i="108"/>
  <c r="I224" i="6"/>
  <c r="D331" i="108" s="1"/>
  <c r="O626" i="6" a="1"/>
  <c r="O626" i="6" s="1"/>
  <c r="C331" i="108" s="1"/>
  <c r="I299" i="6"/>
  <c r="D800" i="108" s="1"/>
  <c r="A800" i="108"/>
  <c r="O887" i="6" a="1"/>
  <c r="O887" i="6" s="1"/>
  <c r="C800" i="108" s="1"/>
  <c r="I800" i="108" s="1"/>
  <c r="I573" i="6"/>
  <c r="D766" i="108" s="1"/>
  <c r="O871" i="6" a="1"/>
  <c r="O871" i="6" s="1"/>
  <c r="C766" i="108" s="1"/>
  <c r="A766" i="108"/>
  <c r="I267" i="6"/>
  <c r="D545" i="108" s="1"/>
  <c r="A545" i="108"/>
  <c r="O678" i="6" a="1"/>
  <c r="O678" i="6" s="1"/>
  <c r="C545" i="108" s="1"/>
  <c r="I545" i="108" s="1"/>
  <c r="O933" i="6" a="1"/>
  <c r="O933" i="6" s="1"/>
  <c r="C936" i="108" s="1"/>
  <c r="A936" i="108"/>
  <c r="I769" i="6"/>
  <c r="D936" i="108" s="1"/>
  <c r="O631" i="6" a="1"/>
  <c r="O631" i="6" s="1"/>
  <c r="C348" i="108" s="1"/>
  <c r="I348" i="108" s="1"/>
  <c r="I168" i="6"/>
  <c r="D348" i="108" s="1"/>
  <c r="A348" i="108"/>
  <c r="O665" i="6" a="1"/>
  <c r="O665" i="6" s="1"/>
  <c r="C490" i="108" s="1"/>
  <c r="A490" i="108"/>
  <c r="I500" i="6"/>
  <c r="D490" i="108" s="1"/>
  <c r="I169" i="6"/>
  <c r="D807" i="108" s="1"/>
  <c r="A807" i="108"/>
  <c r="O891" i="6" a="1"/>
  <c r="O891" i="6" s="1"/>
  <c r="C807" i="108" s="1"/>
  <c r="I807" i="108" s="1"/>
  <c r="O782" i="6" a="1"/>
  <c r="O782" i="6" s="1"/>
  <c r="C575" i="108" s="1"/>
  <c r="I575" i="108" s="1"/>
  <c r="A575" i="108"/>
  <c r="I689" i="6"/>
  <c r="D575" i="108" s="1"/>
  <c r="A664" i="108"/>
  <c r="I648" i="6"/>
  <c r="D664" i="108" s="1"/>
  <c r="O823" i="6" a="1"/>
  <c r="O823" i="6" s="1"/>
  <c r="C664" i="108" s="1"/>
  <c r="I664" i="108" s="1"/>
  <c r="L100" i="6"/>
  <c r="D99" i="6" s="1"/>
  <c r="O536" i="6" a="1"/>
  <c r="O536" i="6" s="1"/>
  <c r="C98" i="108" s="1"/>
  <c r="I98" i="108" s="1"/>
  <c r="I498" i="6"/>
  <c r="D98" i="108" s="1"/>
  <c r="A98" i="108"/>
  <c r="A834" i="108"/>
  <c r="O903" i="6" a="1"/>
  <c r="O903" i="6" s="1"/>
  <c r="C834" i="108" s="1"/>
  <c r="I834" i="108" s="1"/>
  <c r="I755" i="6"/>
  <c r="D834" i="108" s="1"/>
  <c r="A795" i="108"/>
  <c r="O885" i="6" a="1"/>
  <c r="O885" i="6" s="1"/>
  <c r="C795" i="108" s="1"/>
  <c r="I214" i="6"/>
  <c r="D795" i="108" s="1"/>
  <c r="I250" i="6"/>
  <c r="D307" i="108" s="1"/>
  <c r="O620" i="6" a="1"/>
  <c r="O620" i="6" s="1"/>
  <c r="C307" i="108" s="1"/>
  <c r="A307" i="108"/>
  <c r="I356" i="6"/>
  <c r="D337" i="108" s="1"/>
  <c r="A337" i="108"/>
  <c r="O628" i="6" a="1"/>
  <c r="O628" i="6" s="1"/>
  <c r="C337" i="108" s="1"/>
  <c r="I337" i="108" s="1"/>
  <c r="O555" i="6" a="1"/>
  <c r="O555" i="6" s="1"/>
  <c r="C137" i="108" s="1"/>
  <c r="A137" i="108"/>
  <c r="I161" i="6"/>
  <c r="D137" i="108" s="1"/>
  <c r="A659" i="108"/>
  <c r="I768" i="6"/>
  <c r="D659" i="108" s="1"/>
  <c r="O821" i="6" a="1"/>
  <c r="O821" i="6" s="1"/>
  <c r="C659" i="108" s="1"/>
  <c r="I659" i="108" s="1"/>
  <c r="O926" i="6" a="1"/>
  <c r="O926" i="6" s="1"/>
  <c r="C909" i="108" s="1"/>
  <c r="A909" i="108"/>
  <c r="I907" i="6"/>
  <c r="D909" i="108" s="1"/>
  <c r="I691" i="6"/>
  <c r="D235" i="108" s="1"/>
  <c r="O598" i="6" a="1"/>
  <c r="O598" i="6" s="1"/>
  <c r="C235" i="108" s="1"/>
  <c r="I235" i="108" s="1"/>
  <c r="A235" i="108"/>
  <c r="O789" i="6" a="1"/>
  <c r="O789" i="6" s="1"/>
  <c r="C591" i="108" s="1"/>
  <c r="A591" i="108"/>
  <c r="I843" i="6"/>
  <c r="D591" i="108" s="1"/>
  <c r="O827" i="6" a="1"/>
  <c r="O827" i="6" s="1"/>
  <c r="C671" i="108" s="1"/>
  <c r="I671" i="108" s="1"/>
  <c r="A671" i="108"/>
  <c r="I727" i="6"/>
  <c r="D671" i="108" s="1"/>
  <c r="A524" i="108"/>
  <c r="O673" i="6" a="1"/>
  <c r="O673" i="6" s="1"/>
  <c r="C524" i="108" s="1"/>
  <c r="I801" i="6"/>
  <c r="D524" i="108" s="1"/>
  <c r="I525" i="108"/>
  <c r="L291" i="6"/>
  <c r="D290" i="6" s="1"/>
  <c r="K394" i="6"/>
  <c r="I351" i="108"/>
  <c r="I742" i="108"/>
  <c r="L183" i="6"/>
  <c r="D182" i="6" s="1"/>
  <c r="K286" i="6"/>
  <c r="I398" i="108"/>
  <c r="I215" i="108"/>
  <c r="L275" i="6"/>
  <c r="D271" i="6" s="1"/>
  <c r="K378" i="6"/>
  <c r="L39" i="6"/>
  <c r="D49" i="6" s="1"/>
  <c r="K142" i="6"/>
  <c r="L36" i="6"/>
  <c r="D37" i="6" s="1"/>
  <c r="K139" i="6"/>
  <c r="L182" i="6"/>
  <c r="D179" i="6" s="1"/>
  <c r="K285" i="6"/>
  <c r="I844" i="108"/>
  <c r="L309" i="6"/>
  <c r="D308" i="6" s="1"/>
  <c r="L167" i="6"/>
  <c r="D173" i="6" s="1"/>
  <c r="K270" i="6"/>
  <c r="I406" i="108"/>
  <c r="I369" i="108"/>
  <c r="I227" i="108"/>
  <c r="I701" i="108"/>
  <c r="I561" i="108"/>
  <c r="I357" i="108"/>
  <c r="I979" i="108"/>
  <c r="I775" i="108"/>
  <c r="I774" i="108"/>
  <c r="I852" i="108"/>
  <c r="L299" i="6"/>
  <c r="D285" i="6" s="1"/>
  <c r="K402" i="6"/>
  <c r="I921" i="108"/>
  <c r="I78" i="108"/>
  <c r="I464" i="108"/>
  <c r="E21" i="105"/>
  <c r="I878" i="108"/>
  <c r="I912" i="108"/>
  <c r="I291" i="108"/>
  <c r="I328" i="108"/>
  <c r="I669" i="108"/>
  <c r="I1010" i="108"/>
  <c r="I820" i="108"/>
  <c r="I527" i="108"/>
  <c r="I534" i="108"/>
  <c r="I452" i="108"/>
  <c r="L409" i="6"/>
  <c r="D399" i="6" s="1"/>
  <c r="K512" i="6"/>
  <c r="A847" i="108"/>
  <c r="I378" i="6"/>
  <c r="D847" i="108" s="1"/>
  <c r="O909" i="6" a="1"/>
  <c r="O909" i="6" s="1"/>
  <c r="C847" i="108" s="1"/>
  <c r="I847" i="108" s="1"/>
  <c r="O918" i="6" a="1"/>
  <c r="O918" i="6" s="1"/>
  <c r="C880" i="108" s="1"/>
  <c r="A880" i="108"/>
  <c r="I582" i="6"/>
  <c r="D880" i="108" s="1"/>
  <c r="O797" i="6" a="1"/>
  <c r="O797" i="6" s="1"/>
  <c r="C608" i="108" s="1"/>
  <c r="A608" i="108"/>
  <c r="I533" i="6"/>
  <c r="D608" i="108" s="1"/>
  <c r="O779" i="6" a="1"/>
  <c r="O779" i="6" s="1"/>
  <c r="C569" i="108" s="1"/>
  <c r="I569" i="108" s="1"/>
  <c r="I895" i="6"/>
  <c r="D569" i="108" s="1"/>
  <c r="A569" i="108"/>
  <c r="O902" i="6" a="1"/>
  <c r="O902" i="6" s="1"/>
  <c r="C830" i="108" s="1"/>
  <c r="A830" i="108"/>
  <c r="I1008" i="6"/>
  <c r="D830" i="108" s="1"/>
  <c r="O929" i="6" a="1"/>
  <c r="O929" i="6" s="1"/>
  <c r="C919" i="108" s="1"/>
  <c r="I919" i="108" s="1"/>
  <c r="A919" i="108"/>
  <c r="I301" i="6"/>
  <c r="D919" i="108" s="1"/>
  <c r="O615" i="6" a="1"/>
  <c r="O615" i="6" s="1"/>
  <c r="C290" i="108" s="1"/>
  <c r="I290" i="108" s="1"/>
  <c r="A290" i="108"/>
  <c r="I360" i="6"/>
  <c r="D290" i="108" s="1"/>
  <c r="O1021" i="6" a="1"/>
  <c r="O1021" i="6" s="1"/>
  <c r="C1017" i="108" s="1"/>
  <c r="A1017" i="108"/>
  <c r="I684" i="6"/>
  <c r="D1017" i="108" s="1"/>
  <c r="A625" i="108"/>
  <c r="O805" i="6" a="1"/>
  <c r="O805" i="6" s="1"/>
  <c r="C625" i="108" s="1"/>
  <c r="I625" i="108" s="1"/>
  <c r="I208" i="6"/>
  <c r="D625" i="108" s="1"/>
  <c r="O664" i="6" a="1"/>
  <c r="O664" i="6" s="1"/>
  <c r="C489" i="108" s="1"/>
  <c r="A489" i="108"/>
  <c r="I276" i="6"/>
  <c r="D489" i="108" s="1"/>
  <c r="A252" i="108"/>
  <c r="I969" i="6"/>
  <c r="D252" i="108" s="1"/>
  <c r="O603" i="6" a="1"/>
  <c r="O603" i="6" s="1"/>
  <c r="C252" i="108" s="1"/>
  <c r="O867" i="6" a="1"/>
  <c r="O867" i="6" s="1"/>
  <c r="C756" i="108" s="1"/>
  <c r="A756" i="108"/>
  <c r="I934" i="6"/>
  <c r="D756" i="108" s="1"/>
  <c r="L83" i="6"/>
  <c r="K186" i="6"/>
  <c r="K125" i="6"/>
  <c r="O627" i="6" a="1"/>
  <c r="O627" i="6" s="1"/>
  <c r="C336" i="108" s="1"/>
  <c r="I336" i="108" s="1"/>
  <c r="A336" i="108"/>
  <c r="I558" i="6"/>
  <c r="D336" i="108" s="1"/>
  <c r="O675" i="6" a="1"/>
  <c r="O675" i="6" s="1"/>
  <c r="C535" i="108" s="1"/>
  <c r="I535" i="108" s="1"/>
  <c r="A535" i="108"/>
  <c r="I122" i="6"/>
  <c r="D535" i="108" s="1"/>
  <c r="L324" i="6"/>
  <c r="D315" i="6" s="1"/>
  <c r="I949" i="6"/>
  <c r="D314" i="108" s="1"/>
  <c r="O621" i="6" a="1"/>
  <c r="O621" i="6" s="1"/>
  <c r="C314" i="108" s="1"/>
  <c r="I314" i="108" s="1"/>
  <c r="A314" i="108"/>
  <c r="L496" i="6"/>
  <c r="D474" i="6" s="1"/>
  <c r="A473" i="108"/>
  <c r="O661" i="6" a="1"/>
  <c r="O661" i="6" s="1"/>
  <c r="C473" i="108" s="1"/>
  <c r="I388" i="6"/>
  <c r="D473" i="108" s="1"/>
  <c r="A762" i="108"/>
  <c r="O870" i="6" a="1"/>
  <c r="O870" i="6" s="1"/>
  <c r="C762" i="108" s="1"/>
  <c r="I762" i="108" s="1"/>
  <c r="I1004" i="6"/>
  <c r="D762" i="108" s="1"/>
  <c r="A552" i="108"/>
  <c r="O771" i="6" a="1"/>
  <c r="O771" i="6" s="1"/>
  <c r="C552" i="108" s="1"/>
  <c r="I552" i="108" s="1"/>
  <c r="I476" i="6"/>
  <c r="D552" i="108" s="1"/>
  <c r="I863" i="6"/>
  <c r="D642" i="108" s="1"/>
  <c r="A642" i="108"/>
  <c r="O813" i="6" a="1"/>
  <c r="O813" i="6" s="1"/>
  <c r="C642" i="108" s="1"/>
  <c r="L115" i="6"/>
  <c r="L126" i="6"/>
  <c r="O544" i="6" a="1"/>
  <c r="O544" i="6" s="1"/>
  <c r="C116" i="108" s="1"/>
  <c r="A116" i="108"/>
  <c r="I374" i="6"/>
  <c r="D116" i="108" s="1"/>
  <c r="O523" i="6" a="1"/>
  <c r="O523" i="6" s="1"/>
  <c r="C67" i="108" s="1"/>
  <c r="I556" i="6"/>
  <c r="D67" i="108" s="1"/>
  <c r="A67" i="108"/>
  <c r="O931" i="6" a="1"/>
  <c r="O931" i="6" s="1"/>
  <c r="C931" i="108" s="1"/>
  <c r="A931" i="108"/>
  <c r="I912" i="6"/>
  <c r="D931" i="108" s="1"/>
  <c r="I392" i="6"/>
  <c r="D494" i="108" s="1"/>
  <c r="A494" i="108"/>
  <c r="O666" i="6" a="1"/>
  <c r="O666" i="6" s="1"/>
  <c r="C494" i="108" s="1"/>
  <c r="O790" i="6" a="1"/>
  <c r="O790" i="6" s="1"/>
  <c r="C592" i="108" s="1"/>
  <c r="I713" i="6"/>
  <c r="D592" i="108" s="1"/>
  <c r="A592" i="108"/>
  <c r="A596" i="108"/>
  <c r="I171" i="6"/>
  <c r="D596" i="108" s="1"/>
  <c r="O791" i="6" a="1"/>
  <c r="O791" i="6" s="1"/>
  <c r="C596" i="108" s="1"/>
  <c r="A439" i="108"/>
  <c r="I528" i="6"/>
  <c r="D439" i="108" s="1"/>
  <c r="O653" i="6" a="1"/>
  <c r="O653" i="6" s="1"/>
  <c r="C439" i="108" s="1"/>
  <c r="O676" i="6" a="1"/>
  <c r="O676" i="6" s="1"/>
  <c r="C540" i="108" s="1"/>
  <c r="A540" i="108"/>
  <c r="I549" i="6"/>
  <c r="D540" i="108" s="1"/>
  <c r="O644" i="6" a="1"/>
  <c r="O644" i="6" s="1"/>
  <c r="C404" i="108" s="1"/>
  <c r="A404" i="108"/>
  <c r="I260" i="6"/>
  <c r="D404" i="108" s="1"/>
  <c r="I734" i="108"/>
  <c r="I717" i="108"/>
  <c r="L410" i="6"/>
  <c r="D394" i="6" s="1"/>
  <c r="K513" i="6"/>
  <c r="I821" i="108"/>
  <c r="I720" i="108"/>
  <c r="I594" i="108"/>
  <c r="I272" i="108"/>
  <c r="I296" i="108"/>
  <c r="I333" i="108"/>
  <c r="I895" i="108"/>
  <c r="L295" i="6"/>
  <c r="D289" i="6" s="1"/>
  <c r="K398" i="6"/>
  <c r="I315" i="108"/>
  <c r="I961" i="108"/>
  <c r="I90" i="108"/>
  <c r="I887" i="108"/>
  <c r="I33" i="108"/>
  <c r="I499" i="108"/>
  <c r="I856" i="108"/>
  <c r="I51" i="108"/>
  <c r="I238" i="108"/>
  <c r="I667" i="108"/>
  <c r="I730" i="108"/>
  <c r="I917" i="108"/>
  <c r="I276" i="108"/>
  <c r="I611" i="108"/>
  <c r="I316" i="108"/>
  <c r="I349" i="108"/>
  <c r="I621" i="108"/>
  <c r="L538" i="6"/>
  <c r="D517" i="6" s="1"/>
  <c r="K641" i="6"/>
  <c r="I784" i="108"/>
  <c r="L407" i="6"/>
  <c r="D397" i="6" s="1"/>
  <c r="K510" i="6"/>
  <c r="I802" i="108"/>
  <c r="L277" i="6"/>
  <c r="D264" i="6" s="1"/>
  <c r="K380" i="6"/>
  <c r="I114" i="108"/>
  <c r="I363" i="108"/>
  <c r="I250" i="108"/>
  <c r="I492" i="108"/>
  <c r="I282" i="108"/>
  <c r="I860" i="108"/>
  <c r="I232" i="108"/>
  <c r="L159" i="6"/>
  <c r="D157" i="6" s="1"/>
  <c r="K262" i="6"/>
  <c r="I570" i="108"/>
  <c r="L30" i="6"/>
  <c r="D34" i="6" s="1"/>
  <c r="K133" i="6"/>
  <c r="L42" i="6"/>
  <c r="D45" i="6" s="1"/>
  <c r="K145" i="6"/>
  <c r="L50" i="6"/>
  <c r="D50" i="6" s="1"/>
  <c r="K153" i="6"/>
  <c r="I576" i="108"/>
  <c r="I950" i="108"/>
  <c r="I700" i="108"/>
  <c r="L417" i="6"/>
  <c r="D406" i="6" s="1"/>
  <c r="K520" i="6"/>
  <c r="I260" i="108"/>
  <c r="I633" i="108"/>
  <c r="I548" i="108"/>
  <c r="I442" i="108"/>
  <c r="I187" i="108"/>
  <c r="I653" i="108"/>
  <c r="L178" i="6"/>
  <c r="D184" i="6" s="1"/>
  <c r="K281" i="6"/>
  <c r="I128" i="108"/>
  <c r="I580" i="108"/>
  <c r="I95" i="108"/>
  <c r="L634" i="6"/>
  <c r="D616" i="6" s="1"/>
  <c r="K737" i="6"/>
  <c r="I617" i="108"/>
  <c r="I352" i="108"/>
  <c r="L185" i="6"/>
  <c r="D175" i="6" s="1"/>
  <c r="K288" i="6"/>
  <c r="I441" i="108"/>
  <c r="I100" i="108"/>
  <c r="L143" i="6"/>
  <c r="D148" i="6" s="1"/>
  <c r="K246" i="6"/>
  <c r="I559" i="108"/>
  <c r="I423" i="108"/>
  <c r="I233" i="108"/>
  <c r="I539" i="108"/>
  <c r="I731" i="108"/>
  <c r="I500" i="108"/>
  <c r="E17" i="105"/>
  <c r="I164" i="108"/>
  <c r="I317" i="108"/>
  <c r="I86" i="108"/>
  <c r="I434" i="108"/>
  <c r="I281" i="108"/>
  <c r="L170" i="6"/>
  <c r="D169" i="6" s="1"/>
  <c r="K273" i="6"/>
  <c r="I627" i="108"/>
  <c r="I899" i="108"/>
  <c r="I1006" i="108"/>
  <c r="I207" i="108"/>
  <c r="I533" i="108"/>
  <c r="I602" i="108"/>
  <c r="I599" i="108"/>
  <c r="I436" i="108"/>
  <c r="I249" i="108"/>
  <c r="I689" i="108"/>
  <c r="I910" i="108"/>
  <c r="I366" i="108"/>
  <c r="A64" i="108"/>
  <c r="V31" i="108" s="1"/>
  <c r="O521" i="6" a="1"/>
  <c r="O521" i="6" s="1"/>
  <c r="C64" i="108" s="1"/>
  <c r="I64" i="108" s="1"/>
  <c r="I508" i="6"/>
  <c r="D64" i="108" s="1"/>
  <c r="O642" i="6" a="1"/>
  <c r="O642" i="6" s="1"/>
  <c r="C392" i="108" s="1"/>
  <c r="A392" i="108"/>
  <c r="I365" i="6"/>
  <c r="D392" i="108" s="1"/>
  <c r="O943" i="6" a="1"/>
  <c r="O943" i="6" s="1"/>
  <c r="C982" i="108" s="1"/>
  <c r="A982" i="108"/>
  <c r="I87" i="6"/>
  <c r="D982" i="108" s="1"/>
  <c r="A914" i="108"/>
  <c r="I874" i="6"/>
  <c r="D914" i="108" s="1"/>
  <c r="O927" i="6" a="1"/>
  <c r="O927" i="6" s="1"/>
  <c r="C914" i="108" s="1"/>
  <c r="A183" i="108"/>
  <c r="O577" i="6" a="1"/>
  <c r="O577" i="6" s="1"/>
  <c r="C183" i="108" s="1"/>
  <c r="I183" i="108" s="1"/>
  <c r="I844" i="6"/>
  <c r="D183" i="108" s="1"/>
  <c r="I600" i="6"/>
  <c r="D761" i="108" s="1"/>
  <c r="A761" i="108"/>
  <c r="O869" i="6" a="1"/>
  <c r="O869" i="6" s="1"/>
  <c r="C761" i="108" s="1"/>
  <c r="I761" i="108" s="1"/>
  <c r="O944" i="6" a="1"/>
  <c r="O944" i="6" s="1"/>
  <c r="C983" i="108" s="1"/>
  <c r="I983" i="108" s="1"/>
  <c r="I951" i="6"/>
  <c r="D983" i="108" s="1"/>
  <c r="A983" i="108"/>
  <c r="A892" i="108"/>
  <c r="I697" i="6"/>
  <c r="D892" i="108" s="1"/>
  <c r="O922" i="6" a="1"/>
  <c r="O922" i="6" s="1"/>
  <c r="C892" i="108" s="1"/>
  <c r="O651" i="6" a="1"/>
  <c r="O651" i="6" s="1"/>
  <c r="C433" i="108" s="1"/>
  <c r="I903" i="6"/>
  <c r="D433" i="108" s="1"/>
  <c r="A433" i="108"/>
  <c r="L214" i="6"/>
  <c r="D213" i="6" s="1"/>
  <c r="O591" i="6" a="1"/>
  <c r="O591" i="6" s="1"/>
  <c r="C212" i="108" s="1"/>
  <c r="I212" i="108" s="1"/>
  <c r="I739" i="6"/>
  <c r="D212" i="108" s="1"/>
  <c r="A212" i="108"/>
  <c r="A999" i="108"/>
  <c r="I83" i="6"/>
  <c r="D999" i="108" s="1"/>
  <c r="O947" i="6" a="1"/>
  <c r="O947" i="6" s="1"/>
  <c r="C999" i="108" s="1"/>
  <c r="I999" i="108" s="1"/>
  <c r="A579" i="108"/>
  <c r="O783" i="6" a="1"/>
  <c r="O783" i="6" s="1"/>
  <c r="C579" i="108" s="1"/>
  <c r="I978" i="6"/>
  <c r="D579" i="108" s="1"/>
  <c r="A783" i="108"/>
  <c r="O879" i="6" a="1"/>
  <c r="O879" i="6" s="1"/>
  <c r="C783" i="108" s="1"/>
  <c r="I305" i="6"/>
  <c r="D783" i="108" s="1"/>
  <c r="I323" i="6"/>
  <c r="D133" i="108" s="1"/>
  <c r="O553" i="6" a="1"/>
  <c r="O553" i="6" s="1"/>
  <c r="C133" i="108" s="1"/>
  <c r="A133" i="108"/>
  <c r="L290" i="6"/>
  <c r="D274" i="6" s="1"/>
  <c r="A273" i="108"/>
  <c r="I693" i="6"/>
  <c r="D273" i="108" s="1"/>
  <c r="O610" i="6" a="1"/>
  <c r="O610" i="6" s="1"/>
  <c r="C273" i="108" s="1"/>
  <c r="A1011" i="108"/>
  <c r="O1018" i="6" a="1"/>
  <c r="O1018" i="6" s="1"/>
  <c r="C1011" i="108" s="1"/>
  <c r="I1011" i="108" s="1"/>
  <c r="I930" i="6"/>
  <c r="D1011" i="108" s="1"/>
  <c r="A286" i="108"/>
  <c r="O613" i="6" a="1"/>
  <c r="O613" i="6" s="1"/>
  <c r="C286" i="108" s="1"/>
  <c r="I780" i="6"/>
  <c r="D286" i="108" s="1"/>
  <c r="A501" i="108"/>
  <c r="O667" i="6" a="1"/>
  <c r="O667" i="6" s="1"/>
  <c r="C501" i="108" s="1"/>
  <c r="I126" i="6"/>
  <c r="D501" i="108" s="1"/>
  <c r="A280" i="108"/>
  <c r="O611" i="6" a="1"/>
  <c r="O611" i="6" s="1"/>
  <c r="C280" i="108" s="1"/>
  <c r="I280" i="108" s="1"/>
  <c r="I193" i="6"/>
  <c r="D280" i="108" s="1"/>
  <c r="A472" i="108"/>
  <c r="O660" i="6" a="1"/>
  <c r="O660" i="6" s="1"/>
  <c r="C472" i="108" s="1"/>
  <c r="I472" i="108" s="1"/>
  <c r="I121" i="6"/>
  <c r="D472" i="108" s="1"/>
  <c r="I560" i="6"/>
  <c r="D1000" i="108" s="1"/>
  <c r="A1000" i="108"/>
  <c r="O1012" i="6" a="1"/>
  <c r="O1012" i="6" s="1"/>
  <c r="C1000" i="108" s="1"/>
  <c r="O878" i="6" a="1"/>
  <c r="O878" i="6" s="1"/>
  <c r="C779" i="108" s="1"/>
  <c r="A779" i="108"/>
  <c r="I964" i="6"/>
  <c r="D779" i="108" s="1"/>
  <c r="L805" i="6"/>
  <c r="D774" i="6" s="1"/>
  <c r="A773" i="108"/>
  <c r="O875" i="6" a="1"/>
  <c r="O875" i="6" s="1"/>
  <c r="C773" i="108" s="1"/>
  <c r="I152" i="6"/>
  <c r="D773" i="108" s="1"/>
  <c r="A268" i="108"/>
  <c r="I195" i="6"/>
  <c r="D268" i="108" s="1"/>
  <c r="O607" i="6" a="1"/>
  <c r="O607" i="6" s="1"/>
  <c r="C268" i="108" s="1"/>
  <c r="I268" i="108" s="1"/>
  <c r="L431" i="6"/>
  <c r="D422" i="6" s="1"/>
  <c r="O648" i="6" a="1"/>
  <c r="O648" i="6" s="1"/>
  <c r="C421" i="108" s="1"/>
  <c r="A421" i="108"/>
  <c r="I441" i="6"/>
  <c r="D421" i="108" s="1"/>
  <c r="O655" i="6" a="1"/>
  <c r="O655" i="6" s="1"/>
  <c r="C450" i="108" s="1"/>
  <c r="I450" i="108" s="1"/>
  <c r="A450" i="108"/>
  <c r="I683" i="6"/>
  <c r="D450" i="108" s="1"/>
  <c r="O625" i="6" a="1"/>
  <c r="O625" i="6" s="1"/>
  <c r="C324" i="108" s="1"/>
  <c r="I324" i="108" s="1"/>
  <c r="I205" i="6"/>
  <c r="D324" i="108" s="1"/>
  <c r="A324" i="108"/>
  <c r="I115" i="6"/>
  <c r="D409" i="108" s="1"/>
  <c r="O646" i="6" a="1"/>
  <c r="O646" i="6" s="1"/>
  <c r="C409" i="108" s="1"/>
  <c r="A409" i="108"/>
  <c r="I111" i="6"/>
  <c r="D263" i="108" s="1"/>
  <c r="A263" i="108"/>
  <c r="O606" i="6" a="1"/>
  <c r="O606" i="6" s="1"/>
  <c r="C263" i="108" s="1"/>
  <c r="I263" i="108" s="1"/>
  <c r="I954" i="108"/>
  <c r="I342" i="108"/>
  <c r="I376" i="108"/>
  <c r="I661" i="108"/>
  <c r="L169" i="6"/>
  <c r="D167" i="6" s="1"/>
  <c r="K272" i="6"/>
  <c r="I721" i="108"/>
  <c r="I197" i="108"/>
  <c r="L192" i="6"/>
  <c r="D189" i="6" s="1"/>
  <c r="L160" i="6"/>
  <c r="D160" i="6" s="1"/>
  <c r="K263" i="6"/>
  <c r="I474" i="108"/>
  <c r="I505" i="108"/>
  <c r="I964" i="108"/>
  <c r="I517" i="108"/>
  <c r="I786" i="108"/>
  <c r="I622" i="108"/>
  <c r="I743" i="108"/>
  <c r="I267" i="108"/>
  <c r="I969" i="108"/>
  <c r="I262" i="108"/>
  <c r="I74" i="108"/>
  <c r="I313" i="108"/>
  <c r="I942" i="108"/>
  <c r="I538" i="108"/>
  <c r="I640" i="108"/>
  <c r="I550" i="108"/>
  <c r="I947" i="108"/>
  <c r="I43" i="108"/>
  <c r="I975" i="108"/>
  <c r="I702" i="108"/>
  <c r="I1003" i="108"/>
  <c r="I347" i="108"/>
  <c r="I798" i="108"/>
  <c r="I36" i="108"/>
  <c r="I859" i="108"/>
  <c r="L46" i="6"/>
  <c r="D40" i="6" s="1"/>
  <c r="K149" i="6"/>
  <c r="CP13" i="81"/>
  <c r="K35" i="6" s="1"/>
  <c r="L47" i="6"/>
  <c r="D41" i="6" s="1"/>
  <c r="K150" i="6"/>
  <c r="I767" i="108"/>
  <c r="I508" i="108"/>
  <c r="L526" i="6"/>
  <c r="D510" i="6" s="1"/>
  <c r="K629" i="6"/>
  <c r="I666" i="108"/>
  <c r="I447" i="108"/>
  <c r="I985" i="108"/>
  <c r="I537" i="108"/>
  <c r="I63" i="108"/>
  <c r="I825" i="108"/>
  <c r="I478" i="108"/>
  <c r="I644" i="108"/>
  <c r="I848" i="108"/>
  <c r="I93" i="108"/>
  <c r="I24" i="108"/>
  <c r="I655" i="108"/>
  <c r="I867" i="108"/>
  <c r="I48" i="108"/>
  <c r="E16" i="105"/>
  <c r="I815" i="108"/>
  <c r="I97" i="108"/>
  <c r="I835" i="108"/>
  <c r="I413" i="108"/>
  <c r="I772" i="108"/>
  <c r="L415" i="6"/>
  <c r="D404" i="6" s="1"/>
  <c r="K518" i="6"/>
  <c r="O616" i="6" a="1"/>
  <c r="O616" i="6" s="1"/>
  <c r="C297" i="108" s="1"/>
  <c r="A297" i="108"/>
  <c r="I552" i="6"/>
  <c r="D297" i="108" s="1"/>
  <c r="O1023" i="6" a="1"/>
  <c r="O1023" i="6" s="1"/>
  <c r="C1021" i="108" s="1"/>
  <c r="I1021" i="108" s="1"/>
  <c r="I373" i="6"/>
  <c r="D1021" i="108" s="1"/>
  <c r="A1021" i="108"/>
  <c r="O617" i="6" a="1"/>
  <c r="O617" i="6" s="1"/>
  <c r="C302" i="108" s="1"/>
  <c r="I302" i="108" s="1"/>
  <c r="I668" i="6"/>
  <c r="D302" i="108" s="1"/>
  <c r="A302" i="108"/>
  <c r="I997" i="6"/>
  <c r="D171" i="108" s="1"/>
  <c r="A171" i="108"/>
  <c r="O572" i="6" a="1"/>
  <c r="O572" i="6" s="1"/>
  <c r="C171" i="108" s="1"/>
  <c r="I171" i="108" s="1"/>
  <c r="I606" i="6"/>
  <c r="D705" i="108" s="1"/>
  <c r="O843" i="6" a="1"/>
  <c r="O843" i="6" s="1"/>
  <c r="C705" i="108" s="1"/>
  <c r="A705" i="108"/>
  <c r="O932" i="6" a="1"/>
  <c r="O932" i="6" s="1"/>
  <c r="C932" i="108" s="1"/>
  <c r="I932" i="108" s="1"/>
  <c r="A932" i="108"/>
  <c r="I192" i="6"/>
  <c r="D932" i="108" s="1"/>
  <c r="A732" i="108"/>
  <c r="O855" i="6" a="1"/>
  <c r="O855" i="6" s="1"/>
  <c r="C732" i="108" s="1"/>
  <c r="I732" i="108" s="1"/>
  <c r="I402" i="6"/>
  <c r="D732" i="108" s="1"/>
  <c r="A744" i="108"/>
  <c r="O861" i="6" a="1"/>
  <c r="O861" i="6" s="1"/>
  <c r="C744" i="108" s="1"/>
  <c r="I744" i="108" s="1"/>
  <c r="I505" i="6"/>
  <c r="D744" i="108" s="1"/>
  <c r="L219" i="6"/>
  <c r="D219" i="6" s="1"/>
  <c r="O593" i="6" a="1"/>
  <c r="O593" i="6" s="1"/>
  <c r="C218" i="108" s="1"/>
  <c r="I830" i="6"/>
  <c r="D218" i="108" s="1"/>
  <c r="A218" i="108"/>
  <c r="O930" i="6" a="1"/>
  <c r="O930" i="6" s="1"/>
  <c r="C926" i="108" s="1"/>
  <c r="I926" i="108" s="1"/>
  <c r="I43" i="6"/>
  <c r="D926" i="108" s="1"/>
  <c r="A926" i="108"/>
  <c r="O912" i="6" a="1"/>
  <c r="O912" i="6" s="1"/>
  <c r="C858" i="108" s="1"/>
  <c r="I858" i="108" s="1"/>
  <c r="A858" i="108"/>
  <c r="I338" i="6"/>
  <c r="D858" i="108" s="1"/>
  <c r="A370" i="108"/>
  <c r="O636" i="6" a="1"/>
  <c r="O636" i="6" s="1"/>
  <c r="C370" i="108" s="1"/>
  <c r="I370" i="108" s="1"/>
  <c r="I383" i="6"/>
  <c r="D370" i="108" s="1"/>
  <c r="I547" i="6"/>
  <c r="D511" i="108" s="1"/>
  <c r="A511" i="108"/>
  <c r="O670" i="6" a="1"/>
  <c r="O670" i="6" s="1"/>
  <c r="C511" i="108" s="1"/>
  <c r="I511" i="108" s="1"/>
  <c r="A898" i="108"/>
  <c r="I527" i="6"/>
  <c r="D898" i="108" s="1"/>
  <c r="O924" i="6" a="1"/>
  <c r="O924" i="6" s="1"/>
  <c r="C898" i="108" s="1"/>
  <c r="I898" i="108" s="1"/>
  <c r="A960" i="108"/>
  <c r="O938" i="6" a="1"/>
  <c r="O938" i="6" s="1"/>
  <c r="C960" i="108" s="1"/>
  <c r="I960" i="108" s="1"/>
  <c r="I809" i="6"/>
  <c r="D960" i="108" s="1"/>
  <c r="O863" i="6" a="1"/>
  <c r="O863" i="6" s="1"/>
  <c r="C749" i="108" s="1"/>
  <c r="A749" i="108"/>
  <c r="I577" i="6"/>
  <c r="D749" i="108" s="1"/>
  <c r="A92" i="108"/>
  <c r="V23" i="108" s="1"/>
  <c r="I601" i="6"/>
  <c r="D92" i="108" s="1"/>
  <c r="O533" i="6" a="1"/>
  <c r="O533" i="6" s="1"/>
  <c r="C92" i="108" s="1"/>
  <c r="I92" i="108" s="1"/>
  <c r="L86" i="6"/>
  <c r="D93" i="6" s="1"/>
  <c r="I225" i="6"/>
  <c r="D239" i="108" s="1"/>
  <c r="A239" i="108"/>
  <c r="O600" i="6" a="1"/>
  <c r="O600" i="6" s="1"/>
  <c r="C239" i="108" s="1"/>
  <c r="I239" i="108" s="1"/>
  <c r="I311" i="6"/>
  <c r="D966" i="108" s="1"/>
  <c r="A966" i="108"/>
  <c r="O940" i="6" a="1"/>
  <c r="O940" i="6" s="1"/>
  <c r="C966" i="108" s="1"/>
  <c r="A269" i="108"/>
  <c r="O608" i="6" a="1"/>
  <c r="O608" i="6" s="1"/>
  <c r="C269" i="108" s="1"/>
  <c r="I269" i="108" s="1"/>
  <c r="I535" i="6"/>
  <c r="D269" i="108" s="1"/>
  <c r="O854" i="6" a="1"/>
  <c r="O854" i="6" s="1"/>
  <c r="C728" i="108" s="1"/>
  <c r="A728" i="108"/>
  <c r="I921" i="6"/>
  <c r="D728" i="108" s="1"/>
  <c r="O671" i="6" a="1"/>
  <c r="O671" i="6" s="1"/>
  <c r="C518" i="108" s="1"/>
  <c r="I518" i="108" s="1"/>
  <c r="A518" i="108"/>
  <c r="I503" i="6"/>
  <c r="D518" i="108" s="1"/>
  <c r="O807" i="6" a="1"/>
  <c r="O807" i="6" s="1"/>
  <c r="C630" i="108" s="1"/>
  <c r="I630" i="108" s="1"/>
  <c r="A630" i="108"/>
  <c r="I495" i="6"/>
  <c r="D630" i="108" s="1"/>
  <c r="L120" i="6"/>
  <c r="D121" i="6" s="1"/>
  <c r="O546" i="6" a="1"/>
  <c r="O546" i="6" s="1"/>
  <c r="C120" i="108" s="1"/>
  <c r="A120" i="108"/>
  <c r="I740" i="6"/>
  <c r="D120" i="108" s="1"/>
  <c r="L224" i="6"/>
  <c r="D223" i="6" s="1"/>
  <c r="A222" i="108"/>
  <c r="I690" i="6"/>
  <c r="D222" i="108" s="1"/>
  <c r="O595" i="6" a="1"/>
  <c r="O595" i="6" s="1"/>
  <c r="C222" i="108" s="1"/>
  <c r="L329" i="6"/>
  <c r="D320" i="6" s="1"/>
  <c r="A319" i="108"/>
  <c r="I156" i="6"/>
  <c r="D319" i="108" s="1"/>
  <c r="O622" i="6" a="1"/>
  <c r="O622" i="6" s="1"/>
  <c r="C319" i="108" s="1"/>
  <c r="I319" i="108" s="1"/>
  <c r="A184" i="108"/>
  <c r="O578" i="6" a="1"/>
  <c r="O578" i="6" s="1"/>
  <c r="C184" i="108" s="1"/>
  <c r="I184" i="108" s="1"/>
  <c r="I798" i="6"/>
  <c r="D184" i="108" s="1"/>
  <c r="O601" i="6" a="1"/>
  <c r="O601" i="6" s="1"/>
  <c r="C246" i="108" s="1"/>
  <c r="A246" i="108"/>
  <c r="I990" i="6"/>
  <c r="D246" i="108" s="1"/>
  <c r="O552" i="6" a="1"/>
  <c r="O552" i="6" s="1"/>
  <c r="C132" i="108" s="1"/>
  <c r="I132" i="108" s="1"/>
  <c r="A132" i="108"/>
  <c r="I422" i="6"/>
  <c r="D132" i="108" s="1"/>
  <c r="I122" i="108"/>
  <c r="L411" i="6"/>
  <c r="D405" i="6" s="1"/>
  <c r="K514" i="6"/>
  <c r="L413" i="6"/>
  <c r="D407" i="6" s="1"/>
  <c r="K516" i="6"/>
  <c r="I906" i="108"/>
  <c r="I531" i="108"/>
  <c r="L633" i="6"/>
  <c r="D615" i="6" s="1"/>
  <c r="K736" i="6"/>
  <c r="I84" i="108"/>
  <c r="L508" i="6"/>
  <c r="D500" i="6" s="1"/>
  <c r="K611" i="6"/>
  <c r="L625" i="6"/>
  <c r="D614" i="6" s="1"/>
  <c r="K728" i="6"/>
  <c r="I890" i="108"/>
  <c r="I278" i="108"/>
  <c r="I181" i="108"/>
  <c r="L630" i="6"/>
  <c r="K733" i="6"/>
  <c r="L27" i="6"/>
  <c r="D29" i="6" s="1"/>
  <c r="K130" i="6"/>
  <c r="L48" i="6"/>
  <c r="D39" i="6" s="1"/>
  <c r="K151" i="6"/>
  <c r="L49" i="6"/>
  <c r="D38" i="6" s="1"/>
  <c r="K152" i="6"/>
  <c r="L423" i="6"/>
  <c r="D410" i="6" s="1"/>
  <c r="L521" i="6"/>
  <c r="D512" i="6" s="1"/>
  <c r="K624" i="6"/>
  <c r="I42" i="108"/>
  <c r="L296" i="6"/>
  <c r="D288" i="6" s="1"/>
  <c r="K399" i="6"/>
  <c r="L171" i="6"/>
  <c r="D168" i="6" s="1"/>
  <c r="K274" i="6"/>
  <c r="I332" i="108"/>
  <c r="I631" i="108"/>
  <c r="I27" i="108"/>
  <c r="I879" i="108"/>
  <c r="I1009" i="108"/>
  <c r="I760" i="108"/>
  <c r="I475" i="108"/>
  <c r="I169" i="108"/>
  <c r="I747" i="108"/>
  <c r="I40" i="108"/>
  <c r="I340" i="108"/>
  <c r="I656" i="108"/>
  <c r="I469" i="108"/>
  <c r="I588" i="108"/>
  <c r="I503" i="108"/>
  <c r="L176" i="6"/>
  <c r="D163" i="6" s="1"/>
  <c r="K279" i="6"/>
  <c r="I111" i="108"/>
  <c r="I264" i="108"/>
  <c r="L632" i="6"/>
  <c r="D618" i="6" s="1"/>
  <c r="K735" i="6"/>
  <c r="I903" i="108"/>
  <c r="I495" i="108"/>
  <c r="I54" i="108"/>
  <c r="I828" i="108"/>
  <c r="I82" i="108"/>
  <c r="I225" i="108"/>
  <c r="I208" i="108"/>
  <c r="E12" i="105"/>
  <c r="E22" i="105" s="1"/>
  <c r="I738" i="108"/>
  <c r="I684" i="108"/>
  <c r="I145" i="108"/>
  <c r="L177" i="6"/>
  <c r="D181" i="6" s="1"/>
  <c r="K280" i="6"/>
  <c r="I196" i="108"/>
  <c r="L175" i="6"/>
  <c r="D165" i="6" s="1"/>
  <c r="K278" i="6"/>
  <c r="I563" i="108"/>
  <c r="I967" i="108"/>
  <c r="I593" i="108"/>
  <c r="I522" i="108"/>
  <c r="I318" i="108"/>
  <c r="I956" i="108"/>
  <c r="I803" i="108"/>
  <c r="I514" i="108"/>
  <c r="I203" i="108"/>
  <c r="I582" i="108"/>
  <c r="I826" i="108"/>
  <c r="L312" i="6"/>
  <c r="D304" i="6" s="1"/>
  <c r="I995" i="108"/>
  <c r="O877" i="6" a="1"/>
  <c r="O877" i="6" s="1"/>
  <c r="C778" i="108" s="1"/>
  <c r="I778" i="108" s="1"/>
  <c r="A778" i="108"/>
  <c r="I851" i="6"/>
  <c r="D778" i="108" s="1"/>
  <c r="A365" i="108"/>
  <c r="I279" i="6"/>
  <c r="D365" i="108" s="1"/>
  <c r="O635" i="6" a="1"/>
  <c r="O635" i="6" s="1"/>
  <c r="C365" i="108" s="1"/>
  <c r="I365" i="108" s="1"/>
  <c r="A523" i="108"/>
  <c r="O672" i="6" a="1"/>
  <c r="O672" i="6" s="1"/>
  <c r="C523" i="108" s="1"/>
  <c r="I202" i="6"/>
  <c r="D523" i="108" s="1"/>
  <c r="A455" i="108"/>
  <c r="I855" i="6"/>
  <c r="D455" i="108" s="1"/>
  <c r="O656" i="6" a="1"/>
  <c r="O656" i="6" s="1"/>
  <c r="C455" i="108" s="1"/>
  <c r="I455" i="108" s="1"/>
  <c r="O946" i="6" a="1"/>
  <c r="O946" i="6" s="1"/>
  <c r="C994" i="108" s="1"/>
  <c r="A994" i="108"/>
  <c r="I604" i="6"/>
  <c r="D994" i="108" s="1"/>
  <c r="O831" i="6" a="1"/>
  <c r="O831" i="6" s="1"/>
  <c r="C681" i="108" s="1"/>
  <c r="A681" i="108"/>
  <c r="I677" i="6"/>
  <c r="D681" i="108" s="1"/>
  <c r="A460" i="108"/>
  <c r="O658" i="6" a="1"/>
  <c r="O658" i="6" s="1"/>
  <c r="C460" i="108" s="1"/>
  <c r="I258" i="6"/>
  <c r="D460" i="108" s="1"/>
  <c r="A574" i="108"/>
  <c r="O781" i="6" a="1"/>
  <c r="O781" i="6" s="1"/>
  <c r="C574" i="108" s="1"/>
  <c r="I574" i="108" s="1"/>
  <c r="I776" i="6"/>
  <c r="D574" i="108" s="1"/>
  <c r="O917" i="6" a="1"/>
  <c r="O917" i="6" s="1"/>
  <c r="C875" i="108" s="1"/>
  <c r="I875" i="108" s="1"/>
  <c r="A875" i="108"/>
  <c r="I196" i="6"/>
  <c r="D875" i="108" s="1"/>
  <c r="I804" i="6"/>
  <c r="D643" i="108" s="1"/>
  <c r="O814" i="6" a="1"/>
  <c r="O814" i="6" s="1"/>
  <c r="C643" i="108" s="1"/>
  <c r="A643" i="108"/>
  <c r="O845" i="6" a="1"/>
  <c r="O845" i="6" s="1"/>
  <c r="C710" i="108" s="1"/>
  <c r="I710" i="108" s="1"/>
  <c r="A710" i="108"/>
  <c r="I483" i="6"/>
  <c r="D710" i="108" s="1"/>
  <c r="A167" i="108"/>
  <c r="I530" i="6"/>
  <c r="D167" i="108" s="1"/>
  <c r="O570" i="6" a="1"/>
  <c r="O570" i="6" s="1"/>
  <c r="C167" i="108" s="1"/>
  <c r="I167" i="108" s="1"/>
  <c r="O597" i="6" a="1"/>
  <c r="O597" i="6" s="1"/>
  <c r="C234" i="108" s="1"/>
  <c r="I602" i="6"/>
  <c r="D234" i="108" s="1"/>
  <c r="A234" i="108"/>
  <c r="A739" i="108"/>
  <c r="O859" i="6" a="1"/>
  <c r="O859" i="6" s="1"/>
  <c r="C739" i="108" s="1"/>
  <c r="I739" i="108" s="1"/>
  <c r="I983" i="6"/>
  <c r="D739" i="108" s="1"/>
  <c r="O839" i="6" a="1"/>
  <c r="O839" i="6" s="1"/>
  <c r="C698" i="108" s="1"/>
  <c r="I698" i="108" s="1"/>
  <c r="A698" i="108"/>
  <c r="I625" i="6"/>
  <c r="D698" i="108" s="1"/>
  <c r="A477" i="108"/>
  <c r="O662" i="6" a="1"/>
  <c r="O662" i="6" s="1"/>
  <c r="C477" i="108" s="1"/>
  <c r="I477" i="108" s="1"/>
  <c r="I856" i="6"/>
  <c r="D477" i="108" s="1"/>
  <c r="I925" i="6"/>
  <c r="D897" i="108" s="1"/>
  <c r="O923" i="6" a="1"/>
  <c r="O923" i="6" s="1"/>
  <c r="C897" i="108" s="1"/>
  <c r="A897" i="108"/>
  <c r="O928" i="6" a="1"/>
  <c r="O928" i="6" s="1"/>
  <c r="C915" i="108" s="1"/>
  <c r="A915" i="108"/>
  <c r="I891" i="6"/>
  <c r="D915" i="108" s="1"/>
  <c r="A715" i="108"/>
  <c r="O847" i="6" a="1"/>
  <c r="O847" i="6" s="1"/>
  <c r="C715" i="108" s="1"/>
  <c r="I876" i="6"/>
  <c r="D715" i="108" s="1"/>
  <c r="L105" i="6"/>
  <c r="D102" i="6" s="1"/>
  <c r="O537" i="6" a="1"/>
  <c r="O537" i="6" s="1"/>
  <c r="C101" i="108" s="1"/>
  <c r="I101" i="108" s="1"/>
  <c r="A101" i="108"/>
  <c r="I116" i="6"/>
  <c r="D101" i="108" s="1"/>
  <c r="O657" i="6" a="1"/>
  <c r="O657" i="6" s="1"/>
  <c r="C456" i="108" s="1"/>
  <c r="A456" i="108"/>
  <c r="I29" i="6"/>
  <c r="D456" i="108" s="1"/>
  <c r="I350" i="6"/>
  <c r="D256" i="108" s="1"/>
  <c r="A256" i="108"/>
  <c r="O605" i="6" a="1"/>
  <c r="O605" i="6" s="1"/>
  <c r="C256" i="108" s="1"/>
  <c r="I256" i="108" s="1"/>
  <c r="I767" i="6"/>
  <c r="D438" i="108" s="1"/>
  <c r="O652" i="6" a="1"/>
  <c r="O652" i="6" s="1"/>
  <c r="C438" i="108" s="1"/>
  <c r="A438" i="108"/>
  <c r="O586" i="6" a="1"/>
  <c r="O586" i="6" s="1"/>
  <c r="C201" i="108" s="1"/>
  <c r="I201" i="108" s="1"/>
  <c r="A201" i="108"/>
  <c r="I629" i="6"/>
  <c r="D201" i="108" s="1"/>
  <c r="L208" i="6"/>
  <c r="D202" i="6" s="1"/>
  <c r="A1016" i="108"/>
  <c r="I616" i="6"/>
  <c r="D1016" i="108" s="1"/>
  <c r="O1020" i="6" a="1"/>
  <c r="O1020" i="6" s="1"/>
  <c r="C1016" i="108" s="1"/>
  <c r="I1016" i="108" s="1"/>
  <c r="I396" i="6"/>
  <c r="D161" i="108" s="1"/>
  <c r="A161" i="108"/>
  <c r="O567" i="6" a="1"/>
  <c r="O567" i="6" s="1"/>
  <c r="C161" i="108" s="1"/>
  <c r="A416" i="108"/>
  <c r="I922" i="6"/>
  <c r="D416" i="108" s="1"/>
  <c r="O647" i="6" a="1"/>
  <c r="O647" i="6" s="1"/>
  <c r="C416" i="108" s="1"/>
  <c r="L424" i="6"/>
  <c r="D417" i="6" s="1"/>
  <c r="L113" i="6"/>
  <c r="D111" i="6" s="1"/>
  <c r="O541" i="6" a="1"/>
  <c r="O541" i="6" s="1"/>
  <c r="C110" i="108" s="1"/>
  <c r="A110" i="108"/>
  <c r="I322" i="6"/>
  <c r="D110" i="108" s="1"/>
  <c r="L173" i="6"/>
  <c r="D166" i="6" s="1"/>
  <c r="K276" i="6"/>
  <c r="I308" i="108"/>
  <c r="I598" i="108"/>
  <c r="I870" i="108"/>
  <c r="I96" i="108"/>
  <c r="I607" i="108"/>
  <c r="I175" i="108"/>
  <c r="I124" i="108"/>
  <c r="I544" i="108"/>
  <c r="I616" i="108"/>
  <c r="I160" i="108"/>
  <c r="I674" i="108"/>
  <c r="I384" i="108"/>
  <c r="I402" i="108"/>
  <c r="I418" i="108"/>
  <c r="I587" i="108"/>
  <c r="I49" i="108"/>
  <c r="L154" i="6"/>
  <c r="D159" i="6" s="1"/>
  <c r="K257" i="6"/>
  <c r="I257" i="108"/>
  <c r="I185" i="108"/>
  <c r="I610" i="108"/>
  <c r="I649" i="108"/>
  <c r="I386" i="108"/>
  <c r="I675" i="108"/>
  <c r="I52" i="108"/>
  <c r="I735" i="108"/>
  <c r="I646" i="108"/>
  <c r="I135" i="108"/>
  <c r="I34" i="108"/>
  <c r="I283" i="108"/>
  <c r="L397" i="6"/>
  <c r="D387" i="6" s="1"/>
  <c r="K500" i="6"/>
  <c r="I536" i="108"/>
  <c r="L161" i="6"/>
  <c r="D155" i="6" s="1"/>
  <c r="K264" i="6"/>
  <c r="L179" i="6"/>
  <c r="D183" i="6" s="1"/>
  <c r="K282" i="6"/>
  <c r="I542" i="108"/>
  <c r="L405" i="6"/>
  <c r="D400" i="6" s="1"/>
  <c r="L293" i="6"/>
  <c r="D292" i="6" s="1"/>
  <c r="K396" i="6"/>
  <c r="I600" i="108"/>
  <c r="I854" i="108"/>
  <c r="I782" i="108"/>
  <c r="I191" i="108"/>
  <c r="I986" i="108"/>
  <c r="I945" i="108"/>
  <c r="I809" i="108"/>
  <c r="I996" i="108"/>
  <c r="I57" i="108"/>
  <c r="I974" i="108"/>
  <c r="I199" i="108"/>
  <c r="I261" i="108"/>
  <c r="I872" i="108"/>
  <c r="I515" i="108"/>
  <c r="I573" i="108"/>
  <c r="I624" i="108"/>
  <c r="I170" i="108"/>
  <c r="I752" i="108"/>
  <c r="I367" i="108"/>
  <c r="L38" i="6"/>
  <c r="D46" i="6" s="1"/>
  <c r="K141" i="6"/>
  <c r="L41" i="6"/>
  <c r="D43" i="6" s="1"/>
  <c r="K144" i="6"/>
  <c r="L45" i="6"/>
  <c r="D42" i="6" s="1"/>
  <c r="K148" i="6"/>
  <c r="I768" i="108"/>
  <c r="I190" i="108"/>
  <c r="I88" i="108"/>
  <c r="I635" i="108"/>
  <c r="I108" i="108"/>
  <c r="I432" i="108"/>
  <c r="I976" i="108"/>
  <c r="I408" i="108"/>
  <c r="I198" i="108"/>
  <c r="I300" i="108"/>
  <c r="L68" i="6"/>
  <c r="D68" i="6" s="1"/>
  <c r="I155" i="108"/>
  <c r="L157" i="6"/>
  <c r="D156" i="6" s="1"/>
  <c r="K260" i="6"/>
  <c r="I513" i="108"/>
  <c r="I920" i="108"/>
  <c r="L184" i="6"/>
  <c r="D177" i="6" s="1"/>
  <c r="K287" i="6"/>
  <c r="K1047" i="6"/>
  <c r="L1047" i="6" s="1"/>
  <c r="D1021" i="6" s="1"/>
  <c r="F22" i="105"/>
  <c r="K1048" i="6"/>
  <c r="L1048" i="6" s="1"/>
  <c r="D1023" i="6" s="1"/>
  <c r="K947" i="6"/>
  <c r="L947" i="6" s="1"/>
  <c r="D920" i="6" s="1"/>
  <c r="K946" i="6"/>
  <c r="L946" i="6" s="1"/>
  <c r="D922" i="6" s="1"/>
  <c r="CD24" i="81"/>
  <c r="E24" i="81" s="1"/>
  <c r="B24" i="81" s="1"/>
  <c r="A20" i="6"/>
  <c r="O32" i="108"/>
  <c r="CD25" i="81"/>
  <c r="E25" i="81" s="1"/>
  <c r="B25" i="81" s="1"/>
  <c r="A21" i="6"/>
  <c r="D117" i="6" l="1"/>
  <c r="I705" i="108"/>
  <c r="L150" i="6"/>
  <c r="D141" i="6" s="1"/>
  <c r="K253" i="6"/>
  <c r="I286" i="108"/>
  <c r="I579" i="108"/>
  <c r="I914" i="108"/>
  <c r="I392" i="108"/>
  <c r="L273" i="6"/>
  <c r="D269" i="6" s="1"/>
  <c r="K376" i="6"/>
  <c r="L153" i="6"/>
  <c r="D150" i="6" s="1"/>
  <c r="K256" i="6"/>
  <c r="L380" i="6"/>
  <c r="D364" i="6" s="1"/>
  <c r="K483" i="6"/>
  <c r="I404" i="108"/>
  <c r="I116" i="108"/>
  <c r="I252" i="108"/>
  <c r="V28" i="108"/>
  <c r="I137" i="108"/>
  <c r="I795" i="108"/>
  <c r="L268" i="6"/>
  <c r="D251" i="6" s="1"/>
  <c r="K371" i="6"/>
  <c r="L24" i="6"/>
  <c r="D33" i="6" s="1"/>
  <c r="K127" i="6"/>
  <c r="L265" i="6"/>
  <c r="D253" i="6" s="1"/>
  <c r="K368" i="6"/>
  <c r="I796" i="108"/>
  <c r="I50" i="108"/>
  <c r="I94" i="108"/>
  <c r="I26" i="108"/>
  <c r="L627" i="6"/>
  <c r="D609" i="6" s="1"/>
  <c r="K730" i="6"/>
  <c r="I817" i="108"/>
  <c r="I693" i="108"/>
  <c r="I149" i="108"/>
  <c r="L271" i="6"/>
  <c r="D272" i="6" s="1"/>
  <c r="K374" i="6"/>
  <c r="I953" i="108"/>
  <c r="I188" i="108"/>
  <c r="I387" i="108"/>
  <c r="I178" i="108"/>
  <c r="I586" i="108"/>
  <c r="L282" i="6"/>
  <c r="D283" i="6" s="1"/>
  <c r="K385" i="6"/>
  <c r="L279" i="6"/>
  <c r="D263" i="6" s="1"/>
  <c r="K382" i="6"/>
  <c r="L398" i="6"/>
  <c r="D389" i="6" s="1"/>
  <c r="K501" i="6"/>
  <c r="L512" i="6"/>
  <c r="D499" i="6" s="1"/>
  <c r="K615" i="6"/>
  <c r="V32" i="108"/>
  <c r="L378" i="6"/>
  <c r="D371" i="6" s="1"/>
  <c r="K481" i="6"/>
  <c r="L394" i="6"/>
  <c r="D390" i="6" s="1"/>
  <c r="K497" i="6"/>
  <c r="L283" i="6"/>
  <c r="D278" i="6" s="1"/>
  <c r="K386" i="6"/>
  <c r="L515" i="6"/>
  <c r="D508" i="6" s="1"/>
  <c r="K618" i="6"/>
  <c r="L26" i="6"/>
  <c r="D35" i="6" s="1"/>
  <c r="K129" i="6"/>
  <c r="L395" i="6"/>
  <c r="D393" i="6" s="1"/>
  <c r="K498" i="6"/>
  <c r="L266" i="6"/>
  <c r="D254" i="6" s="1"/>
  <c r="K369" i="6"/>
  <c r="L137" i="6"/>
  <c r="D125" i="6" s="1"/>
  <c r="K240" i="6"/>
  <c r="L267" i="6"/>
  <c r="D252" i="6" s="1"/>
  <c r="K370" i="6"/>
  <c r="L506" i="6"/>
  <c r="D498" i="6" s="1"/>
  <c r="K609" i="6"/>
  <c r="L736" i="6"/>
  <c r="D715" i="6" s="1"/>
  <c r="K839" i="6"/>
  <c r="I643" i="108"/>
  <c r="L35" i="6"/>
  <c r="D24" i="6" s="1"/>
  <c r="K138" i="6"/>
  <c r="I779" i="108"/>
  <c r="I133" i="108"/>
  <c r="L288" i="6"/>
  <c r="D275" i="6" s="1"/>
  <c r="K391" i="6"/>
  <c r="L145" i="6"/>
  <c r="D145" i="6" s="1"/>
  <c r="K248" i="6"/>
  <c r="L513" i="6"/>
  <c r="D494" i="6" s="1"/>
  <c r="K616" i="6"/>
  <c r="I931" i="108"/>
  <c r="L125" i="6"/>
  <c r="D76" i="6" s="1"/>
  <c r="K228" i="6"/>
  <c r="I608" i="108"/>
  <c r="V27" i="108"/>
  <c r="I909" i="108"/>
  <c r="I936" i="108"/>
  <c r="L33" i="6"/>
  <c r="D27" i="6" s="1"/>
  <c r="K136" i="6"/>
  <c r="I790" i="108"/>
  <c r="L628" i="6"/>
  <c r="D611" i="6" s="1"/>
  <c r="K731" i="6"/>
  <c r="I144" i="108"/>
  <c r="I613" i="108"/>
  <c r="I110" i="108"/>
  <c r="L274" i="6"/>
  <c r="D268" i="6" s="1"/>
  <c r="K377" i="6"/>
  <c r="I234" i="108"/>
  <c r="I994" i="108"/>
  <c r="I915" i="108"/>
  <c r="I460" i="108"/>
  <c r="L399" i="6"/>
  <c r="D388" i="6" s="1"/>
  <c r="K502" i="6"/>
  <c r="L151" i="6"/>
  <c r="D139" i="6" s="1"/>
  <c r="K254" i="6"/>
  <c r="I966" i="108"/>
  <c r="L149" i="6"/>
  <c r="D140" i="6" s="1"/>
  <c r="K252" i="6"/>
  <c r="L272" i="6"/>
  <c r="D267" i="6" s="1"/>
  <c r="K375" i="6"/>
  <c r="I1000" i="108"/>
  <c r="I433" i="108"/>
  <c r="L281" i="6"/>
  <c r="D284" i="6" s="1"/>
  <c r="K384" i="6"/>
  <c r="L520" i="6"/>
  <c r="D506" i="6" s="1"/>
  <c r="K623" i="6"/>
  <c r="L510" i="6"/>
  <c r="D497" i="6" s="1"/>
  <c r="K613" i="6"/>
  <c r="I540" i="108"/>
  <c r="I642" i="108"/>
  <c r="L186" i="6"/>
  <c r="K289" i="6"/>
  <c r="I1017" i="108"/>
  <c r="V30" i="108"/>
  <c r="L402" i="6"/>
  <c r="D385" i="6" s="1"/>
  <c r="K505" i="6"/>
  <c r="L285" i="6"/>
  <c r="D279" i="6" s="1"/>
  <c r="K388" i="6"/>
  <c r="I484" i="108"/>
  <c r="L519" i="6"/>
  <c r="D503" i="6" s="1"/>
  <c r="K622" i="6"/>
  <c r="L31" i="6"/>
  <c r="D28" i="6" s="1"/>
  <c r="K134" i="6"/>
  <c r="L227" i="6"/>
  <c r="D161" i="6" s="1"/>
  <c r="K330" i="6"/>
  <c r="I851" i="108"/>
  <c r="L517" i="6"/>
  <c r="D502" i="6" s="1"/>
  <c r="K620" i="6"/>
  <c r="L734" i="6"/>
  <c r="D719" i="6" s="1"/>
  <c r="K837" i="6"/>
  <c r="I965" i="108"/>
  <c r="L287" i="6"/>
  <c r="D277" i="6" s="1"/>
  <c r="K390" i="6"/>
  <c r="I456" i="108"/>
  <c r="L152" i="6"/>
  <c r="D138" i="6" s="1"/>
  <c r="K255" i="6"/>
  <c r="L264" i="6"/>
  <c r="D255" i="6" s="1"/>
  <c r="K367" i="6"/>
  <c r="I438" i="108"/>
  <c r="L148" i="6"/>
  <c r="D142" i="6" s="1"/>
  <c r="K251" i="6"/>
  <c r="L257" i="6"/>
  <c r="D259" i="6" s="1"/>
  <c r="K360" i="6"/>
  <c r="L396" i="6"/>
  <c r="D392" i="6" s="1"/>
  <c r="K499" i="6"/>
  <c r="I416" i="108"/>
  <c r="L278" i="6"/>
  <c r="D265" i="6" s="1"/>
  <c r="K381" i="6"/>
  <c r="I218" i="108"/>
  <c r="L629" i="6"/>
  <c r="D610" i="6" s="1"/>
  <c r="K732" i="6"/>
  <c r="I892" i="108"/>
  <c r="L133" i="6"/>
  <c r="D134" i="6" s="1"/>
  <c r="K236" i="6"/>
  <c r="I439" i="108"/>
  <c r="I592" i="108"/>
  <c r="I830" i="108"/>
  <c r="V29" i="108"/>
  <c r="I591" i="108"/>
  <c r="I490" i="108"/>
  <c r="I331" i="108"/>
  <c r="I626" i="108"/>
  <c r="L261" i="6"/>
  <c r="D258" i="6" s="1"/>
  <c r="K364" i="6"/>
  <c r="L25" i="6"/>
  <c r="D36" i="6" s="1"/>
  <c r="K128" i="6"/>
  <c r="L626" i="6"/>
  <c r="D613" i="6" s="1"/>
  <c r="K729" i="6"/>
  <c r="I353" i="108"/>
  <c r="I443" i="108"/>
  <c r="I195" i="108"/>
  <c r="L511" i="6"/>
  <c r="D496" i="6" s="1"/>
  <c r="K614" i="6"/>
  <c r="L735" i="6"/>
  <c r="D718" i="6" s="1"/>
  <c r="K838" i="6"/>
  <c r="L728" i="6"/>
  <c r="D714" i="6" s="1"/>
  <c r="K831" i="6"/>
  <c r="L260" i="6"/>
  <c r="D256" i="6" s="1"/>
  <c r="K363" i="6"/>
  <c r="L144" i="6"/>
  <c r="D143" i="6" s="1"/>
  <c r="K247" i="6"/>
  <c r="L500" i="6"/>
  <c r="D487" i="6" s="1"/>
  <c r="K603" i="6"/>
  <c r="L276" i="6"/>
  <c r="D266" i="6" s="1"/>
  <c r="K379" i="6"/>
  <c r="I897" i="108"/>
  <c r="L130" i="6"/>
  <c r="D129" i="6" s="1"/>
  <c r="K233" i="6"/>
  <c r="L516" i="6"/>
  <c r="D507" i="6" s="1"/>
  <c r="K619" i="6"/>
  <c r="I120" i="108"/>
  <c r="I297" i="108"/>
  <c r="I409" i="108"/>
  <c r="I773" i="108"/>
  <c r="I501" i="108"/>
  <c r="I273" i="108"/>
  <c r="I783" i="108"/>
  <c r="I982" i="108"/>
  <c r="I494" i="108"/>
  <c r="I67" i="108"/>
  <c r="I473" i="108"/>
  <c r="I489" i="108"/>
  <c r="I880" i="108"/>
  <c r="V25" i="108"/>
  <c r="U35" i="108" s="1"/>
  <c r="L139" i="6"/>
  <c r="D137" i="6" s="1"/>
  <c r="K242" i="6"/>
  <c r="L286" i="6"/>
  <c r="D282" i="6" s="1"/>
  <c r="K389" i="6"/>
  <c r="I524" i="108"/>
  <c r="I307" i="108"/>
  <c r="L37" i="6"/>
  <c r="D30" i="6" s="1"/>
  <c r="K140" i="6"/>
  <c r="I660" i="108"/>
  <c r="I863" i="108"/>
  <c r="I620" i="108"/>
  <c r="I987" i="108"/>
  <c r="I970" i="108"/>
  <c r="L259" i="6"/>
  <c r="K362" i="6"/>
  <c r="L146" i="6"/>
  <c r="D144" i="6" s="1"/>
  <c r="K249" i="6"/>
  <c r="I868" i="108"/>
  <c r="I371" i="108"/>
  <c r="I562" i="108"/>
  <c r="L401" i="6"/>
  <c r="D386" i="6" s="1"/>
  <c r="K504" i="6"/>
  <c r="L135" i="6"/>
  <c r="D126" i="6" s="1"/>
  <c r="K238" i="6"/>
  <c r="I948" i="108"/>
  <c r="I1004" i="108"/>
  <c r="I405" i="108"/>
  <c r="L611" i="6"/>
  <c r="D600" i="6" s="1"/>
  <c r="K714" i="6"/>
  <c r="L518" i="6"/>
  <c r="D504" i="6" s="1"/>
  <c r="K621" i="6"/>
  <c r="L263" i="6"/>
  <c r="D260" i="6" s="1"/>
  <c r="K366" i="6"/>
  <c r="L246" i="6"/>
  <c r="D248" i="6" s="1"/>
  <c r="K349" i="6"/>
  <c r="L737" i="6"/>
  <c r="D716" i="6" s="1"/>
  <c r="K840" i="6"/>
  <c r="L641" i="6"/>
  <c r="D617" i="6" s="1"/>
  <c r="K744" i="6"/>
  <c r="V26" i="108"/>
  <c r="L269" i="6"/>
  <c r="D270" i="6" s="1"/>
  <c r="K372" i="6"/>
  <c r="L147" i="6"/>
  <c r="D147" i="6" s="1"/>
  <c r="K250" i="6"/>
  <c r="L610" i="6"/>
  <c r="D601" i="6" s="1"/>
  <c r="K713" i="6"/>
  <c r="L284" i="6"/>
  <c r="D280" i="6" s="1"/>
  <c r="K387" i="6"/>
  <c r="L624" i="6"/>
  <c r="D612" i="6" s="1"/>
  <c r="K727" i="6"/>
  <c r="L141" i="6"/>
  <c r="D146" i="6" s="1"/>
  <c r="K244" i="6"/>
  <c r="I161" i="108"/>
  <c r="I715" i="108"/>
  <c r="I681" i="108"/>
  <c r="I523" i="108"/>
  <c r="L280" i="6"/>
  <c r="D281" i="6" s="1"/>
  <c r="K383" i="6"/>
  <c r="L733" i="6"/>
  <c r="K836" i="6"/>
  <c r="L514" i="6"/>
  <c r="D505" i="6" s="1"/>
  <c r="K617" i="6"/>
  <c r="I246" i="108"/>
  <c r="I222" i="108"/>
  <c r="I728" i="108"/>
  <c r="I749" i="108"/>
  <c r="I421" i="108"/>
  <c r="L262" i="6"/>
  <c r="D257" i="6" s="1"/>
  <c r="K365" i="6"/>
  <c r="I596" i="108"/>
  <c r="I756" i="108"/>
  <c r="L270" i="6"/>
  <c r="D273" i="6" s="1"/>
  <c r="K373" i="6"/>
  <c r="L142" i="6"/>
  <c r="D149" i="6" s="1"/>
  <c r="K245" i="6"/>
  <c r="I766" i="108"/>
  <c r="I341" i="108"/>
  <c r="L132" i="6"/>
  <c r="D131" i="6" s="1"/>
  <c r="K235" i="6"/>
  <c r="L612" i="6"/>
  <c r="D595" i="6" s="1"/>
  <c r="K715" i="6"/>
  <c r="L400" i="6"/>
  <c r="D391" i="6" s="1"/>
  <c r="K503" i="6"/>
  <c r="L258" i="6"/>
  <c r="D262" i="6" s="1"/>
  <c r="K361" i="6"/>
  <c r="L131" i="6"/>
  <c r="D132" i="6" s="1"/>
  <c r="K234" i="6"/>
  <c r="K1049" i="6"/>
  <c r="L1049" i="6" s="1"/>
  <c r="D1022" i="6" s="1"/>
  <c r="K1050" i="6"/>
  <c r="L1050" i="6" s="1"/>
  <c r="D1020" i="6" s="1"/>
  <c r="U36" i="108" l="1"/>
  <c r="U37" i="108" s="1" a="1"/>
  <c r="U37" i="108" s="1"/>
  <c r="CH33" i="81"/>
  <c r="E33" i="81" s="1"/>
  <c r="B33" i="81" s="1"/>
  <c r="L366" i="6"/>
  <c r="D360" i="6" s="1"/>
  <c r="K469" i="6"/>
  <c r="L617" i="6"/>
  <c r="D605" i="6" s="1"/>
  <c r="K720" i="6"/>
  <c r="L713" i="6"/>
  <c r="D701" i="6" s="1"/>
  <c r="K816" i="6"/>
  <c r="L504" i="6"/>
  <c r="D486" i="6" s="1"/>
  <c r="K607" i="6"/>
  <c r="L236" i="6"/>
  <c r="D234" i="6" s="1"/>
  <c r="K339" i="6"/>
  <c r="L367" i="6"/>
  <c r="D355" i="6" s="1"/>
  <c r="K470" i="6"/>
  <c r="L837" i="6"/>
  <c r="D819" i="6" s="1"/>
  <c r="K940" i="6"/>
  <c r="L623" i="6"/>
  <c r="D606" i="6" s="1"/>
  <c r="K726" i="6"/>
  <c r="L252" i="6"/>
  <c r="D240" i="6" s="1"/>
  <c r="K355" i="6"/>
  <c r="L731" i="6"/>
  <c r="D711" i="6" s="1"/>
  <c r="K834" i="6"/>
  <c r="L391" i="6"/>
  <c r="D375" i="6" s="1"/>
  <c r="K494" i="6"/>
  <c r="L501" i="6"/>
  <c r="D489" i="6" s="1"/>
  <c r="K604" i="6"/>
  <c r="L730" i="6"/>
  <c r="D709" i="6" s="1"/>
  <c r="K833" i="6"/>
  <c r="L127" i="6"/>
  <c r="D133" i="6" s="1"/>
  <c r="K230" i="6"/>
  <c r="L387" i="6"/>
  <c r="D380" i="6" s="1"/>
  <c r="K490" i="6"/>
  <c r="L140" i="6"/>
  <c r="D130" i="6" s="1"/>
  <c r="K243" i="6"/>
  <c r="L234" i="6"/>
  <c r="D232" i="6" s="1"/>
  <c r="K337" i="6"/>
  <c r="L235" i="6"/>
  <c r="D231" i="6" s="1"/>
  <c r="K338" i="6"/>
  <c r="L365" i="6"/>
  <c r="D357" i="6" s="1"/>
  <c r="K468" i="6"/>
  <c r="L840" i="6"/>
  <c r="D816" i="6" s="1"/>
  <c r="K943" i="6"/>
  <c r="L714" i="6"/>
  <c r="D700" i="6" s="1"/>
  <c r="K817" i="6"/>
  <c r="L379" i="6"/>
  <c r="D366" i="6" s="1"/>
  <c r="K482" i="6"/>
  <c r="L831" i="6"/>
  <c r="D814" i="6" s="1"/>
  <c r="K934" i="6"/>
  <c r="L499" i="6"/>
  <c r="D492" i="6" s="1"/>
  <c r="K602" i="6"/>
  <c r="L622" i="6"/>
  <c r="D603" i="6" s="1"/>
  <c r="K725" i="6"/>
  <c r="L228" i="6"/>
  <c r="D176" i="6" s="1"/>
  <c r="K331" i="6"/>
  <c r="L609" i="6"/>
  <c r="D598" i="6" s="1"/>
  <c r="K712" i="6"/>
  <c r="L498" i="6"/>
  <c r="D493" i="6" s="1"/>
  <c r="K601" i="6"/>
  <c r="L497" i="6"/>
  <c r="D490" i="6" s="1"/>
  <c r="K600" i="6"/>
  <c r="L238" i="6"/>
  <c r="D226" i="6" s="1"/>
  <c r="K341" i="6"/>
  <c r="L361" i="6"/>
  <c r="D362" i="6" s="1"/>
  <c r="K464" i="6"/>
  <c r="L836" i="6"/>
  <c r="K939" i="6"/>
  <c r="L244" i="6"/>
  <c r="D246" i="6" s="1"/>
  <c r="K347" i="6"/>
  <c r="L250" i="6"/>
  <c r="D247" i="6" s="1"/>
  <c r="K353" i="6"/>
  <c r="L389" i="6"/>
  <c r="D382" i="6" s="1"/>
  <c r="K492" i="6"/>
  <c r="L729" i="6"/>
  <c r="D713" i="6" s="1"/>
  <c r="K832" i="6"/>
  <c r="L255" i="6"/>
  <c r="D238" i="6" s="1"/>
  <c r="K358" i="6"/>
  <c r="L620" i="6"/>
  <c r="D602" i="6" s="1"/>
  <c r="K723" i="6"/>
  <c r="L289" i="6"/>
  <c r="K392" i="6"/>
  <c r="L384" i="6"/>
  <c r="D384" i="6" s="1"/>
  <c r="K487" i="6"/>
  <c r="L382" i="6"/>
  <c r="D363" i="6" s="1"/>
  <c r="K485" i="6"/>
  <c r="L371" i="6"/>
  <c r="D351" i="6" s="1"/>
  <c r="K474" i="6"/>
  <c r="L483" i="6"/>
  <c r="D464" i="6" s="1"/>
  <c r="K586" i="6"/>
  <c r="L503" i="6"/>
  <c r="D491" i="6" s="1"/>
  <c r="K606" i="6"/>
  <c r="L245" i="6"/>
  <c r="D249" i="6" s="1"/>
  <c r="K348" i="6"/>
  <c r="L349" i="6"/>
  <c r="D348" i="6" s="1"/>
  <c r="K452" i="6"/>
  <c r="L603" i="6"/>
  <c r="D587" i="6" s="1"/>
  <c r="K706" i="6"/>
  <c r="L838" i="6"/>
  <c r="D818" i="6" s="1"/>
  <c r="K941" i="6"/>
  <c r="L732" i="6"/>
  <c r="D710" i="6" s="1"/>
  <c r="K835" i="6"/>
  <c r="L360" i="6"/>
  <c r="D359" i="6" s="1"/>
  <c r="K463" i="6"/>
  <c r="L254" i="6"/>
  <c r="D239" i="6" s="1"/>
  <c r="K357" i="6"/>
  <c r="L377" i="6"/>
  <c r="D368" i="6" s="1"/>
  <c r="K480" i="6"/>
  <c r="L136" i="6"/>
  <c r="D127" i="6" s="1"/>
  <c r="K239" i="6"/>
  <c r="L370" i="6"/>
  <c r="D352" i="6" s="1"/>
  <c r="K473" i="6"/>
  <c r="L129" i="6"/>
  <c r="D135" i="6" s="1"/>
  <c r="K232" i="6"/>
  <c r="L481" i="6"/>
  <c r="D471" i="6" s="1"/>
  <c r="K584" i="6"/>
  <c r="L374" i="6"/>
  <c r="D372" i="6" s="1"/>
  <c r="K477" i="6"/>
  <c r="L383" i="6"/>
  <c r="D381" i="6" s="1"/>
  <c r="K486" i="6"/>
  <c r="L727" i="6"/>
  <c r="D712" i="6" s="1"/>
  <c r="K830" i="6"/>
  <c r="L372" i="6"/>
  <c r="D370" i="6" s="1"/>
  <c r="K475" i="6"/>
  <c r="L242" i="6"/>
  <c r="D237" i="6" s="1"/>
  <c r="K345" i="6"/>
  <c r="L619" i="6"/>
  <c r="D607" i="6" s="1"/>
  <c r="K722" i="6"/>
  <c r="L128" i="6"/>
  <c r="D136" i="6" s="1"/>
  <c r="K231" i="6"/>
  <c r="L388" i="6"/>
  <c r="D379" i="6" s="1"/>
  <c r="K491" i="6"/>
  <c r="L616" i="6"/>
  <c r="D594" i="6" s="1"/>
  <c r="K719" i="6"/>
  <c r="L138" i="6"/>
  <c r="D124" i="6" s="1"/>
  <c r="K241" i="6"/>
  <c r="L385" i="6"/>
  <c r="D383" i="6" s="1"/>
  <c r="K488" i="6"/>
  <c r="L256" i="6"/>
  <c r="D250" i="6" s="1"/>
  <c r="K359" i="6"/>
  <c r="L253" i="6"/>
  <c r="D241" i="6" s="1"/>
  <c r="K356" i="6"/>
  <c r="L249" i="6"/>
  <c r="D244" i="6" s="1"/>
  <c r="K352" i="6"/>
  <c r="L247" i="6"/>
  <c r="D243" i="6" s="1"/>
  <c r="K350" i="6"/>
  <c r="L614" i="6"/>
  <c r="D596" i="6" s="1"/>
  <c r="K717" i="6"/>
  <c r="L251" i="6"/>
  <c r="D242" i="6" s="1"/>
  <c r="K354" i="6"/>
  <c r="L390" i="6"/>
  <c r="D377" i="6" s="1"/>
  <c r="K493" i="6"/>
  <c r="L330" i="6"/>
  <c r="D261" i="6" s="1"/>
  <c r="K433" i="6"/>
  <c r="L502" i="6"/>
  <c r="D488" i="6" s="1"/>
  <c r="K605" i="6"/>
  <c r="L240" i="6"/>
  <c r="D225" i="6" s="1"/>
  <c r="K343" i="6"/>
  <c r="L618" i="6"/>
  <c r="D608" i="6" s="1"/>
  <c r="K721" i="6"/>
  <c r="L373" i="6"/>
  <c r="D373" i="6" s="1"/>
  <c r="K476" i="6"/>
  <c r="L233" i="6"/>
  <c r="D229" i="6" s="1"/>
  <c r="K336" i="6"/>
  <c r="L364" i="6"/>
  <c r="D358" i="6" s="1"/>
  <c r="K467" i="6"/>
  <c r="L381" i="6"/>
  <c r="D365" i="6" s="1"/>
  <c r="K484" i="6"/>
  <c r="L505" i="6"/>
  <c r="D485" i="6" s="1"/>
  <c r="K608" i="6"/>
  <c r="L613" i="6"/>
  <c r="D597" i="6" s="1"/>
  <c r="K716" i="6"/>
  <c r="L375" i="6"/>
  <c r="D367" i="6" s="1"/>
  <c r="K478" i="6"/>
  <c r="L248" i="6"/>
  <c r="D245" i="6" s="1"/>
  <c r="K351" i="6"/>
  <c r="L615" i="6"/>
  <c r="D599" i="6" s="1"/>
  <c r="K718" i="6"/>
  <c r="L368" i="6"/>
  <c r="D353" i="6" s="1"/>
  <c r="K471" i="6"/>
  <c r="L376" i="6"/>
  <c r="D369" i="6" s="1"/>
  <c r="K479" i="6"/>
  <c r="L715" i="6"/>
  <c r="D695" i="6" s="1"/>
  <c r="K818" i="6"/>
  <c r="L744" i="6"/>
  <c r="D717" i="6" s="1"/>
  <c r="K847" i="6"/>
  <c r="L621" i="6"/>
  <c r="D604" i="6" s="1"/>
  <c r="K724" i="6"/>
  <c r="L362" i="6"/>
  <c r="K465" i="6"/>
  <c r="L363" i="6"/>
  <c r="D356" i="6" s="1"/>
  <c r="K466" i="6"/>
  <c r="L134" i="6"/>
  <c r="D128" i="6" s="1"/>
  <c r="K237" i="6"/>
  <c r="L839" i="6"/>
  <c r="D815" i="6" s="1"/>
  <c r="K942" i="6"/>
  <c r="L369" i="6"/>
  <c r="D354" i="6" s="1"/>
  <c r="K472" i="6"/>
  <c r="L386" i="6"/>
  <c r="D378" i="6" s="1"/>
  <c r="K489" i="6"/>
  <c r="L237" i="6" l="1"/>
  <c r="D228" i="6" s="1"/>
  <c r="K340" i="6"/>
  <c r="L847" i="6"/>
  <c r="D817" i="6" s="1"/>
  <c r="K950" i="6"/>
  <c r="L718" i="6"/>
  <c r="D699" i="6" s="1"/>
  <c r="K821" i="6"/>
  <c r="L608" i="6"/>
  <c r="D585" i="6" s="1"/>
  <c r="K711" i="6"/>
  <c r="L476" i="6"/>
  <c r="D473" i="6" s="1"/>
  <c r="K579" i="6"/>
  <c r="L433" i="6"/>
  <c r="D361" i="6" s="1"/>
  <c r="K536" i="6"/>
  <c r="L350" i="6"/>
  <c r="D343" i="6" s="1"/>
  <c r="K453" i="6"/>
  <c r="L488" i="6"/>
  <c r="D483" i="6" s="1"/>
  <c r="K591" i="6"/>
  <c r="L231" i="6"/>
  <c r="D236" i="6" s="1"/>
  <c r="K334" i="6"/>
  <c r="L830" i="6"/>
  <c r="D812" i="6" s="1"/>
  <c r="K933" i="6"/>
  <c r="L232" i="6"/>
  <c r="D235" i="6" s="1"/>
  <c r="K335" i="6"/>
  <c r="L357" i="6"/>
  <c r="D339" i="6" s="1"/>
  <c r="K460" i="6"/>
  <c r="L706" i="6"/>
  <c r="D687" i="6" s="1"/>
  <c r="K809" i="6"/>
  <c r="L586" i="6"/>
  <c r="D564" i="6" s="1"/>
  <c r="K689" i="6"/>
  <c r="L392" i="6"/>
  <c r="K495" i="6"/>
  <c r="L492" i="6"/>
  <c r="D482" i="6" s="1"/>
  <c r="K595" i="6"/>
  <c r="L464" i="6"/>
  <c r="D462" i="6" s="1"/>
  <c r="K567" i="6"/>
  <c r="L712" i="6"/>
  <c r="D698" i="6" s="1"/>
  <c r="K815" i="6"/>
  <c r="L934" i="6"/>
  <c r="D914" i="6" s="1"/>
  <c r="K1037" i="6"/>
  <c r="L1037" i="6" s="1"/>
  <c r="D1014" i="6" s="1"/>
  <c r="L468" i="6"/>
  <c r="D457" i="6" s="1"/>
  <c r="K571" i="6"/>
  <c r="L490" i="6"/>
  <c r="D480" i="6" s="1"/>
  <c r="K593" i="6"/>
  <c r="L494" i="6"/>
  <c r="D475" i="6" s="1"/>
  <c r="K597" i="6"/>
  <c r="L940" i="6"/>
  <c r="D919" i="6" s="1"/>
  <c r="K1043" i="6"/>
  <c r="L1043" i="6" s="1"/>
  <c r="D1019" i="6" s="1"/>
  <c r="L816" i="6"/>
  <c r="D801" i="6" s="1"/>
  <c r="K919" i="6"/>
  <c r="L489" i="6"/>
  <c r="D478" i="6" s="1"/>
  <c r="K592" i="6"/>
  <c r="L466" i="6"/>
  <c r="D456" i="6" s="1"/>
  <c r="K569" i="6"/>
  <c r="L818" i="6"/>
  <c r="D795" i="6" s="1"/>
  <c r="K921" i="6"/>
  <c r="L351" i="6"/>
  <c r="D345" i="6" s="1"/>
  <c r="K454" i="6"/>
  <c r="L484" i="6"/>
  <c r="D465" i="6" s="1"/>
  <c r="K587" i="6"/>
  <c r="L721" i="6"/>
  <c r="D708" i="6" s="1"/>
  <c r="K824" i="6"/>
  <c r="L493" i="6"/>
  <c r="D477" i="6" s="1"/>
  <c r="K596" i="6"/>
  <c r="L352" i="6"/>
  <c r="D344" i="6" s="1"/>
  <c r="K455" i="6"/>
  <c r="L241" i="6"/>
  <c r="D224" i="6" s="1"/>
  <c r="K344" i="6"/>
  <c r="L722" i="6"/>
  <c r="D707" i="6" s="1"/>
  <c r="K825" i="6"/>
  <c r="L486" i="6"/>
  <c r="D481" i="6" s="1"/>
  <c r="K589" i="6"/>
  <c r="L473" i="6"/>
  <c r="D452" i="6" s="1"/>
  <c r="K576" i="6"/>
  <c r="L463" i="6"/>
  <c r="D459" i="6" s="1"/>
  <c r="K566" i="6"/>
  <c r="L452" i="6"/>
  <c r="D448" i="6" s="1"/>
  <c r="K555" i="6"/>
  <c r="L474" i="6"/>
  <c r="D451" i="6" s="1"/>
  <c r="K577" i="6"/>
  <c r="L723" i="6"/>
  <c r="D702" i="6" s="1"/>
  <c r="K826" i="6"/>
  <c r="L353" i="6"/>
  <c r="D347" i="6" s="1"/>
  <c r="K456" i="6"/>
  <c r="L341" i="6"/>
  <c r="D326" i="6" s="1"/>
  <c r="K444" i="6"/>
  <c r="L331" i="6"/>
  <c r="D276" i="6" s="1"/>
  <c r="K434" i="6"/>
  <c r="L482" i="6"/>
  <c r="D466" i="6" s="1"/>
  <c r="K585" i="6"/>
  <c r="L338" i="6"/>
  <c r="D331" i="6" s="1"/>
  <c r="K441" i="6"/>
  <c r="L230" i="6"/>
  <c r="D233" i="6" s="1"/>
  <c r="K333" i="6"/>
  <c r="L834" i="6"/>
  <c r="D811" i="6" s="1"/>
  <c r="K937" i="6"/>
  <c r="L470" i="6"/>
  <c r="D455" i="6" s="1"/>
  <c r="K573" i="6"/>
  <c r="L720" i="6"/>
  <c r="D705" i="6" s="1"/>
  <c r="K823" i="6"/>
  <c r="L472" i="6"/>
  <c r="D454" i="6" s="1"/>
  <c r="K575" i="6"/>
  <c r="L465" i="6"/>
  <c r="K568" i="6"/>
  <c r="L479" i="6"/>
  <c r="D469" i="6" s="1"/>
  <c r="K582" i="6"/>
  <c r="L478" i="6"/>
  <c r="D467" i="6" s="1"/>
  <c r="K581" i="6"/>
  <c r="L467" i="6"/>
  <c r="D458" i="6" s="1"/>
  <c r="K570" i="6"/>
  <c r="L343" i="6"/>
  <c r="D325" i="6" s="1"/>
  <c r="K446" i="6"/>
  <c r="L354" i="6"/>
  <c r="D342" i="6" s="1"/>
  <c r="K457" i="6"/>
  <c r="L356" i="6"/>
  <c r="D341" i="6" s="1"/>
  <c r="K459" i="6"/>
  <c r="L719" i="6"/>
  <c r="D694" i="6" s="1"/>
  <c r="K822" i="6"/>
  <c r="L345" i="6"/>
  <c r="D337" i="6" s="1"/>
  <c r="K448" i="6"/>
  <c r="L477" i="6"/>
  <c r="D472" i="6" s="1"/>
  <c r="K580" i="6"/>
  <c r="L239" i="6"/>
  <c r="D227" i="6" s="1"/>
  <c r="K342" i="6"/>
  <c r="L835" i="6"/>
  <c r="D810" i="6" s="1"/>
  <c r="K938" i="6"/>
  <c r="L348" i="6"/>
  <c r="D349" i="6" s="1"/>
  <c r="K451" i="6"/>
  <c r="L485" i="6"/>
  <c r="D463" i="6" s="1"/>
  <c r="K588" i="6"/>
  <c r="L358" i="6"/>
  <c r="D338" i="6" s="1"/>
  <c r="K461" i="6"/>
  <c r="L347" i="6"/>
  <c r="D346" i="6" s="1"/>
  <c r="K450" i="6"/>
  <c r="L600" i="6"/>
  <c r="D590" i="6" s="1"/>
  <c r="K703" i="6"/>
  <c r="L725" i="6"/>
  <c r="D703" i="6" s="1"/>
  <c r="K828" i="6"/>
  <c r="L817" i="6"/>
  <c r="D800" i="6" s="1"/>
  <c r="K920" i="6"/>
  <c r="L337" i="6"/>
  <c r="D332" i="6" s="1"/>
  <c r="K440" i="6"/>
  <c r="L833" i="6"/>
  <c r="D809" i="6" s="1"/>
  <c r="K936" i="6"/>
  <c r="L355" i="6"/>
  <c r="D340" i="6" s="1"/>
  <c r="K458" i="6"/>
  <c r="L339" i="6"/>
  <c r="D334" i="6" s="1"/>
  <c r="K442" i="6"/>
  <c r="L469" i="6"/>
  <c r="D460" i="6" s="1"/>
  <c r="K572" i="6"/>
  <c r="L942" i="6"/>
  <c r="D915" i="6" s="1"/>
  <c r="K1045" i="6"/>
  <c r="L1045" i="6" s="1"/>
  <c r="D1015" i="6" s="1"/>
  <c r="L724" i="6"/>
  <c r="D704" i="6" s="1"/>
  <c r="K827" i="6"/>
  <c r="L471" i="6"/>
  <c r="D453" i="6" s="1"/>
  <c r="K574" i="6"/>
  <c r="L716" i="6"/>
  <c r="D697" i="6" s="1"/>
  <c r="K819" i="6"/>
  <c r="L336" i="6"/>
  <c r="D329" i="6" s="1"/>
  <c r="K439" i="6"/>
  <c r="L605" i="6"/>
  <c r="D588" i="6" s="1"/>
  <c r="K708" i="6"/>
  <c r="L717" i="6"/>
  <c r="D696" i="6" s="1"/>
  <c r="K820" i="6"/>
  <c r="L359" i="6"/>
  <c r="D350" i="6" s="1"/>
  <c r="K462" i="6"/>
  <c r="L491" i="6"/>
  <c r="D479" i="6" s="1"/>
  <c r="K594" i="6"/>
  <c r="L475" i="6"/>
  <c r="D470" i="6" s="1"/>
  <c r="K578" i="6"/>
  <c r="L584" i="6"/>
  <c r="D571" i="6" s="1"/>
  <c r="K687" i="6"/>
  <c r="L480" i="6"/>
  <c r="D468" i="6" s="1"/>
  <c r="K583" i="6"/>
  <c r="L941" i="6"/>
  <c r="D918" i="6" s="1"/>
  <c r="K1044" i="6"/>
  <c r="L1044" i="6" s="1"/>
  <c r="D1018" i="6" s="1"/>
  <c r="L606" i="6"/>
  <c r="D591" i="6" s="1"/>
  <c r="K709" i="6"/>
  <c r="L487" i="6"/>
  <c r="D484" i="6" s="1"/>
  <c r="K590" i="6"/>
  <c r="L832" i="6"/>
  <c r="D813" i="6" s="1"/>
  <c r="K935" i="6"/>
  <c r="L939" i="6"/>
  <c r="K1042" i="6"/>
  <c r="L1042" i="6" s="1"/>
  <c r="L601" i="6"/>
  <c r="D593" i="6" s="1"/>
  <c r="K704" i="6"/>
  <c r="L602" i="6"/>
  <c r="D592" i="6" s="1"/>
  <c r="K705" i="6"/>
  <c r="L943" i="6"/>
  <c r="D916" i="6" s="1"/>
  <c r="K1046" i="6"/>
  <c r="L1046" i="6" s="1"/>
  <c r="D1016" i="6" s="1"/>
  <c r="L243" i="6"/>
  <c r="D230" i="6" s="1"/>
  <c r="K346" i="6"/>
  <c r="L604" i="6"/>
  <c r="D589" i="6" s="1"/>
  <c r="K707" i="6"/>
  <c r="L726" i="6"/>
  <c r="D706" i="6" s="1"/>
  <c r="K829" i="6"/>
  <c r="L607" i="6"/>
  <c r="D586" i="6" s="1"/>
  <c r="K710" i="6"/>
  <c r="CH32" i="81"/>
  <c r="E32" i="81" s="1"/>
  <c r="B32" i="81" s="1"/>
  <c r="Q26" i="108"/>
  <c r="Q28" i="108"/>
  <c r="Q29" i="108"/>
  <c r="Q27" i="108"/>
  <c r="Q30" i="108"/>
  <c r="Q25" i="108"/>
  <c r="L707" i="6" l="1"/>
  <c r="D689" i="6" s="1"/>
  <c r="K810" i="6"/>
  <c r="L704" i="6"/>
  <c r="D693" i="6" s="1"/>
  <c r="K807" i="6"/>
  <c r="L709" i="6"/>
  <c r="D691" i="6" s="1"/>
  <c r="K812" i="6"/>
  <c r="L578" i="6"/>
  <c r="D570" i="6" s="1"/>
  <c r="K681" i="6"/>
  <c r="L708" i="6"/>
  <c r="D688" i="6" s="1"/>
  <c r="K811" i="6"/>
  <c r="L827" i="6"/>
  <c r="D804" i="6" s="1"/>
  <c r="K930" i="6"/>
  <c r="L458" i="6"/>
  <c r="D440" i="6" s="1"/>
  <c r="K561" i="6"/>
  <c r="L828" i="6"/>
  <c r="D803" i="6" s="1"/>
  <c r="K931" i="6"/>
  <c r="L588" i="6"/>
  <c r="D563" i="6" s="1"/>
  <c r="K691" i="6"/>
  <c r="L580" i="6"/>
  <c r="D572" i="6" s="1"/>
  <c r="K683" i="6"/>
  <c r="L457" i="6"/>
  <c r="D442" i="6" s="1"/>
  <c r="K560" i="6"/>
  <c r="L582" i="6"/>
  <c r="D569" i="6" s="1"/>
  <c r="K685" i="6"/>
  <c r="L573" i="6"/>
  <c r="D555" i="6" s="1"/>
  <c r="K676" i="6"/>
  <c r="L585" i="6"/>
  <c r="D566" i="6" s="1"/>
  <c r="K688" i="6"/>
  <c r="L826" i="6"/>
  <c r="D802" i="6" s="1"/>
  <c r="K929" i="6"/>
  <c r="L576" i="6"/>
  <c r="D552" i="6" s="1"/>
  <c r="K679" i="6"/>
  <c r="L455" i="6"/>
  <c r="D444" i="6" s="1"/>
  <c r="K558" i="6"/>
  <c r="L454" i="6"/>
  <c r="D445" i="6" s="1"/>
  <c r="K557" i="6"/>
  <c r="L919" i="6"/>
  <c r="D901" i="6" s="1"/>
  <c r="K1022" i="6"/>
  <c r="L1022" i="6" s="1"/>
  <c r="D1001" i="6" s="1"/>
  <c r="L571" i="6"/>
  <c r="D557" i="6" s="1"/>
  <c r="K674" i="6"/>
  <c r="L595" i="6"/>
  <c r="D582" i="6" s="1"/>
  <c r="K698" i="6"/>
  <c r="L460" i="6"/>
  <c r="D439" i="6" s="1"/>
  <c r="K563" i="6"/>
  <c r="L591" i="6"/>
  <c r="D583" i="6" s="1"/>
  <c r="K694" i="6"/>
  <c r="L711" i="6"/>
  <c r="D685" i="6" s="1"/>
  <c r="K814" i="6"/>
  <c r="L346" i="6"/>
  <c r="D330" i="6" s="1"/>
  <c r="K449" i="6"/>
  <c r="L594" i="6"/>
  <c r="D579" i="6" s="1"/>
  <c r="K697" i="6"/>
  <c r="L439" i="6"/>
  <c r="D429" i="6" s="1"/>
  <c r="K542" i="6"/>
  <c r="L936" i="6"/>
  <c r="D909" i="6" s="1"/>
  <c r="K1039" i="6"/>
  <c r="L1039" i="6" s="1"/>
  <c r="D1009" i="6" s="1"/>
  <c r="L703" i="6"/>
  <c r="D690" i="6" s="1"/>
  <c r="K806" i="6"/>
  <c r="L451" i="6"/>
  <c r="D449" i="6" s="1"/>
  <c r="K554" i="6"/>
  <c r="L448" i="6"/>
  <c r="D437" i="6" s="1"/>
  <c r="K551" i="6"/>
  <c r="L446" i="6"/>
  <c r="D425" i="6" s="1"/>
  <c r="K549" i="6"/>
  <c r="L568" i="6"/>
  <c r="K671" i="6"/>
  <c r="L937" i="6"/>
  <c r="D911" i="6" s="1"/>
  <c r="K1040" i="6"/>
  <c r="L1040" i="6" s="1"/>
  <c r="D1011" i="6" s="1"/>
  <c r="L434" i="6"/>
  <c r="D376" i="6" s="1"/>
  <c r="K537" i="6"/>
  <c r="L577" i="6"/>
  <c r="D551" i="6" s="1"/>
  <c r="K680" i="6"/>
  <c r="L589" i="6"/>
  <c r="D581" i="6" s="1"/>
  <c r="K692" i="6"/>
  <c r="L596" i="6"/>
  <c r="D577" i="6" s="1"/>
  <c r="K699" i="6"/>
  <c r="L921" i="6"/>
  <c r="D895" i="6" s="1"/>
  <c r="K1024" i="6"/>
  <c r="L1024" i="6" s="1"/>
  <c r="D995" i="6" s="1"/>
  <c r="L495" i="6"/>
  <c r="K598" i="6"/>
  <c r="L335" i="6"/>
  <c r="D335" i="6" s="1"/>
  <c r="K438" i="6"/>
  <c r="L453" i="6"/>
  <c r="D443" i="6" s="1"/>
  <c r="K556" i="6"/>
  <c r="L821" i="6"/>
  <c r="D799" i="6" s="1"/>
  <c r="K924" i="6"/>
  <c r="L710" i="6"/>
  <c r="D686" i="6" s="1"/>
  <c r="K813" i="6"/>
  <c r="L935" i="6"/>
  <c r="D913" i="6" s="1"/>
  <c r="K1038" i="6"/>
  <c r="L1038" i="6" s="1"/>
  <c r="D1013" i="6" s="1"/>
  <c r="L583" i="6"/>
  <c r="D568" i="6" s="1"/>
  <c r="K686" i="6"/>
  <c r="L462" i="6"/>
  <c r="D450" i="6" s="1"/>
  <c r="K565" i="6"/>
  <c r="L819" i="6"/>
  <c r="D797" i="6" s="1"/>
  <c r="K922" i="6"/>
  <c r="L572" i="6"/>
  <c r="D560" i="6" s="1"/>
  <c r="K675" i="6"/>
  <c r="L440" i="6"/>
  <c r="D432" i="6" s="1"/>
  <c r="K543" i="6"/>
  <c r="L450" i="6"/>
  <c r="D446" i="6" s="1"/>
  <c r="K553" i="6"/>
  <c r="L938" i="6"/>
  <c r="D910" i="6" s="1"/>
  <c r="K1041" i="6"/>
  <c r="L1041" i="6" s="1"/>
  <c r="D1010" i="6" s="1"/>
  <c r="L822" i="6"/>
  <c r="D794" i="6" s="1"/>
  <c r="K925" i="6"/>
  <c r="L570" i="6"/>
  <c r="D558" i="6" s="1"/>
  <c r="K673" i="6"/>
  <c r="L575" i="6"/>
  <c r="D554" i="6" s="1"/>
  <c r="K678" i="6"/>
  <c r="L333" i="6"/>
  <c r="D333" i="6" s="1"/>
  <c r="K436" i="6"/>
  <c r="L444" i="6"/>
  <c r="D426" i="6" s="1"/>
  <c r="K547" i="6"/>
  <c r="L555" i="6"/>
  <c r="D548" i="6" s="1"/>
  <c r="K658" i="6"/>
  <c r="L825" i="6"/>
  <c r="D807" i="6" s="1"/>
  <c r="K928" i="6"/>
  <c r="L824" i="6"/>
  <c r="D808" i="6" s="1"/>
  <c r="K927" i="6"/>
  <c r="L569" i="6"/>
  <c r="D556" i="6" s="1"/>
  <c r="K672" i="6"/>
  <c r="L597" i="6"/>
  <c r="D575" i="6" s="1"/>
  <c r="K700" i="6"/>
  <c r="L815" i="6"/>
  <c r="D798" i="6" s="1"/>
  <c r="K918" i="6"/>
  <c r="L689" i="6"/>
  <c r="D664" i="6" s="1"/>
  <c r="K792" i="6"/>
  <c r="L933" i="6"/>
  <c r="D912" i="6" s="1"/>
  <c r="K1036" i="6"/>
  <c r="L1036" i="6" s="1"/>
  <c r="D1012" i="6" s="1"/>
  <c r="L536" i="6"/>
  <c r="D461" i="6" s="1"/>
  <c r="K639" i="6"/>
  <c r="L950" i="6"/>
  <c r="D917" i="6" s="1"/>
  <c r="K1053" i="6"/>
  <c r="L1053" i="6" s="1"/>
  <c r="D1017" i="6" s="1"/>
  <c r="L829" i="6"/>
  <c r="D806" i="6" s="1"/>
  <c r="K932" i="6"/>
  <c r="L705" i="6"/>
  <c r="D692" i="6" s="1"/>
  <c r="K808" i="6"/>
  <c r="L590" i="6"/>
  <c r="D584" i="6" s="1"/>
  <c r="K693" i="6"/>
  <c r="L687" i="6"/>
  <c r="D671" i="6" s="1"/>
  <c r="K790" i="6"/>
  <c r="L820" i="6"/>
  <c r="D796" i="6" s="1"/>
  <c r="K923" i="6"/>
  <c r="L574" i="6"/>
  <c r="D553" i="6" s="1"/>
  <c r="K677" i="6"/>
  <c r="L442" i="6"/>
  <c r="D434" i="6" s="1"/>
  <c r="K545" i="6"/>
  <c r="L920" i="6"/>
  <c r="D900" i="6" s="1"/>
  <c r="K1023" i="6"/>
  <c r="L1023" i="6" s="1"/>
  <c r="D1000" i="6" s="1"/>
  <c r="L461" i="6"/>
  <c r="D438" i="6" s="1"/>
  <c r="K564" i="6"/>
  <c r="L342" i="6"/>
  <c r="D327" i="6" s="1"/>
  <c r="K445" i="6"/>
  <c r="L459" i="6"/>
  <c r="D441" i="6" s="1"/>
  <c r="K562" i="6"/>
  <c r="L581" i="6"/>
  <c r="D567" i="6" s="1"/>
  <c r="K684" i="6"/>
  <c r="L823" i="6"/>
  <c r="D805" i="6" s="1"/>
  <c r="K926" i="6"/>
  <c r="L441" i="6"/>
  <c r="D431" i="6" s="1"/>
  <c r="K544" i="6"/>
  <c r="L456" i="6"/>
  <c r="D447" i="6" s="1"/>
  <c r="K559" i="6"/>
  <c r="L566" i="6"/>
  <c r="D559" i="6" s="1"/>
  <c r="K669" i="6"/>
  <c r="L344" i="6"/>
  <c r="D324" i="6" s="1"/>
  <c r="K447" i="6"/>
  <c r="L587" i="6"/>
  <c r="D565" i="6" s="1"/>
  <c r="K690" i="6"/>
  <c r="L592" i="6"/>
  <c r="D578" i="6" s="1"/>
  <c r="K695" i="6"/>
  <c r="L593" i="6"/>
  <c r="D580" i="6" s="1"/>
  <c r="K696" i="6"/>
  <c r="L567" i="6"/>
  <c r="D562" i="6" s="1"/>
  <c r="K670" i="6"/>
  <c r="L809" i="6"/>
  <c r="D787" i="6" s="1"/>
  <c r="K912" i="6"/>
  <c r="L334" i="6"/>
  <c r="D336" i="6" s="1"/>
  <c r="K437" i="6"/>
  <c r="L579" i="6"/>
  <c r="D573" i="6" s="1"/>
  <c r="K682" i="6"/>
  <c r="L340" i="6"/>
  <c r="D328" i="6" s="1"/>
  <c r="K443" i="6"/>
  <c r="L443" i="6" l="1"/>
  <c r="D428" i="6" s="1"/>
  <c r="K546" i="6"/>
  <c r="L670" i="6"/>
  <c r="D662" i="6" s="1"/>
  <c r="K773" i="6"/>
  <c r="L447" i="6"/>
  <c r="D424" i="6" s="1"/>
  <c r="K550" i="6"/>
  <c r="L926" i="6"/>
  <c r="D905" i="6" s="1"/>
  <c r="K1029" i="6"/>
  <c r="L1029" i="6" s="1"/>
  <c r="D1005" i="6" s="1"/>
  <c r="L564" i="6"/>
  <c r="D538" i="6" s="1"/>
  <c r="K667" i="6"/>
  <c r="L923" i="6"/>
  <c r="D896" i="6" s="1"/>
  <c r="K1026" i="6"/>
  <c r="L1026" i="6" s="1"/>
  <c r="D996" i="6" s="1"/>
  <c r="L932" i="6"/>
  <c r="D906" i="6" s="1"/>
  <c r="K1035" i="6"/>
  <c r="L1035" i="6" s="1"/>
  <c r="D1006" i="6" s="1"/>
  <c r="L792" i="6"/>
  <c r="D764" i="6" s="1"/>
  <c r="K895" i="6"/>
  <c r="L927" i="6"/>
  <c r="D908" i="6" s="1"/>
  <c r="K1030" i="6"/>
  <c r="L1030" i="6" s="1"/>
  <c r="D1008" i="6" s="1"/>
  <c r="L436" i="6"/>
  <c r="D433" i="6" s="1"/>
  <c r="K539" i="6"/>
  <c r="L922" i="6"/>
  <c r="D897" i="6" s="1"/>
  <c r="K1025" i="6"/>
  <c r="L1025" i="6" s="1"/>
  <c r="D997" i="6" s="1"/>
  <c r="L813" i="6"/>
  <c r="D786" i="6" s="1"/>
  <c r="K916" i="6"/>
  <c r="L598" i="6"/>
  <c r="K701" i="6"/>
  <c r="L680" i="6"/>
  <c r="D651" i="6" s="1"/>
  <c r="K783" i="6"/>
  <c r="L549" i="6"/>
  <c r="D525" i="6" s="1"/>
  <c r="K652" i="6"/>
  <c r="L814" i="6"/>
  <c r="D785" i="6" s="1"/>
  <c r="K917" i="6"/>
  <c r="L674" i="6"/>
  <c r="D657" i="6" s="1"/>
  <c r="K777" i="6"/>
  <c r="L679" i="6"/>
  <c r="D652" i="6" s="1"/>
  <c r="K782" i="6"/>
  <c r="L685" i="6"/>
  <c r="D669" i="6" s="1"/>
  <c r="K788" i="6"/>
  <c r="L931" i="6"/>
  <c r="D903" i="6" s="1"/>
  <c r="K1034" i="6"/>
  <c r="L1034" i="6" s="1"/>
  <c r="D1003" i="6" s="1"/>
  <c r="L681" i="6"/>
  <c r="D670" i="6" s="1"/>
  <c r="K784" i="6"/>
  <c r="L682" i="6"/>
  <c r="D673" i="6" s="1"/>
  <c r="K785" i="6"/>
  <c r="L696" i="6"/>
  <c r="D680" i="6" s="1"/>
  <c r="K799" i="6"/>
  <c r="L669" i="6"/>
  <c r="D659" i="6" s="1"/>
  <c r="K772" i="6"/>
  <c r="L684" i="6"/>
  <c r="D667" i="6" s="1"/>
  <c r="K787" i="6"/>
  <c r="L790" i="6"/>
  <c r="D771" i="6" s="1"/>
  <c r="K893" i="6"/>
  <c r="L918" i="6"/>
  <c r="D898" i="6" s="1"/>
  <c r="K1021" i="6"/>
  <c r="L1021" i="6" s="1"/>
  <c r="D998" i="6" s="1"/>
  <c r="L928" i="6"/>
  <c r="D907" i="6" s="1"/>
  <c r="K1031" i="6"/>
  <c r="L1031" i="6" s="1"/>
  <c r="D1007" i="6" s="1"/>
  <c r="L678" i="6"/>
  <c r="D654" i="6" s="1"/>
  <c r="K781" i="6"/>
  <c r="L553" i="6"/>
  <c r="D546" i="6" s="1"/>
  <c r="K656" i="6"/>
  <c r="L565" i="6"/>
  <c r="D550" i="6" s="1"/>
  <c r="K668" i="6"/>
  <c r="L924" i="6"/>
  <c r="D899" i="6" s="1"/>
  <c r="K1027" i="6"/>
  <c r="L1027" i="6" s="1"/>
  <c r="D999" i="6" s="1"/>
  <c r="L537" i="6"/>
  <c r="D476" i="6" s="1"/>
  <c r="K640" i="6"/>
  <c r="L551" i="6"/>
  <c r="D537" i="6" s="1"/>
  <c r="K654" i="6"/>
  <c r="L542" i="6"/>
  <c r="D529" i="6" s="1"/>
  <c r="K645" i="6"/>
  <c r="L694" i="6"/>
  <c r="D683" i="6" s="1"/>
  <c r="K797" i="6"/>
  <c r="L929" i="6"/>
  <c r="D902" i="6" s="1"/>
  <c r="K1032" i="6"/>
  <c r="L1032" i="6" s="1"/>
  <c r="D1002" i="6" s="1"/>
  <c r="L560" i="6"/>
  <c r="D542" i="6" s="1"/>
  <c r="K663" i="6"/>
  <c r="L561" i="6"/>
  <c r="D540" i="6" s="1"/>
  <c r="K664" i="6"/>
  <c r="L812" i="6"/>
  <c r="D791" i="6" s="1"/>
  <c r="K915" i="6"/>
  <c r="L437" i="6"/>
  <c r="D436" i="6" s="1"/>
  <c r="K540" i="6"/>
  <c r="L695" i="6"/>
  <c r="D678" i="6" s="1"/>
  <c r="K798" i="6"/>
  <c r="L559" i="6"/>
  <c r="D547" i="6" s="1"/>
  <c r="K662" i="6"/>
  <c r="L562" i="6"/>
  <c r="D541" i="6" s="1"/>
  <c r="K665" i="6"/>
  <c r="L545" i="6"/>
  <c r="D534" i="6" s="1"/>
  <c r="K648" i="6"/>
  <c r="L693" i="6"/>
  <c r="D684" i="6" s="1"/>
  <c r="K796" i="6"/>
  <c r="L639" i="6"/>
  <c r="D561" i="6" s="1"/>
  <c r="K742" i="6"/>
  <c r="L700" i="6"/>
  <c r="D675" i="6" s="1"/>
  <c r="K803" i="6"/>
  <c r="L658" i="6"/>
  <c r="D648" i="6" s="1"/>
  <c r="K761" i="6"/>
  <c r="L673" i="6"/>
  <c r="D658" i="6" s="1"/>
  <c r="K776" i="6"/>
  <c r="L543" i="6"/>
  <c r="D532" i="6" s="1"/>
  <c r="K646" i="6"/>
  <c r="L686" i="6"/>
  <c r="D668" i="6" s="1"/>
  <c r="K789" i="6"/>
  <c r="L556" i="6"/>
  <c r="D543" i="6" s="1"/>
  <c r="K659" i="6"/>
  <c r="L699" i="6"/>
  <c r="D677" i="6" s="1"/>
  <c r="K802" i="6"/>
  <c r="L554" i="6"/>
  <c r="D549" i="6" s="1"/>
  <c r="K657" i="6"/>
  <c r="L697" i="6"/>
  <c r="D679" i="6" s="1"/>
  <c r="K800" i="6"/>
  <c r="L563" i="6"/>
  <c r="D539" i="6" s="1"/>
  <c r="K666" i="6"/>
  <c r="L557" i="6"/>
  <c r="D545" i="6" s="1"/>
  <c r="K660" i="6"/>
  <c r="L688" i="6"/>
  <c r="D666" i="6" s="1"/>
  <c r="K791" i="6"/>
  <c r="L683" i="6"/>
  <c r="D672" i="6" s="1"/>
  <c r="K786" i="6"/>
  <c r="L930" i="6"/>
  <c r="D904" i="6" s="1"/>
  <c r="K1033" i="6"/>
  <c r="L1033" i="6" s="1"/>
  <c r="D1004" i="6" s="1"/>
  <c r="L807" i="6"/>
  <c r="D793" i="6" s="1"/>
  <c r="K910" i="6"/>
  <c r="L912" i="6"/>
  <c r="D887" i="6" s="1"/>
  <c r="K1015" i="6"/>
  <c r="L1015" i="6" s="1"/>
  <c r="D987" i="6" s="1"/>
  <c r="L690" i="6"/>
  <c r="D665" i="6" s="1"/>
  <c r="K793" i="6"/>
  <c r="L544" i="6"/>
  <c r="D531" i="6" s="1"/>
  <c r="K647" i="6"/>
  <c r="L445" i="6"/>
  <c r="D427" i="6" s="1"/>
  <c r="K548" i="6"/>
  <c r="L677" i="6"/>
  <c r="D653" i="6" s="1"/>
  <c r="K780" i="6"/>
  <c r="L808" i="6"/>
  <c r="D792" i="6" s="1"/>
  <c r="K911" i="6"/>
  <c r="L672" i="6"/>
  <c r="D656" i="6" s="1"/>
  <c r="K775" i="6"/>
  <c r="L547" i="6"/>
  <c r="D526" i="6" s="1"/>
  <c r="K650" i="6"/>
  <c r="L925" i="6"/>
  <c r="D894" i="6" s="1"/>
  <c r="K1028" i="6"/>
  <c r="L1028" i="6" s="1"/>
  <c r="D994" i="6" s="1"/>
  <c r="L675" i="6"/>
  <c r="D660" i="6" s="1"/>
  <c r="K778" i="6"/>
  <c r="L438" i="6"/>
  <c r="D435" i="6" s="1"/>
  <c r="K541" i="6"/>
  <c r="L692" i="6"/>
  <c r="D681" i="6" s="1"/>
  <c r="K795" i="6"/>
  <c r="L671" i="6"/>
  <c r="K774" i="6"/>
  <c r="L806" i="6"/>
  <c r="D790" i="6" s="1"/>
  <c r="K909" i="6"/>
  <c r="L449" i="6"/>
  <c r="D430" i="6" s="1"/>
  <c r="K552" i="6"/>
  <c r="L698" i="6"/>
  <c r="D682" i="6" s="1"/>
  <c r="K801" i="6"/>
  <c r="L558" i="6"/>
  <c r="D544" i="6" s="1"/>
  <c r="K661" i="6"/>
  <c r="L676" i="6"/>
  <c r="D655" i="6" s="1"/>
  <c r="K779" i="6"/>
  <c r="L691" i="6"/>
  <c r="D663" i="6" s="1"/>
  <c r="K794" i="6"/>
  <c r="L811" i="6"/>
  <c r="D788" i="6" s="1"/>
  <c r="K914" i="6"/>
  <c r="L810" i="6"/>
  <c r="D789" i="6" s="1"/>
  <c r="K913" i="6"/>
  <c r="L779" i="6" l="1"/>
  <c r="D755" i="6" s="1"/>
  <c r="K882" i="6"/>
  <c r="L909" i="6"/>
  <c r="D890" i="6" s="1"/>
  <c r="K1012" i="6"/>
  <c r="L1012" i="6" s="1"/>
  <c r="D990" i="6" s="1"/>
  <c r="L778" i="6"/>
  <c r="D760" i="6" s="1"/>
  <c r="K881" i="6"/>
  <c r="L911" i="6"/>
  <c r="D892" i="6" s="1"/>
  <c r="K1014" i="6"/>
  <c r="L1014" i="6" s="1"/>
  <c r="D992" i="6" s="1"/>
  <c r="L793" i="6"/>
  <c r="D765" i="6" s="1"/>
  <c r="K896" i="6"/>
  <c r="L786" i="6"/>
  <c r="D772" i="6" s="1"/>
  <c r="K889" i="6"/>
  <c r="L800" i="6"/>
  <c r="D779" i="6" s="1"/>
  <c r="K903" i="6"/>
  <c r="L789" i="6"/>
  <c r="D768" i="6" s="1"/>
  <c r="K892" i="6"/>
  <c r="L803" i="6"/>
  <c r="D775" i="6" s="1"/>
  <c r="K906" i="6"/>
  <c r="L665" i="6"/>
  <c r="D641" i="6" s="1"/>
  <c r="K768" i="6"/>
  <c r="L915" i="6"/>
  <c r="D891" i="6" s="1"/>
  <c r="K1018" i="6"/>
  <c r="L1018" i="6" s="1"/>
  <c r="D991" i="6" s="1"/>
  <c r="L797" i="6"/>
  <c r="D783" i="6" s="1"/>
  <c r="K900" i="6"/>
  <c r="L772" i="6"/>
  <c r="D759" i="6" s="1"/>
  <c r="K875" i="6"/>
  <c r="L917" i="6"/>
  <c r="D885" i="6" s="1"/>
  <c r="K1020" i="6"/>
  <c r="L1020" i="6" s="1"/>
  <c r="D985" i="6" s="1"/>
  <c r="L916" i="6"/>
  <c r="D886" i="6" s="1"/>
  <c r="K1019" i="6"/>
  <c r="L1019" i="6" s="1"/>
  <c r="D986" i="6" s="1"/>
  <c r="L895" i="6"/>
  <c r="D864" i="6" s="1"/>
  <c r="K998" i="6"/>
  <c r="L998" i="6" s="1"/>
  <c r="D964" i="6" s="1"/>
  <c r="L913" i="6"/>
  <c r="D889" i="6" s="1"/>
  <c r="K1016" i="6"/>
  <c r="L1016" i="6" s="1"/>
  <c r="D989" i="6" s="1"/>
  <c r="L661" i="6"/>
  <c r="D644" i="6" s="1"/>
  <c r="K764" i="6"/>
  <c r="L774" i="6"/>
  <c r="K877" i="6"/>
  <c r="L780" i="6"/>
  <c r="D753" i="6" s="1"/>
  <c r="K883" i="6"/>
  <c r="L791" i="6"/>
  <c r="D766" i="6" s="1"/>
  <c r="K894" i="6"/>
  <c r="L657" i="6"/>
  <c r="D649" i="6" s="1"/>
  <c r="K760" i="6"/>
  <c r="L646" i="6"/>
  <c r="D632" i="6" s="1"/>
  <c r="K749" i="6"/>
  <c r="L742" i="6"/>
  <c r="D661" i="6" s="1"/>
  <c r="K845" i="6"/>
  <c r="L662" i="6"/>
  <c r="D647" i="6" s="1"/>
  <c r="K765" i="6"/>
  <c r="L664" i="6"/>
  <c r="D640" i="6" s="1"/>
  <c r="K767" i="6"/>
  <c r="L645" i="6"/>
  <c r="D629" i="6" s="1"/>
  <c r="K748" i="6"/>
  <c r="L668" i="6"/>
  <c r="D650" i="6" s="1"/>
  <c r="K771" i="6"/>
  <c r="L799" i="6"/>
  <c r="D780" i="6" s="1"/>
  <c r="K902" i="6"/>
  <c r="L788" i="6"/>
  <c r="D769" i="6" s="1"/>
  <c r="K891" i="6"/>
  <c r="L652" i="6"/>
  <c r="D625" i="6" s="1"/>
  <c r="K755" i="6"/>
  <c r="L550" i="6"/>
  <c r="D524" i="6" s="1"/>
  <c r="K653" i="6"/>
  <c r="L914" i="6"/>
  <c r="D888" i="6" s="1"/>
  <c r="K1017" i="6"/>
  <c r="L1017" i="6" s="1"/>
  <c r="D988" i="6" s="1"/>
  <c r="L801" i="6"/>
  <c r="D782" i="6" s="1"/>
  <c r="K904" i="6"/>
  <c r="L795" i="6"/>
  <c r="D781" i="6" s="1"/>
  <c r="K898" i="6"/>
  <c r="L650" i="6"/>
  <c r="D626" i="6" s="1"/>
  <c r="K753" i="6"/>
  <c r="L548" i="6"/>
  <c r="D527" i="6" s="1"/>
  <c r="K651" i="6"/>
  <c r="L910" i="6"/>
  <c r="D893" i="6" s="1"/>
  <c r="K1013" i="6"/>
  <c r="L1013" i="6" s="1"/>
  <c r="D993" i="6" s="1"/>
  <c r="L660" i="6"/>
  <c r="D645" i="6" s="1"/>
  <c r="K763" i="6"/>
  <c r="L802" i="6"/>
  <c r="D777" i="6" s="1"/>
  <c r="K905" i="6"/>
  <c r="L776" i="6"/>
  <c r="D758" i="6" s="1"/>
  <c r="K879" i="6"/>
  <c r="L796" i="6"/>
  <c r="D784" i="6" s="1"/>
  <c r="K899" i="6"/>
  <c r="L798" i="6"/>
  <c r="D778" i="6" s="1"/>
  <c r="K901" i="6"/>
  <c r="L663" i="6"/>
  <c r="D642" i="6" s="1"/>
  <c r="K766" i="6"/>
  <c r="L654" i="6"/>
  <c r="D637" i="6" s="1"/>
  <c r="K757" i="6"/>
  <c r="L656" i="6"/>
  <c r="D646" i="6" s="1"/>
  <c r="K759" i="6"/>
  <c r="L893" i="6"/>
  <c r="D871" i="6" s="1"/>
  <c r="K996" i="6"/>
  <c r="L996" i="6" s="1"/>
  <c r="D971" i="6" s="1"/>
  <c r="L785" i="6"/>
  <c r="D773" i="6" s="1"/>
  <c r="K888" i="6"/>
  <c r="L782" i="6"/>
  <c r="D752" i="6" s="1"/>
  <c r="K885" i="6"/>
  <c r="L783" i="6"/>
  <c r="D751" i="6" s="1"/>
  <c r="K886" i="6"/>
  <c r="L539" i="6"/>
  <c r="D533" i="6" s="1"/>
  <c r="K642" i="6"/>
  <c r="L773" i="6"/>
  <c r="D762" i="6" s="1"/>
  <c r="K876" i="6"/>
  <c r="L794" i="6"/>
  <c r="D763" i="6" s="1"/>
  <c r="K897" i="6"/>
  <c r="L552" i="6"/>
  <c r="D530" i="6" s="1"/>
  <c r="K655" i="6"/>
  <c r="L541" i="6"/>
  <c r="D535" i="6" s="1"/>
  <c r="K644" i="6"/>
  <c r="L775" i="6"/>
  <c r="D756" i="6" s="1"/>
  <c r="K878" i="6"/>
  <c r="L647" i="6"/>
  <c r="D631" i="6" s="1"/>
  <c r="K750" i="6"/>
  <c r="L666" i="6"/>
  <c r="D639" i="6" s="1"/>
  <c r="K769" i="6"/>
  <c r="L659" i="6"/>
  <c r="D643" i="6" s="1"/>
  <c r="K762" i="6"/>
  <c r="L761" i="6"/>
  <c r="D748" i="6" s="1"/>
  <c r="K864" i="6"/>
  <c r="L648" i="6"/>
  <c r="D634" i="6" s="1"/>
  <c r="K751" i="6"/>
  <c r="L540" i="6"/>
  <c r="D536" i="6" s="1"/>
  <c r="K643" i="6"/>
  <c r="L640" i="6"/>
  <c r="D576" i="6" s="1"/>
  <c r="K743" i="6"/>
  <c r="L781" i="6"/>
  <c r="D754" i="6" s="1"/>
  <c r="K884" i="6"/>
  <c r="L787" i="6"/>
  <c r="D767" i="6" s="1"/>
  <c r="K890" i="6"/>
  <c r="L784" i="6"/>
  <c r="D770" i="6" s="1"/>
  <c r="K887" i="6"/>
  <c r="L777" i="6"/>
  <c r="D757" i="6" s="1"/>
  <c r="K880" i="6"/>
  <c r="L701" i="6"/>
  <c r="K804" i="6"/>
  <c r="L667" i="6"/>
  <c r="D638" i="6" s="1"/>
  <c r="K770" i="6"/>
  <c r="L546" i="6"/>
  <c r="D528" i="6" s="1"/>
  <c r="K649" i="6"/>
  <c r="L804" i="6" l="1"/>
  <c r="K907" i="6"/>
  <c r="L884" i="6"/>
  <c r="D854" i="6" s="1"/>
  <c r="K987" i="6"/>
  <c r="L987" i="6" s="1"/>
  <c r="D954" i="6" s="1"/>
  <c r="L864" i="6"/>
  <c r="D848" i="6" s="1"/>
  <c r="K967" i="6"/>
  <c r="L967" i="6" s="1"/>
  <c r="D948" i="6" s="1"/>
  <c r="L878" i="6"/>
  <c r="D856" i="6" s="1"/>
  <c r="K981" i="6"/>
  <c r="L981" i="6" s="1"/>
  <c r="D956" i="6" s="1"/>
  <c r="L876" i="6"/>
  <c r="D862" i="6" s="1"/>
  <c r="K979" i="6"/>
  <c r="L979" i="6" s="1"/>
  <c r="D962" i="6" s="1"/>
  <c r="L888" i="6"/>
  <c r="D873" i="6" s="1"/>
  <c r="K991" i="6"/>
  <c r="L991" i="6" s="1"/>
  <c r="D973" i="6" s="1"/>
  <c r="L766" i="6"/>
  <c r="D742" i="6" s="1"/>
  <c r="K869" i="6"/>
  <c r="L905" i="6"/>
  <c r="D877" i="6" s="1"/>
  <c r="K1008" i="6"/>
  <c r="L1008" i="6" s="1"/>
  <c r="D977" i="6" s="1"/>
  <c r="L753" i="6"/>
  <c r="D726" i="6" s="1"/>
  <c r="K856" i="6"/>
  <c r="L653" i="6"/>
  <c r="D624" i="6" s="1"/>
  <c r="K756" i="6"/>
  <c r="L771" i="6"/>
  <c r="D750" i="6" s="1"/>
  <c r="K874" i="6"/>
  <c r="L845" i="6"/>
  <c r="D761" i="6" s="1"/>
  <c r="K948" i="6"/>
  <c r="L883" i="6"/>
  <c r="D853" i="6" s="1"/>
  <c r="K986" i="6"/>
  <c r="L986" i="6" s="1"/>
  <c r="D953" i="6" s="1"/>
  <c r="L900" i="6"/>
  <c r="D883" i="6" s="1"/>
  <c r="K1003" i="6"/>
  <c r="L1003" i="6" s="1"/>
  <c r="D983" i="6" s="1"/>
  <c r="L892" i="6"/>
  <c r="D868" i="6" s="1"/>
  <c r="K995" i="6"/>
  <c r="L995" i="6" s="1"/>
  <c r="D968" i="6" s="1"/>
  <c r="L880" i="6"/>
  <c r="D857" i="6" s="1"/>
  <c r="K983" i="6"/>
  <c r="L983" i="6" s="1"/>
  <c r="D957" i="6" s="1"/>
  <c r="L743" i="6"/>
  <c r="D676" i="6" s="1"/>
  <c r="K846" i="6"/>
  <c r="L762" i="6"/>
  <c r="D743" i="6" s="1"/>
  <c r="K865" i="6"/>
  <c r="L644" i="6"/>
  <c r="D635" i="6" s="1"/>
  <c r="K747" i="6"/>
  <c r="L642" i="6"/>
  <c r="D633" i="6" s="1"/>
  <c r="K745" i="6"/>
  <c r="L901" i="6"/>
  <c r="D878" i="6" s="1"/>
  <c r="K1004" i="6"/>
  <c r="L1004" i="6" s="1"/>
  <c r="D978" i="6" s="1"/>
  <c r="L763" i="6"/>
  <c r="D745" i="6" s="1"/>
  <c r="K866" i="6"/>
  <c r="L898" i="6"/>
  <c r="D881" i="6" s="1"/>
  <c r="K1001" i="6"/>
  <c r="L1001" i="6" s="1"/>
  <c r="D981" i="6" s="1"/>
  <c r="L755" i="6"/>
  <c r="D725" i="6" s="1"/>
  <c r="K858" i="6"/>
  <c r="L748" i="6"/>
  <c r="D729" i="6" s="1"/>
  <c r="K851" i="6"/>
  <c r="L749" i="6"/>
  <c r="D732" i="6" s="1"/>
  <c r="K852" i="6"/>
  <c r="L877" i="6"/>
  <c r="K980" i="6"/>
  <c r="L980" i="6" s="1"/>
  <c r="L903" i="6"/>
  <c r="D879" i="6" s="1"/>
  <c r="K1006" i="6"/>
  <c r="L1006" i="6" s="1"/>
  <c r="D979" i="6" s="1"/>
  <c r="L881" i="6"/>
  <c r="D860" i="6" s="1"/>
  <c r="K984" i="6"/>
  <c r="L984" i="6" s="1"/>
  <c r="D960" i="6" s="1"/>
  <c r="L649" i="6"/>
  <c r="D628" i="6" s="1"/>
  <c r="K752" i="6"/>
  <c r="L887" i="6"/>
  <c r="D870" i="6" s="1"/>
  <c r="K990" i="6"/>
  <c r="L990" i="6" s="1"/>
  <c r="D970" i="6" s="1"/>
  <c r="L643" i="6"/>
  <c r="D636" i="6" s="1"/>
  <c r="K746" i="6"/>
  <c r="L769" i="6"/>
  <c r="D739" i="6" s="1"/>
  <c r="K872" i="6"/>
  <c r="L655" i="6"/>
  <c r="D630" i="6" s="1"/>
  <c r="K758" i="6"/>
  <c r="L886" i="6"/>
  <c r="D851" i="6" s="1"/>
  <c r="K989" i="6"/>
  <c r="L989" i="6" s="1"/>
  <c r="D951" i="6" s="1"/>
  <c r="L759" i="6"/>
  <c r="D746" i="6" s="1"/>
  <c r="K862" i="6"/>
  <c r="L899" i="6"/>
  <c r="D884" i="6" s="1"/>
  <c r="K1002" i="6"/>
  <c r="L1002" i="6" s="1"/>
  <c r="D984" i="6" s="1"/>
  <c r="L904" i="6"/>
  <c r="D882" i="6" s="1"/>
  <c r="K1007" i="6"/>
  <c r="L1007" i="6" s="1"/>
  <c r="D982" i="6" s="1"/>
  <c r="L891" i="6"/>
  <c r="D869" i="6" s="1"/>
  <c r="K994" i="6"/>
  <c r="L994" i="6" s="1"/>
  <c r="D969" i="6" s="1"/>
  <c r="L767" i="6"/>
  <c r="D740" i="6" s="1"/>
  <c r="K870" i="6"/>
  <c r="L760" i="6"/>
  <c r="D749" i="6" s="1"/>
  <c r="K863" i="6"/>
  <c r="L764" i="6"/>
  <c r="D744" i="6" s="1"/>
  <c r="K867" i="6"/>
  <c r="L768" i="6"/>
  <c r="D741" i="6" s="1"/>
  <c r="K871" i="6"/>
  <c r="L889" i="6"/>
  <c r="D872" i="6" s="1"/>
  <c r="K992" i="6"/>
  <c r="L992" i="6" s="1"/>
  <c r="D972" i="6" s="1"/>
  <c r="L770" i="6"/>
  <c r="D738" i="6" s="1"/>
  <c r="K873" i="6"/>
  <c r="L890" i="6"/>
  <c r="D867" i="6" s="1"/>
  <c r="K993" i="6"/>
  <c r="L993" i="6" s="1"/>
  <c r="D967" i="6" s="1"/>
  <c r="L751" i="6"/>
  <c r="D734" i="6" s="1"/>
  <c r="K854" i="6"/>
  <c r="L750" i="6"/>
  <c r="D731" i="6" s="1"/>
  <c r="K853" i="6"/>
  <c r="L897" i="6"/>
  <c r="D863" i="6" s="1"/>
  <c r="K1000" i="6"/>
  <c r="L1000" i="6" s="1"/>
  <c r="D963" i="6" s="1"/>
  <c r="L885" i="6"/>
  <c r="D852" i="6" s="1"/>
  <c r="K988" i="6"/>
  <c r="L988" i="6" s="1"/>
  <c r="D952" i="6" s="1"/>
  <c r="L757" i="6"/>
  <c r="D737" i="6" s="1"/>
  <c r="K860" i="6"/>
  <c r="L879" i="6"/>
  <c r="D858" i="6" s="1"/>
  <c r="K982" i="6"/>
  <c r="L982" i="6" s="1"/>
  <c r="D958" i="6" s="1"/>
  <c r="L651" i="6"/>
  <c r="D627" i="6" s="1"/>
  <c r="K754" i="6"/>
  <c r="L902" i="6"/>
  <c r="D880" i="6" s="1"/>
  <c r="K1005" i="6"/>
  <c r="L1005" i="6" s="1"/>
  <c r="D980" i="6" s="1"/>
  <c r="L765" i="6"/>
  <c r="D747" i="6" s="1"/>
  <c r="K868" i="6"/>
  <c r="L894" i="6"/>
  <c r="D866" i="6" s="1"/>
  <c r="K997" i="6"/>
  <c r="L997" i="6" s="1"/>
  <c r="D966" i="6" s="1"/>
  <c r="L875" i="6"/>
  <c r="D859" i="6" s="1"/>
  <c r="K978" i="6"/>
  <c r="L978" i="6" s="1"/>
  <c r="D959" i="6" s="1"/>
  <c r="L906" i="6"/>
  <c r="D875" i="6" s="1"/>
  <c r="K1009" i="6"/>
  <c r="L1009" i="6" s="1"/>
  <c r="D975" i="6" s="1"/>
  <c r="L896" i="6"/>
  <c r="D865" i="6" s="1"/>
  <c r="K999" i="6"/>
  <c r="L999" i="6" s="1"/>
  <c r="D965" i="6" s="1"/>
  <c r="L882" i="6"/>
  <c r="D855" i="6" s="1"/>
  <c r="K985" i="6"/>
  <c r="L985" i="6" s="1"/>
  <c r="D955" i="6" s="1"/>
  <c r="L853" i="6" l="1"/>
  <c r="D831" i="6" s="1"/>
  <c r="K956" i="6"/>
  <c r="L956" i="6" s="1"/>
  <c r="D931" i="6" s="1"/>
  <c r="L870" i="6"/>
  <c r="D840" i="6" s="1"/>
  <c r="K973" i="6"/>
  <c r="L973" i="6" s="1"/>
  <c r="D940" i="6" s="1"/>
  <c r="L862" i="6"/>
  <c r="D846" i="6" s="1"/>
  <c r="K965" i="6"/>
  <c r="L965" i="6" s="1"/>
  <c r="D946" i="6" s="1"/>
  <c r="L746" i="6"/>
  <c r="D736" i="6" s="1"/>
  <c r="K849" i="6"/>
  <c r="L858" i="6"/>
  <c r="D825" i="6" s="1"/>
  <c r="K961" i="6"/>
  <c r="L961" i="6" s="1"/>
  <c r="D925" i="6" s="1"/>
  <c r="L745" i="6"/>
  <c r="D733" i="6" s="1"/>
  <c r="K848" i="6"/>
  <c r="L948" i="6"/>
  <c r="D861" i="6" s="1"/>
  <c r="K1051" i="6"/>
  <c r="L1051" i="6" s="1"/>
  <c r="D961" i="6" s="1"/>
  <c r="L868" i="6"/>
  <c r="D847" i="6" s="1"/>
  <c r="K971" i="6"/>
  <c r="L971" i="6" s="1"/>
  <c r="D947" i="6" s="1"/>
  <c r="L860" i="6"/>
  <c r="D837" i="6" s="1"/>
  <c r="K963" i="6"/>
  <c r="L963" i="6" s="1"/>
  <c r="D937" i="6" s="1"/>
  <c r="L854" i="6"/>
  <c r="D834" i="6" s="1"/>
  <c r="K957" i="6"/>
  <c r="L957" i="6" s="1"/>
  <c r="D934" i="6" s="1"/>
  <c r="L871" i="6"/>
  <c r="D841" i="6" s="1"/>
  <c r="K974" i="6"/>
  <c r="L974" i="6" s="1"/>
  <c r="D941" i="6" s="1"/>
  <c r="L747" i="6"/>
  <c r="D735" i="6" s="1"/>
  <c r="K850" i="6"/>
  <c r="L874" i="6"/>
  <c r="D850" i="6" s="1"/>
  <c r="K977" i="6"/>
  <c r="L977" i="6" s="1"/>
  <c r="D950" i="6" s="1"/>
  <c r="L869" i="6"/>
  <c r="D842" i="6" s="1"/>
  <c r="K972" i="6"/>
  <c r="L972" i="6" s="1"/>
  <c r="D942" i="6" s="1"/>
  <c r="L867" i="6"/>
  <c r="D844" i="6" s="1"/>
  <c r="K970" i="6"/>
  <c r="L970" i="6" s="1"/>
  <c r="D944" i="6" s="1"/>
  <c r="L758" i="6"/>
  <c r="D730" i="6" s="1"/>
  <c r="K861" i="6"/>
  <c r="L752" i="6"/>
  <c r="D728" i="6" s="1"/>
  <c r="K855" i="6"/>
  <c r="L852" i="6"/>
  <c r="D832" i="6" s="1"/>
  <c r="K955" i="6"/>
  <c r="L955" i="6" s="1"/>
  <c r="D932" i="6" s="1"/>
  <c r="L866" i="6"/>
  <c r="D845" i="6" s="1"/>
  <c r="K969" i="6"/>
  <c r="L969" i="6" s="1"/>
  <c r="D945" i="6" s="1"/>
  <c r="L865" i="6"/>
  <c r="D843" i="6" s="1"/>
  <c r="K968" i="6"/>
  <c r="L968" i="6" s="1"/>
  <c r="D943" i="6" s="1"/>
  <c r="L756" i="6"/>
  <c r="D724" i="6" s="1"/>
  <c r="K859" i="6"/>
  <c r="L754" i="6"/>
  <c r="D727" i="6" s="1"/>
  <c r="K857" i="6"/>
  <c r="L873" i="6"/>
  <c r="D838" i="6" s="1"/>
  <c r="K976" i="6"/>
  <c r="L976" i="6" s="1"/>
  <c r="D938" i="6" s="1"/>
  <c r="L863" i="6"/>
  <c r="D849" i="6" s="1"/>
  <c r="K966" i="6"/>
  <c r="L966" i="6" s="1"/>
  <c r="D949" i="6" s="1"/>
  <c r="L872" i="6"/>
  <c r="D839" i="6" s="1"/>
  <c r="K975" i="6"/>
  <c r="L975" i="6" s="1"/>
  <c r="D939" i="6" s="1"/>
  <c r="L851" i="6"/>
  <c r="D829" i="6" s="1"/>
  <c r="K954" i="6"/>
  <c r="L954" i="6" s="1"/>
  <c r="D929" i="6" s="1"/>
  <c r="L846" i="6"/>
  <c r="D776" i="6" s="1"/>
  <c r="K949" i="6"/>
  <c r="L856" i="6"/>
  <c r="D826" i="6" s="1"/>
  <c r="K959" i="6"/>
  <c r="L959" i="6" s="1"/>
  <c r="D926" i="6" s="1"/>
  <c r="L907" i="6"/>
  <c r="K1010" i="6"/>
  <c r="L1010" i="6" s="1"/>
  <c r="L861" i="6" l="1"/>
  <c r="D830" i="6" s="1"/>
  <c r="K964" i="6"/>
  <c r="L964" i="6" s="1"/>
  <c r="D930" i="6" s="1"/>
  <c r="L850" i="6"/>
  <c r="D835" i="6" s="1"/>
  <c r="K953" i="6"/>
  <c r="L953" i="6" s="1"/>
  <c r="D935" i="6" s="1"/>
  <c r="L849" i="6"/>
  <c r="D836" i="6" s="1"/>
  <c r="G20" i="105" s="1"/>
  <c r="H20" i="105" s="1"/>
  <c r="K952" i="6"/>
  <c r="L952" i="6" s="1"/>
  <c r="D936" i="6" s="1"/>
  <c r="L949" i="6"/>
  <c r="D876" i="6" s="1"/>
  <c r="K1052" i="6"/>
  <c r="L1052" i="6" s="1"/>
  <c r="D976" i="6" s="1"/>
  <c r="G15" i="105" s="1"/>
  <c r="H15" i="105" s="1"/>
  <c r="L857" i="6"/>
  <c r="K960" i="6"/>
  <c r="L960" i="6" s="1"/>
  <c r="D927" i="6" s="1"/>
  <c r="L848" i="6"/>
  <c r="D833" i="6" s="1"/>
  <c r="K951" i="6"/>
  <c r="B773" i="108"/>
  <c r="E773" i="108" s="1"/>
  <c r="B834" i="108"/>
  <c r="E834" i="108" s="1"/>
  <c r="L859" i="6"/>
  <c r="D824" i="6" s="1"/>
  <c r="K962" i="6"/>
  <c r="L962" i="6" s="1"/>
  <c r="D924" i="6" s="1"/>
  <c r="L855" i="6"/>
  <c r="D828" i="6" s="1"/>
  <c r="K958" i="6"/>
  <c r="L958" i="6" s="1"/>
  <c r="D928" i="6" s="1"/>
  <c r="G16" i="105"/>
  <c r="H16" i="105" s="1"/>
  <c r="G17" i="105"/>
  <c r="H17" i="105" s="1"/>
  <c r="N25" i="108"/>
  <c r="G21" i="105"/>
  <c r="H21" i="105" s="1"/>
  <c r="N29" i="108"/>
  <c r="P29" i="108" s="1"/>
  <c r="N27" i="108"/>
  <c r="P27" i="108" s="1"/>
  <c r="G14" i="105"/>
  <c r="H14" i="105" s="1"/>
  <c r="G18" i="105"/>
  <c r="H18" i="105" s="1"/>
  <c r="N24" i="108"/>
  <c r="P24" i="108" s="1"/>
  <c r="N23" i="108"/>
  <c r="P23" i="108" s="1"/>
  <c r="N30" i="108"/>
  <c r="P30" i="108" s="1"/>
  <c r="N26" i="108"/>
  <c r="P26" i="108" s="1"/>
  <c r="B826" i="108" l="1"/>
  <c r="E826" i="108" s="1"/>
  <c r="D827" i="6"/>
  <c r="B827" i="108"/>
  <c r="E827" i="108" s="1"/>
  <c r="B461" i="108"/>
  <c r="E461" i="108" s="1"/>
  <c r="B875" i="108"/>
  <c r="E875" i="108" s="1"/>
  <c r="B823" i="108"/>
  <c r="E823" i="108" s="1"/>
  <c r="B583" i="108"/>
  <c r="E583" i="108" s="1"/>
  <c r="B230" i="108"/>
  <c r="E230" i="108" s="1"/>
  <c r="B240" i="108"/>
  <c r="E240" i="108" s="1"/>
  <c r="L951" i="6"/>
  <c r="B213" i="108"/>
  <c r="E213" i="108" s="1"/>
  <c r="B900" i="108"/>
  <c r="E900" i="108" s="1"/>
  <c r="B43" i="108"/>
  <c r="E43" i="108" s="1"/>
  <c r="B202" i="108"/>
  <c r="E202" i="108" s="1"/>
  <c r="B42" i="108"/>
  <c r="E42" i="108" s="1"/>
  <c r="B777" i="108"/>
  <c r="E777" i="108" s="1"/>
  <c r="B1005" i="108"/>
  <c r="E1005" i="108" s="1"/>
  <c r="B27" i="108"/>
  <c r="E27" i="108" s="1"/>
  <c r="B642" i="108"/>
  <c r="E642" i="108" s="1"/>
  <c r="B485" i="108"/>
  <c r="E485" i="108" s="1"/>
  <c r="B59" i="108"/>
  <c r="E59" i="108" s="1"/>
  <c r="B456" i="108"/>
  <c r="E456" i="108" s="1"/>
  <c r="B441" i="108"/>
  <c r="E441" i="108" s="1"/>
  <c r="B361" i="108"/>
  <c r="E361" i="108" s="1"/>
  <c r="B71" i="108"/>
  <c r="E71" i="108" s="1"/>
  <c r="B966" i="108"/>
  <c r="E966" i="108" s="1"/>
  <c r="B967" i="108"/>
  <c r="E967" i="108" s="1"/>
  <c r="B453" i="108"/>
  <c r="E453" i="108" s="1"/>
  <c r="B321" i="108"/>
  <c r="E321" i="108" s="1"/>
  <c r="B101" i="108"/>
  <c r="E101" i="108" s="1"/>
  <c r="B871" i="108"/>
  <c r="E871" i="108" s="1"/>
  <c r="B262" i="108"/>
  <c r="E262" i="108" s="1"/>
  <c r="B211" i="108"/>
  <c r="E211" i="108" s="1"/>
  <c r="B466" i="108"/>
  <c r="E466" i="108" s="1"/>
  <c r="B376" i="108"/>
  <c r="E376" i="108" s="1"/>
  <c r="B537" i="108"/>
  <c r="E537" i="108" s="1"/>
  <c r="B1018" i="108"/>
  <c r="E1018" i="108" s="1"/>
  <c r="B657" i="108"/>
  <c r="E657" i="108" s="1"/>
  <c r="B963" i="108"/>
  <c r="E963" i="108" s="1"/>
  <c r="B804" i="108"/>
  <c r="E804" i="108" s="1"/>
  <c r="B403" i="108"/>
  <c r="E403" i="108" s="1"/>
  <c r="B926" i="108"/>
  <c r="E926" i="108" s="1"/>
  <c r="B786" i="108"/>
  <c r="E786" i="108" s="1"/>
  <c r="B885" i="108"/>
  <c r="E885" i="108" s="1"/>
  <c r="B205" i="108"/>
  <c r="E205" i="108" s="1"/>
  <c r="B776" i="108"/>
  <c r="E776" i="108" s="1"/>
  <c r="B497" i="108"/>
  <c r="E497" i="108" s="1"/>
  <c r="B969" i="108"/>
  <c r="E969" i="108" s="1"/>
  <c r="B640" i="108"/>
  <c r="E640" i="108" s="1"/>
  <c r="B324" i="108"/>
  <c r="E324" i="108" s="1"/>
  <c r="B442" i="108"/>
  <c r="E442" i="108" s="1"/>
  <c r="B716" i="108"/>
  <c r="E716" i="108" s="1"/>
  <c r="B734" i="108"/>
  <c r="E734" i="108" s="1"/>
  <c r="B95" i="108"/>
  <c r="E95" i="108" s="1"/>
  <c r="B510" i="108"/>
  <c r="E510" i="108" s="1"/>
  <c r="B982" i="108"/>
  <c r="E982" i="108" s="1"/>
  <c r="B985" i="108"/>
  <c r="E985" i="108" s="1"/>
  <c r="B987" i="108"/>
  <c r="E987" i="108" s="1"/>
  <c r="B359" i="108"/>
  <c r="E359" i="108" s="1"/>
  <c r="B140" i="108"/>
  <c r="E140" i="108" s="1"/>
  <c r="B265" i="108"/>
  <c r="E265" i="108" s="1"/>
  <c r="B124" i="108"/>
  <c r="E124" i="108" s="1"/>
  <c r="B327" i="108"/>
  <c r="E327" i="108" s="1"/>
  <c r="B678" i="108"/>
  <c r="E678" i="108" s="1"/>
  <c r="B425" i="108"/>
  <c r="E425" i="108" s="1"/>
  <c r="B960" i="108"/>
  <c r="E960" i="108" s="1"/>
  <c r="B404" i="108"/>
  <c r="E404" i="108" s="1"/>
  <c r="B444" i="108"/>
  <c r="E444" i="108" s="1"/>
  <c r="B164" i="108"/>
  <c r="E164" i="108" s="1"/>
  <c r="B317" i="108"/>
  <c r="E317" i="108" s="1"/>
  <c r="B798" i="108"/>
  <c r="E798" i="108" s="1"/>
  <c r="B343" i="108"/>
  <c r="E343" i="108" s="1"/>
  <c r="B723" i="108"/>
  <c r="E723" i="108" s="1"/>
  <c r="B492" i="108"/>
  <c r="E492" i="108" s="1"/>
  <c r="B490" i="108"/>
  <c r="E490" i="108" s="1"/>
  <c r="B560" i="108"/>
  <c r="E560" i="108" s="1"/>
  <c r="B845" i="108"/>
  <c r="E845" i="108" s="1"/>
  <c r="B579" i="108"/>
  <c r="E579" i="108" s="1"/>
  <c r="B41" i="108"/>
  <c r="E41" i="108" s="1"/>
  <c r="B848" i="108"/>
  <c r="E848" i="108" s="1"/>
  <c r="B704" i="108"/>
  <c r="E704" i="108" s="1"/>
  <c r="B269" i="108"/>
  <c r="E269" i="108" s="1"/>
  <c r="B201" i="108"/>
  <c r="E201" i="108" s="1"/>
  <c r="B626" i="108"/>
  <c r="E626" i="108" s="1"/>
  <c r="B526" i="108"/>
  <c r="E526" i="108" s="1"/>
  <c r="B758" i="108"/>
  <c r="E758" i="108" s="1"/>
  <c r="B352" i="108"/>
  <c r="E352" i="108" s="1"/>
  <c r="B358" i="108"/>
  <c r="E358" i="108" s="1"/>
  <c r="B341" i="108"/>
  <c r="E341" i="108" s="1"/>
  <c r="B530" i="108"/>
  <c r="E530" i="108" s="1"/>
  <c r="B457" i="108"/>
  <c r="E457" i="108" s="1"/>
  <c r="B235" i="108"/>
  <c r="E235" i="108" s="1"/>
  <c r="B546" i="108"/>
  <c r="E546" i="108" s="1"/>
  <c r="B500" i="108"/>
  <c r="E500" i="108" s="1"/>
  <c r="B882" i="108"/>
  <c r="E882" i="108" s="1"/>
  <c r="B600" i="108"/>
  <c r="E600" i="108" s="1"/>
  <c r="B248" i="108"/>
  <c r="E248" i="108" s="1"/>
  <c r="B912" i="108"/>
  <c r="E912" i="108" s="1"/>
  <c r="B57" i="108"/>
  <c r="E57" i="108" s="1"/>
  <c r="B565" i="108"/>
  <c r="E565" i="108" s="1"/>
  <c r="B665" i="108"/>
  <c r="E665" i="108" s="1"/>
  <c r="B943" i="108"/>
  <c r="E943" i="108" s="1"/>
  <c r="B477" i="108"/>
  <c r="E477" i="108" s="1"/>
  <c r="B66" i="108"/>
  <c r="E66" i="108" s="1"/>
  <c r="B778" i="108"/>
  <c r="E778" i="108" s="1"/>
  <c r="B878" i="108"/>
  <c r="E878" i="108" s="1"/>
  <c r="B420" i="108"/>
  <c r="E420" i="108" s="1"/>
  <c r="B725" i="108"/>
  <c r="E725" i="108" s="1"/>
  <c r="B513" i="108"/>
  <c r="E513" i="108" s="1"/>
  <c r="B370" i="108"/>
  <c r="E370" i="108" s="1"/>
  <c r="B421" i="108"/>
  <c r="E421" i="108" s="1"/>
  <c r="B627" i="108"/>
  <c r="E627" i="108" s="1"/>
  <c r="B830" i="108"/>
  <c r="E830" i="108" s="1"/>
  <c r="B568" i="108"/>
  <c r="E568" i="108" s="1"/>
  <c r="B384" i="108"/>
  <c r="E384" i="108" s="1"/>
  <c r="B118" i="108"/>
  <c r="E118" i="108" s="1"/>
  <c r="B864" i="108"/>
  <c r="E864" i="108" s="1"/>
  <c r="B865" i="108"/>
  <c r="E865" i="108" s="1"/>
  <c r="B693" i="108"/>
  <c r="E693" i="108" s="1"/>
  <c r="B310" i="108"/>
  <c r="E310" i="108" s="1"/>
  <c r="B595" i="108"/>
  <c r="E595" i="108" s="1"/>
  <c r="B298" i="108"/>
  <c r="E298" i="108" s="1"/>
  <c r="B682" i="108"/>
  <c r="E682" i="108" s="1"/>
  <c r="B727" i="108"/>
  <c r="E727" i="108" s="1"/>
  <c r="B529" i="108"/>
  <c r="E529" i="108" s="1"/>
  <c r="B877" i="108"/>
  <c r="E877" i="108" s="1"/>
  <c r="B614" i="108"/>
  <c r="E614" i="108" s="1"/>
  <c r="B255" i="108"/>
  <c r="E255" i="108" s="1"/>
  <c r="B1021" i="108"/>
  <c r="E1021" i="108" s="1"/>
  <c r="B979" i="108"/>
  <c r="E979" i="108" s="1"/>
  <c r="B908" i="108"/>
  <c r="E908" i="108" s="1"/>
  <c r="B250" i="108"/>
  <c r="E250" i="108" s="1"/>
  <c r="B857" i="108"/>
  <c r="E857" i="108" s="1"/>
  <c r="B434" i="108"/>
  <c r="E434" i="108" s="1"/>
  <c r="B290" i="108"/>
  <c r="E290" i="108" s="1"/>
  <c r="B136" i="108"/>
  <c r="E136" i="108" s="1"/>
  <c r="B910" i="108"/>
  <c r="E910" i="108" s="1"/>
  <c r="B879" i="108"/>
  <c r="E879" i="108" s="1"/>
  <c r="B163" i="108"/>
  <c r="E163" i="108" s="1"/>
  <c r="B439" i="108"/>
  <c r="E439" i="108" s="1"/>
  <c r="B643" i="108"/>
  <c r="E643" i="108" s="1"/>
  <c r="B307" i="108"/>
  <c r="E307" i="108" s="1"/>
  <c r="B138" i="108"/>
  <c r="E138" i="108" s="1"/>
  <c r="B890" i="108"/>
  <c r="E890" i="108" s="1"/>
  <c r="B928" i="108"/>
  <c r="E928" i="108" s="1"/>
  <c r="B468" i="108"/>
  <c r="E468" i="108" s="1"/>
  <c r="B502" i="108"/>
  <c r="E502" i="108" s="1"/>
  <c r="B737" i="108"/>
  <c r="E737" i="108" s="1"/>
  <c r="B978" i="108"/>
  <c r="E978" i="108" s="1"/>
  <c r="B781" i="108"/>
  <c r="E781" i="108" s="1"/>
  <c r="B31" i="108"/>
  <c r="E31" i="108" s="1"/>
  <c r="B478" i="108"/>
  <c r="E478" i="108" s="1"/>
  <c r="B534" i="108"/>
  <c r="E534" i="108" s="1"/>
  <c r="B411" i="108"/>
  <c r="E411" i="108" s="1"/>
  <c r="B303" i="108"/>
  <c r="E303" i="108" s="1"/>
  <c r="B898" i="108"/>
  <c r="E898" i="108" s="1"/>
  <c r="B278" i="108"/>
  <c r="E278" i="108" s="1"/>
  <c r="B588" i="108"/>
  <c r="E588" i="108" s="1"/>
  <c r="B367" i="108"/>
  <c r="E367" i="108" s="1"/>
  <c r="B970" i="108"/>
  <c r="E970" i="108" s="1"/>
  <c r="B760" i="108"/>
  <c r="E760" i="108" s="1"/>
  <c r="B1013" i="108"/>
  <c r="E1013" i="108" s="1"/>
  <c r="B730" i="108"/>
  <c r="E730" i="108" s="1"/>
  <c r="B96" i="108"/>
  <c r="E96" i="108" s="1"/>
  <c r="B38" i="108"/>
  <c r="E38" i="108" s="1"/>
  <c r="B114" i="108"/>
  <c r="E114" i="108" s="1"/>
  <c r="B48" i="108"/>
  <c r="E48" i="108" s="1"/>
  <c r="B498" i="108"/>
  <c r="E498" i="108" s="1"/>
  <c r="B571" i="108"/>
  <c r="E571" i="108" s="1"/>
  <c r="B263" i="108"/>
  <c r="E263" i="108" s="1"/>
  <c r="B53" i="108"/>
  <c r="E53" i="108" s="1"/>
  <c r="B613" i="108"/>
  <c r="E613" i="108" s="1"/>
  <c r="B134" i="108"/>
  <c r="E134" i="108" s="1"/>
  <c r="B702" i="108"/>
  <c r="E702" i="108" s="1"/>
  <c r="B977" i="108"/>
  <c r="E977" i="108" s="1"/>
  <c r="B914" i="108"/>
  <c r="E914" i="108" s="1"/>
  <c r="B207" i="108"/>
  <c r="E207" i="108" s="1"/>
  <c r="B60" i="108"/>
  <c r="E60" i="108" s="1"/>
  <c r="B590" i="108"/>
  <c r="E590" i="108" s="1"/>
  <c r="B49" i="108"/>
  <c r="E49" i="108" s="1"/>
  <c r="B668" i="108"/>
  <c r="E668" i="108" s="1"/>
  <c r="B894" i="108"/>
  <c r="E894" i="108" s="1"/>
  <c r="B63" i="108"/>
  <c r="E63" i="108" s="1"/>
  <c r="B742" i="108"/>
  <c r="E742" i="108" s="1"/>
  <c r="B518" i="108"/>
  <c r="E518" i="108" s="1"/>
  <c r="B329" i="108"/>
  <c r="E329" i="108" s="1"/>
  <c r="B314" i="108"/>
  <c r="E314" i="108" s="1"/>
  <c r="B770" i="108"/>
  <c r="E770" i="108" s="1"/>
  <c r="B575" i="108"/>
  <c r="E575" i="108" s="1"/>
  <c r="B55" i="108"/>
  <c r="E55" i="108" s="1"/>
  <c r="B847" i="108"/>
  <c r="E847" i="108" s="1"/>
  <c r="B92" i="108"/>
  <c r="B171" i="108"/>
  <c r="E171" i="108" s="1"/>
  <c r="B365" i="108"/>
  <c r="E365" i="108" s="1"/>
  <c r="B417" i="108"/>
  <c r="E417" i="108" s="1"/>
  <c r="B578" i="108"/>
  <c r="E578" i="108" s="1"/>
  <c r="B603" i="108"/>
  <c r="E603" i="108" s="1"/>
  <c r="B196" i="108"/>
  <c r="E196" i="108" s="1"/>
  <c r="B331" i="108"/>
  <c r="E331" i="108" s="1"/>
  <c r="B476" i="108"/>
  <c r="E476" i="108" s="1"/>
  <c r="B270" i="108"/>
  <c r="E270" i="108" s="1"/>
  <c r="B919" i="108"/>
  <c r="E919" i="108" s="1"/>
  <c r="B97" i="108"/>
  <c r="E97" i="108" s="1"/>
  <c r="B77" i="108"/>
  <c r="E77" i="108" s="1"/>
  <c r="B955" i="108"/>
  <c r="E955" i="108" s="1"/>
  <c r="B765" i="108"/>
  <c r="E765" i="108" s="1"/>
  <c r="B107" i="108"/>
  <c r="E107" i="108" s="1"/>
  <c r="B648" i="108"/>
  <c r="E648" i="108" s="1"/>
  <c r="B348" i="108"/>
  <c r="E348" i="108" s="1"/>
  <c r="B854" i="108"/>
  <c r="E854" i="108" s="1"/>
  <c r="B391" i="108"/>
  <c r="E391" i="108" s="1"/>
  <c r="B260" i="108"/>
  <c r="E260" i="108" s="1"/>
  <c r="B390" i="108"/>
  <c r="E390" i="108" s="1"/>
  <c r="B929" i="108"/>
  <c r="E929" i="108" s="1"/>
  <c r="B873" i="108"/>
  <c r="E873" i="108" s="1"/>
  <c r="B254" i="108"/>
  <c r="E254" i="108" s="1"/>
  <c r="B300" i="108"/>
  <c r="E300" i="108" s="1"/>
  <c r="B39" i="108"/>
  <c r="E39" i="108" s="1"/>
  <c r="B892" i="108"/>
  <c r="E892" i="108" s="1"/>
  <c r="B618" i="108"/>
  <c r="E618" i="108" s="1"/>
  <c r="B1011" i="108"/>
  <c r="E1011" i="108" s="1"/>
  <c r="B573" i="108"/>
  <c r="E573" i="108" s="1"/>
  <c r="B531" i="108"/>
  <c r="E531" i="108" s="1"/>
  <c r="B1016" i="108"/>
  <c r="E1016" i="108" s="1"/>
  <c r="B616" i="108"/>
  <c r="E616" i="108" s="1"/>
  <c r="B692" i="108"/>
  <c r="E692" i="108" s="1"/>
  <c r="B229" i="108"/>
  <c r="E229" i="108" s="1"/>
  <c r="B607" i="108"/>
  <c r="E607" i="108" s="1"/>
  <c r="B25" i="108"/>
  <c r="E25" i="108" s="1"/>
  <c r="B342" i="108"/>
  <c r="E342" i="108" s="1"/>
  <c r="B956" i="108"/>
  <c r="E956" i="108" s="1"/>
  <c r="B863" i="108"/>
  <c r="E863" i="108" s="1"/>
  <c r="B429" i="108"/>
  <c r="E429" i="108" s="1"/>
  <c r="B728" i="108"/>
  <c r="E728" i="108" s="1"/>
  <c r="B755" i="108"/>
  <c r="E755" i="108" s="1"/>
  <c r="B666" i="108"/>
  <c r="E666" i="108" s="1"/>
  <c r="B427" i="108"/>
  <c r="E427" i="108" s="1"/>
  <c r="B999" i="108"/>
  <c r="E999" i="108" s="1"/>
  <c r="B994" i="108"/>
  <c r="E994" i="108" s="1"/>
  <c r="B400" i="108"/>
  <c r="E400" i="108" s="1"/>
  <c r="B88" i="108"/>
  <c r="E88" i="108" s="1"/>
  <c r="B867" i="108"/>
  <c r="E867" i="108" s="1"/>
  <c r="B174" i="108"/>
  <c r="E174" i="108" s="1"/>
  <c r="B293" i="108"/>
  <c r="E293" i="108" s="1"/>
  <c r="B744" i="108"/>
  <c r="E744" i="108" s="1"/>
  <c r="B519" i="108"/>
  <c r="E519" i="108" s="1"/>
  <c r="B650" i="108"/>
  <c r="E650" i="108" s="1"/>
  <c r="B137" i="108"/>
  <c r="E137" i="108" s="1"/>
  <c r="B146" i="108"/>
  <c r="E146" i="108" s="1"/>
  <c r="B131" i="108"/>
  <c r="E131" i="108" s="1"/>
  <c r="B454" i="108"/>
  <c r="E454" i="108" s="1"/>
  <c r="B561" i="108"/>
  <c r="E561" i="108" s="1"/>
  <c r="B484" i="108"/>
  <c r="E484" i="108" s="1"/>
  <c r="B253" i="108"/>
  <c r="E253" i="108" s="1"/>
  <c r="B733" i="108"/>
  <c r="E733" i="108" s="1"/>
  <c r="B153" i="108"/>
  <c r="E153" i="108" s="1"/>
  <c r="B535" i="108"/>
  <c r="E535" i="108" s="1"/>
  <c r="B246" i="108"/>
  <c r="E246" i="108" s="1"/>
  <c r="B954" i="108"/>
  <c r="E954" i="108" s="1"/>
  <c r="B836" i="108"/>
  <c r="E836" i="108" s="1"/>
  <c r="B82" i="108"/>
  <c r="E82" i="108" s="1"/>
  <c r="B37" i="108"/>
  <c r="E37" i="108" s="1"/>
  <c r="B508" i="108"/>
  <c r="E508" i="108" s="1"/>
  <c r="B942" i="108"/>
  <c r="E942" i="108" s="1"/>
  <c r="B639" i="108"/>
  <c r="E639" i="108" s="1"/>
  <c r="B451" i="108"/>
  <c r="E451" i="108" s="1"/>
  <c r="B294" i="108"/>
  <c r="E294" i="108" s="1"/>
  <c r="B528" i="108"/>
  <c r="E528" i="108" s="1"/>
  <c r="B455" i="108"/>
  <c r="E455" i="108" s="1"/>
  <c r="B719" i="108"/>
  <c r="E719" i="108" s="1"/>
  <c r="B743" i="108"/>
  <c r="E743" i="108" s="1"/>
  <c r="B247" i="108"/>
  <c r="E247" i="108" s="1"/>
  <c r="B923" i="108"/>
  <c r="E923" i="108" s="1"/>
  <c r="B257" i="108"/>
  <c r="E257" i="108" s="1"/>
  <c r="B596" i="108"/>
  <c r="E596" i="108" s="1"/>
  <c r="B726" i="108"/>
  <c r="E726" i="108" s="1"/>
  <c r="B896" i="108"/>
  <c r="E896" i="108" s="1"/>
  <c r="B412" i="108"/>
  <c r="E412" i="108" s="1"/>
  <c r="B763" i="108"/>
  <c r="E763" i="108" s="1"/>
  <c r="B720" i="108"/>
  <c r="E720" i="108" s="1"/>
  <c r="B337" i="108"/>
  <c r="E337" i="108" s="1"/>
  <c r="B824" i="108"/>
  <c r="E824" i="108" s="1"/>
  <c r="B673" i="108"/>
  <c r="E673" i="108" s="1"/>
  <c r="B774" i="108"/>
  <c r="E774" i="108" s="1"/>
  <c r="B937" i="108"/>
  <c r="E937" i="108" s="1"/>
  <c r="B952" i="108"/>
  <c r="E952" i="108" s="1"/>
  <c r="B539" i="108"/>
  <c r="E539" i="108" s="1"/>
  <c r="B102" i="108"/>
  <c r="E102" i="108" s="1"/>
  <c r="B888" i="108"/>
  <c r="E888" i="108" s="1"/>
  <c r="B83" i="108"/>
  <c r="E83" i="108" s="1"/>
  <c r="B860" i="108"/>
  <c r="E860" i="108" s="1"/>
  <c r="B388" i="108"/>
  <c r="E388" i="108" s="1"/>
  <c r="B189" i="108"/>
  <c r="E189" i="108" s="1"/>
  <c r="B779" i="108"/>
  <c r="E779" i="108" s="1"/>
  <c r="B378" i="108"/>
  <c r="E378" i="108" s="1"/>
  <c r="B617" i="108"/>
  <c r="E617" i="108" s="1"/>
  <c r="B866" i="108"/>
  <c r="E866" i="108" s="1"/>
  <c r="B200" i="108"/>
  <c r="E200" i="108" s="1"/>
  <c r="B886" i="108"/>
  <c r="E886" i="108" s="1"/>
  <c r="B669" i="108"/>
  <c r="E669" i="108" s="1"/>
  <c r="B234" i="108"/>
  <c r="E234" i="108" s="1"/>
  <c r="B61" i="108"/>
  <c r="E61" i="108" s="1"/>
  <c r="B946" i="108"/>
  <c r="E946" i="108" s="1"/>
  <c r="B899" i="108"/>
  <c r="E899" i="108" s="1"/>
  <c r="B489" i="108"/>
  <c r="E489" i="108" s="1"/>
  <c r="B785" i="108"/>
  <c r="E785" i="108" s="1"/>
  <c r="B809" i="108"/>
  <c r="E809" i="108" s="1"/>
  <c r="B992" i="108"/>
  <c r="E992" i="108" s="1"/>
  <c r="B351" i="108"/>
  <c r="E351" i="108" s="1"/>
  <c r="B311" i="108"/>
  <c r="E311" i="108" s="1"/>
  <c r="B121" i="108"/>
  <c r="E121" i="108" s="1"/>
  <c r="B739" i="108"/>
  <c r="E739" i="108" s="1"/>
  <c r="B660" i="108"/>
  <c r="E660" i="108" s="1"/>
  <c r="B58" i="108"/>
  <c r="E58" i="108" s="1"/>
  <c r="B602" i="108"/>
  <c r="E602" i="108" s="1"/>
  <c r="B33" i="108"/>
  <c r="E33" i="108" s="1"/>
  <c r="B467" i="108"/>
  <c r="E467" i="108" s="1"/>
  <c r="B884" i="108"/>
  <c r="E884" i="108" s="1"/>
  <c r="B1015" i="108"/>
  <c r="E1015" i="108" s="1"/>
  <c r="B522" i="108"/>
  <c r="E522" i="108" s="1"/>
  <c r="B515" i="108"/>
  <c r="E515" i="108" s="1"/>
  <c r="B759" i="108"/>
  <c r="E759" i="108" s="1"/>
  <c r="B440" i="108"/>
  <c r="E440" i="108" s="1"/>
  <c r="B991" i="108"/>
  <c r="E991" i="108" s="1"/>
  <c r="B280" i="108"/>
  <c r="E280" i="108" s="1"/>
  <c r="B907" i="108"/>
  <c r="E907" i="108" s="1"/>
  <c r="B677" i="108"/>
  <c r="E677" i="108" s="1"/>
  <c r="B822" i="108"/>
  <c r="E822" i="108" s="1"/>
  <c r="B24" i="108"/>
  <c r="E24" i="108" s="1"/>
  <c r="B94" i="108"/>
  <c r="E94" i="108" s="1"/>
  <c r="B377" i="108"/>
  <c r="E377" i="108" s="1"/>
  <c r="B856" i="108"/>
  <c r="E856" i="108" s="1"/>
  <c r="B139" i="108"/>
  <c r="E139" i="108" s="1"/>
  <c r="B369" i="108"/>
  <c r="E369" i="108" s="1"/>
  <c r="B917" i="108"/>
  <c r="E917" i="108" s="1"/>
  <c r="B51" i="108"/>
  <c r="E51" i="108" s="1"/>
  <c r="B818" i="108"/>
  <c r="E818" i="108" s="1"/>
  <c r="B354" i="108"/>
  <c r="E354" i="108" s="1"/>
  <c r="B141" i="108"/>
  <c r="E141" i="108" s="1"/>
  <c r="B961" i="108"/>
  <c r="E961" i="108" s="1"/>
  <c r="B78" i="108"/>
  <c r="E78" i="108" s="1"/>
  <c r="B30" i="108"/>
  <c r="E30" i="108" s="1"/>
  <c r="B471" i="108"/>
  <c r="E471" i="108" s="1"/>
  <c r="B320" i="108"/>
  <c r="E320" i="108" s="1"/>
  <c r="B893" i="108"/>
  <c r="E893" i="108" s="1"/>
  <c r="B501" i="108"/>
  <c r="E501" i="108" s="1"/>
  <c r="B819" i="108"/>
  <c r="E819" i="108" s="1"/>
  <c r="B606" i="108"/>
  <c r="E606" i="108" s="1"/>
  <c r="B638" i="108"/>
  <c r="E638" i="108" s="1"/>
  <c r="B950" i="108"/>
  <c r="E950" i="108" s="1"/>
  <c r="B481" i="108"/>
  <c r="E481" i="108" s="1"/>
  <c r="B731" i="108"/>
  <c r="E731" i="108" s="1"/>
  <c r="B674" i="108"/>
  <c r="E674" i="108" s="1"/>
  <c r="B475" i="108"/>
  <c r="E475" i="108" s="1"/>
  <c r="B838" i="108"/>
  <c r="E838" i="108" s="1"/>
  <c r="B536" i="108"/>
  <c r="E536" i="108" s="1"/>
  <c r="B976" i="108"/>
  <c r="E976" i="108" s="1"/>
  <c r="B449" i="108"/>
  <c r="E449" i="108" s="1"/>
  <c r="B806" i="108"/>
  <c r="E806" i="108" s="1"/>
  <c r="B68" i="108"/>
  <c r="E68" i="108" s="1"/>
  <c r="B935" i="108"/>
  <c r="E935" i="108" s="1"/>
  <c r="B676" i="108"/>
  <c r="E676" i="108" s="1"/>
  <c r="B81" i="108"/>
  <c r="E81" i="108" s="1"/>
  <c r="B346" i="108"/>
  <c r="E346" i="108" s="1"/>
  <c r="B47" i="108"/>
  <c r="E47" i="108" s="1"/>
  <c r="B592" i="108"/>
  <c r="E592" i="108" s="1"/>
  <c r="B228" i="108"/>
  <c r="E228" i="108" s="1"/>
  <c r="B902" i="108"/>
  <c r="E902" i="108" s="1"/>
  <c r="B624" i="108"/>
  <c r="E624" i="108" s="1"/>
  <c r="B364" i="108"/>
  <c r="E364" i="108" s="1"/>
  <c r="B938" i="108"/>
  <c r="E938" i="108" s="1"/>
  <c r="B399" i="108"/>
  <c r="E399" i="108" s="1"/>
  <c r="B236" i="108"/>
  <c r="E236" i="108" s="1"/>
  <c r="B75" i="108"/>
  <c r="E75" i="108" s="1"/>
  <c r="B74" i="108"/>
  <c r="E74" i="108" s="1"/>
  <c r="B166" i="108"/>
  <c r="E166" i="108" s="1"/>
  <c r="B472" i="108"/>
  <c r="E472" i="108" s="1"/>
  <c r="B181" i="108"/>
  <c r="E181" i="108" s="1"/>
  <c r="B473" i="108"/>
  <c r="E473" i="108" s="1"/>
  <c r="B210" i="108"/>
  <c r="E210" i="108" s="1"/>
  <c r="B795" i="108"/>
  <c r="E795" i="108" s="1"/>
  <c r="B23" i="108"/>
  <c r="E23" i="108" s="1"/>
  <c r="B410" i="108"/>
  <c r="E410" i="108" s="1"/>
  <c r="B445" i="108"/>
  <c r="E445" i="108" s="1"/>
  <c r="B803" i="108"/>
  <c r="E803" i="108" s="1"/>
  <c r="B119" i="108"/>
  <c r="E119" i="108" s="1"/>
  <c r="B52" i="108"/>
  <c r="E52" i="108" s="1"/>
  <c r="B333" i="108"/>
  <c r="E333" i="108" s="1"/>
  <c r="B543" i="108"/>
  <c r="E543" i="108" s="1"/>
  <c r="B225" i="108"/>
  <c r="E225" i="108" s="1"/>
  <c r="B689" i="108"/>
  <c r="E689" i="108" s="1"/>
  <c r="B839" i="108"/>
  <c r="E839" i="108" s="1"/>
  <c r="B921" i="108"/>
  <c r="E921" i="108" s="1"/>
  <c r="B547" i="108"/>
  <c r="E547" i="108" s="1"/>
  <c r="B849" i="108"/>
  <c r="E849" i="108" s="1"/>
  <c r="B705" i="108"/>
  <c r="E705" i="108" s="1"/>
  <c r="B40" i="108"/>
  <c r="E40" i="108" s="1"/>
  <c r="B387" i="108"/>
  <c r="E387" i="108" s="1"/>
  <c r="B487" i="108"/>
  <c r="E487" i="108" s="1"/>
  <c r="B541" i="108"/>
  <c r="E541" i="108" s="1"/>
  <c r="B802" i="108"/>
  <c r="E802" i="108" s="1"/>
  <c r="B446" i="108"/>
  <c r="E446" i="108" s="1"/>
  <c r="B555" i="108"/>
  <c r="E555" i="108" s="1"/>
  <c r="B566" i="108"/>
  <c r="E566" i="108" s="1"/>
  <c r="B325" i="108"/>
  <c r="E325" i="108" s="1"/>
  <c r="B170" i="108"/>
  <c r="E170" i="108" s="1"/>
  <c r="B681" i="108"/>
  <c r="E681" i="108" s="1"/>
  <c r="B861" i="108"/>
  <c r="E861" i="108" s="1"/>
  <c r="B645" i="108"/>
  <c r="E645" i="108" s="1"/>
  <c r="B187" i="108"/>
  <c r="E187" i="108" s="1"/>
  <c r="B545" i="108"/>
  <c r="E545" i="108" s="1"/>
  <c r="B482" i="108"/>
  <c r="E482" i="108" s="1"/>
  <c r="B152" i="108"/>
  <c r="E152" i="108" s="1"/>
  <c r="B330" i="108"/>
  <c r="E330" i="108" s="1"/>
  <c r="B881" i="108"/>
  <c r="E881" i="108" s="1"/>
  <c r="B372" i="108"/>
  <c r="E372" i="108" s="1"/>
  <c r="B54" i="108"/>
  <c r="E54" i="108" s="1"/>
  <c r="B93" i="108"/>
  <c r="E93" i="108" s="1"/>
  <c r="B470" i="108"/>
  <c r="E470" i="108" s="1"/>
  <c r="B783" i="108"/>
  <c r="E783" i="108" s="1"/>
  <c r="B813" i="108"/>
  <c r="E813" i="108" s="1"/>
  <c r="B608" i="108"/>
  <c r="E608" i="108" s="1"/>
  <c r="B242" i="108"/>
  <c r="E242" i="108" s="1"/>
  <c r="B350" i="108"/>
  <c r="E350" i="108" s="1"/>
  <c r="B939" i="108"/>
  <c r="E939" i="108" s="1"/>
  <c r="B127" i="108"/>
  <c r="E127" i="108" s="1"/>
  <c r="B1014" i="108"/>
  <c r="E1014" i="108" s="1"/>
  <c r="B291" i="108"/>
  <c r="E291" i="108" s="1"/>
  <c r="B89" i="108"/>
  <c r="E89" i="108" s="1"/>
  <c r="B503" i="108"/>
  <c r="E503" i="108" s="1"/>
  <c r="B825" i="108"/>
  <c r="E825" i="108" s="1"/>
  <c r="B433" i="108"/>
  <c r="E433" i="108" s="1"/>
  <c r="B712" i="108"/>
  <c r="E712" i="108" s="1"/>
  <c r="B637" i="108"/>
  <c r="E637" i="108" s="1"/>
  <c r="B797" i="108"/>
  <c r="E797" i="108" s="1"/>
  <c r="B305" i="108"/>
  <c r="E305" i="108" s="1"/>
  <c r="B757" i="108"/>
  <c r="E757" i="108" s="1"/>
  <c r="B769" i="108"/>
  <c r="E769" i="108" s="1"/>
  <c r="B185" i="108"/>
  <c r="E185" i="108" s="1"/>
  <c r="B927" i="108"/>
  <c r="E927" i="108" s="1"/>
  <c r="B106" i="108"/>
  <c r="E106" i="108" s="1"/>
  <c r="B182" i="108"/>
  <c r="E182" i="108" s="1"/>
  <c r="B915" i="108"/>
  <c r="E915" i="108" s="1"/>
  <c r="B463" i="108"/>
  <c r="E463" i="108" s="1"/>
  <c r="B64" i="108"/>
  <c r="E64" i="108" s="1"/>
  <c r="B751" i="108"/>
  <c r="E751" i="108" s="1"/>
  <c r="B175" i="108"/>
  <c r="E175" i="108" s="1"/>
  <c r="B338" i="108"/>
  <c r="E338" i="108" s="1"/>
  <c r="B362" i="108"/>
  <c r="E362" i="108" s="1"/>
  <c r="B292" i="108"/>
  <c r="E292" i="108" s="1"/>
  <c r="B790" i="108"/>
  <c r="E790" i="108" s="1"/>
  <c r="B380" i="108"/>
  <c r="E380" i="108" s="1"/>
  <c r="B1003" i="108"/>
  <c r="E1003" i="108" s="1"/>
  <c r="B611" i="108"/>
  <c r="E611" i="108" s="1"/>
  <c r="B35" i="108"/>
  <c r="E35" i="108" s="1"/>
  <c r="B762" i="108"/>
  <c r="E762" i="108" s="1"/>
  <c r="B80" i="108"/>
  <c r="E80" i="108" s="1"/>
  <c r="B355" i="108"/>
  <c r="E355" i="108" s="1"/>
  <c r="B289" i="108"/>
  <c r="E289" i="108" s="1"/>
  <c r="B904" i="108"/>
  <c r="E904" i="108" s="1"/>
  <c r="B45" i="108"/>
  <c r="E45" i="108" s="1"/>
  <c r="B807" i="108"/>
  <c r="E807" i="108" s="1"/>
  <c r="B509" i="108"/>
  <c r="E509" i="108" s="1"/>
  <c r="B172" i="108"/>
  <c r="E172" i="108" s="1"/>
  <c r="B188" i="108"/>
  <c r="E188" i="108" s="1"/>
  <c r="B312" i="108"/>
  <c r="E312" i="108" s="1"/>
  <c r="B443" i="108"/>
  <c r="E443" i="108" s="1"/>
  <c r="B62" i="108"/>
  <c r="E62" i="108" s="1"/>
  <c r="B794" i="108"/>
  <c r="E794" i="108" s="1"/>
  <c r="B28" i="108"/>
  <c r="E28" i="108" s="1"/>
  <c r="B99" i="108"/>
  <c r="E99" i="108" s="1"/>
  <c r="B633" i="108"/>
  <c r="E633" i="108" s="1"/>
  <c r="B203" i="108"/>
  <c r="E203" i="108" s="1"/>
  <c r="B221" i="108"/>
  <c r="E221" i="108" s="1"/>
  <c r="B974" i="108"/>
  <c r="E974" i="108" s="1"/>
  <c r="B353" i="108"/>
  <c r="E353" i="108" s="1"/>
  <c r="B782" i="108"/>
  <c r="E782" i="108" s="1"/>
  <c r="B1000" i="108"/>
  <c r="E1000" i="108" s="1"/>
  <c r="B699" i="108"/>
  <c r="E699" i="108" s="1"/>
  <c r="B850" i="108"/>
  <c r="E850" i="108" s="1"/>
  <c r="B962" i="108"/>
  <c r="E962" i="108" s="1"/>
  <c r="B901" i="108"/>
  <c r="E901" i="108" s="1"/>
  <c r="B707" i="108"/>
  <c r="E707" i="108" s="1"/>
  <c r="B805" i="108"/>
  <c r="E805" i="108" s="1"/>
  <c r="B925" i="108"/>
  <c r="E925" i="108" s="1"/>
  <c r="B589" i="108"/>
  <c r="E589" i="108" s="1"/>
  <c r="B190" i="108"/>
  <c r="E190" i="108" s="1"/>
  <c r="B574" i="108"/>
  <c r="E574" i="108" s="1"/>
  <c r="B44" i="108"/>
  <c r="E44" i="108" s="1"/>
  <c r="B556" i="108"/>
  <c r="E556" i="108" s="1"/>
  <c r="B1009" i="108"/>
  <c r="E1009" i="108" s="1"/>
  <c r="B302" i="108"/>
  <c r="E302" i="108" s="1"/>
  <c r="B631" i="108"/>
  <c r="E631" i="108" s="1"/>
  <c r="B621" i="108"/>
  <c r="E621" i="108" s="1"/>
  <c r="B661" i="108"/>
  <c r="E661" i="108" s="1"/>
  <c r="B108" i="108"/>
  <c r="E108" i="108" s="1"/>
  <c r="B130" i="108"/>
  <c r="E130" i="108" s="1"/>
  <c r="B599" i="108"/>
  <c r="E599" i="108" s="1"/>
  <c r="B212" i="108"/>
  <c r="E212" i="108" s="1"/>
  <c r="B544" i="108"/>
  <c r="E544" i="108" s="1"/>
  <c r="B309" i="108"/>
  <c r="E309" i="108" s="1"/>
  <c r="B397" i="108"/>
  <c r="E397" i="108" s="1"/>
  <c r="B396" i="108"/>
  <c r="E396" i="108" s="1"/>
  <c r="B507" i="108"/>
  <c r="E507" i="108" s="1"/>
  <c r="B79" i="108"/>
  <c r="E79" i="108" s="1"/>
  <c r="B436" i="108"/>
  <c r="E436" i="108" s="1"/>
  <c r="B691" i="108"/>
  <c r="E691" i="108" s="1"/>
  <c r="B104" i="108"/>
  <c r="E104" i="108" s="1"/>
  <c r="B964" i="108"/>
  <c r="E964" i="108" s="1"/>
  <c r="B204" i="108"/>
  <c r="E204" i="108" s="1"/>
  <c r="B984" i="108"/>
  <c r="E984" i="108" s="1"/>
  <c r="B219" i="108"/>
  <c r="E219" i="108" s="1"/>
  <c r="B46" i="108"/>
  <c r="E46" i="108" s="1"/>
  <c r="B853" i="108"/>
  <c r="E853" i="108" s="1"/>
  <c r="B91" i="108"/>
  <c r="E91" i="108" s="1"/>
  <c r="B570" i="108"/>
  <c r="E570" i="108" s="1"/>
  <c r="B195" i="108"/>
  <c r="E195" i="108" s="1"/>
  <c r="B597" i="108"/>
  <c r="E597" i="108" s="1"/>
  <c r="B413" i="108"/>
  <c r="E413" i="108" s="1"/>
  <c r="B722" i="108"/>
  <c r="E722" i="108" s="1"/>
  <c r="B679" i="108"/>
  <c r="E679" i="108" s="1"/>
  <c r="B796" i="108"/>
  <c r="E796" i="108" s="1"/>
  <c r="B199" i="108"/>
  <c r="E199" i="108" s="1"/>
  <c r="B996" i="108"/>
  <c r="E996" i="108" s="1"/>
  <c r="B334" i="108"/>
  <c r="E334" i="108" s="1"/>
  <c r="B764" i="108"/>
  <c r="E764" i="108" s="1"/>
  <c r="B858" i="108"/>
  <c r="E858" i="108" s="1"/>
  <c r="B729" i="108"/>
  <c r="E729" i="108" s="1"/>
  <c r="B496" i="108"/>
  <c r="E496" i="108" s="1"/>
  <c r="B318" i="108"/>
  <c r="E318" i="108" s="1"/>
  <c r="B569" i="108"/>
  <c r="E569" i="108" s="1"/>
  <c r="B272" i="108"/>
  <c r="E272" i="108" s="1"/>
  <c r="B920" i="108"/>
  <c r="E920" i="108" s="1"/>
  <c r="B550" i="108"/>
  <c r="E550" i="108" s="1"/>
  <c r="B933" i="108"/>
  <c r="E933" i="108" s="1"/>
  <c r="B754" i="108"/>
  <c r="E754" i="108" s="1"/>
  <c r="B663" i="108"/>
  <c r="E663" i="108" s="1"/>
  <c r="B746" i="108"/>
  <c r="E746" i="108" s="1"/>
  <c r="B842" i="108"/>
  <c r="E842" i="108" s="1"/>
  <c r="B772" i="108"/>
  <c r="E772" i="108" s="1"/>
  <c r="B815" i="108"/>
  <c r="E815" i="108" s="1"/>
  <c r="B775" i="108"/>
  <c r="E775" i="108" s="1"/>
  <c r="B328" i="108"/>
  <c r="E328" i="108" s="1"/>
  <c r="B768" i="108"/>
  <c r="E768" i="108" s="1"/>
  <c r="B209" i="108"/>
  <c r="E209" i="108" s="1"/>
  <c r="B149" i="108"/>
  <c r="E149" i="108" s="1"/>
  <c r="B981" i="108"/>
  <c r="E981" i="108" s="1"/>
  <c r="B368" i="108"/>
  <c r="E368" i="108" s="1"/>
  <c r="B268" i="108"/>
  <c r="E268" i="108" s="1"/>
  <c r="B239" i="108"/>
  <c r="E239" i="108" s="1"/>
  <c r="B591" i="108"/>
  <c r="E591" i="108" s="1"/>
  <c r="B951" i="108"/>
  <c r="E951" i="108" s="1"/>
  <c r="B157" i="108"/>
  <c r="E157" i="108" s="1"/>
  <c r="B67" i="108"/>
  <c r="E67" i="108" s="1"/>
  <c r="B852" i="108"/>
  <c r="E852" i="108" s="1"/>
  <c r="B299" i="108"/>
  <c r="E299" i="108" s="1"/>
  <c r="B243" i="108"/>
  <c r="E243" i="108" s="1"/>
  <c r="B940" i="108"/>
  <c r="E940" i="108" s="1"/>
  <c r="B349" i="108"/>
  <c r="E349" i="108" s="1"/>
  <c r="B523" i="108"/>
  <c r="E523" i="108" s="1"/>
  <c r="B432" i="108"/>
  <c r="E432" i="108" s="1"/>
  <c r="B286" i="108"/>
  <c r="E286" i="108" s="1"/>
  <c r="B948" i="108"/>
  <c r="E948" i="108" s="1"/>
  <c r="B494" i="108"/>
  <c r="E494" i="108" s="1"/>
  <c r="B629" i="108"/>
  <c r="E629" i="108" s="1"/>
  <c r="B988" i="108"/>
  <c r="E988" i="108" s="1"/>
  <c r="B251" i="108"/>
  <c r="E251" i="108" s="1"/>
  <c r="B161" i="108"/>
  <c r="E161" i="108" s="1"/>
  <c r="B428" i="108"/>
  <c r="E428" i="108" s="1"/>
  <c r="B34" i="108"/>
  <c r="E34" i="108" s="1"/>
  <c r="B156" i="108"/>
  <c r="E156" i="108" s="1"/>
  <c r="B788" i="108"/>
  <c r="E788" i="108" s="1"/>
  <c r="B332" i="108"/>
  <c r="E332" i="108" s="1"/>
  <c r="B753" i="108"/>
  <c r="E753" i="108" s="1"/>
  <c r="B587" i="108"/>
  <c r="E587" i="108" s="1"/>
  <c r="B145" i="108"/>
  <c r="E145" i="108" s="1"/>
  <c r="B408" i="108"/>
  <c r="E408" i="108" s="1"/>
  <c r="B654" i="108"/>
  <c r="E654" i="108" s="1"/>
  <c r="B670" i="108"/>
  <c r="E670" i="108" s="1"/>
  <c r="B386" i="108"/>
  <c r="E386" i="108" s="1"/>
  <c r="B872" i="108"/>
  <c r="E872" i="108" s="1"/>
  <c r="B745" i="108"/>
  <c r="E745" i="108" s="1"/>
  <c r="B264" i="108"/>
  <c r="E264" i="108" s="1"/>
  <c r="B718" i="108"/>
  <c r="E718" i="108" s="1"/>
  <c r="B995" i="108"/>
  <c r="E995" i="108" s="1"/>
  <c r="B840" i="108"/>
  <c r="E840" i="108" s="1"/>
  <c r="B123" i="108"/>
  <c r="E123" i="108" s="1"/>
  <c r="B811" i="108"/>
  <c r="E811" i="108" s="1"/>
  <c r="B799" i="108"/>
  <c r="E799" i="108" s="1"/>
  <c r="B90" i="108"/>
  <c r="E90" i="108" s="1"/>
  <c r="B32" i="108"/>
  <c r="E32" i="108" s="1"/>
  <c r="B959" i="108"/>
  <c r="E959" i="108" s="1"/>
  <c r="B110" i="108"/>
  <c r="E110" i="108" s="1"/>
  <c r="B252" i="108"/>
  <c r="E252" i="108" s="1"/>
  <c r="B552" i="108"/>
  <c r="E552" i="108" s="1"/>
  <c r="B406" i="108"/>
  <c r="E406" i="108" s="1"/>
  <c r="B582" i="108"/>
  <c r="E582" i="108" s="1"/>
  <c r="B316" i="108"/>
  <c r="E316" i="108" s="1"/>
  <c r="B810" i="108"/>
  <c r="E810" i="108" s="1"/>
  <c r="B814" i="108"/>
  <c r="E814" i="108" s="1"/>
  <c r="B109" i="108"/>
  <c r="E109" i="108" s="1"/>
  <c r="B198" i="108"/>
  <c r="E198" i="108" s="1"/>
  <c r="B998" i="108"/>
  <c r="E998" i="108" s="1"/>
  <c r="B644" i="108"/>
  <c r="E644" i="108" s="1"/>
  <c r="B100" i="108"/>
  <c r="E100" i="108" s="1"/>
  <c r="B916" i="108"/>
  <c r="E916" i="108" s="1"/>
  <c r="B1001" i="108"/>
  <c r="E1001" i="108" s="1"/>
  <c r="B345" i="108"/>
  <c r="E345" i="108" s="1"/>
  <c r="B738" i="108"/>
  <c r="E738" i="108" s="1"/>
  <c r="B671" i="108"/>
  <c r="E671" i="108" s="1"/>
  <c r="B479" i="108"/>
  <c r="E479" i="108" s="1"/>
  <c r="B460" i="108"/>
  <c r="E460" i="108" s="1"/>
  <c r="B159" i="108"/>
  <c r="E159" i="108" s="1"/>
  <c r="B222" i="108"/>
  <c r="E222" i="108" s="1"/>
  <c r="B336" i="108"/>
  <c r="E336" i="108" s="1"/>
  <c r="B958" i="108"/>
  <c r="E958" i="108" s="1"/>
  <c r="B771" i="108"/>
  <c r="E771" i="108" s="1"/>
  <c r="B493" i="108"/>
  <c r="E493" i="108" s="1"/>
  <c r="B112" i="108"/>
  <c r="E112" i="108" s="1"/>
  <c r="B465" i="108"/>
  <c r="E465" i="108" s="1"/>
  <c r="B111" i="108"/>
  <c r="E111" i="108" s="1"/>
  <c r="B947" i="108"/>
  <c r="E947" i="108" s="1"/>
  <c r="B486" i="108"/>
  <c r="E486" i="108" s="1"/>
  <c r="B505" i="108"/>
  <c r="E505" i="108" s="1"/>
  <c r="B459" i="108"/>
  <c r="E459" i="108" s="1"/>
  <c r="B469" i="108"/>
  <c r="E469" i="108" s="1"/>
  <c r="B69" i="108"/>
  <c r="E69" i="108" s="1"/>
  <c r="B750" i="108"/>
  <c r="E750" i="108" s="1"/>
  <c r="B183" i="108"/>
  <c r="E183" i="108" s="1"/>
  <c r="B256" i="108"/>
  <c r="E256" i="108" s="1"/>
  <c r="B837" i="108"/>
  <c r="E837" i="108" s="1"/>
  <c r="B215" i="108"/>
  <c r="E215" i="108" s="1"/>
  <c r="B780" i="108"/>
  <c r="E780" i="108" s="1"/>
  <c r="B812" i="108"/>
  <c r="E812" i="108" s="1"/>
  <c r="B820" i="108"/>
  <c r="E820" i="108" s="1"/>
  <c r="B447" i="108"/>
  <c r="E447" i="108" s="1"/>
  <c r="B930" i="108"/>
  <c r="E930" i="108" s="1"/>
  <c r="B319" i="108"/>
  <c r="E319" i="108" s="1"/>
  <c r="B524" i="108"/>
  <c r="E524" i="108" s="1"/>
  <c r="B113" i="108"/>
  <c r="E113" i="108" s="1"/>
  <c r="B297" i="108"/>
  <c r="E297" i="108" s="1"/>
  <c r="B554" i="108"/>
  <c r="E554" i="108" s="1"/>
  <c r="B572" i="108"/>
  <c r="E572" i="108" s="1"/>
  <c r="B703" i="108"/>
  <c r="E703" i="108" s="1"/>
  <c r="B180" i="108"/>
  <c r="E180" i="108" s="1"/>
  <c r="B511" i="108"/>
  <c r="E511" i="108" s="1"/>
  <c r="B424" i="108"/>
  <c r="E424" i="108" s="1"/>
  <c r="B98" i="108"/>
  <c r="E98" i="108" s="1"/>
  <c r="B789" i="108"/>
  <c r="E789" i="108" s="1"/>
  <c r="B516" i="108"/>
  <c r="E516" i="108" s="1"/>
  <c r="B84" i="108"/>
  <c r="E84" i="108" s="1"/>
  <c r="B672" i="108"/>
  <c r="E672" i="108" s="1"/>
  <c r="B326" i="108"/>
  <c r="E326" i="108" s="1"/>
  <c r="B504" i="108"/>
  <c r="E504" i="108" s="1"/>
  <c r="B306" i="108"/>
  <c r="E306" i="108" s="1"/>
  <c r="B363" i="108"/>
  <c r="E363" i="108" s="1"/>
  <c r="B506" i="108"/>
  <c r="E506" i="108" s="1"/>
  <c r="B72" i="108"/>
  <c r="E72" i="108" s="1"/>
  <c r="B972" i="108"/>
  <c r="E972" i="108" s="1"/>
  <c r="B414" i="108"/>
  <c r="E414" i="108" s="1"/>
  <c r="B841" i="108"/>
  <c r="E841" i="108" s="1"/>
  <c r="B724" i="108"/>
  <c r="E724" i="108" s="1"/>
  <c r="B194" i="108"/>
  <c r="E194" i="108" s="1"/>
  <c r="B339" i="108"/>
  <c r="E339" i="108" s="1"/>
  <c r="B695" i="108"/>
  <c r="E695" i="108" s="1"/>
  <c r="B584" i="108"/>
  <c r="E584" i="108" s="1"/>
  <c r="B133" i="108"/>
  <c r="E133" i="108" s="1"/>
  <c r="B659" i="108"/>
  <c r="E659" i="108" s="1"/>
  <c r="B540" i="108"/>
  <c r="E540" i="108" s="1"/>
  <c r="B533" i="108"/>
  <c r="E533" i="108" s="1"/>
  <c r="B193" i="108"/>
  <c r="E193" i="108" s="1"/>
  <c r="B1017" i="108"/>
  <c r="E1017" i="108" s="1"/>
  <c r="B965" i="108"/>
  <c r="E965" i="108" s="1"/>
  <c r="B713" i="108"/>
  <c r="E713" i="108" s="1"/>
  <c r="B911" i="108"/>
  <c r="E911" i="108" s="1"/>
  <c r="B418" i="108"/>
  <c r="E418" i="108" s="1"/>
  <c r="B315" i="108"/>
  <c r="E315" i="108" s="1"/>
  <c r="B694" i="108"/>
  <c r="E694" i="108" s="1"/>
  <c r="B656" i="108"/>
  <c r="E656" i="108" s="1"/>
  <c r="B685" i="108"/>
  <c r="E685" i="108" s="1"/>
  <c r="B816" i="108"/>
  <c r="E816" i="108" s="1"/>
  <c r="B709" i="108"/>
  <c r="E709" i="108" s="1"/>
  <c r="B846" i="108"/>
  <c r="E846" i="108" s="1"/>
  <c r="B859" i="108"/>
  <c r="E859" i="108" s="1"/>
  <c r="B593" i="108"/>
  <c r="E593" i="108" s="1"/>
  <c r="B296" i="108"/>
  <c r="E296" i="108" s="1"/>
  <c r="B117" i="108"/>
  <c r="E117" i="108" s="1"/>
  <c r="B122" i="108"/>
  <c r="E122" i="108" s="1"/>
  <c r="B383" i="108"/>
  <c r="E383" i="108" s="1"/>
  <c r="B649" i="108"/>
  <c r="E649" i="108" s="1"/>
  <c r="B176" i="108"/>
  <c r="E176" i="108" s="1"/>
  <c r="B784" i="108"/>
  <c r="E784" i="108" s="1"/>
  <c r="B29" i="108"/>
  <c r="E29" i="108" s="1"/>
  <c r="B997" i="108"/>
  <c r="E997" i="108" s="1"/>
  <c r="B710" i="108"/>
  <c r="E710" i="108" s="1"/>
  <c r="B706" i="108"/>
  <c r="E706" i="108" s="1"/>
  <c r="B957" i="108"/>
  <c r="E957" i="108" s="1"/>
  <c r="B401" i="108"/>
  <c r="E401" i="108" s="1"/>
  <c r="B398" i="108"/>
  <c r="E398" i="108" s="1"/>
  <c r="B880" i="108"/>
  <c r="E880" i="108" s="1"/>
  <c r="B752" i="108"/>
  <c r="E752" i="108" s="1"/>
  <c r="B147" i="108"/>
  <c r="E147" i="108" s="1"/>
  <c r="B1002" i="108"/>
  <c r="E1002" i="108" s="1"/>
  <c r="B308" i="108"/>
  <c r="E308" i="108" s="1"/>
  <c r="B275" i="108"/>
  <c r="E275" i="108" s="1"/>
  <c r="B220" i="108"/>
  <c r="E220" i="108" s="1"/>
  <c r="B520" i="108"/>
  <c r="E520" i="108" s="1"/>
  <c r="B983" i="108"/>
  <c r="E983" i="108" s="1"/>
  <c r="B474" i="108"/>
  <c r="E474" i="108" s="1"/>
  <c r="B748" i="108"/>
  <c r="E748" i="108" s="1"/>
  <c r="B736" i="108"/>
  <c r="E736" i="108" s="1"/>
  <c r="B557" i="108"/>
  <c r="E557" i="108" s="1"/>
  <c r="B360" i="108"/>
  <c r="E360" i="108" s="1"/>
  <c r="B623" i="108"/>
  <c r="E623" i="108" s="1"/>
  <c r="B36" i="108"/>
  <c r="E36" i="108" s="1"/>
  <c r="B953" i="108"/>
  <c r="E953" i="108" s="1"/>
  <c r="B944" i="108"/>
  <c r="E944" i="108" s="1"/>
  <c r="B430" i="108"/>
  <c r="E430" i="108" s="1"/>
  <c r="B178" i="108"/>
  <c r="E178" i="108" s="1"/>
  <c r="B749" i="108"/>
  <c r="E749" i="108" s="1"/>
  <c r="B700" i="108"/>
  <c r="E700" i="108" s="1"/>
  <c r="B393" i="108"/>
  <c r="E393" i="108" s="1"/>
  <c r="B381" i="108"/>
  <c r="E381" i="108" s="1"/>
  <c r="B897" i="108"/>
  <c r="E897" i="108" s="1"/>
  <c r="B563" i="108"/>
  <c r="E563" i="108" s="1"/>
  <c r="B86" i="108"/>
  <c r="E86" i="108" s="1"/>
  <c r="B684" i="108"/>
  <c r="E684" i="108" s="1"/>
  <c r="B945" i="108"/>
  <c r="E945" i="108" s="1"/>
  <c r="B831" i="108"/>
  <c r="E831" i="108" s="1"/>
  <c r="B817" i="108"/>
  <c r="E817" i="108" s="1"/>
  <c r="B375" i="108"/>
  <c r="E375" i="108" s="1"/>
  <c r="B564" i="108"/>
  <c r="E564" i="108" s="1"/>
  <c r="B395" i="108"/>
  <c r="E395" i="108" s="1"/>
  <c r="B1008" i="108"/>
  <c r="E1008" i="108" s="1"/>
  <c r="B402" i="108"/>
  <c r="E402" i="108" s="1"/>
  <c r="B169" i="108"/>
  <c r="E169" i="108" s="1"/>
  <c r="B651" i="108"/>
  <c r="E651" i="108" s="1"/>
  <c r="B437" i="108"/>
  <c r="E437" i="108" s="1"/>
  <c r="B862" i="108"/>
  <c r="E862" i="108" s="1"/>
  <c r="B652" i="108"/>
  <c r="E652" i="108" s="1"/>
  <c r="B601" i="108"/>
  <c r="E601" i="108" s="1"/>
  <c r="B1006" i="108"/>
  <c r="E1006" i="108" s="1"/>
  <c r="B567" i="108"/>
  <c r="E567" i="108" s="1"/>
  <c r="B128" i="108"/>
  <c r="E128" i="108" s="1"/>
  <c r="B740" i="108"/>
  <c r="E740" i="108" s="1"/>
  <c r="B931" i="108"/>
  <c r="E931" i="108" s="1"/>
  <c r="B918" i="108"/>
  <c r="E918" i="108" s="1"/>
  <c r="B889" i="108"/>
  <c r="E889" i="108" s="1"/>
  <c r="B686" i="108"/>
  <c r="E686" i="108" s="1"/>
  <c r="B304" i="108"/>
  <c r="E304" i="108" s="1"/>
  <c r="B177" i="108"/>
  <c r="E177" i="108" s="1"/>
  <c r="B276" i="108"/>
  <c r="E276" i="108" s="1"/>
  <c r="B615" i="108"/>
  <c r="E615" i="108" s="1"/>
  <c r="B1010" i="108"/>
  <c r="E1010" i="108" s="1"/>
  <c r="B407" i="108"/>
  <c r="E407" i="108" s="1"/>
  <c r="B721" i="108"/>
  <c r="E721" i="108" s="1"/>
  <c r="B747" i="108"/>
  <c r="E747" i="108" s="1"/>
  <c r="B115" i="108"/>
  <c r="E115" i="108" s="1"/>
  <c r="B450" i="108"/>
  <c r="E450" i="108" s="1"/>
  <c r="B422" i="108"/>
  <c r="E422" i="108" s="1"/>
  <c r="B266" i="108"/>
  <c r="E266" i="108" s="1"/>
  <c r="B973" i="108"/>
  <c r="E973" i="108" s="1"/>
  <c r="B462" i="108"/>
  <c r="E462" i="108" s="1"/>
  <c r="B909" i="108"/>
  <c r="E909" i="108" s="1"/>
  <c r="B448" i="108"/>
  <c r="E448" i="108" s="1"/>
  <c r="B125" i="108"/>
  <c r="E125" i="108" s="1"/>
  <c r="B787" i="108"/>
  <c r="E787" i="108" s="1"/>
  <c r="B680" i="108"/>
  <c r="E680" i="108" s="1"/>
  <c r="B135" i="108"/>
  <c r="E135" i="108" s="1"/>
  <c r="B634" i="108"/>
  <c r="E634" i="108" s="1"/>
  <c r="B495" i="108"/>
  <c r="E495" i="108" s="1"/>
  <c r="B558" i="108"/>
  <c r="E558" i="108" s="1"/>
  <c r="B658" i="108"/>
  <c r="E658" i="108" s="1"/>
  <c r="B301" i="108"/>
  <c r="E301" i="108" s="1"/>
  <c r="B653" i="108"/>
  <c r="E653" i="108" s="1"/>
  <c r="B366" i="108"/>
  <c r="E366" i="108" s="1"/>
  <c r="B143" i="108"/>
  <c r="E143" i="108" s="1"/>
  <c r="B690" i="108"/>
  <c r="E690" i="108" s="1"/>
  <c r="B335" i="108"/>
  <c r="E335" i="108" s="1"/>
  <c r="B379" i="108"/>
  <c r="E379" i="108" s="1"/>
  <c r="B226" i="108"/>
  <c r="E226" i="108" s="1"/>
  <c r="B144" i="108"/>
  <c r="E144" i="108" s="1"/>
  <c r="B499" i="108"/>
  <c r="E499" i="108" s="1"/>
  <c r="B532" i="108"/>
  <c r="E532" i="108" s="1"/>
  <c r="B664" i="108"/>
  <c r="E664" i="108" s="1"/>
  <c r="B244" i="108"/>
  <c r="E244" i="108" s="1"/>
  <c r="B949" i="108"/>
  <c r="E949" i="108" s="1"/>
  <c r="B216" i="108"/>
  <c r="E216" i="108" s="1"/>
  <c r="B647" i="108"/>
  <c r="E647" i="108" s="1"/>
  <c r="B941" i="108"/>
  <c r="E941" i="108" s="1"/>
  <c r="B874" i="108"/>
  <c r="E874" i="108" s="1"/>
  <c r="B548" i="108"/>
  <c r="E548" i="108" s="1"/>
  <c r="B711" i="108"/>
  <c r="E711" i="108" s="1"/>
  <c r="B580" i="108"/>
  <c r="E580" i="108" s="1"/>
  <c r="B792" i="108"/>
  <c r="E792" i="108" s="1"/>
  <c r="B282" i="108"/>
  <c r="E282" i="108" s="1"/>
  <c r="B708" i="108"/>
  <c r="E708" i="108" s="1"/>
  <c r="B793" i="108"/>
  <c r="E793" i="108" s="1"/>
  <c r="B989" i="108"/>
  <c r="E989" i="108" s="1"/>
  <c r="B609" i="108"/>
  <c r="E609" i="108" s="1"/>
  <c r="B735" i="108"/>
  <c r="E735" i="108" s="1"/>
  <c r="B179" i="108"/>
  <c r="E179" i="108" s="1"/>
  <c r="B598" i="108"/>
  <c r="E598" i="108" s="1"/>
  <c r="B227" i="108"/>
  <c r="E227" i="108" s="1"/>
  <c r="B791" i="108"/>
  <c r="E791" i="108" s="1"/>
  <c r="B1022" i="108"/>
  <c r="E1022" i="108" s="1"/>
  <c r="B126" i="108"/>
  <c r="E126" i="108" s="1"/>
  <c r="B553" i="108"/>
  <c r="E553" i="108" s="1"/>
  <c r="B483" i="108"/>
  <c r="E483" i="108" s="1"/>
  <c r="B741" i="108"/>
  <c r="E741" i="108" s="1"/>
  <c r="B844" i="108"/>
  <c r="E844" i="108" s="1"/>
  <c r="B285" i="108"/>
  <c r="E285" i="108" s="1"/>
  <c r="B237" i="108"/>
  <c r="E237" i="108" s="1"/>
  <c r="B971" i="108"/>
  <c r="E971" i="108" s="1"/>
  <c r="B698" i="108"/>
  <c r="E698" i="108" s="1"/>
  <c r="B717" i="108"/>
  <c r="E717" i="108" s="1"/>
  <c r="B562" i="108"/>
  <c r="E562" i="108" s="1"/>
  <c r="B975" i="108"/>
  <c r="E975" i="108" s="1"/>
  <c r="B480" i="108"/>
  <c r="E480" i="108" s="1"/>
  <c r="B151" i="108"/>
  <c r="E151" i="108" s="1"/>
  <c r="B162" i="108"/>
  <c r="E162" i="108" s="1"/>
  <c r="B1019" i="108"/>
  <c r="E1019" i="108" s="1"/>
  <c r="B683" i="108"/>
  <c r="E683" i="108" s="1"/>
  <c r="B594" i="108"/>
  <c r="E594" i="108" s="1"/>
  <c r="B245" i="108"/>
  <c r="E245" i="108" s="1"/>
  <c r="B129" i="108"/>
  <c r="E129" i="108" s="1"/>
  <c r="B87" i="108"/>
  <c r="E87" i="108" s="1"/>
  <c r="B675" i="108"/>
  <c r="E675" i="108" s="1"/>
  <c r="B224" i="108"/>
  <c r="E224" i="108" s="1"/>
  <c r="B56" i="108"/>
  <c r="E56" i="108" s="1"/>
  <c r="B267" i="108"/>
  <c r="E267" i="108" s="1"/>
  <c r="B767" i="108"/>
  <c r="E767" i="108" s="1"/>
  <c r="B766" i="108"/>
  <c r="E766" i="108" s="1"/>
  <c r="B295" i="108"/>
  <c r="E295" i="108" s="1"/>
  <c r="B855" i="108"/>
  <c r="E855" i="108" s="1"/>
  <c r="B165" i="108"/>
  <c r="E165" i="108" s="1"/>
  <c r="B154" i="108"/>
  <c r="E154" i="108" s="1"/>
  <c r="B394" i="108"/>
  <c r="E394" i="108" s="1"/>
  <c r="B585" i="108"/>
  <c r="E585" i="108" s="1"/>
  <c r="B655" i="108"/>
  <c r="E655" i="108" s="1"/>
  <c r="B73" i="108"/>
  <c r="E73" i="108" s="1"/>
  <c r="B273" i="108"/>
  <c r="E273" i="108" s="1"/>
  <c r="B625" i="108"/>
  <c r="E625" i="108" s="1"/>
  <c r="B283" i="108"/>
  <c r="E283" i="108" s="1"/>
  <c r="B1007" i="108"/>
  <c r="E1007" i="108" s="1"/>
  <c r="B628" i="108"/>
  <c r="E628" i="108" s="1"/>
  <c r="B630" i="108"/>
  <c r="E630" i="108" s="1"/>
  <c r="B646" i="108"/>
  <c r="E646" i="108" s="1"/>
  <c r="B197" i="108"/>
  <c r="E197" i="108" s="1"/>
  <c r="B586" i="108"/>
  <c r="E586" i="108" s="1"/>
  <c r="B542" i="108"/>
  <c r="E542" i="108" s="1"/>
  <c r="B392" i="108"/>
  <c r="E392" i="108" s="1"/>
  <c r="B249" i="108"/>
  <c r="E249" i="108" s="1"/>
  <c r="B527" i="108"/>
  <c r="E527" i="108" s="1"/>
  <c r="B491" i="108"/>
  <c r="E491" i="108" s="1"/>
  <c r="B808" i="108"/>
  <c r="E808" i="108" s="1"/>
  <c r="B206" i="108"/>
  <c r="E206" i="108" s="1"/>
  <c r="B287" i="108"/>
  <c r="E287" i="108" s="1"/>
  <c r="B632" i="108"/>
  <c r="E632" i="108" s="1"/>
  <c r="B356" i="108"/>
  <c r="E356" i="108" s="1"/>
  <c r="B619" i="108"/>
  <c r="E619" i="108" s="1"/>
  <c r="B70" i="108"/>
  <c r="E70" i="108" s="1"/>
  <c r="B559" i="108"/>
  <c r="E559" i="108" s="1"/>
  <c r="B76" i="108"/>
  <c r="E76" i="108" s="1"/>
  <c r="B423" i="108"/>
  <c r="E423" i="108" s="1"/>
  <c r="B431" i="108"/>
  <c r="E431" i="108" s="1"/>
  <c r="B851" i="108"/>
  <c r="E851" i="108" s="1"/>
  <c r="B714" i="108"/>
  <c r="E714" i="108" s="1"/>
  <c r="B538" i="108"/>
  <c r="E538" i="108" s="1"/>
  <c r="B208" i="108"/>
  <c r="E208" i="108" s="1"/>
  <c r="B218" i="108"/>
  <c r="E218" i="108" s="1"/>
  <c r="B870" i="108"/>
  <c r="E870" i="108" s="1"/>
  <c r="B581" i="108"/>
  <c r="E581" i="108" s="1"/>
  <c r="B241" i="108"/>
  <c r="E241" i="108" s="1"/>
  <c r="B382" i="108"/>
  <c r="E382" i="108" s="1"/>
  <c r="B688" i="108"/>
  <c r="E688" i="108" s="1"/>
  <c r="B641" i="108"/>
  <c r="E641" i="108" s="1"/>
  <c r="B903" i="108"/>
  <c r="E903" i="108" s="1"/>
  <c r="B259" i="108"/>
  <c r="E259" i="108" s="1"/>
  <c r="B620" i="108"/>
  <c r="E620" i="108" s="1"/>
  <c r="B288" i="108"/>
  <c r="E288" i="108" s="1"/>
  <c r="B103" i="108"/>
  <c r="E103" i="108" s="1"/>
  <c r="B258" i="108"/>
  <c r="E258" i="108" s="1"/>
  <c r="B116" i="108"/>
  <c r="E116" i="108" s="1"/>
  <c r="B517" i="108"/>
  <c r="E517" i="108" s="1"/>
  <c r="B612" i="108"/>
  <c r="E612" i="108" s="1"/>
  <c r="B934" i="108"/>
  <c r="E934" i="108" s="1"/>
  <c r="B231" i="108"/>
  <c r="E231" i="108" s="1"/>
  <c r="B521" i="108"/>
  <c r="E521" i="108" s="1"/>
  <c r="B605" i="108"/>
  <c r="E605" i="108" s="1"/>
  <c r="B26" i="108"/>
  <c r="B191" i="108"/>
  <c r="E191" i="108" s="1"/>
  <c r="B284" i="108"/>
  <c r="E284" i="108" s="1"/>
  <c r="B173" i="108"/>
  <c r="E173" i="108" s="1"/>
  <c r="B371" i="108"/>
  <c r="E371" i="108" s="1"/>
  <c r="B373" i="108"/>
  <c r="E373" i="108" s="1"/>
  <c r="B214" i="108"/>
  <c r="E214" i="108" s="1"/>
  <c r="B922" i="108"/>
  <c r="E922" i="108" s="1"/>
  <c r="B142" i="108"/>
  <c r="E142" i="108" s="1"/>
  <c r="B876" i="108"/>
  <c r="E876" i="108" s="1"/>
  <c r="B271" i="108"/>
  <c r="E271" i="108" s="1"/>
  <c r="B405" i="108"/>
  <c r="E405" i="108" s="1"/>
  <c r="B85" i="108"/>
  <c r="E85" i="108" s="1"/>
  <c r="B980" i="108"/>
  <c r="E980" i="108" s="1"/>
  <c r="B238" i="108"/>
  <c r="E238" i="108" s="1"/>
  <c r="B800" i="108"/>
  <c r="E800" i="108" s="1"/>
  <c r="B217" i="108"/>
  <c r="E217" i="108" s="1"/>
  <c r="B514" i="108"/>
  <c r="E514" i="108" s="1"/>
  <c r="B357" i="108"/>
  <c r="E357" i="108" s="1"/>
  <c r="B906" i="108"/>
  <c r="E906" i="108" s="1"/>
  <c r="B344" i="108"/>
  <c r="E344" i="108" s="1"/>
  <c r="B438" i="108"/>
  <c r="E438" i="108" s="1"/>
  <c r="B883" i="108"/>
  <c r="E883" i="108" s="1"/>
  <c r="B233" i="108"/>
  <c r="E233" i="108" s="1"/>
  <c r="B891" i="108"/>
  <c r="E891" i="108" s="1"/>
  <c r="B167" i="108"/>
  <c r="E167" i="108" s="1"/>
  <c r="B1004" i="108"/>
  <c r="E1004" i="108" s="1"/>
  <c r="B732" i="108"/>
  <c r="E732" i="108" s="1"/>
  <c r="B905" i="108"/>
  <c r="E905" i="108" s="1"/>
  <c r="B416" i="108"/>
  <c r="E416" i="108" s="1"/>
  <c r="B868" i="108"/>
  <c r="E868" i="108" s="1"/>
  <c r="B687" i="108"/>
  <c r="E687" i="108" s="1"/>
  <c r="B374" i="108"/>
  <c r="E374" i="108" s="1"/>
  <c r="B576" i="108"/>
  <c r="E576" i="108" s="1"/>
  <c r="B577" i="108"/>
  <c r="E577" i="108" s="1"/>
  <c r="B701" i="108"/>
  <c r="E701" i="108" s="1"/>
  <c r="B322" i="108"/>
  <c r="E322" i="108" s="1"/>
  <c r="B1012" i="108"/>
  <c r="E1012" i="108" s="1"/>
  <c r="B192" i="108"/>
  <c r="E192" i="108" s="1"/>
  <c r="B323" i="108"/>
  <c r="E323" i="108" s="1"/>
  <c r="B168" i="108"/>
  <c r="E168" i="108" s="1"/>
  <c r="B667" i="108"/>
  <c r="E667" i="108" s="1"/>
  <c r="B415" i="108"/>
  <c r="E415" i="108" s="1"/>
  <c r="B488" i="108"/>
  <c r="E488" i="108" s="1"/>
  <c r="B50" i="108"/>
  <c r="B913" i="108"/>
  <c r="E913" i="108" s="1"/>
  <c r="B389" i="108"/>
  <c r="E389" i="108" s="1"/>
  <c r="B756" i="108"/>
  <c r="E756" i="108" s="1"/>
  <c r="B160" i="108"/>
  <c r="E160" i="108" s="1"/>
  <c r="B551" i="108"/>
  <c r="E551" i="108" s="1"/>
  <c r="B150" i="108"/>
  <c r="E150" i="108" s="1"/>
  <c r="B105" i="108"/>
  <c r="E105" i="108" s="1"/>
  <c r="B347" i="108"/>
  <c r="E347" i="108" s="1"/>
  <c r="B132" i="108"/>
  <c r="E132" i="108" s="1"/>
  <c r="B843" i="108"/>
  <c r="E843" i="108" s="1"/>
  <c r="B274" i="108"/>
  <c r="E274" i="108" s="1"/>
  <c r="B512" i="108"/>
  <c r="E512" i="108" s="1"/>
  <c r="B610" i="108"/>
  <c r="E610" i="108" s="1"/>
  <c r="B525" i="108"/>
  <c r="E525" i="108" s="1"/>
  <c r="B464" i="108"/>
  <c r="E464" i="108" s="1"/>
  <c r="B895" i="108"/>
  <c r="E895" i="108" s="1"/>
  <c r="B186" i="108"/>
  <c r="E186" i="108" s="1"/>
  <c r="B184" i="108"/>
  <c r="E184" i="108" s="1"/>
  <c r="B340" i="108"/>
  <c r="E340" i="108" s="1"/>
  <c r="B277" i="108"/>
  <c r="E277" i="108" s="1"/>
  <c r="B148" i="108"/>
  <c r="E148" i="108" s="1"/>
  <c r="B986" i="108"/>
  <c r="E986" i="108" s="1"/>
  <c r="B990" i="108"/>
  <c r="E990" i="108" s="1"/>
  <c r="B452" i="108"/>
  <c r="E452" i="108" s="1"/>
  <c r="B223" i="108"/>
  <c r="E223" i="108" s="1"/>
  <c r="B662" i="108"/>
  <c r="E662" i="108" s="1"/>
  <c r="B801" i="108"/>
  <c r="E801" i="108" s="1"/>
  <c r="B635" i="108"/>
  <c r="E635" i="108" s="1"/>
  <c r="B821" i="108"/>
  <c r="E821" i="108" s="1"/>
  <c r="B696" i="108"/>
  <c r="E696" i="108" s="1"/>
  <c r="B279" i="108"/>
  <c r="E279" i="108" s="1"/>
  <c r="B261" i="108"/>
  <c r="E261" i="108" s="1"/>
  <c r="B715" i="108"/>
  <c r="E715" i="108" s="1"/>
  <c r="B697" i="108"/>
  <c r="E697" i="108" s="1"/>
  <c r="B158" i="108"/>
  <c r="E158" i="108" s="1"/>
  <c r="B419" i="108"/>
  <c r="E419" i="108" s="1"/>
  <c r="B120" i="108"/>
  <c r="E120" i="108" s="1"/>
  <c r="B869" i="108"/>
  <c r="E869" i="108" s="1"/>
  <c r="B313" i="108"/>
  <c r="E313" i="108" s="1"/>
  <c r="B281" i="108"/>
  <c r="E281" i="108" s="1"/>
  <c r="B409" i="108"/>
  <c r="E409" i="108" s="1"/>
  <c r="B549" i="108"/>
  <c r="E549" i="108" s="1"/>
  <c r="B761" i="108"/>
  <c r="E761" i="108" s="1"/>
  <c r="B604" i="108"/>
  <c r="E604" i="108" s="1"/>
  <c r="B622" i="108"/>
  <c r="E622" i="108" s="1"/>
  <c r="B993" i="108"/>
  <c r="E993" i="108" s="1"/>
  <c r="B385" i="108"/>
  <c r="E385" i="108" s="1"/>
  <c r="B458" i="108"/>
  <c r="E458" i="108" s="1"/>
  <c r="B426" i="108"/>
  <c r="E426" i="108" s="1"/>
  <c r="B636" i="108"/>
  <c r="E636" i="108" s="1"/>
  <c r="B232" i="108"/>
  <c r="E232" i="108" s="1"/>
  <c r="B1020" i="108"/>
  <c r="E1020" i="108" s="1"/>
  <c r="B65" i="108"/>
  <c r="E65" i="108" s="1"/>
  <c r="B435" i="108"/>
  <c r="E435" i="108" s="1"/>
  <c r="B155" i="108"/>
  <c r="E155" i="108" s="1"/>
  <c r="B924" i="108"/>
  <c r="E924" i="108" s="1"/>
  <c r="B835" i="108"/>
  <c r="E835" i="108" s="1"/>
  <c r="B833" i="108"/>
  <c r="E833" i="108" s="1"/>
  <c r="B828" i="108"/>
  <c r="E828" i="108" s="1"/>
  <c r="B887" i="108"/>
  <c r="E887" i="108" s="1"/>
  <c r="B832" i="108"/>
  <c r="E832" i="108" s="1"/>
  <c r="B936" i="108"/>
  <c r="E936" i="108" s="1"/>
  <c r="B968" i="108"/>
  <c r="E968" i="108" s="1"/>
  <c r="B829" i="108"/>
  <c r="E829" i="108" s="1"/>
  <c r="N36" i="108"/>
  <c r="P25" i="108"/>
  <c r="O36" i="108" s="1"/>
  <c r="P36" i="108" s="1"/>
  <c r="Q36" i="108" s="1" a="1"/>
  <c r="Q36" i="108" s="1"/>
  <c r="G12" i="105"/>
  <c r="CD36" i="81"/>
  <c r="G19" i="105" l="1"/>
  <c r="H19" i="105" s="1"/>
  <c r="N28" i="108"/>
  <c r="B932" i="108"/>
  <c r="D933" i="6"/>
  <c r="N22" i="108" s="1"/>
  <c r="E50" i="108"/>
  <c r="Q23" i="108"/>
  <c r="Q24" i="108"/>
  <c r="E92" i="108"/>
  <c r="Q22" i="108"/>
  <c r="E26" i="108"/>
  <c r="CD31" i="81"/>
  <c r="H12" i="105"/>
  <c r="N35" i="108" l="1"/>
  <c r="CH31" i="81" s="1"/>
  <c r="CH30" i="81" s="1"/>
  <c r="E30" i="81" s="1"/>
  <c r="B30" i="81" s="1"/>
  <c r="P22" i="108"/>
  <c r="N32" i="108"/>
  <c r="P28" i="108"/>
  <c r="O37" i="108" s="1"/>
  <c r="P37" i="108" s="1"/>
  <c r="Q37" i="108" s="1" a="1"/>
  <c r="Q37" i="108" s="1"/>
  <c r="N37" i="108" a="1"/>
  <c r="N37" i="108" s="1"/>
  <c r="G13" i="105"/>
  <c r="E19" i="108"/>
  <c r="CE23" i="81" s="1"/>
  <c r="E932" i="108"/>
  <c r="E20" i="108"/>
  <c r="A19" i="6" s="1"/>
  <c r="U38" i="108"/>
  <c r="CD35" i="81"/>
  <c r="CD26" i="81"/>
  <c r="CD28" i="81"/>
  <c r="O35" i="108" l="1"/>
  <c r="P35" i="108" s="1"/>
  <c r="Q35" i="108" s="1" a="1"/>
  <c r="Q35" i="108" s="1"/>
  <c r="CH28" i="81"/>
  <c r="CH29" i="81" s="1"/>
  <c r="CD29" i="81" s="1"/>
  <c r="E29" i="81" s="1"/>
  <c r="B29" i="81" s="1"/>
  <c r="CH26" i="81"/>
  <c r="CH27" i="81" s="1"/>
  <c r="CD27" i="81" s="1"/>
  <c r="E27" i="81" s="1"/>
  <c r="B27" i="81" s="1"/>
  <c r="E31" i="81"/>
  <c r="B31" i="81" s="1"/>
  <c r="H13" i="105"/>
  <c r="G22" i="105"/>
  <c r="H22" i="105" s="1"/>
  <c r="CD23" i="81"/>
  <c r="E23" i="81" s="1"/>
  <c r="B23" i="81" s="1"/>
  <c r="U39" i="108"/>
  <c r="CH36" i="81"/>
  <c r="E36" i="81" s="1"/>
  <c r="B36" i="81" s="1"/>
  <c r="E28" i="81" l="1"/>
  <c r="B28" i="81" s="1"/>
  <c r="E26" i="81"/>
  <c r="B26" i="81" s="1"/>
  <c r="U41" i="108" a="1"/>
  <c r="U41" i="108" s="1"/>
  <c r="U40" i="108" a="1"/>
  <c r="U40" i="108" s="1"/>
  <c r="CH35" i="81" s="1"/>
  <c r="E35" i="81" s="1"/>
  <c r="B35" i="81" s="1"/>
  <c r="U42" i="108" l="1"/>
  <c r="U43" i="108" s="1"/>
  <c r="CH34" i="81"/>
  <c r="E34" i="81" s="1"/>
  <c r="B34" i="81" s="1"/>
  <c r="CD42" i="81"/>
  <c r="CD38" i="81"/>
  <c r="CD41" i="81"/>
  <c r="CD39" i="81"/>
  <c r="U46" i="108" l="1"/>
  <c r="U44" i="108" a="1"/>
  <c r="U44" i="108" s="1"/>
  <c r="U53" i="108"/>
  <c r="U58" i="108" l="1" a="1"/>
  <c r="U58" i="108" s="1"/>
  <c r="CH41" i="81" s="1"/>
  <c r="E41" i="81" s="1"/>
  <c r="B41" i="81" s="1"/>
  <c r="U54" i="108" a="1"/>
  <c r="U54" i="108" s="1"/>
  <c r="U57" i="108" a="1"/>
  <c r="U57" i="108" s="1"/>
  <c r="CH42" i="81" s="1"/>
  <c r="E42" i="81" s="1"/>
  <c r="B42" i="81" s="1"/>
  <c r="U56" i="108" a="1"/>
  <c r="U56" i="108" s="1"/>
  <c r="U50" i="108" a="1"/>
  <c r="U50" i="108" s="1"/>
  <c r="CH39" i="81" s="1"/>
  <c r="E39" i="81" s="1"/>
  <c r="B39" i="81" s="1"/>
  <c r="U51" i="108" a="1"/>
  <c r="U51" i="108" s="1"/>
  <c r="CH38" i="81" s="1"/>
  <c r="E38" i="81" s="1"/>
  <c r="B38" i="81" s="1"/>
  <c r="U47" i="108" a="1"/>
  <c r="U47" i="108" s="1"/>
  <c r="U49" i="108" a="1"/>
  <c r="U49" i="108" s="1"/>
  <c r="A110" i="107"/>
  <c r="A135" i="107"/>
  <c r="M43" i="108" l="1"/>
  <c r="M44" i="108"/>
  <c r="U55" i="108" a="1"/>
  <c r="U55" i="108" s="1"/>
  <c r="CH40" i="81" s="1"/>
  <c r="E40" i="81" s="1"/>
  <c r="B40" i="81" s="1"/>
  <c r="M45" i="108"/>
  <c r="A111" i="107"/>
  <c r="A115" i="107"/>
  <c r="A117" i="107"/>
  <c r="A138" i="107"/>
  <c r="A113" i="107"/>
  <c r="N42" i="108"/>
  <c r="P42" i="108"/>
  <c r="O42" i="108"/>
  <c r="U48" i="108" a="1"/>
  <c r="U48" i="108" s="1"/>
  <c r="CH37" i="81" s="1"/>
  <c r="E37" i="81" s="1"/>
  <c r="A140" i="107"/>
  <c r="A124" i="107"/>
  <c r="A120" i="107"/>
  <c r="A122" i="107"/>
  <c r="CD45" i="81"/>
  <c r="P47" i="108" l="1"/>
  <c r="P44" i="108"/>
  <c r="P45" i="108"/>
  <c r="E129" i="107"/>
  <c r="P43" i="108"/>
  <c r="B131" i="107"/>
  <c r="M49" i="108"/>
  <c r="M58" i="108" s="1"/>
  <c r="B130" i="107"/>
  <c r="M48" i="108"/>
  <c r="M57" i="108" s="1"/>
  <c r="B37" i="81"/>
  <c r="B17" i="81"/>
  <c r="O44" i="108"/>
  <c r="O43" i="108"/>
  <c r="O47" i="108"/>
  <c r="O45" i="108"/>
  <c r="D129" i="107"/>
  <c r="B132" i="107"/>
  <c r="M50" i="108"/>
  <c r="M59" i="108" s="1"/>
  <c r="N47" i="108"/>
  <c r="N45" i="108"/>
  <c r="C129" i="107"/>
  <c r="N43" i="108"/>
  <c r="N44" i="108"/>
  <c r="N50" i="108" l="1"/>
  <c r="N49" i="108"/>
  <c r="N56" i="108"/>
  <c r="N48" i="108"/>
  <c r="P48" i="108"/>
  <c r="P56" i="108"/>
  <c r="P49" i="108"/>
  <c r="P50" i="108"/>
  <c r="O50" i="108"/>
  <c r="O56" i="108"/>
  <c r="O49" i="108"/>
  <c r="O48" i="108"/>
  <c r="R42" i="108"/>
  <c r="O54" i="108" s="1"/>
  <c r="R45" i="108"/>
  <c r="CD46" i="81"/>
  <c r="CD43" i="81"/>
  <c r="O57" i="108" l="1"/>
  <c r="N54" i="108"/>
  <c r="P58" i="108"/>
  <c r="O52" i="108"/>
  <c r="P53" i="108"/>
  <c r="N57" i="108"/>
  <c r="P59" i="108"/>
  <c r="O53" i="108"/>
  <c r="N52" i="108"/>
  <c r="P54" i="108"/>
  <c r="O58" i="108"/>
  <c r="N59" i="108"/>
  <c r="R47" i="108"/>
  <c r="R48" i="108" s="1"/>
  <c r="CH45" i="81"/>
  <c r="G45" i="81" s="1"/>
  <c r="B45" i="81" s="1"/>
  <c r="O59" i="108"/>
  <c r="Q59" i="108" s="1"/>
  <c r="P57" i="108"/>
  <c r="P60" i="108" s="1"/>
  <c r="N53" i="108"/>
  <c r="P52" i="108"/>
  <c r="N58" i="108"/>
  <c r="Q58" i="108" s="1"/>
  <c r="CD44" i="81"/>
  <c r="CD47" i="81"/>
  <c r="A134" i="107" l="1"/>
  <c r="A136" i="107"/>
  <c r="N60" i="108"/>
  <c r="Q57" i="108"/>
  <c r="R62" i="108" s="1"/>
  <c r="CH44" i="81" s="1"/>
  <c r="G44" i="81" s="1"/>
  <c r="B44" i="81" s="1"/>
  <c r="R57" i="108"/>
  <c r="CH46" i="81" s="1"/>
  <c r="G46" i="81" s="1"/>
  <c r="B46" i="81" s="1"/>
  <c r="R52" i="108"/>
  <c r="O60" i="108"/>
  <c r="R53" i="108" l="1"/>
  <c r="CH47" i="81" s="1"/>
  <c r="G47" i="81" s="1"/>
  <c r="B47" i="81" s="1"/>
  <c r="R61" i="108"/>
  <c r="CH43" i="81" s="1"/>
  <c r="G43" i="81" s="1"/>
  <c r="B43" i="81" s="1"/>
  <c r="B19" i="8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<sst xmlns="http://schemas.openxmlformats.org/spreadsheetml/2006/main" count="680" uniqueCount="415">
  <si>
    <t>© All rights reserved, 2019, Marianne Wolk &amp; Richard Horwitz</t>
  </si>
  <si>
    <t>Tax Rate</t>
  </si>
  <si>
    <t>Earnings Before Interest &amp; Tax (EBIT)</t>
  </si>
  <si>
    <t>Net Income</t>
  </si>
  <si>
    <t>Percent of Revenues</t>
  </si>
  <si>
    <t>Depreciation</t>
  </si>
  <si>
    <t>Amortization</t>
  </si>
  <si>
    <t>Weighted Average Fully Diluted Shares</t>
  </si>
  <si>
    <t>Balance Sheet</t>
  </si>
  <si>
    <t>Uses of Capital</t>
  </si>
  <si>
    <t>Operating Cash</t>
  </si>
  <si>
    <t>Accounts Receivable</t>
  </si>
  <si>
    <t>Inventories</t>
  </si>
  <si>
    <t>Accounts Payable</t>
  </si>
  <si>
    <t>Other Current Liabilities</t>
  </si>
  <si>
    <t>Current Liabilities (Excluding Debt)</t>
  </si>
  <si>
    <t>Property, Plant &amp; Equipment (PP&amp;E)</t>
  </si>
  <si>
    <t>Intangible Assets</t>
  </si>
  <si>
    <t>Net Noncurrent Assets</t>
  </si>
  <si>
    <t>Capital Invested in Operations (CIO)</t>
  </si>
  <si>
    <t>Excess Cash</t>
  </si>
  <si>
    <t>Capital</t>
  </si>
  <si>
    <t>Sources of Capital</t>
  </si>
  <si>
    <t>Debt</t>
  </si>
  <si>
    <t>Noncontrolling Interests (NCI)</t>
  </si>
  <si>
    <t>Preferrred Equity</t>
  </si>
  <si>
    <t>Common Equity</t>
  </si>
  <si>
    <t>Equity</t>
  </si>
  <si>
    <t>Cash Analysis</t>
  </si>
  <si>
    <t>Cash</t>
  </si>
  <si>
    <t>Current Marketable Securities</t>
  </si>
  <si>
    <t>Noncurrent Marketable Securities</t>
  </si>
  <si>
    <t>Cash &amp; Marketable Securities</t>
  </si>
  <si>
    <t>Operating Cash Percent of Revenues</t>
  </si>
  <si>
    <t>Percent  of Revenues</t>
  </si>
  <si>
    <t>Net Cash &amp; Marketable Securities</t>
  </si>
  <si>
    <t>Net Cash &amp;  Marketable Securities Per Share</t>
  </si>
  <si>
    <t>Net Excess Cash</t>
  </si>
  <si>
    <t>Assets</t>
  </si>
  <si>
    <t>Noncurrent Liabilities (Excluding Debt)</t>
  </si>
  <si>
    <t>Liabilities &amp; Equity</t>
  </si>
  <si>
    <t>Balance Sheet Ratios</t>
  </si>
  <si>
    <t>Operating Cycle Ratios</t>
  </si>
  <si>
    <t>Turns:</t>
  </si>
  <si>
    <t>Receivable Turns</t>
  </si>
  <si>
    <t>Inventory Turns</t>
  </si>
  <si>
    <t>Payable Turns</t>
  </si>
  <si>
    <t>Days:</t>
  </si>
  <si>
    <t xml:space="preserve"> + Days Sales Outstanding (DSO)</t>
  </si>
  <si>
    <t xml:space="preserve"> + Days of Inventory (DIO)</t>
  </si>
  <si>
    <t xml:space="preserve"> -  Days Payables Outstanding (DPO)</t>
  </si>
  <si>
    <t xml:space="preserve"> = Operating Cycle</t>
  </si>
  <si>
    <t>Y/Y Increase (Decrease) in Days</t>
  </si>
  <si>
    <t>Liquidity Ratios</t>
  </si>
  <si>
    <t>Solvency Ratios</t>
  </si>
  <si>
    <t>Interest Coverage (EBIT / Interest Expense)</t>
  </si>
  <si>
    <t>Debt to Equity</t>
  </si>
  <si>
    <t>Debt to Capital</t>
  </si>
  <si>
    <t>DuPont Analysis:</t>
  </si>
  <si>
    <t>Operating Efficiency (Net Margin)</t>
  </si>
  <si>
    <t>Usage  Efficiency (Revenue / Average Assets, "Asset Turnover")</t>
  </si>
  <si>
    <t>Financial Leverage (Average Assets / Average Equity)</t>
  </si>
  <si>
    <t>Return on Equity (ROE)</t>
  </si>
  <si>
    <t>Tangible Equity</t>
  </si>
  <si>
    <t>Return on Tangible Equity</t>
  </si>
  <si>
    <t>Net Operating Profit After Tax (NOPAT)</t>
  </si>
  <si>
    <t>Invested Capital</t>
  </si>
  <si>
    <t>Return on Invested Capital (ROIC)</t>
  </si>
  <si>
    <t>Weighted Average Cost of Capital (WACC)</t>
  </si>
  <si>
    <t>ROIC - WACC</t>
  </si>
  <si>
    <t>Economic Value Added (EVA)</t>
  </si>
  <si>
    <t>Property Plant &amp; Equipment</t>
  </si>
  <si>
    <t>Prior Year PP&amp;E</t>
  </si>
  <si>
    <t xml:space="preserve"> - Depreciation</t>
  </si>
  <si>
    <t xml:space="preserve"> + Investments in PP&amp;E</t>
  </si>
  <si>
    <t xml:space="preserve"> - Write-down or Disposal of PP&amp;E</t>
  </si>
  <si>
    <t xml:space="preserve"> = Current Year PP&amp;E</t>
  </si>
  <si>
    <t>Depreciation Percent of PP&amp;E</t>
  </si>
  <si>
    <t>PP&amp;E Percent of Revenues</t>
  </si>
  <si>
    <t>Prior Year Intangible Assets</t>
  </si>
  <si>
    <t xml:space="preserve"> - Amortization</t>
  </si>
  <si>
    <t xml:space="preserve"> + Investments in Intangible Assets</t>
  </si>
  <si>
    <t xml:space="preserve"> - Impairments (Acquisitions)</t>
  </si>
  <si>
    <t xml:space="preserve"> = Current Year Intangible Assets</t>
  </si>
  <si>
    <t>Amortization Percent of Intangible Assets</t>
  </si>
  <si>
    <t>Y/Y Growth in Shares</t>
  </si>
  <si>
    <t>Option Creep (Estimated)</t>
  </si>
  <si>
    <t>Issues (Repurchases) of Shares</t>
  </si>
  <si>
    <t>Price per Share</t>
  </si>
  <si>
    <t>Issues (Repurchases) of Equity</t>
  </si>
  <si>
    <t>*Issue and repurchase of shares assumed mid-year</t>
  </si>
  <si>
    <t>Prior Year Common Equity</t>
  </si>
  <si>
    <t xml:space="preserve"> + Net Income Attributable to Common</t>
  </si>
  <si>
    <t xml:space="preserve"> - Common Dividends (Declared)</t>
  </si>
  <si>
    <t xml:space="preserve"> + Issues (Repurchases) of Common Equity</t>
  </si>
  <si>
    <t xml:space="preserve"> = Current Year Common Equity</t>
  </si>
  <si>
    <t>Cash Flow Statement</t>
  </si>
  <si>
    <t>(Net Income) Deficit Attributable to Noncontrolling Interests (NCI)</t>
  </si>
  <si>
    <t>Capital Expenditures (CapEx)</t>
  </si>
  <si>
    <t>Issues (Retirement) of Debt</t>
  </si>
  <si>
    <t>Preferred Equity</t>
  </si>
  <si>
    <t>Acquisitions</t>
  </si>
  <si>
    <t>Other Financing Activities</t>
  </si>
  <si>
    <t>Increase in Excess Cash</t>
  </si>
  <si>
    <t>Increase in Operating Cash</t>
  </si>
  <si>
    <t>Increase in Net Cash &amp; Marketable Securities (Net of Debt)</t>
  </si>
  <si>
    <t>Cash Flow from Operations</t>
  </si>
  <si>
    <t>Cash Flow from Operations Y/Y Growth</t>
  </si>
  <si>
    <t>Free Cash Flow Analysis</t>
  </si>
  <si>
    <t>FCF Y/Y Growth</t>
  </si>
  <si>
    <t>Free Cash Flow / Revenues</t>
  </si>
  <si>
    <t>Free Cash Flow / EBITDA</t>
  </si>
  <si>
    <t>Free Cash Flow / Net Income</t>
  </si>
  <si>
    <t>F</t>
  </si>
  <si>
    <t>A</t>
  </si>
  <si>
    <t>D</t>
  </si>
  <si>
    <t>K</t>
  </si>
  <si>
    <t>M</t>
  </si>
  <si>
    <t>T</t>
  </si>
  <si>
    <t>V</t>
  </si>
  <si>
    <t>Match</t>
  </si>
  <si>
    <t>Workbook #</t>
  </si>
  <si>
    <t>X</t>
  </si>
  <si>
    <t>Version</t>
  </si>
  <si>
    <t>Financial Statement Analysis (Workbook 3)</t>
  </si>
  <si>
    <t>Cash Flow Statement (Workbook 6)</t>
  </si>
  <si>
    <t>Balance Sheet (Workbook 5)</t>
  </si>
  <si>
    <t>Income Statement (Workbook 4)</t>
  </si>
  <si>
    <t>Financial Statement Analysis (Section III, Workbooks 3-6)</t>
  </si>
  <si>
    <t>Modeling &amp; Forecasting (Section IV, Workbooks 7-10)</t>
  </si>
  <si>
    <t>Developing a Model (Workbook 7)</t>
  </si>
  <si>
    <t>Strategic Forecasting (Workbook 9)</t>
  </si>
  <si>
    <t>Forecasting Disruptions (Workbook 10)</t>
  </si>
  <si>
    <t>Data Analysis (Workbook 2)</t>
  </si>
  <si>
    <t>SFAM</t>
  </si>
  <si>
    <t>All figures in millions except per share data, growth rates and ratios</t>
  </si>
  <si>
    <t>Current Assets (Excluding Excess Cash)</t>
  </si>
  <si>
    <t>Long-term Debt</t>
  </si>
  <si>
    <t>Other Current Assets</t>
  </si>
  <si>
    <t>Other Noncurrent Assets</t>
  </si>
  <si>
    <t>Short-term Debt</t>
  </si>
  <si>
    <t>Net Excess Cash Per Share</t>
  </si>
  <si>
    <t>Return on Capital Invested in Operations (RO-CIO)</t>
  </si>
  <si>
    <t>Tangible Capital Invested in Operations (T-CIO)</t>
  </si>
  <si>
    <t>Return on Tangible Capital Invested in Operations (RO-T-CIO)</t>
  </si>
  <si>
    <t>Cash Flow from Investing</t>
  </si>
  <si>
    <t>Cash Flow from Financing</t>
  </si>
  <si>
    <t>Cash-based Net Income</t>
  </si>
  <si>
    <t>Other Cash Flows</t>
  </si>
  <si>
    <t>Cash Dividends Paid (Common and Preferred)</t>
  </si>
  <si>
    <t>Deployment of Free Cash Flow, Net</t>
  </si>
  <si>
    <t>Operating Funds</t>
  </si>
  <si>
    <t>Operating Requirements</t>
  </si>
  <si>
    <t>Operating Funds, Net of Requirements</t>
  </si>
  <si>
    <t>Net Funds Produced (Consumed)</t>
  </si>
  <si>
    <t>Depreciation &amp; Amortization</t>
  </si>
  <si>
    <t>Current Assets</t>
  </si>
  <si>
    <t>Current Liabilities</t>
  </si>
  <si>
    <t>Non-cash Net Trade Working Capital</t>
  </si>
  <si>
    <t>Noncurrent Assets (Excluding Noncurrent Marketable Sec.)</t>
  </si>
  <si>
    <t>Current Liabilities (Excluding Short-term Debt)</t>
  </si>
  <si>
    <t>Noncurrent Liabilities (Excluding Long-term Debt)</t>
  </si>
  <si>
    <t>Other Non-cash Expenses (Stock Compensation, Deferred Taxes, etc.)</t>
  </si>
  <si>
    <t>Other Investments</t>
  </si>
  <si>
    <r>
      <t xml:space="preserve">Other Current  Assets </t>
    </r>
    <r>
      <rPr>
        <sz val="9"/>
        <color theme="1"/>
        <rFont val="Calibri"/>
        <family val="2"/>
      </rPr>
      <t>(including Prepaid Expenses)</t>
    </r>
  </si>
  <si>
    <r>
      <t xml:space="preserve">Non-cash Net Trade Working Capital </t>
    </r>
    <r>
      <rPr>
        <sz val="11"/>
        <color theme="1"/>
        <rFont val="Calibri"/>
        <family val="2"/>
      </rPr>
      <t>(NC-NTWC)</t>
    </r>
  </si>
  <si>
    <t>Balance Sheet (GAAP Format)</t>
  </si>
  <si>
    <t>Cash &amp; Marketable Securities Analysis</t>
  </si>
  <si>
    <r>
      <t xml:space="preserve">Current Ratio </t>
    </r>
    <r>
      <rPr>
        <i/>
        <sz val="9"/>
        <rFont val="Calibri"/>
        <family val="2"/>
      </rPr>
      <t>(Cash + A/R + Inv + Other) / CL</t>
    </r>
    <r>
      <rPr>
        <i/>
        <sz val="11"/>
        <rFont val="Calibri"/>
        <family val="2"/>
      </rPr>
      <t xml:space="preserve"> </t>
    </r>
    <r>
      <rPr>
        <i/>
        <sz val="9"/>
        <rFont val="Calibri"/>
        <family val="2"/>
      </rPr>
      <t>(Inclu Short-term Debt)</t>
    </r>
  </si>
  <si>
    <r>
      <t xml:space="preserve">Cash to Current Liabilities </t>
    </r>
    <r>
      <rPr>
        <i/>
        <sz val="9"/>
        <rFont val="Calibri"/>
        <family val="2"/>
      </rPr>
      <t>( Including Short-term Debt)</t>
    </r>
  </si>
  <si>
    <r>
      <t xml:space="preserve">Acid Test </t>
    </r>
    <r>
      <rPr>
        <i/>
        <sz val="9"/>
        <rFont val="Calibri"/>
        <family val="2"/>
      </rPr>
      <t xml:space="preserve">(Cash + Mkt Sec + A/R) / CL </t>
    </r>
    <r>
      <rPr>
        <i/>
        <sz val="11"/>
        <rFont val="Calibri"/>
        <family val="2"/>
      </rPr>
      <t xml:space="preserve"> </t>
    </r>
    <r>
      <rPr>
        <i/>
        <sz val="8"/>
        <rFont val="Calibri"/>
        <family val="2"/>
      </rPr>
      <t>(including Short-term Debt)</t>
    </r>
  </si>
  <si>
    <r>
      <t xml:space="preserve">Return on Equity </t>
    </r>
    <r>
      <rPr>
        <sz val="9"/>
        <color rgb="FF000000"/>
        <rFont val="Calibri"/>
        <family val="2"/>
      </rPr>
      <t>(Including NCI)</t>
    </r>
  </si>
  <si>
    <t>Return on Asset</t>
  </si>
  <si>
    <t>Average Assets</t>
  </si>
  <si>
    <t>Return on Assets</t>
  </si>
  <si>
    <t>Return on Invested Capital</t>
  </si>
  <si>
    <t>Capital (Debt + Equity)</t>
  </si>
  <si>
    <t>Noncurrent Liabilities</t>
  </si>
  <si>
    <t>Average Invested Capital</t>
  </si>
  <si>
    <t>Average Capital Invested in Operations</t>
  </si>
  <si>
    <t>RO-CIO - WACC</t>
  </si>
  <si>
    <t>Economic Value Added from Invs. in Operations</t>
  </si>
  <si>
    <t>Avg Tangible Capital Invested in Operations</t>
  </si>
  <si>
    <t>RO-T-CIO - WACC</t>
  </si>
  <si>
    <t>Economic Value Added from Invs. in Tangible Oper'g Assets</t>
  </si>
  <si>
    <t>Capital Turnover Ratios</t>
  </si>
  <si>
    <t>Noncurrent Assets (Excluding Marketable Securities)</t>
  </si>
  <si>
    <t>Derivation of Select Account Balances</t>
  </si>
  <si>
    <t>Investments in PP&amp;E Percent of Revenues</t>
  </si>
  <si>
    <t>Investment in Intangibles Percent of  Revenues</t>
  </si>
  <si>
    <t>Net Investments (less Impairments) Percent of Revenues</t>
  </si>
  <si>
    <t>Non-cash Adjustments to Reconcile Net Income to Cash Flow from Operations</t>
  </si>
  <si>
    <t>Decrease (Increase) in Non-cash Net Trade Working Capital</t>
  </si>
  <si>
    <t>Decrease (Increase) in Noncurrent Assets (Less CapEx)</t>
  </si>
  <si>
    <t>Increase (Decrease) in Noncurrent Liabilities (Excluding Debt)</t>
  </si>
  <si>
    <t>Other Decrease (Increase) in Assets, Net of Liabilities</t>
  </si>
  <si>
    <r>
      <t xml:space="preserve">Decrease (Increase) in Assets, Net of Liabilities </t>
    </r>
    <r>
      <rPr>
        <sz val="9"/>
        <color theme="1"/>
        <rFont val="Calibri"/>
        <family val="2"/>
      </rPr>
      <t>(inclu chg in Oper'g Cash)</t>
    </r>
  </si>
  <si>
    <t>Elimination of the Change in Operating Cash</t>
  </si>
  <si>
    <t>INCREASE IN CASH &amp; MARKETABLE SECURITIES</t>
  </si>
  <si>
    <t>Free Cash Flow Summary</t>
  </si>
  <si>
    <r>
      <rPr>
        <sz val="11"/>
        <color theme="1"/>
        <rFont val="Calibri"/>
        <family val="2"/>
      </rPr>
      <t>Decrease (Increase) in Assets, Net of Liabilities</t>
    </r>
    <r>
      <rPr>
        <b/>
        <sz val="11"/>
        <color theme="1"/>
        <rFont val="Calibri"/>
        <family val="2"/>
      </rPr>
      <t xml:space="preserve"> </t>
    </r>
    <r>
      <rPr>
        <sz val="9"/>
        <color theme="1"/>
        <rFont val="Calibri"/>
        <family val="2"/>
      </rPr>
      <t>(including change in Oper'g Cash)</t>
    </r>
  </si>
  <si>
    <r>
      <t xml:space="preserve">Free Cash Flow, Net </t>
    </r>
    <r>
      <rPr>
        <sz val="9"/>
        <rFont val="Calibri"/>
        <family val="2"/>
      </rPr>
      <t>(Net of Increase in Operating Cash)</t>
    </r>
  </si>
  <si>
    <t>Acquisitions (including other investing)</t>
  </si>
  <si>
    <t xml:space="preserve">Other Investing </t>
  </si>
  <si>
    <t>Issues (Repurchase) of Equity</t>
  </si>
  <si>
    <t>Other Deployments of Free Cash Flow</t>
  </si>
  <si>
    <t>Increase (Decrease) in Excess Cash</t>
  </si>
  <si>
    <t>Cash Flow from Operations / Revenues</t>
  </si>
  <si>
    <r>
      <t xml:space="preserve">Cash Flow from Operations / EBITDA </t>
    </r>
    <r>
      <rPr>
        <i/>
        <sz val="8"/>
        <color theme="1"/>
        <rFont val="Calibri"/>
        <family val="2"/>
      </rPr>
      <t>("Cash Flow EBITDA Index")</t>
    </r>
  </si>
  <si>
    <r>
      <t xml:space="preserve">Cash Flow from Operatons / Net Income </t>
    </r>
    <r>
      <rPr>
        <i/>
        <sz val="8"/>
        <color theme="1"/>
        <rFont val="Calibri"/>
        <family val="2"/>
      </rPr>
      <t>("Cash Flow Net Income Index")</t>
    </r>
  </si>
  <si>
    <t>Capex / Revenues</t>
  </si>
  <si>
    <t>Adjustment for Decrease (Increase) in Operating Cash</t>
  </si>
  <si>
    <r>
      <t>Free Cash Flow (FCF), Net</t>
    </r>
    <r>
      <rPr>
        <sz val="9"/>
        <color theme="1"/>
        <rFont val="Calibri"/>
        <family val="2"/>
      </rPr>
      <t xml:space="preserve"> (Net of Increase in Operating Cash)</t>
    </r>
  </si>
  <si>
    <t>Sources and Uses of Cash &amp; Marketable Securities</t>
  </si>
  <si>
    <t>Increase (Decrease) in Non-cash Net Trade Working Capital</t>
  </si>
  <si>
    <t>Capital Outlays (Cash Flows Used by Investing)</t>
  </si>
  <si>
    <t>Other (Noncurrent Assets and Other)</t>
  </si>
  <si>
    <t>Less: Cash Dividends Paid (Common and Preferred)</t>
  </si>
  <si>
    <t>Less: Increase in Excess Cash</t>
  </si>
  <si>
    <t>Uses of Cash and Marketable Securities</t>
  </si>
  <si>
    <t>Other Financing</t>
  </si>
  <si>
    <t>Sources of Cash and Marketable Securities</t>
  </si>
  <si>
    <t>Required Score</t>
  </si>
  <si>
    <t>Required Potential</t>
  </si>
  <si>
    <t>Challenge Score</t>
  </si>
  <si>
    <t>Challenge Potential</t>
  </si>
  <si>
    <t>SFAM ID</t>
  </si>
  <si>
    <t>B</t>
  </si>
  <si>
    <t>C</t>
  </si>
  <si>
    <t>G</t>
  </si>
  <si>
    <t>H</t>
  </si>
  <si>
    <t>I</t>
  </si>
  <si>
    <t>J</t>
  </si>
  <si>
    <t>L</t>
  </si>
  <si>
    <t>N</t>
  </si>
  <si>
    <t>O</t>
  </si>
  <si>
    <t>P</t>
  </si>
  <si>
    <t>Q</t>
  </si>
  <si>
    <t>R</t>
  </si>
  <si>
    <t>S</t>
  </si>
  <si>
    <t>U</t>
  </si>
  <si>
    <t>W</t>
  </si>
  <si>
    <t>Y</t>
  </si>
  <si>
    <t>Z</t>
  </si>
  <si>
    <t>Enter your SFAM ID (For CUNY enter your Employee Code)</t>
  </si>
  <si>
    <t>Warning:</t>
  </si>
  <si>
    <t>If you change your SFAM ID after you have begun working on the Workbook you will alter the randomization.</t>
  </si>
  <si>
    <t>Student Save Time</t>
  </si>
  <si>
    <t>Processing Time</t>
  </si>
  <si>
    <t>E</t>
  </si>
  <si>
    <t>Part I Review (Workbook 1)</t>
  </si>
  <si>
    <t>Forecasting (Workbook 8)</t>
  </si>
  <si>
    <t>Equity Valuation (Workbook 11)</t>
  </si>
  <si>
    <t>Mergers &amp; Acquisitions (Workbook 12)</t>
  </si>
  <si>
    <t>Fixed Income Valuation (Workbook 13)</t>
  </si>
  <si>
    <t>Risk Management (Workbook 14)</t>
  </si>
  <si>
    <t>Portfolio Construction (Workbook 15)</t>
  </si>
  <si>
    <t>Valuation &amp; Risk (Section V/VI, Workbooks 11-15)</t>
  </si>
  <si>
    <t>As a result your answers will be wrong.</t>
  </si>
  <si>
    <t>Financial Modeling</t>
  </si>
  <si>
    <t>Section: Modeling with Excel</t>
  </si>
  <si>
    <t>FP&amp;A tools can help finance professionals:</t>
  </si>
  <si>
    <t>Provide fast and accurate financial analysis and advice to business leaders</t>
  </si>
  <si>
    <t>Predict the impact of potential decisions on cash flow and the bottom line</t>
  </si>
  <si>
    <t>Assess and monitor the company’s overall financial health and investments</t>
  </si>
  <si>
    <t>Build and maintain detailed financial models and forecasts</t>
  </si>
  <si>
    <t>Create agile, integrated financial plans that account for multiple scenarios</t>
  </si>
  <si>
    <t>Collaborate with departments to prepare and consolidate budgets</t>
  </si>
  <si>
    <t>Align corporate strategy with execution and track performance</t>
  </si>
  <si>
    <t>Identify and assess new revenue opportunities and risk</t>
  </si>
  <si>
    <t>With a corporate FP&amp;A system, finance teams can combine financial data, operational data, and external data (like market trends) in one place.</t>
  </si>
  <si>
    <t>Financial planning and analysis (FP&amp;A) is a set of planning, forecasting, budgeting, and analytical activities that support a company’s major business decisions and overall financial health.</t>
  </si>
  <si>
    <t>Finance can analyze it all – and uncover the in-depth insights they need to plan for the future and guide more profitable decision-making.</t>
  </si>
  <si>
    <t>You will first use this database to establish standards for various additional procedures (not currently being performed in your hospital)</t>
  </si>
  <si>
    <t>The hospital's operating rooms have been operating at full capacity with the procedures that are currently being performed.</t>
  </si>
  <si>
    <t>You hospital wants to extend the services it is providing and you need to develop a financial plan for the expanded operations.</t>
  </si>
  <si>
    <t>Your hospital chain operates many hospital which has provided you with a database of historical metrics on various procedures (types of operations) to use in your analysis.</t>
  </si>
  <si>
    <t>Because of the scarcity of capacity you have limited the number of procedures performed by surgeons currently having privelidges at your hospital.</t>
  </si>
  <si>
    <t>With the expansion you plan to accomodating all procedures from these current surgeions plus permit additional sugeions to operate at your hospital.</t>
  </si>
  <si>
    <t>Hours in OR</t>
  </si>
  <si>
    <t>Surgeon Type</t>
  </si>
  <si>
    <t>Count</t>
  </si>
  <si>
    <t>Procedure Code</t>
  </si>
  <si>
    <t>Cardiac</t>
  </si>
  <si>
    <t>Orthopedic</t>
  </si>
  <si>
    <t>Payments</t>
  </si>
  <si>
    <t>Bypass</t>
  </si>
  <si>
    <t>Heart Transplant</t>
  </si>
  <si>
    <t>Pacemaker</t>
  </si>
  <si>
    <t>Catheterization</t>
  </si>
  <si>
    <t>Surgeon</t>
  </si>
  <si>
    <t>Craniotomy</t>
  </si>
  <si>
    <t>Biopsy</t>
  </si>
  <si>
    <t>Thrombectomy </t>
  </si>
  <si>
    <t>Scoliosis</t>
  </si>
  <si>
    <t>Neurological</t>
  </si>
  <si>
    <t>Hip Replacement</t>
  </si>
  <si>
    <t>Knee Replacement</t>
  </si>
  <si>
    <t>Procedure Name</t>
  </si>
  <si>
    <t>Hours</t>
  </si>
  <si>
    <t>Payments Table</t>
  </si>
  <si>
    <t>OR Hours Table</t>
  </si>
  <si>
    <t>Avg OR Hours</t>
  </si>
  <si>
    <t>dummy</t>
  </si>
  <si>
    <t>Row Labels</t>
  </si>
  <si>
    <t>Grand Total</t>
  </si>
  <si>
    <t>N1</t>
  </si>
  <si>
    <t>N2</t>
  </si>
  <si>
    <t>N3</t>
  </si>
  <si>
    <t>O1</t>
  </si>
  <si>
    <t>O2</t>
  </si>
  <si>
    <t>O3</t>
  </si>
  <si>
    <t>Sum of Hourly Rate</t>
  </si>
  <si>
    <t>Procedure Number</t>
  </si>
  <si>
    <t>OR Hours</t>
  </si>
  <si>
    <t>Total</t>
  </si>
  <si>
    <t>C1</t>
  </si>
  <si>
    <t>C2</t>
  </si>
  <si>
    <t>C3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</si>
  <si>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</si>
  <si>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</si>
  <si>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</si>
  <si>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</si>
  <si>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</si>
  <si>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</si>
  <si>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</si>
  <si>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</si>
  <si>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</si>
  <si>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</si>
  <si>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Group1</t>
  </si>
  <si>
    <t>Group2</t>
  </si>
  <si>
    <t>Group3</t>
  </si>
  <si>
    <t>Payments received</t>
  </si>
  <si>
    <t>Surgeon performing the procedure</t>
  </si>
  <si>
    <t>Each of the above sets of data are provided as a separate table.</t>
  </si>
  <si>
    <t>You must first  assemble the data into a single table to permit it to be analyzed.</t>
  </si>
  <si>
    <t xml:space="preserve"> OR Hours</t>
  </si>
  <si>
    <t>Surgeon Table</t>
  </si>
  <si>
    <r>
      <rPr>
        <i/>
        <sz val="10"/>
        <color theme="1"/>
        <rFont val="Calibri"/>
        <family val="2"/>
        <scheme val="minor"/>
      </rPr>
      <t>Hint</t>
    </r>
    <r>
      <rPr>
        <sz val="10"/>
        <color theme="1"/>
        <rFont val="Calibri"/>
        <family val="2"/>
        <scheme val="minor"/>
      </rPr>
      <t>: You can use the SUMIF function to aggregate all of the payments related to a specific procedure.</t>
    </r>
  </si>
  <si>
    <t>Assemble Data</t>
  </si>
  <si>
    <t>Column C</t>
  </si>
  <si>
    <t>Column D</t>
  </si>
  <si>
    <t>Column E</t>
  </si>
  <si>
    <t>Analyze</t>
  </si>
  <si>
    <t>Hourly Rate</t>
  </si>
  <si>
    <t>You will not be able to complete the remainder of this Workbook if you have not successfully created this PivotTable.</t>
  </si>
  <si>
    <t xml:space="preserve">Hourly Rate </t>
  </si>
  <si>
    <t>Your PivotTable should look as follows:</t>
  </si>
  <si>
    <t>Group 1 (C!, C2 and C3)</t>
  </si>
  <si>
    <t>Group 2 (N!, N2 and N3)</t>
  </si>
  <si>
    <t>Group 3 (O!, O2 and O3)</t>
  </si>
  <si>
    <t>Sum of Count</t>
  </si>
  <si>
    <t>The Calculate Field logic divides the sum of the numerators by the sum of the denominators at every level of the hierarchy.</t>
  </si>
  <si>
    <t>For example, in the below PivotTable we have counted for each Surgeon the number of procedures done by each Procedure Type.</t>
  </si>
  <si>
    <t>Avg Payment per hour</t>
  </si>
  <si>
    <t>count</t>
  </si>
  <si>
    <t>How many of these procedures were performed?</t>
  </si>
  <si>
    <t>Neuro</t>
  </si>
  <si>
    <t>What was the average Payment for the OR for this Surgeon (enter a Value not a Formula)?</t>
  </si>
  <si>
    <t>What was the most frequently performed Procedure?</t>
  </si>
  <si>
    <t>Paymnets</t>
  </si>
  <si>
    <t>Large</t>
  </si>
  <si>
    <t>Max</t>
  </si>
  <si>
    <t>What combination of surgeons best utilizes available hours within this constraint.</t>
  </si>
  <si>
    <t>On this sheet you are provided data on each of 1,000 individual surgical procedures performed at the hospital:</t>
  </si>
  <si>
    <t>Beware, when calculating Payments in Column D that there may have been multiple payments for the same procedure which must be aggregated.</t>
  </si>
  <si>
    <t xml:space="preserve">You will subsequently use the PivotTable you have created to perform the analyses on the 'Analyze' Sheet.  </t>
  </si>
  <si>
    <t>Use the 'Calculate Field…' on the 'Field, Items &amp; Sets' dropdown from the 'Pivot Table Analyze' selection to calculate a new field 'Hourly Rate' equal to the Payments divided by the OR Hours.</t>
  </si>
  <si>
    <t xml:space="preserve">In your PivotTable separately group the three cardiac surgeons (C1, C2 and C3), the three neuro surgeons (N1, N2 and N3) and the three orthopedic surgeons (O1, O2 and O3), </t>
  </si>
  <si>
    <t xml:space="preserve">Notice that it totals to 1,000, the number of procedures in our database.  </t>
  </si>
  <si>
    <t>Using your model, calculate the total number of OR Hours for each combination of surgeons.</t>
  </si>
  <si>
    <t>Please perform the analyses required on this Sheet using the PivotTable you created on the 'Model' Worksheet.</t>
  </si>
  <si>
    <t>payments</t>
  </si>
  <si>
    <t>hours</t>
  </si>
  <si>
    <t>payment/hour</t>
  </si>
  <si>
    <t>max pay/hr</t>
  </si>
  <si>
    <t>avg pay/hr</t>
  </si>
  <si>
    <t>select</t>
  </si>
  <si>
    <t>hours of max pay/hr</t>
  </si>
  <si>
    <t>Input Data</t>
  </si>
  <si>
    <t>max countt</t>
  </si>
  <si>
    <t>surgeon</t>
  </si>
  <si>
    <t>hours of surgeon</t>
  </si>
  <si>
    <t>avg payments</t>
  </si>
  <si>
    <t>min average payments</t>
  </si>
  <si>
    <t>Which Surgeon had the lowest average Hourly Rate for the OR?</t>
  </si>
  <si>
    <t>What was the average Hourly Rate for the OR (enter a Value not a Formula) for this surgeon?</t>
  </si>
  <si>
    <t>HOURLY rate</t>
  </si>
  <si>
    <t>In the PivotTable you have created on the 'Model' Sheet use the 'Calculate Field…' on the 'Field, Items &amp; Sets' dropdown from the 'Pivot Table Analyze' selection to calculate a new field 'Average Payment' equal to the Payments divided by the Count.</t>
  </si>
  <si>
    <t>By creating Column C on the Assemble Data and setting all values to 1 we are artificially creating a count of the procedures at each level.</t>
  </si>
  <si>
    <t>What was the total OR Hours (enter a Value not a Formula) of this Surgeon who performed the most number of these procedures?</t>
  </si>
  <si>
    <t>How many additional hours do these two surgeons require?</t>
  </si>
  <si>
    <t>What is the combined Payments of these two surgeons?</t>
  </si>
  <si>
    <t>Yes</t>
  </si>
  <si>
    <t>No</t>
  </si>
  <si>
    <t>Is the combined Payments of these two surgeons greater than all other potential combinations of surgeons?</t>
  </si>
  <si>
    <t>Which Surgeon had the highest Hourly Rate for the OR?</t>
  </si>
  <si>
    <t>What was the highest Hourly Rate (enter a Value not a Formula) for this Group?</t>
  </si>
  <si>
    <t>Which Group had the highest Hourly Rate for the OR?</t>
  </si>
  <si>
    <t>Which Surgeon performed this procedure at the lowest Average Payment for the OR?</t>
  </si>
  <si>
    <t>Modify the PivotTable to have the Surgeons as the Rows and the average Hourly Rate for the OR and the OR Hours as the related data:</t>
  </si>
  <si>
    <t>What was the highest Hourly Rate for the OR (enter a Value not a Formula) for this surgeon?</t>
  </si>
  <si>
    <t xml:space="preserve">It is important for a hospital to be very competitive for the Procedure that is most frequently performed to attract patients.  </t>
  </si>
  <si>
    <t>Write formulas in Columns D, E and F below that will accomplish this.</t>
  </si>
  <si>
    <t>You need to use the INDEX function in Column E (Surgeon).</t>
  </si>
  <si>
    <t>You need to use the VLOOKUP function in Column F (OR Hours)</t>
  </si>
  <si>
    <t>Using the Table in Columns A through F of the 'Assemble Data' Sheet, create a PivotTable on the 'Model' Sheet that performs the necessary calculations to generate the results presented in the grey cells below.</t>
  </si>
  <si>
    <t>Workbook 3: Data Analysis Modeling</t>
  </si>
  <si>
    <t>The cells in columns D, E and F will turn red if there is an error.</t>
  </si>
  <si>
    <t>Operating Room (OR) Hours required</t>
  </si>
  <si>
    <t>In this workbook you will perform financial analysis of the construction of additional operating rooms in a major hospital.</t>
  </si>
  <si>
    <t>© All rights reserved, 2022, Richard Horwitz &amp; Mustapha Camara</t>
  </si>
  <si>
    <r>
      <rPr>
        <i/>
        <sz val="10"/>
        <color theme="1"/>
        <rFont val="Calibri"/>
        <family val="2"/>
        <scheme val="minor"/>
      </rPr>
      <t>Hint</t>
    </r>
    <r>
      <rPr>
        <sz val="10"/>
        <color theme="1"/>
        <rFont val="Calibri"/>
        <family val="2"/>
        <scheme val="minor"/>
      </rPr>
      <t>: You need to complete the Surgeon column (Column E) before you complete the Payments column (Column D).  The data in Column D will appear when this is done.</t>
    </r>
  </si>
  <si>
    <t>Sum of Average Payment</t>
  </si>
  <si>
    <t>Sum of  OR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</si>
</sst>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_);_(* \(#,##0.0\);_(* &quot;-&quot;??_);_(@_)"/>
    <numFmt numFmtId="167" formatCode="_(&quot;$&quot;* #,##0_);_(&quot;$&quot;* \(#,##0\);_(&quot;$&quot;* &quot;-&quot;??_);_(@_)"/>
    <numFmt numFmtId="168" formatCode="0.0\x"/>
    <numFmt numFmtId="169" formatCode="&quot;$&quot;#,##0.00"/>
    <numFmt numFmtId="170" formatCode="_(&quot;$&quot;* #,##0.0_);_(&quot;$&quot;* \(#,##0.0\);_(&quot;$&quot;* &quot;-&quot;?_);_(@_)"/>
    <numFmt numFmtId="171" formatCode="&quot;$&quot;#,##0"/>
    <numFmt numFmtId="172" formatCode="_(* #,##0.000000000_);_(* \(#,##0.000000000\);_(* &quot;-&quot;??_);_(@_)"/>
    <numFmt numFmtId="173" formatCode="0.000"/>
  </numFmts>
  <fonts count="99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 (Body)_x0000_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</font>
    <font>
      <sz val="8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0"/>
      <color rgb="FFFF0000"/>
      <name val="Calibri"/>
      <family val="2"/>
    </font>
    <font>
      <sz val="12"/>
      <color indexed="8"/>
      <name val="Calibri"/>
      <family val="2"/>
    </font>
    <font>
      <b/>
      <sz val="10"/>
      <name val="Calibri"/>
      <family val="2"/>
    </font>
    <font>
      <u/>
      <sz val="12"/>
      <color indexed="30"/>
      <name val="Calibri"/>
      <family val="2"/>
    </font>
    <font>
      <sz val="11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theme="1"/>
      <name val="Calibri (Body)_x0000_"/>
    </font>
    <font>
      <sz val="10"/>
      <name val="Arial"/>
      <family val="2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indexed="8"/>
      <name val="Calibri"/>
      <family val="2"/>
    </font>
    <font>
      <b/>
      <sz val="18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8"/>
      <color rgb="FFFF0000"/>
      <name val="Calibri"/>
      <family val="2"/>
    </font>
    <font>
      <sz val="8"/>
      <color rgb="FF000000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sz val="9"/>
      <color theme="0"/>
      <name val="Calibri"/>
      <family val="2"/>
    </font>
    <font>
      <i/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indexed="8"/>
      <name val="Calibri"/>
      <family val="2"/>
    </font>
    <font>
      <i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sz val="11"/>
      <color rgb="FFFF0000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i/>
      <sz val="9"/>
      <color indexed="8"/>
      <name val="Calibri"/>
      <family val="2"/>
    </font>
    <font>
      <b/>
      <sz val="9"/>
      <color theme="1"/>
      <name val="Calibri"/>
      <family val="2"/>
    </font>
    <font>
      <sz val="9"/>
      <color indexed="8"/>
      <name val="Calibri"/>
      <family val="2"/>
    </font>
    <font>
      <b/>
      <i/>
      <sz val="11"/>
      <color theme="1"/>
      <name val="Calibri"/>
      <family val="2"/>
    </font>
    <font>
      <i/>
      <sz val="11"/>
      <name val="Calibri"/>
      <family val="2"/>
    </font>
    <font>
      <i/>
      <sz val="9"/>
      <name val="Calibri"/>
      <family val="2"/>
    </font>
    <font>
      <i/>
      <sz val="8"/>
      <name val="Calibri"/>
      <family val="2"/>
    </font>
    <font>
      <i/>
      <sz val="11"/>
      <color rgb="FFFF0000"/>
      <name val="Calibri"/>
      <family val="2"/>
    </font>
    <font>
      <sz val="9"/>
      <color rgb="FF000000"/>
      <name val="Calibri"/>
      <family val="2"/>
    </font>
    <font>
      <b/>
      <i/>
      <sz val="14"/>
      <color theme="1"/>
      <name val="Calibri"/>
      <family val="2"/>
    </font>
    <font>
      <b/>
      <i/>
      <sz val="11"/>
      <name val="Calibri"/>
      <family val="2"/>
    </font>
    <font>
      <i/>
      <sz val="9"/>
      <color theme="1"/>
      <name val="Calibri"/>
      <family val="2"/>
    </font>
    <font>
      <sz val="11"/>
      <color theme="9" tint="-0.249977111117893"/>
      <name val="Calibri"/>
      <family val="2"/>
    </font>
    <font>
      <sz val="9"/>
      <color theme="0"/>
      <name val="Calibri (Body)_x0000_"/>
    </font>
    <font>
      <sz val="9"/>
      <name val="Calibri (Body)_x0000_"/>
    </font>
    <font>
      <sz val="9"/>
      <color indexed="8"/>
      <name val="Calibri (Body)_x0000_"/>
    </font>
    <font>
      <sz val="9"/>
      <color rgb="FFFF0000"/>
      <name val="Calibri (Body)_x0000_"/>
    </font>
    <font>
      <sz val="11"/>
      <color rgb="FF000000"/>
      <name val="Calibri"/>
      <family val="2"/>
    </font>
    <font>
      <sz val="14"/>
      <color theme="1"/>
      <name val="Calibri"/>
      <family val="2"/>
    </font>
    <font>
      <i/>
      <sz val="8"/>
      <color theme="1"/>
      <name val="Calibri"/>
      <family val="2"/>
    </font>
    <font>
      <b/>
      <sz val="9"/>
      <name val="Calibri"/>
      <family val="2"/>
    </font>
    <font>
      <sz val="10"/>
      <color rgb="FFFF0000"/>
      <name val="Calibri (Body)_x0000_"/>
    </font>
    <font>
      <sz val="10"/>
      <color theme="1"/>
      <name val="Arial"/>
      <family val="2"/>
    </font>
    <font>
      <b/>
      <sz val="10"/>
      <color rgb="FFFF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sz val="10"/>
      <color theme="1"/>
      <name val="Calibri (Body)"/>
    </font>
    <font>
      <b/>
      <sz val="10"/>
      <color theme="1"/>
      <name val="Calibri (Body)"/>
    </font>
    <font>
      <i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indexed="8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 Unicode MS"/>
      <family val="2"/>
    </font>
    <font>
      <sz val="8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FD7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6">
    <xf numFmtId="0" fontId="0" fillId="0" borderId="0"/>
    <xf numFmtId="0" fontId="20" fillId="0" borderId="0"/>
    <xf numFmtId="43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31" fillId="0" borderId="0"/>
    <xf numFmtId="0" fontId="33" fillId="0" borderId="0" applyNumberFormat="0" applyFill="0" applyBorder="0" applyAlignment="0" applyProtection="0"/>
    <xf numFmtId="44" fontId="21" fillId="0" borderId="0" applyFont="0" applyFill="0" applyBorder="0" applyAlignment="0" applyProtection="0"/>
    <xf numFmtId="0" fontId="37" fillId="0" borderId="0"/>
    <xf numFmtId="0" fontId="20" fillId="0" borderId="0"/>
    <xf numFmtId="0" fontId="18" fillId="0" borderId="0"/>
    <xf numFmtId="43" fontId="20" fillId="0" borderId="0" applyFont="0" applyFill="0" applyBorder="0" applyAlignment="0" applyProtection="0"/>
    <xf numFmtId="0" fontId="17" fillId="0" borderId="0"/>
    <xf numFmtId="43" fontId="18" fillId="0" borderId="0" applyFont="0" applyFill="0" applyBorder="0" applyAlignment="0" applyProtection="0"/>
    <xf numFmtId="0" fontId="18" fillId="0" borderId="0"/>
    <xf numFmtId="0" fontId="21" fillId="0" borderId="0"/>
    <xf numFmtId="9" fontId="21" fillId="0" borderId="0" applyFont="0" applyFill="0" applyBorder="0" applyAlignment="0" applyProtection="0"/>
    <xf numFmtId="0" fontId="21" fillId="0" borderId="0"/>
    <xf numFmtId="0" fontId="15" fillId="0" borderId="0"/>
    <xf numFmtId="0" fontId="25" fillId="0" borderId="0" applyNumberFormat="0" applyFill="0" applyBorder="0" applyAlignment="0" applyProtection="0"/>
    <xf numFmtId="0" fontId="14" fillId="0" borderId="0"/>
    <xf numFmtId="0" fontId="13" fillId="0" borderId="0"/>
    <xf numFmtId="43" fontId="31" fillId="0" borderId="0" applyFont="0" applyFill="0" applyBorder="0" applyAlignment="0" applyProtection="0"/>
    <xf numFmtId="0" fontId="15" fillId="0" borderId="0"/>
    <xf numFmtId="43" fontId="15" fillId="0" borderId="0" applyFont="0" applyFill="0" applyBorder="0" applyAlignment="0" applyProtection="0"/>
    <xf numFmtId="0" fontId="61" fillId="5" borderId="0" applyNumberFormat="0" applyBorder="0" applyAlignment="0" applyProtection="0"/>
  </cellStyleXfs>
  <cellXfs count="772">
    <xf numFmtId="0" fontId="0" fillId="0" borderId="0" xfId="0"/>
    <xf numFmtId="164" fontId="34" fillId="0" borderId="0" xfId="3" applyNumberFormat="1" applyFont="1" applyAlignment="1">
      <alignment horizontal="center" vertical="center" wrapText="1"/>
    </xf>
    <xf numFmtId="165" fontId="34" fillId="0" borderId="0" xfId="2" applyNumberFormat="1" applyFont="1"/>
    <xf numFmtId="165" fontId="34" fillId="0" borderId="0" xfId="2" applyNumberFormat="1" applyFont="1" applyBorder="1"/>
    <xf numFmtId="165" fontId="34" fillId="0" borderId="11" xfId="2" applyNumberFormat="1" applyFont="1" applyBorder="1"/>
    <xf numFmtId="0" fontId="18" fillId="0" borderId="0" xfId="0" applyFont="1" applyProtection="1">
      <protection hidden="1"/>
    </xf>
    <xf numFmtId="0" fontId="17" fillId="0" borderId="0" xfId="12"/>
    <xf numFmtId="0" fontId="26" fillId="0" borderId="0" xfId="0" applyFont="1"/>
    <xf numFmtId="0" fontId="26" fillId="0" borderId="0" xfId="10" applyFont="1"/>
    <xf numFmtId="0" fontId="29" fillId="0" borderId="0" xfId="17" applyFont="1" applyProtection="1">
      <protection hidden="1"/>
    </xf>
    <xf numFmtId="0" fontId="18" fillId="0" borderId="0" xfId="0" applyFont="1"/>
    <xf numFmtId="0" fontId="28" fillId="0" borderId="0" xfId="0" applyFont="1"/>
    <xf numFmtId="0" fontId="22" fillId="0" borderId="0" xfId="0" applyFont="1"/>
    <xf numFmtId="0" fontId="16" fillId="0" borderId="0" xfId="0" applyFont="1"/>
    <xf numFmtId="0" fontId="30" fillId="0" borderId="0" xfId="0" applyFont="1" applyAlignment="1">
      <alignment horizontal="left" indent="4"/>
    </xf>
    <xf numFmtId="0" fontId="38" fillId="0" borderId="0" xfId="0" applyFont="1"/>
    <xf numFmtId="0" fontId="41" fillId="0" borderId="0" xfId="0" applyFont="1" applyAlignment="1">
      <alignment horizontal="left" vertical="center"/>
    </xf>
    <xf numFmtId="0" fontId="30" fillId="0" borderId="0" xfId="0" applyFont="1"/>
    <xf numFmtId="0" fontId="40" fillId="0" borderId="0" xfId="0" applyFont="1"/>
    <xf numFmtId="0" fontId="26" fillId="0" borderId="0" xfId="0" applyFont="1" applyAlignment="1">
      <alignment horizontal="center"/>
    </xf>
    <xf numFmtId="0" fontId="13" fillId="0" borderId="0" xfId="21"/>
    <xf numFmtId="0" fontId="13" fillId="3" borderId="0" xfId="21" applyFill="1"/>
    <xf numFmtId="165" fontId="42" fillId="0" borderId="0" xfId="2" applyNumberFormat="1" applyFont="1" applyFill="1" applyBorder="1" applyAlignment="1">
      <alignment vertical="center"/>
    </xf>
    <xf numFmtId="0" fontId="45" fillId="0" borderId="0" xfId="0" applyFont="1"/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left" vertical="center" wrapText="1"/>
    </xf>
    <xf numFmtId="0" fontId="49" fillId="0" borderId="0" xfId="0" applyFont="1"/>
    <xf numFmtId="3" fontId="50" fillId="0" borderId="0" xfId="0" applyNumberFormat="1" applyFont="1"/>
    <xf numFmtId="0" fontId="52" fillId="0" borderId="0" xfId="0" applyFont="1"/>
    <xf numFmtId="0" fontId="49" fillId="0" borderId="0" xfId="7" applyNumberFormat="1" applyFont="1" applyAlignment="1">
      <alignment horizontal="right" vertical="center" wrapText="1"/>
    </xf>
    <xf numFmtId="165" fontId="42" fillId="0" borderId="0" xfId="2" applyNumberFormat="1" applyFont="1"/>
    <xf numFmtId="0" fontId="39" fillId="0" borderId="0" xfId="0" applyFont="1"/>
    <xf numFmtId="44" fontId="49" fillId="0" borderId="0" xfId="7" applyFont="1"/>
    <xf numFmtId="44" fontId="49" fillId="0" borderId="0" xfId="7" applyFont="1" applyFill="1"/>
    <xf numFmtId="165" fontId="49" fillId="0" borderId="0" xfId="2" applyNumberFormat="1" applyFont="1" applyFill="1"/>
    <xf numFmtId="0" fontId="55" fillId="0" borderId="0" xfId="0" applyFont="1"/>
    <xf numFmtId="165" fontId="49" fillId="0" borderId="0" xfId="2" applyNumberFormat="1" applyFont="1"/>
    <xf numFmtId="165" fontId="57" fillId="0" borderId="0" xfId="2" applyNumberFormat="1" applyFont="1"/>
    <xf numFmtId="165" fontId="57" fillId="0" borderId="0" xfId="2" applyNumberFormat="1" applyFont="1" applyFill="1"/>
    <xf numFmtId="164" fontId="58" fillId="0" borderId="0" xfId="3" applyNumberFormat="1" applyFont="1"/>
    <xf numFmtId="164" fontId="58" fillId="0" borderId="0" xfId="3" applyNumberFormat="1" applyFont="1" applyFill="1"/>
    <xf numFmtId="0" fontId="42" fillId="0" borderId="0" xfId="0" applyFont="1"/>
    <xf numFmtId="164" fontId="58" fillId="0" borderId="0" xfId="0" applyNumberFormat="1" applyFont="1"/>
    <xf numFmtId="0" fontId="49" fillId="0" borderId="0" xfId="0" applyFont="1" applyAlignment="1">
      <alignment horizontal="left" indent="2"/>
    </xf>
    <xf numFmtId="0" fontId="58" fillId="0" borderId="0" xfId="0" applyFont="1"/>
    <xf numFmtId="165" fontId="49" fillId="0" borderId="0" xfId="2" applyNumberFormat="1" applyFont="1" applyBorder="1"/>
    <xf numFmtId="0" fontId="49" fillId="0" borderId="0" xfId="0" applyFont="1" applyAlignment="1">
      <alignment horizontal="left"/>
    </xf>
    <xf numFmtId="165" fontId="58" fillId="0" borderId="0" xfId="2" applyNumberFormat="1" applyFont="1" applyFill="1"/>
    <xf numFmtId="164" fontId="58" fillId="0" borderId="0" xfId="3" applyNumberFormat="1" applyFont="1" applyFill="1" applyAlignment="1">
      <alignment vertical="center"/>
    </xf>
    <xf numFmtId="165" fontId="49" fillId="0" borderId="0" xfId="0" applyNumberFormat="1" applyFont="1"/>
    <xf numFmtId="0" fontId="57" fillId="0" borderId="0" xfId="0" applyFont="1"/>
    <xf numFmtId="0" fontId="42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43" fillId="0" borderId="0" xfId="0" applyFont="1"/>
    <xf numFmtId="165" fontId="57" fillId="0" borderId="0" xfId="2" applyNumberFormat="1" applyFont="1" applyFill="1" applyBorder="1"/>
    <xf numFmtId="165" fontId="49" fillId="0" borderId="0" xfId="2" applyNumberFormat="1" applyFont="1" applyFill="1" applyBorder="1"/>
    <xf numFmtId="164" fontId="44" fillId="0" borderId="0" xfId="3" applyNumberFormat="1" applyFont="1"/>
    <xf numFmtId="0" fontId="56" fillId="0" borderId="0" xfId="0" applyFont="1"/>
    <xf numFmtId="164" fontId="47" fillId="0" borderId="0" xfId="0" applyNumberFormat="1" applyFont="1" applyAlignment="1">
      <alignment horizontal="left" vertical="center" wrapText="1"/>
    </xf>
    <xf numFmtId="0" fontId="49" fillId="0" borderId="0" xfId="0" applyFont="1" applyAlignment="1">
      <alignment horizontal="center" wrapText="1"/>
    </xf>
    <xf numFmtId="9" fontId="51" fillId="0" borderId="11" xfId="3" applyFont="1" applyBorder="1"/>
    <xf numFmtId="0" fontId="57" fillId="0" borderId="0" xfId="0" applyFont="1" applyAlignment="1">
      <alignment horizontal="center" wrapText="1"/>
    </xf>
    <xf numFmtId="0" fontId="4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11" xfId="7" applyNumberFormat="1" applyFont="1" applyBorder="1" applyAlignment="1">
      <alignment horizontal="right" vertical="center" wrapText="1"/>
    </xf>
    <xf numFmtId="0" fontId="49" fillId="0" borderId="0" xfId="0" applyFont="1" applyAlignment="1">
      <alignment horizontal="right" vertical="center" wrapText="1"/>
    </xf>
    <xf numFmtId="0" fontId="49" fillId="0" borderId="11" xfId="0" applyFont="1" applyBorder="1" applyAlignment="1">
      <alignment horizontal="right" vertical="center" wrapText="1"/>
    </xf>
    <xf numFmtId="0" fontId="49" fillId="0" borderId="0" xfId="0" applyFont="1" applyAlignment="1">
      <alignment horizontal="center" vertical="center" wrapText="1"/>
    </xf>
    <xf numFmtId="165" fontId="42" fillId="0" borderId="11" xfId="2" applyNumberFormat="1" applyFont="1" applyBorder="1"/>
    <xf numFmtId="44" fontId="49" fillId="0" borderId="0" xfId="7" applyFont="1" applyBorder="1"/>
    <xf numFmtId="44" fontId="49" fillId="0" borderId="11" xfId="7" applyFont="1" applyBorder="1"/>
    <xf numFmtId="0" fontId="49" fillId="0" borderId="0" xfId="0" applyFont="1" applyAlignment="1">
      <alignment horizontal="center"/>
    </xf>
    <xf numFmtId="165" fontId="42" fillId="0" borderId="11" xfId="2" applyNumberFormat="1" applyFont="1" applyFill="1" applyBorder="1" applyAlignment="1">
      <alignment vertical="center"/>
    </xf>
    <xf numFmtId="44" fontId="48" fillId="0" borderId="0" xfId="7" applyFont="1"/>
    <xf numFmtId="44" fontId="48" fillId="0" borderId="0" xfId="7" applyFont="1" applyFill="1"/>
    <xf numFmtId="0" fontId="44" fillId="0" borderId="0" xfId="0" applyFont="1"/>
    <xf numFmtId="0" fontId="45" fillId="0" borderId="0" xfId="0" applyFont="1" applyAlignment="1">
      <alignment horizontal="left" indent="2"/>
    </xf>
    <xf numFmtId="165" fontId="49" fillId="0" borderId="11" xfId="2" applyNumberFormat="1" applyFont="1" applyBorder="1"/>
    <xf numFmtId="164" fontId="49" fillId="0" borderId="0" xfId="3" applyNumberFormat="1" applyFont="1" applyFill="1" applyBorder="1" applyAlignment="1">
      <alignment horizontal="center"/>
    </xf>
    <xf numFmtId="9" fontId="49" fillId="0" borderId="0" xfId="0" applyNumberFormat="1" applyFont="1"/>
    <xf numFmtId="165" fontId="45" fillId="0" borderId="0" xfId="2" applyNumberFormat="1" applyFont="1" applyFill="1" applyBorder="1"/>
    <xf numFmtId="165" fontId="45" fillId="0" borderId="11" xfId="2" applyNumberFormat="1" applyFont="1" applyFill="1" applyBorder="1"/>
    <xf numFmtId="0" fontId="45" fillId="0" borderId="0" xfId="0" applyFont="1" applyAlignment="1">
      <alignment horizontal="left"/>
    </xf>
    <xf numFmtId="165" fontId="49" fillId="0" borderId="11" xfId="2" applyNumberFormat="1" applyFont="1" applyFill="1" applyBorder="1"/>
    <xf numFmtId="165" fontId="57" fillId="0" borderId="11" xfId="2" applyNumberFormat="1" applyFont="1" applyFill="1" applyBorder="1"/>
    <xf numFmtId="164" fontId="57" fillId="0" borderId="0" xfId="3" applyNumberFormat="1" applyFont="1" applyFill="1" applyBorder="1" applyAlignment="1">
      <alignment horizontal="center"/>
    </xf>
    <xf numFmtId="9" fontId="57" fillId="0" borderId="0" xfId="0" applyNumberFormat="1" applyFont="1"/>
    <xf numFmtId="9" fontId="49" fillId="0" borderId="0" xfId="3" applyFont="1" applyFill="1" applyBorder="1"/>
    <xf numFmtId="9" fontId="49" fillId="0" borderId="11" xfId="3" applyFont="1" applyFill="1" applyBorder="1"/>
    <xf numFmtId="0" fontId="43" fillId="0" borderId="0" xfId="0" applyFont="1" applyAlignment="1">
      <alignment horizontal="left"/>
    </xf>
    <xf numFmtId="165" fontId="43" fillId="0" borderId="0" xfId="0" applyNumberFormat="1" applyFont="1" applyAlignment="1">
      <alignment horizontal="left"/>
    </xf>
    <xf numFmtId="165" fontId="43" fillId="0" borderId="11" xfId="0" applyNumberFormat="1" applyFont="1" applyBorder="1" applyAlignment="1">
      <alignment horizontal="left"/>
    </xf>
    <xf numFmtId="164" fontId="43" fillId="0" borderId="0" xfId="3" applyNumberFormat="1" applyFont="1" applyFill="1" applyBorder="1" applyAlignment="1">
      <alignment horizontal="center"/>
    </xf>
    <xf numFmtId="9" fontId="43" fillId="0" borderId="0" xfId="0" applyNumberFormat="1" applyFont="1"/>
    <xf numFmtId="0" fontId="49" fillId="0" borderId="12" xfId="0" applyFont="1" applyBorder="1" applyAlignment="1">
      <alignment horizontal="left" indent="2"/>
    </xf>
    <xf numFmtId="165" fontId="62" fillId="0" borderId="12" xfId="2" applyNumberFormat="1" applyFont="1" applyBorder="1"/>
    <xf numFmtId="165" fontId="62" fillId="0" borderId="13" xfId="2" applyNumberFormat="1" applyFont="1" applyBorder="1"/>
    <xf numFmtId="164" fontId="49" fillId="0" borderId="12" xfId="3" applyNumberFormat="1" applyFont="1" applyBorder="1" applyAlignment="1">
      <alignment horizontal="center"/>
    </xf>
    <xf numFmtId="0" fontId="49" fillId="0" borderId="12" xfId="0" applyFont="1" applyBorder="1"/>
    <xf numFmtId="165" fontId="62" fillId="0" borderId="12" xfId="2" applyNumberFormat="1" applyFont="1" applyFill="1" applyBorder="1"/>
    <xf numFmtId="0" fontId="57" fillId="0" borderId="14" xfId="0" applyFont="1" applyBorder="1"/>
    <xf numFmtId="165" fontId="57" fillId="0" borderId="14" xfId="0" applyNumberFormat="1" applyFont="1" applyBorder="1"/>
    <xf numFmtId="165" fontId="57" fillId="0" borderId="15" xfId="0" applyNumberFormat="1" applyFont="1" applyBorder="1"/>
    <xf numFmtId="164" fontId="57" fillId="0" borderId="14" xfId="3" applyNumberFormat="1" applyFont="1" applyFill="1" applyBorder="1" applyAlignment="1">
      <alignment horizontal="center"/>
    </xf>
    <xf numFmtId="9" fontId="57" fillId="0" borderId="14" xfId="0" applyNumberFormat="1" applyFont="1" applyBorder="1"/>
    <xf numFmtId="164" fontId="49" fillId="0" borderId="0" xfId="3" applyNumberFormat="1" applyFont="1" applyBorder="1" applyAlignment="1">
      <alignment horizontal="center"/>
    </xf>
    <xf numFmtId="165" fontId="49" fillId="0" borderId="11" xfId="0" applyNumberFormat="1" applyFont="1" applyBorder="1"/>
    <xf numFmtId="0" fontId="49" fillId="0" borderId="19" xfId="0" applyFont="1" applyBorder="1"/>
    <xf numFmtId="165" fontId="49" fillId="0" borderId="19" xfId="2" applyNumberFormat="1" applyFont="1" applyBorder="1"/>
    <xf numFmtId="165" fontId="49" fillId="0" borderId="20" xfId="2" applyNumberFormat="1" applyFont="1" applyBorder="1"/>
    <xf numFmtId="164" fontId="49" fillId="0" borderId="19" xfId="3" applyNumberFormat="1" applyFont="1" applyBorder="1" applyAlignment="1">
      <alignment horizontal="center"/>
    </xf>
    <xf numFmtId="165" fontId="49" fillId="0" borderId="19" xfId="2" applyNumberFormat="1" applyFont="1" applyFill="1" applyBorder="1"/>
    <xf numFmtId="0" fontId="57" fillId="3" borderId="21" xfId="0" applyFont="1" applyFill="1" applyBorder="1"/>
    <xf numFmtId="165" fontId="57" fillId="3" borderId="21" xfId="0" applyNumberFormat="1" applyFont="1" applyFill="1" applyBorder="1"/>
    <xf numFmtId="165" fontId="57" fillId="3" borderId="22" xfId="0" applyNumberFormat="1" applyFont="1" applyFill="1" applyBorder="1"/>
    <xf numFmtId="164" fontId="49" fillId="3" borderId="21" xfId="3" applyNumberFormat="1" applyFont="1" applyFill="1" applyBorder="1" applyAlignment="1">
      <alignment horizontal="center"/>
    </xf>
    <xf numFmtId="9" fontId="49" fillId="3" borderId="21" xfId="0" applyNumberFormat="1" applyFont="1" applyFill="1" applyBorder="1"/>
    <xf numFmtId="0" fontId="57" fillId="3" borderId="0" xfId="0" applyFont="1" applyFill="1"/>
    <xf numFmtId="165" fontId="49" fillId="2" borderId="16" xfId="2" applyNumberFormat="1" applyFont="1" applyFill="1" applyBorder="1"/>
    <xf numFmtId="165" fontId="49" fillId="2" borderId="1" xfId="2" applyNumberFormat="1" applyFont="1" applyFill="1" applyBorder="1"/>
    <xf numFmtId="165" fontId="49" fillId="2" borderId="24" xfId="2" applyNumberFormat="1" applyFont="1" applyFill="1" applyBorder="1"/>
    <xf numFmtId="165" fontId="49" fillId="0" borderId="2" xfId="2" applyNumberFormat="1" applyFont="1" applyFill="1" applyBorder="1"/>
    <xf numFmtId="165" fontId="49" fillId="0" borderId="1" xfId="2" applyNumberFormat="1" applyFont="1" applyFill="1" applyBorder="1"/>
    <xf numFmtId="165" fontId="49" fillId="0" borderId="3" xfId="2" applyNumberFormat="1" applyFont="1" applyFill="1" applyBorder="1"/>
    <xf numFmtId="165" fontId="49" fillId="2" borderId="7" xfId="2" applyNumberFormat="1" applyFont="1" applyFill="1" applyBorder="1"/>
    <xf numFmtId="165" fontId="49" fillId="2" borderId="23" xfId="2" applyNumberFormat="1" applyFont="1" applyFill="1" applyBorder="1"/>
    <xf numFmtId="165" fontId="49" fillId="2" borderId="25" xfId="2" applyNumberFormat="1" applyFont="1" applyFill="1" applyBorder="1"/>
    <xf numFmtId="165" fontId="49" fillId="0" borderId="6" xfId="2" applyNumberFormat="1" applyFont="1" applyFill="1" applyBorder="1"/>
    <xf numFmtId="165" fontId="49" fillId="0" borderId="23" xfId="2" applyNumberFormat="1" applyFont="1" applyFill="1" applyBorder="1"/>
    <xf numFmtId="165" fontId="49" fillId="0" borderId="8" xfId="2" applyNumberFormat="1" applyFont="1" applyFill="1" applyBorder="1"/>
    <xf numFmtId="0" fontId="57" fillId="0" borderId="0" xfId="0" applyFont="1" applyAlignment="1">
      <alignment horizontal="left"/>
    </xf>
    <xf numFmtId="165" fontId="57" fillId="0" borderId="0" xfId="2" applyNumberFormat="1" applyFont="1" applyBorder="1"/>
    <xf numFmtId="165" fontId="57" fillId="0" borderId="11" xfId="2" applyNumberFormat="1" applyFont="1" applyBorder="1"/>
    <xf numFmtId="165" fontId="45" fillId="2" borderId="16" xfId="2" applyNumberFormat="1" applyFont="1" applyFill="1" applyBorder="1"/>
    <xf numFmtId="165" fontId="45" fillId="2" borderId="1" xfId="2" applyNumberFormat="1" applyFont="1" applyFill="1" applyBorder="1"/>
    <xf numFmtId="165" fontId="45" fillId="2" borderId="24" xfId="2" applyNumberFormat="1" applyFont="1" applyFill="1" applyBorder="1"/>
    <xf numFmtId="165" fontId="45" fillId="0" borderId="2" xfId="2" applyNumberFormat="1" applyFont="1" applyFill="1" applyBorder="1"/>
    <xf numFmtId="165" fontId="45" fillId="0" borderId="1" xfId="2" applyNumberFormat="1" applyFont="1" applyFill="1" applyBorder="1"/>
    <xf numFmtId="165" fontId="45" fillId="0" borderId="3" xfId="2" applyNumberFormat="1" applyFont="1" applyFill="1" applyBorder="1"/>
    <xf numFmtId="165" fontId="45" fillId="2" borderId="7" xfId="2" applyNumberFormat="1" applyFont="1" applyFill="1" applyBorder="1"/>
    <xf numFmtId="165" fontId="45" fillId="2" borderId="23" xfId="2" applyNumberFormat="1" applyFont="1" applyFill="1" applyBorder="1"/>
    <xf numFmtId="165" fontId="45" fillId="2" borderId="25" xfId="2" applyNumberFormat="1" applyFont="1" applyFill="1" applyBorder="1"/>
    <xf numFmtId="165" fontId="45" fillId="0" borderId="6" xfId="2" applyNumberFormat="1" applyFont="1" applyFill="1" applyBorder="1"/>
    <xf numFmtId="165" fontId="45" fillId="0" borderId="23" xfId="2" applyNumberFormat="1" applyFont="1" applyFill="1" applyBorder="1"/>
    <xf numFmtId="165" fontId="45" fillId="0" borderId="8" xfId="2" applyNumberFormat="1" applyFont="1" applyFill="1" applyBorder="1"/>
    <xf numFmtId="165" fontId="43" fillId="0" borderId="0" xfId="2" applyNumberFormat="1" applyFont="1" applyFill="1" applyBorder="1"/>
    <xf numFmtId="165" fontId="43" fillId="0" borderId="11" xfId="2" applyNumberFormat="1" applyFont="1" applyFill="1" applyBorder="1"/>
    <xf numFmtId="0" fontId="57" fillId="3" borderId="19" xfId="0" applyFont="1" applyFill="1" applyBorder="1"/>
    <xf numFmtId="165" fontId="57" fillId="3" borderId="19" xfId="0" applyNumberFormat="1" applyFont="1" applyFill="1" applyBorder="1"/>
    <xf numFmtId="165" fontId="57" fillId="3" borderId="20" xfId="0" applyNumberFormat="1" applyFont="1" applyFill="1" applyBorder="1"/>
    <xf numFmtId="14" fontId="53" fillId="0" borderId="0" xfId="0" applyNumberFormat="1" applyFont="1" applyAlignment="1">
      <alignment horizontal="left"/>
    </xf>
    <xf numFmtId="44" fontId="49" fillId="0" borderId="0" xfId="7" applyFont="1" applyFill="1" applyBorder="1"/>
    <xf numFmtId="44" fontId="49" fillId="0" borderId="11" xfId="7" applyFont="1" applyFill="1" applyBorder="1"/>
    <xf numFmtId="0" fontId="43" fillId="4" borderId="0" xfId="0" applyFont="1" applyFill="1"/>
    <xf numFmtId="0" fontId="57" fillId="4" borderId="0" xfId="0" applyFont="1" applyFill="1"/>
    <xf numFmtId="44" fontId="49" fillId="4" borderId="0" xfId="7" applyFont="1" applyFill="1" applyBorder="1"/>
    <xf numFmtId="44" fontId="49" fillId="4" borderId="11" xfId="7" applyFont="1" applyFill="1" applyBorder="1"/>
    <xf numFmtId="44" fontId="57" fillId="4" borderId="0" xfId="7" applyFont="1" applyFill="1" applyBorder="1"/>
    <xf numFmtId="44" fontId="57" fillId="4" borderId="0" xfId="7" applyFont="1" applyFill="1"/>
    <xf numFmtId="44" fontId="57" fillId="4" borderId="11" xfId="7" applyFont="1" applyFill="1" applyBorder="1"/>
    <xf numFmtId="0" fontId="57" fillId="4" borderId="0" xfId="0" applyFont="1" applyFill="1" applyAlignment="1">
      <alignment horizontal="center"/>
    </xf>
    <xf numFmtId="165" fontId="53" fillId="0" borderId="0" xfId="0" applyNumberFormat="1" applyFont="1" applyAlignment="1">
      <alignment horizontal="left"/>
    </xf>
    <xf numFmtId="165" fontId="53" fillId="0" borderId="11" xfId="0" applyNumberFormat="1" applyFont="1" applyBorder="1" applyAlignment="1">
      <alignment horizontal="left"/>
    </xf>
    <xf numFmtId="14" fontId="63" fillId="0" borderId="0" xfId="0" applyNumberFormat="1" applyFont="1" applyAlignment="1">
      <alignment horizontal="left"/>
    </xf>
    <xf numFmtId="7" fontId="53" fillId="0" borderId="0" xfId="2" applyNumberFormat="1" applyFont="1" applyFill="1" applyBorder="1" applyAlignment="1">
      <alignment horizontal="right"/>
    </xf>
    <xf numFmtId="7" fontId="53" fillId="0" borderId="11" xfId="2" applyNumberFormat="1" applyFont="1" applyFill="1" applyBorder="1" applyAlignment="1">
      <alignment horizontal="right"/>
    </xf>
    <xf numFmtId="7" fontId="53" fillId="0" borderId="0" xfId="2" applyNumberFormat="1" applyFont="1" applyFill="1" applyAlignment="1">
      <alignment horizontal="right"/>
    </xf>
    <xf numFmtId="0" fontId="64" fillId="0" borderId="0" xfId="0" applyFont="1" applyAlignment="1">
      <alignment horizontal="left" indent="2"/>
    </xf>
    <xf numFmtId="165" fontId="64" fillId="0" borderId="0" xfId="2" applyNumberFormat="1" applyFont="1" applyFill="1" applyBorder="1"/>
    <xf numFmtId="165" fontId="64" fillId="0" borderId="11" xfId="2" applyNumberFormat="1" applyFont="1" applyFill="1" applyBorder="1"/>
    <xf numFmtId="165" fontId="64" fillId="0" borderId="0" xfId="2" applyNumberFormat="1" applyFont="1" applyFill="1"/>
    <xf numFmtId="0" fontId="65" fillId="0" borderId="0" xfId="0" applyFont="1" applyAlignment="1">
      <alignment horizontal="center"/>
    </xf>
    <xf numFmtId="0" fontId="65" fillId="0" borderId="0" xfId="0" applyFont="1"/>
    <xf numFmtId="0" fontId="53" fillId="3" borderId="0" xfId="0" applyFont="1" applyFill="1"/>
    <xf numFmtId="165" fontId="53" fillId="3" borderId="0" xfId="2" applyNumberFormat="1" applyFont="1" applyFill="1" applyBorder="1"/>
    <xf numFmtId="165" fontId="53" fillId="3" borderId="11" xfId="2" applyNumberFormat="1" applyFont="1" applyFill="1" applyBorder="1"/>
    <xf numFmtId="0" fontId="58" fillId="3" borderId="0" xfId="0" applyFont="1" applyFill="1" applyAlignment="1">
      <alignment horizontal="center"/>
    </xf>
    <xf numFmtId="0" fontId="58" fillId="3" borderId="0" xfId="0" applyFont="1" applyFill="1"/>
    <xf numFmtId="0" fontId="66" fillId="0" borderId="0" xfId="0" applyFont="1" applyAlignment="1">
      <alignment horizontal="left" indent="2"/>
    </xf>
    <xf numFmtId="14" fontId="64" fillId="0" borderId="0" xfId="0" applyNumberFormat="1" applyFont="1" applyAlignment="1">
      <alignment horizontal="left" indent="2"/>
    </xf>
    <xf numFmtId="165" fontId="64" fillId="0" borderId="0" xfId="2" applyNumberFormat="1" applyFont="1" applyFill="1" applyBorder="1" applyAlignment="1">
      <alignment horizontal="left" indent="2"/>
    </xf>
    <xf numFmtId="165" fontId="64" fillId="0" borderId="11" xfId="2" applyNumberFormat="1" applyFont="1" applyFill="1" applyBorder="1" applyAlignment="1">
      <alignment horizontal="left" indent="2"/>
    </xf>
    <xf numFmtId="165" fontId="64" fillId="0" borderId="0" xfId="2" applyNumberFormat="1" applyFont="1" applyFill="1" applyAlignment="1">
      <alignment horizontal="left" indent="2"/>
    </xf>
    <xf numFmtId="0" fontId="67" fillId="0" borderId="0" xfId="0" applyFont="1" applyAlignment="1">
      <alignment horizontal="center"/>
    </xf>
    <xf numFmtId="0" fontId="67" fillId="0" borderId="0" xfId="0" applyFont="1" applyAlignment="1">
      <alignment horizontal="left" indent="2"/>
    </xf>
    <xf numFmtId="165" fontId="53" fillId="3" borderId="0" xfId="2" applyNumberFormat="1" applyFont="1" applyFill="1"/>
    <xf numFmtId="14" fontId="32" fillId="0" borderId="0" xfId="0" applyNumberFormat="1" applyFont="1" applyAlignment="1">
      <alignment horizontal="left"/>
    </xf>
    <xf numFmtId="44" fontId="26" fillId="0" borderId="0" xfId="7" applyFont="1" applyFill="1" applyBorder="1"/>
    <xf numFmtId="44" fontId="26" fillId="0" borderId="11" xfId="7" applyFont="1" applyFill="1" applyBorder="1"/>
    <xf numFmtId="44" fontId="26" fillId="0" borderId="0" xfId="7" applyFont="1" applyFill="1"/>
    <xf numFmtId="165" fontId="63" fillId="0" borderId="0" xfId="0" applyNumberFormat="1" applyFont="1" applyAlignment="1">
      <alignment horizontal="center"/>
    </xf>
    <xf numFmtId="165" fontId="63" fillId="0" borderId="11" xfId="0" applyNumberFormat="1" applyFont="1" applyBorder="1" applyAlignment="1">
      <alignment horizontal="center"/>
    </xf>
    <xf numFmtId="164" fontId="58" fillId="0" borderId="0" xfId="3" applyNumberFormat="1" applyFont="1" applyFill="1" applyBorder="1" applyAlignment="1">
      <alignment horizontal="center"/>
    </xf>
    <xf numFmtId="165" fontId="63" fillId="0" borderId="0" xfId="0" applyNumberFormat="1" applyFont="1" applyAlignment="1">
      <alignment horizontal="left"/>
    </xf>
    <xf numFmtId="165" fontId="63" fillId="0" borderId="11" xfId="0" applyNumberFormat="1" applyFont="1" applyBorder="1" applyAlignment="1">
      <alignment horizontal="left"/>
    </xf>
    <xf numFmtId="164" fontId="68" fillId="0" borderId="0" xfId="3" applyNumberFormat="1" applyFont="1"/>
    <xf numFmtId="164" fontId="69" fillId="0" borderId="0" xfId="3" applyNumberFormat="1" applyFont="1" applyFill="1" applyAlignment="1">
      <alignment horizontal="left" indent="2"/>
    </xf>
    <xf numFmtId="164" fontId="69" fillId="0" borderId="0" xfId="3" applyNumberFormat="1" applyFont="1" applyFill="1" applyBorder="1" applyAlignment="1">
      <alignment horizontal="right"/>
    </xf>
    <xf numFmtId="164" fontId="69" fillId="2" borderId="1" xfId="3" applyNumberFormat="1" applyFont="1" applyFill="1" applyBorder="1" applyAlignment="1">
      <alignment horizontal="right"/>
    </xf>
    <xf numFmtId="164" fontId="69" fillId="2" borderId="3" xfId="3" applyNumberFormat="1" applyFont="1" applyFill="1" applyBorder="1" applyAlignment="1">
      <alignment horizontal="right"/>
    </xf>
    <xf numFmtId="164" fontId="69" fillId="2" borderId="17" xfId="3" applyNumberFormat="1" applyFont="1" applyFill="1" applyBorder="1" applyAlignment="1">
      <alignment horizontal="right"/>
    </xf>
    <xf numFmtId="164" fontId="69" fillId="0" borderId="1" xfId="3" applyNumberFormat="1" applyFont="1" applyFill="1" applyBorder="1" applyAlignment="1">
      <alignment horizontal="right"/>
    </xf>
    <xf numFmtId="14" fontId="53" fillId="0" borderId="0" xfId="0" applyNumberFormat="1" applyFont="1" applyAlignment="1">
      <alignment horizontal="left" indent="2"/>
    </xf>
    <xf numFmtId="14" fontId="69" fillId="0" borderId="0" xfId="0" applyNumberFormat="1" applyFont="1" applyAlignment="1">
      <alignment horizontal="left"/>
    </xf>
    <xf numFmtId="9" fontId="58" fillId="0" borderId="0" xfId="3" applyFont="1" applyBorder="1"/>
    <xf numFmtId="9" fontId="58" fillId="0" borderId="11" xfId="3" applyFont="1" applyBorder="1"/>
    <xf numFmtId="9" fontId="58" fillId="0" borderId="0" xfId="3" applyFont="1"/>
    <xf numFmtId="164" fontId="69" fillId="0" borderId="0" xfId="3" applyNumberFormat="1" applyFont="1" applyFill="1" applyAlignment="1">
      <alignment horizontal="left"/>
    </xf>
    <xf numFmtId="164" fontId="58" fillId="0" borderId="0" xfId="3" applyNumberFormat="1" applyFont="1" applyBorder="1"/>
    <xf numFmtId="164" fontId="58" fillId="0" borderId="11" xfId="3" applyNumberFormat="1" applyFont="1" applyBorder="1"/>
    <xf numFmtId="165" fontId="53" fillId="0" borderId="0" xfId="2" applyNumberFormat="1" applyFont="1" applyFill="1" applyBorder="1" applyAlignment="1">
      <alignment horizontal="right"/>
    </xf>
    <xf numFmtId="165" fontId="53" fillId="0" borderId="11" xfId="2" applyNumberFormat="1" applyFont="1" applyFill="1" applyBorder="1" applyAlignment="1">
      <alignment horizontal="right"/>
    </xf>
    <xf numFmtId="165" fontId="53" fillId="0" borderId="0" xfId="2" applyNumberFormat="1" applyFont="1" applyFill="1" applyAlignment="1">
      <alignment horizontal="right"/>
    </xf>
    <xf numFmtId="0" fontId="53" fillId="0" borderId="0" xfId="0" applyFont="1"/>
    <xf numFmtId="165" fontId="53" fillId="0" borderId="0" xfId="2" applyNumberFormat="1" applyFont="1" applyFill="1" applyBorder="1"/>
    <xf numFmtId="165" fontId="53" fillId="0" borderId="11" xfId="2" applyNumberFormat="1" applyFont="1" applyFill="1" applyBorder="1"/>
    <xf numFmtId="165" fontId="53" fillId="0" borderId="0" xfId="2" applyNumberFormat="1" applyFont="1" applyFill="1"/>
    <xf numFmtId="0" fontId="58" fillId="0" borderId="0" xfId="0" applyFont="1" applyAlignment="1">
      <alignment horizontal="center"/>
    </xf>
    <xf numFmtId="14" fontId="69" fillId="0" borderId="0" xfId="0" applyNumberFormat="1" applyFont="1" applyAlignment="1">
      <alignment horizontal="left" indent="2"/>
    </xf>
    <xf numFmtId="168" fontId="44" fillId="0" borderId="0" xfId="0" applyNumberFormat="1" applyFont="1"/>
    <xf numFmtId="168" fontId="44" fillId="0" borderId="11" xfId="0" applyNumberFormat="1" applyFont="1" applyBorder="1"/>
    <xf numFmtId="14" fontId="44" fillId="0" borderId="0" xfId="0" applyNumberFormat="1" applyFont="1" applyAlignment="1">
      <alignment horizontal="left" indent="2"/>
    </xf>
    <xf numFmtId="166" fontId="45" fillId="0" borderId="0" xfId="2" applyNumberFormat="1" applyFont="1"/>
    <xf numFmtId="166" fontId="53" fillId="0" borderId="0" xfId="2" applyNumberFormat="1" applyFont="1" applyFill="1" applyAlignment="1">
      <alignment horizontal="left" indent="2"/>
    </xf>
    <xf numFmtId="166" fontId="49" fillId="0" borderId="0" xfId="2" applyNumberFormat="1" applyFont="1" applyFill="1"/>
    <xf numFmtId="166" fontId="49" fillId="0" borderId="11" xfId="2" applyNumberFormat="1" applyFont="1" applyFill="1" applyBorder="1"/>
    <xf numFmtId="166" fontId="49" fillId="2" borderId="3" xfId="2" applyNumberFormat="1" applyFont="1" applyFill="1" applyBorder="1"/>
    <xf numFmtId="166" fontId="49" fillId="2" borderId="1" xfId="2" applyNumberFormat="1" applyFont="1" applyFill="1" applyBorder="1"/>
    <xf numFmtId="166" fontId="49" fillId="2" borderId="24" xfId="2" applyNumberFormat="1" applyFont="1" applyFill="1" applyBorder="1"/>
    <xf numFmtId="166" fontId="49" fillId="0" borderId="0" xfId="2" applyNumberFormat="1" applyFont="1" applyBorder="1" applyAlignment="1">
      <alignment horizontal="center"/>
    </xf>
    <xf numFmtId="166" fontId="49" fillId="0" borderId="0" xfId="2" applyNumberFormat="1" applyFont="1"/>
    <xf numFmtId="166" fontId="49" fillId="0" borderId="4" xfId="2" applyNumberFormat="1" applyFont="1" applyFill="1" applyBorder="1"/>
    <xf numFmtId="166" fontId="49" fillId="0" borderId="18" xfId="2" applyNumberFormat="1" applyFont="1" applyFill="1" applyBorder="1"/>
    <xf numFmtId="166" fontId="49" fillId="0" borderId="5" xfId="2" applyNumberFormat="1" applyFont="1" applyFill="1" applyBorder="1"/>
    <xf numFmtId="166" fontId="49" fillId="2" borderId="5" xfId="2" applyNumberFormat="1" applyFont="1" applyFill="1" applyBorder="1"/>
    <xf numFmtId="166" fontId="49" fillId="2" borderId="18" xfId="2" applyNumberFormat="1" applyFont="1" applyFill="1" applyBorder="1"/>
    <xf numFmtId="166" fontId="49" fillId="2" borderId="26" xfId="2" applyNumberFormat="1" applyFont="1" applyFill="1" applyBorder="1"/>
    <xf numFmtId="166" fontId="49" fillId="0" borderId="2" xfId="2" applyNumberFormat="1" applyFont="1" applyFill="1" applyBorder="1"/>
    <xf numFmtId="166" fontId="49" fillId="0" borderId="1" xfId="2" applyNumberFormat="1" applyFont="1" applyFill="1" applyBorder="1"/>
    <xf numFmtId="166" fontId="49" fillId="0" borderId="3" xfId="2" applyNumberFormat="1" applyFont="1" applyFill="1" applyBorder="1"/>
    <xf numFmtId="166" fontId="53" fillId="0" borderId="0" xfId="2" quotePrefix="1" applyNumberFormat="1" applyFont="1" applyFill="1" applyAlignment="1">
      <alignment horizontal="left" indent="2"/>
    </xf>
    <xf numFmtId="166" fontId="49" fillId="0" borderId="11" xfId="2" applyNumberFormat="1" applyFont="1" applyBorder="1"/>
    <xf numFmtId="166" fontId="49" fillId="0" borderId="6" xfId="2" applyNumberFormat="1" applyFont="1" applyFill="1" applyBorder="1"/>
    <xf numFmtId="166" fontId="49" fillId="0" borderId="23" xfId="2" applyNumberFormat="1" applyFont="1" applyFill="1" applyBorder="1"/>
    <xf numFmtId="166" fontId="49" fillId="0" borderId="8" xfId="2" applyNumberFormat="1" applyFont="1" applyFill="1" applyBorder="1"/>
    <xf numFmtId="166" fontId="49" fillId="0" borderId="0" xfId="2" applyNumberFormat="1" applyFont="1" applyBorder="1"/>
    <xf numFmtId="166" fontId="49" fillId="0" borderId="26" xfId="2" applyNumberFormat="1" applyFont="1" applyBorder="1"/>
    <xf numFmtId="0" fontId="69" fillId="0" borderId="0" xfId="0" applyFont="1" applyAlignment="1">
      <alignment horizontal="left" indent="2"/>
    </xf>
    <xf numFmtId="165" fontId="58" fillId="0" borderId="0" xfId="2" applyNumberFormat="1" applyFont="1" applyBorder="1"/>
    <xf numFmtId="165" fontId="58" fillId="0" borderId="11" xfId="2" applyNumberFormat="1" applyFont="1" applyBorder="1"/>
    <xf numFmtId="165" fontId="58" fillId="0" borderId="0" xfId="2" applyNumberFormat="1" applyFont="1"/>
    <xf numFmtId="168" fontId="69" fillId="0" borderId="0" xfId="0" applyNumberFormat="1" applyFont="1" applyAlignment="1">
      <alignment horizontal="right"/>
    </xf>
    <xf numFmtId="168" fontId="69" fillId="0" borderId="11" xfId="0" applyNumberFormat="1" applyFont="1" applyBorder="1" applyAlignment="1">
      <alignment horizontal="right"/>
    </xf>
    <xf numFmtId="168" fontId="69" fillId="0" borderId="10" xfId="0" applyNumberFormat="1" applyFont="1" applyBorder="1" applyAlignment="1">
      <alignment horizontal="right"/>
    </xf>
    <xf numFmtId="168" fontId="72" fillId="0" borderId="0" xfId="7" applyNumberFormat="1" applyFont="1" applyFill="1" applyBorder="1"/>
    <xf numFmtId="168" fontId="72" fillId="0" borderId="11" xfId="7" applyNumberFormat="1" applyFont="1" applyFill="1" applyBorder="1"/>
    <xf numFmtId="168" fontId="72" fillId="0" borderId="0" xfId="7" applyNumberFormat="1" applyFont="1" applyFill="1"/>
    <xf numFmtId="0" fontId="69" fillId="0" borderId="0" xfId="0" applyFont="1"/>
    <xf numFmtId="164" fontId="69" fillId="0" borderId="11" xfId="3" applyNumberFormat="1" applyFont="1" applyFill="1" applyBorder="1" applyAlignment="1">
      <alignment horizontal="right"/>
    </xf>
    <xf numFmtId="164" fontId="69" fillId="0" borderId="0" xfId="3" applyNumberFormat="1" applyFont="1" applyFill="1" applyAlignment="1">
      <alignment horizontal="right"/>
    </xf>
    <xf numFmtId="164" fontId="58" fillId="0" borderId="0" xfId="0" applyNumberFormat="1" applyFont="1" applyAlignment="1">
      <alignment horizontal="center"/>
    </xf>
    <xf numFmtId="164" fontId="58" fillId="0" borderId="0" xfId="3" applyNumberFormat="1" applyFont="1" applyFill="1" applyBorder="1"/>
    <xf numFmtId="164" fontId="58" fillId="0" borderId="11" xfId="3" applyNumberFormat="1" applyFont="1" applyFill="1" applyBorder="1"/>
    <xf numFmtId="44" fontId="57" fillId="0" borderId="0" xfId="7" applyFont="1" applyFill="1" applyBorder="1" applyAlignment="1">
      <alignment horizontal="center"/>
    </xf>
    <xf numFmtId="44" fontId="57" fillId="0" borderId="0" xfId="7" applyFont="1" applyFill="1" applyBorder="1"/>
    <xf numFmtId="10" fontId="58" fillId="0" borderId="0" xfId="3" applyNumberFormat="1" applyFont="1" applyFill="1" applyBorder="1"/>
    <xf numFmtId="10" fontId="58" fillId="0" borderId="11" xfId="3" applyNumberFormat="1" applyFont="1" applyFill="1" applyBorder="1"/>
    <xf numFmtId="10" fontId="58" fillId="0" borderId="0" xfId="3" applyNumberFormat="1" applyFont="1" applyFill="1"/>
    <xf numFmtId="0" fontId="44" fillId="0" borderId="0" xfId="0" applyFont="1" applyAlignment="1">
      <alignment horizontal="left" indent="2"/>
    </xf>
    <xf numFmtId="164" fontId="44" fillId="0" borderId="0" xfId="3" applyNumberFormat="1" applyFont="1" applyFill="1" applyBorder="1" applyAlignment="1">
      <alignment horizontal="right"/>
    </xf>
    <xf numFmtId="164" fontId="44" fillId="0" borderId="11" xfId="3" applyNumberFormat="1" applyFont="1" applyFill="1" applyBorder="1" applyAlignment="1">
      <alignment horizontal="right"/>
    </xf>
    <xf numFmtId="164" fontId="44" fillId="0" borderId="0" xfId="3" applyNumberFormat="1" applyFont="1" applyFill="1" applyAlignment="1">
      <alignment horizontal="right"/>
    </xf>
    <xf numFmtId="0" fontId="72" fillId="0" borderId="0" xfId="0" applyFont="1" applyAlignment="1">
      <alignment horizontal="center"/>
    </xf>
    <xf numFmtId="0" fontId="72" fillId="0" borderId="0" xfId="0" applyFont="1"/>
    <xf numFmtId="0" fontId="44" fillId="0" borderId="0" xfId="0" applyFont="1" applyAlignment="1">
      <alignment horizontal="left"/>
    </xf>
    <xf numFmtId="164" fontId="45" fillId="0" borderId="0" xfId="3" applyNumberFormat="1" applyFont="1" applyFill="1" applyBorder="1" applyAlignment="1">
      <alignment horizontal="right"/>
    </xf>
    <xf numFmtId="164" fontId="45" fillId="0" borderId="11" xfId="3" applyNumberFormat="1" applyFont="1" applyFill="1" applyBorder="1" applyAlignment="1">
      <alignment horizontal="right"/>
    </xf>
    <xf numFmtId="164" fontId="45" fillId="0" borderId="0" xfId="3" applyNumberFormat="1" applyFont="1" applyFill="1" applyAlignment="1">
      <alignment horizontal="right"/>
    </xf>
    <xf numFmtId="165" fontId="49" fillId="0" borderId="0" xfId="2" quotePrefix="1" applyNumberFormat="1" applyFont="1" applyFill="1" applyBorder="1"/>
    <xf numFmtId="165" fontId="49" fillId="0" borderId="11" xfId="2" quotePrefix="1" applyNumberFormat="1" applyFont="1" applyFill="1" applyBorder="1"/>
    <xf numFmtId="165" fontId="49" fillId="0" borderId="0" xfId="2" quotePrefix="1" applyNumberFormat="1" applyFont="1" applyFill="1"/>
    <xf numFmtId="0" fontId="74" fillId="0" borderId="0" xfId="0" applyFont="1"/>
    <xf numFmtId="0" fontId="69" fillId="0" borderId="0" xfId="0" applyFont="1" applyAlignment="1">
      <alignment horizontal="left"/>
    </xf>
    <xf numFmtId="44" fontId="59" fillId="0" borderId="0" xfId="7" applyFont="1" applyFill="1" applyBorder="1" applyAlignment="1">
      <alignment horizontal="center"/>
    </xf>
    <xf numFmtId="44" fontId="59" fillId="0" borderId="0" xfId="7" applyFont="1" applyFill="1" applyBorder="1"/>
    <xf numFmtId="0" fontId="59" fillId="0" borderId="0" xfId="0" applyFont="1"/>
    <xf numFmtId="0" fontId="63" fillId="0" borderId="0" xfId="0" applyFont="1" applyAlignment="1">
      <alignment horizontal="left"/>
    </xf>
    <xf numFmtId="0" fontId="53" fillId="0" borderId="0" xfId="0" applyFont="1" applyAlignment="1">
      <alignment horizontal="left" indent="2"/>
    </xf>
    <xf numFmtId="165" fontId="49" fillId="0" borderId="10" xfId="2" applyNumberFormat="1" applyFont="1" applyFill="1" applyBorder="1"/>
    <xf numFmtId="165" fontId="75" fillId="0" borderId="0" xfId="0" applyNumberFormat="1" applyFont="1" applyAlignment="1">
      <alignment horizontal="left"/>
    </xf>
    <xf numFmtId="165" fontId="75" fillId="0" borderId="11" xfId="0" applyNumberFormat="1" applyFont="1" applyBorder="1" applyAlignment="1">
      <alignment horizontal="left"/>
    </xf>
    <xf numFmtId="165" fontId="75" fillId="0" borderId="10" xfId="0" applyNumberFormat="1" applyFont="1" applyBorder="1" applyAlignment="1">
      <alignment horizontal="left"/>
    </xf>
    <xf numFmtId="164" fontId="69" fillId="0" borderId="10" xfId="3" applyNumberFormat="1" applyFont="1" applyFill="1" applyBorder="1" applyAlignment="1">
      <alignment horizontal="right"/>
    </xf>
    <xf numFmtId="0" fontId="45" fillId="0" borderId="0" xfId="0" applyFont="1" applyAlignment="1">
      <alignment vertical="center"/>
    </xf>
    <xf numFmtId="0" fontId="57" fillId="0" borderId="0" xfId="0" applyFont="1" applyAlignment="1">
      <alignment vertical="center"/>
    </xf>
    <xf numFmtId="44" fontId="49" fillId="0" borderId="0" xfId="7" applyFont="1" applyBorder="1" applyAlignment="1">
      <alignment vertical="center"/>
    </xf>
    <xf numFmtId="44" fontId="49" fillId="0" borderId="11" xfId="7" applyFont="1" applyBorder="1" applyAlignment="1">
      <alignment vertical="center"/>
    </xf>
    <xf numFmtId="44" fontId="49" fillId="0" borderId="0" xfId="7" applyFont="1" applyFill="1" applyBorder="1" applyAlignment="1">
      <alignment vertical="center"/>
    </xf>
    <xf numFmtId="0" fontId="66" fillId="0" borderId="0" xfId="0" applyFont="1" applyAlignment="1">
      <alignment vertical="center"/>
    </xf>
    <xf numFmtId="0" fontId="67" fillId="0" borderId="0" xfId="0" applyFont="1" applyAlignment="1">
      <alignment horizontal="left" vertical="center" indent="2"/>
    </xf>
    <xf numFmtId="0" fontId="67" fillId="0" borderId="0" xfId="0" applyFont="1" applyAlignment="1">
      <alignment horizontal="left" vertical="center"/>
    </xf>
    <xf numFmtId="165" fontId="67" fillId="0" borderId="0" xfId="2" applyNumberFormat="1" applyFont="1" applyBorder="1" applyAlignment="1">
      <alignment vertical="center"/>
    </xf>
    <xf numFmtId="165" fontId="67" fillId="0" borderId="11" xfId="2" applyNumberFormat="1" applyFont="1" applyBorder="1" applyAlignment="1">
      <alignment vertical="center"/>
    </xf>
    <xf numFmtId="0" fontId="67" fillId="0" borderId="0" xfId="0" applyFont="1" applyAlignment="1">
      <alignment vertical="center"/>
    </xf>
    <xf numFmtId="165" fontId="67" fillId="0" borderId="0" xfId="2" applyNumberFormat="1" applyFont="1" applyFill="1" applyBorder="1" applyAlignment="1">
      <alignment vertical="center"/>
    </xf>
    <xf numFmtId="164" fontId="76" fillId="0" borderId="0" xfId="3" applyNumberFormat="1" applyFont="1" applyBorder="1" applyAlignment="1">
      <alignment vertical="center"/>
    </xf>
    <xf numFmtId="164" fontId="65" fillId="0" borderId="0" xfId="3" applyNumberFormat="1" applyFont="1" applyFill="1" applyBorder="1" applyAlignment="1">
      <alignment horizontal="left" vertical="center" indent="2"/>
    </xf>
    <xf numFmtId="164" fontId="65" fillId="0" borderId="0" xfId="3" applyNumberFormat="1" applyFont="1" applyFill="1" applyBorder="1" applyAlignment="1">
      <alignment horizontal="left" vertical="center"/>
    </xf>
    <xf numFmtId="164" fontId="65" fillId="0" borderId="0" xfId="3" applyNumberFormat="1" applyFont="1" applyBorder="1" applyAlignment="1">
      <alignment vertical="center"/>
    </xf>
    <xf numFmtId="164" fontId="65" fillId="0" borderId="11" xfId="3" applyNumberFormat="1" applyFont="1" applyBorder="1" applyAlignment="1">
      <alignment vertical="center"/>
    </xf>
    <xf numFmtId="164" fontId="65" fillId="0" borderId="0" xfId="3" applyNumberFormat="1" applyFont="1" applyFill="1" applyBorder="1" applyAlignment="1">
      <alignment vertical="center"/>
    </xf>
    <xf numFmtId="0" fontId="49" fillId="0" borderId="0" xfId="0" applyFont="1" applyAlignment="1">
      <alignment horizontal="left" vertical="center" indent="2"/>
    </xf>
    <xf numFmtId="165" fontId="49" fillId="0" borderId="0" xfId="2" applyNumberFormat="1" applyFont="1" applyBorder="1" applyAlignment="1">
      <alignment vertical="center"/>
    </xf>
    <xf numFmtId="165" fontId="49" fillId="0" borderId="11" xfId="2" applyNumberFormat="1" applyFont="1" applyBorder="1" applyAlignment="1">
      <alignment vertical="center"/>
    </xf>
    <xf numFmtId="165" fontId="49" fillId="0" borderId="0" xfId="2" applyNumberFormat="1" applyFont="1" applyFill="1" applyBorder="1" applyAlignment="1">
      <alignment vertical="center"/>
    </xf>
    <xf numFmtId="0" fontId="49" fillId="0" borderId="11" xfId="0" applyFont="1" applyBorder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4" applyNumberFormat="1" applyFont="1" applyFill="1" applyAlignment="1">
      <alignment horizontal="left" vertical="center" indent="4"/>
    </xf>
    <xf numFmtId="0" fontId="39" fillId="0" borderId="0" xfId="4" applyNumberFormat="1" applyFont="1" applyFill="1" applyAlignment="1">
      <alignment horizontal="left" vertical="center"/>
    </xf>
    <xf numFmtId="0" fontId="67" fillId="0" borderId="0" xfId="0" applyFont="1" applyAlignment="1">
      <alignment horizontal="left" vertical="center" indent="4"/>
    </xf>
    <xf numFmtId="0" fontId="49" fillId="0" borderId="0" xfId="0" applyFont="1" applyAlignment="1">
      <alignment horizontal="left" vertical="center" indent="4"/>
    </xf>
    <xf numFmtId="164" fontId="68" fillId="0" borderId="0" xfId="3" applyNumberFormat="1" applyFont="1" applyBorder="1" applyAlignment="1">
      <alignment vertical="center"/>
    </xf>
    <xf numFmtId="164" fontId="75" fillId="0" borderId="0" xfId="3" applyNumberFormat="1" applyFont="1" applyFill="1" applyBorder="1" applyAlignment="1">
      <alignment horizontal="left" vertical="center"/>
    </xf>
    <xf numFmtId="164" fontId="75" fillId="0" borderId="0" xfId="3" applyNumberFormat="1" applyFont="1" applyFill="1" applyBorder="1" applyAlignment="1">
      <alignment horizontal="right" vertical="center"/>
    </xf>
    <xf numFmtId="164" fontId="75" fillId="0" borderId="11" xfId="3" applyNumberFormat="1" applyFont="1" applyFill="1" applyBorder="1" applyAlignment="1">
      <alignment horizontal="right" vertical="center"/>
    </xf>
    <xf numFmtId="164" fontId="59" fillId="0" borderId="0" xfId="3" applyNumberFormat="1" applyFont="1" applyBorder="1" applyAlignment="1">
      <alignment vertical="center"/>
    </xf>
    <xf numFmtId="0" fontId="55" fillId="0" borderId="0" xfId="0" applyFont="1" applyAlignment="1">
      <alignment vertical="center"/>
    </xf>
    <xf numFmtId="164" fontId="69" fillId="0" borderId="0" xfId="3" applyNumberFormat="1" applyFont="1" applyFill="1" applyBorder="1" applyAlignment="1">
      <alignment horizontal="left" vertical="center"/>
    </xf>
    <xf numFmtId="164" fontId="34" fillId="0" borderId="0" xfId="3" applyNumberFormat="1" applyFont="1" applyBorder="1"/>
    <xf numFmtId="164" fontId="34" fillId="0" borderId="11" xfId="3" applyNumberFormat="1" applyFont="1" applyBorder="1"/>
    <xf numFmtId="164" fontId="44" fillId="2" borderId="16" xfId="3" applyNumberFormat="1" applyFont="1" applyFill="1" applyBorder="1" applyAlignment="1">
      <alignment horizontal="right" vertical="center"/>
    </xf>
    <xf numFmtId="164" fontId="44" fillId="2" borderId="1" xfId="3" applyNumberFormat="1" applyFont="1" applyFill="1" applyBorder="1" applyAlignment="1">
      <alignment horizontal="right" vertical="center"/>
    </xf>
    <xf numFmtId="164" fontId="44" fillId="2" borderId="24" xfId="3" applyNumberFormat="1" applyFont="1" applyFill="1" applyBorder="1" applyAlignment="1">
      <alignment horizontal="right" vertical="center"/>
    </xf>
    <xf numFmtId="164" fontId="58" fillId="0" borderId="0" xfId="3" applyNumberFormat="1" applyFont="1" applyFill="1" applyBorder="1" applyAlignment="1">
      <alignment vertical="center"/>
    </xf>
    <xf numFmtId="164" fontId="44" fillId="0" borderId="2" xfId="3" applyNumberFormat="1" applyFont="1" applyFill="1" applyBorder="1" applyAlignment="1">
      <alignment horizontal="right" vertical="center"/>
    </xf>
    <xf numFmtId="164" fontId="44" fillId="0" borderId="1" xfId="3" applyNumberFormat="1" applyFont="1" applyFill="1" applyBorder="1" applyAlignment="1">
      <alignment horizontal="right" vertical="center"/>
    </xf>
    <xf numFmtId="164" fontId="44" fillId="0" borderId="3" xfId="3" applyNumberFormat="1" applyFont="1" applyFill="1" applyBorder="1" applyAlignment="1">
      <alignment horizontal="right" vertical="center"/>
    </xf>
    <xf numFmtId="164" fontId="44" fillId="0" borderId="0" xfId="3" applyNumberFormat="1" applyFont="1" applyFill="1" applyBorder="1" applyAlignment="1">
      <alignment vertical="center"/>
    </xf>
    <xf numFmtId="164" fontId="69" fillId="0" borderId="19" xfId="3" applyNumberFormat="1" applyFont="1" applyFill="1" applyBorder="1" applyAlignment="1">
      <alignment horizontal="left" vertical="center"/>
    </xf>
    <xf numFmtId="164" fontId="69" fillId="0" borderId="19" xfId="3" applyNumberFormat="1" applyFont="1" applyFill="1" applyBorder="1" applyAlignment="1">
      <alignment horizontal="right" vertical="center"/>
    </xf>
    <xf numFmtId="164" fontId="69" fillId="0" borderId="20" xfId="3" applyNumberFormat="1" applyFont="1" applyFill="1" applyBorder="1" applyAlignment="1">
      <alignment horizontal="right" vertical="center"/>
    </xf>
    <xf numFmtId="164" fontId="58" fillId="0" borderId="19" xfId="3" applyNumberFormat="1" applyFont="1" applyFill="1" applyBorder="1" applyAlignment="1">
      <alignment vertical="center"/>
    </xf>
    <xf numFmtId="0" fontId="68" fillId="0" borderId="0" xfId="0" applyFont="1" applyAlignment="1">
      <alignment vertical="center"/>
    </xf>
    <xf numFmtId="0" fontId="69" fillId="3" borderId="19" xfId="0" applyFont="1" applyFill="1" applyBorder="1" applyAlignment="1">
      <alignment horizontal="left" vertical="center"/>
    </xf>
    <xf numFmtId="0" fontId="75" fillId="3" borderId="19" xfId="0" applyFont="1" applyFill="1" applyBorder="1" applyAlignment="1">
      <alignment horizontal="left" vertical="center"/>
    </xf>
    <xf numFmtId="165" fontId="75" fillId="3" borderId="19" xfId="2" applyNumberFormat="1" applyFont="1" applyFill="1" applyBorder="1" applyAlignment="1">
      <alignment horizontal="right" vertical="center"/>
    </xf>
    <xf numFmtId="165" fontId="75" fillId="3" borderId="20" xfId="2" applyNumberFormat="1" applyFont="1" applyFill="1" applyBorder="1" applyAlignment="1">
      <alignment horizontal="right" vertical="center"/>
    </xf>
    <xf numFmtId="0" fontId="59" fillId="3" borderId="19" xfId="0" applyFont="1" applyFill="1" applyBorder="1" applyAlignment="1">
      <alignment vertical="center"/>
    </xf>
    <xf numFmtId="0" fontId="43" fillId="0" borderId="0" xfId="0" applyFont="1" applyAlignment="1">
      <alignment vertical="center"/>
    </xf>
    <xf numFmtId="0" fontId="53" fillId="0" borderId="0" xfId="0" applyFont="1" applyAlignment="1">
      <alignment horizontal="left" vertical="center"/>
    </xf>
    <xf numFmtId="0" fontId="63" fillId="0" borderId="0" xfId="0" applyFont="1" applyAlignment="1">
      <alignment horizontal="left" vertical="center"/>
    </xf>
    <xf numFmtId="165" fontId="63" fillId="0" borderId="0" xfId="2" applyNumberFormat="1" applyFont="1" applyFill="1" applyBorder="1" applyAlignment="1">
      <alignment horizontal="right" vertical="center"/>
    </xf>
    <xf numFmtId="165" fontId="63" fillId="0" borderId="11" xfId="2" applyNumberFormat="1" applyFont="1" applyFill="1" applyBorder="1" applyAlignment="1">
      <alignment horizontal="right" vertical="center"/>
    </xf>
    <xf numFmtId="164" fontId="68" fillId="0" borderId="0" xfId="3" applyNumberFormat="1" applyFont="1" applyFill="1" applyBorder="1" applyAlignment="1">
      <alignment vertical="center"/>
    </xf>
    <xf numFmtId="164" fontId="59" fillId="0" borderId="0" xfId="3" applyNumberFormat="1" applyFont="1" applyFill="1" applyBorder="1" applyAlignment="1">
      <alignment vertical="center"/>
    </xf>
    <xf numFmtId="9" fontId="53" fillId="0" borderId="0" xfId="3" applyFont="1" applyFill="1" applyBorder="1" applyAlignment="1">
      <alignment horizontal="right" vertical="center"/>
    </xf>
    <xf numFmtId="9" fontId="53" fillId="0" borderId="11" xfId="3" applyFont="1" applyFill="1" applyBorder="1" applyAlignment="1">
      <alignment horizontal="right" vertical="center"/>
    </xf>
    <xf numFmtId="0" fontId="64" fillId="0" borderId="0" xfId="0" applyFont="1" applyAlignment="1">
      <alignment horizontal="left" vertical="center" indent="4"/>
    </xf>
    <xf numFmtId="165" fontId="64" fillId="0" borderId="0" xfId="3" applyNumberFormat="1" applyFont="1" applyFill="1" applyBorder="1" applyAlignment="1">
      <alignment horizontal="right" vertical="center"/>
    </xf>
    <xf numFmtId="165" fontId="64" fillId="0" borderId="11" xfId="3" applyNumberFormat="1" applyFont="1" applyFill="1" applyBorder="1" applyAlignment="1">
      <alignment horizontal="right" vertical="center"/>
    </xf>
    <xf numFmtId="0" fontId="45" fillId="0" borderId="0" xfId="4" applyNumberFormat="1" applyFont="1" applyFill="1" applyAlignment="1">
      <alignment horizontal="left" vertical="center" indent="4"/>
    </xf>
    <xf numFmtId="165" fontId="53" fillId="0" borderId="0" xfId="3" applyNumberFormat="1" applyFont="1" applyFill="1" applyBorder="1" applyAlignment="1">
      <alignment horizontal="right" vertical="center"/>
    </xf>
    <xf numFmtId="165" fontId="53" fillId="0" borderId="11" xfId="3" applyNumberFormat="1" applyFont="1" applyFill="1" applyBorder="1" applyAlignment="1">
      <alignment horizontal="right" vertical="center"/>
    </xf>
    <xf numFmtId="164" fontId="53" fillId="0" borderId="0" xfId="3" applyNumberFormat="1" applyFont="1" applyFill="1" applyBorder="1" applyAlignment="1">
      <alignment horizontal="right" vertical="center"/>
    </xf>
    <xf numFmtId="164" fontId="53" fillId="0" borderId="11" xfId="3" applyNumberFormat="1" applyFont="1" applyFill="1" applyBorder="1" applyAlignment="1">
      <alignment horizontal="right" vertical="center"/>
    </xf>
    <xf numFmtId="0" fontId="53" fillId="0" borderId="19" xfId="0" applyFont="1" applyBorder="1" applyAlignment="1">
      <alignment horizontal="left" vertical="center"/>
    </xf>
    <xf numFmtId="0" fontId="57" fillId="3" borderId="19" xfId="0" applyFont="1" applyFill="1" applyBorder="1" applyAlignment="1">
      <alignment vertical="center"/>
    </xf>
    <xf numFmtId="0" fontId="69" fillId="0" borderId="0" xfId="0" applyFont="1" applyAlignment="1">
      <alignment horizontal="left" vertical="center"/>
    </xf>
    <xf numFmtId="0" fontId="64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4"/>
    </xf>
    <xf numFmtId="0" fontId="53" fillId="0" borderId="0" xfId="0" applyFont="1" applyAlignment="1">
      <alignment horizontal="left" vertical="center" indent="2"/>
    </xf>
    <xf numFmtId="164" fontId="44" fillId="0" borderId="0" xfId="3" applyNumberFormat="1" applyFont="1" applyFill="1" applyBorder="1" applyAlignment="1">
      <alignment horizontal="left" vertical="center"/>
    </xf>
    <xf numFmtId="164" fontId="44" fillId="0" borderId="0" xfId="3" applyNumberFormat="1" applyFont="1" applyFill="1" applyBorder="1" applyAlignment="1">
      <alignment horizontal="right" vertical="center"/>
    </xf>
    <xf numFmtId="164" fontId="44" fillId="0" borderId="11" xfId="3" applyNumberFormat="1" applyFont="1" applyFill="1" applyBorder="1" applyAlignment="1">
      <alignment horizontal="right" vertical="center"/>
    </xf>
    <xf numFmtId="164" fontId="44" fillId="0" borderId="0" xfId="3" applyNumberFormat="1" applyFont="1" applyBorder="1" applyAlignment="1">
      <alignment vertical="center"/>
    </xf>
    <xf numFmtId="0" fontId="53" fillId="3" borderId="19" xfId="0" applyFont="1" applyFill="1" applyBorder="1" applyAlignment="1">
      <alignment horizontal="left" vertical="center"/>
    </xf>
    <xf numFmtId="165" fontId="63" fillId="3" borderId="19" xfId="2" applyNumberFormat="1" applyFont="1" applyFill="1" applyBorder="1" applyAlignment="1">
      <alignment horizontal="right" vertical="center"/>
    </xf>
    <xf numFmtId="165" fontId="63" fillId="3" borderId="20" xfId="2" applyNumberFormat="1" applyFont="1" applyFill="1" applyBorder="1" applyAlignment="1">
      <alignment horizontal="right" vertical="center"/>
    </xf>
    <xf numFmtId="0" fontId="53" fillId="0" borderId="0" xfId="0" applyFont="1" applyAlignment="1">
      <alignment horizontal="left"/>
    </xf>
    <xf numFmtId="44" fontId="49" fillId="0" borderId="0" xfId="7" applyFont="1" applyFill="1" applyBorder="1" applyAlignment="1">
      <alignment horizontal="center"/>
    </xf>
    <xf numFmtId="164" fontId="49" fillId="0" borderId="0" xfId="3" applyNumberFormat="1" applyFont="1" applyFill="1" applyBorder="1" applyAlignment="1">
      <alignment horizontal="right"/>
    </xf>
    <xf numFmtId="164" fontId="49" fillId="0" borderId="11" xfId="3" applyNumberFormat="1" applyFont="1" applyFill="1" applyBorder="1" applyAlignment="1">
      <alignment horizontal="right"/>
    </xf>
    <xf numFmtId="164" fontId="49" fillId="2" borderId="16" xfId="3" applyNumberFormat="1" applyFont="1" applyFill="1" applyBorder="1"/>
    <xf numFmtId="164" fontId="49" fillId="2" borderId="1" xfId="3" applyNumberFormat="1" applyFont="1" applyFill="1" applyBorder="1"/>
    <xf numFmtId="164" fontId="49" fillId="2" borderId="24" xfId="3" applyNumberFormat="1" applyFont="1" applyFill="1" applyBorder="1"/>
    <xf numFmtId="164" fontId="49" fillId="0" borderId="2" xfId="3" applyNumberFormat="1" applyFont="1" applyFill="1" applyBorder="1"/>
    <xf numFmtId="164" fontId="49" fillId="0" borderId="1" xfId="3" applyNumberFormat="1" applyFont="1" applyFill="1" applyBorder="1"/>
    <xf numFmtId="164" fontId="49" fillId="0" borderId="3" xfId="3" applyNumberFormat="1" applyFont="1" applyFill="1" applyBorder="1"/>
    <xf numFmtId="0" fontId="76" fillId="0" borderId="0" xfId="0" applyFont="1"/>
    <xf numFmtId="0" fontId="65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164" fontId="70" fillId="0" borderId="0" xfId="3" applyNumberFormat="1" applyFont="1" applyFill="1" applyBorder="1" applyAlignment="1">
      <alignment horizontal="right"/>
    </xf>
    <xf numFmtId="164" fontId="70" fillId="0" borderId="11" xfId="3" applyNumberFormat="1" applyFont="1" applyFill="1" applyBorder="1" applyAlignment="1">
      <alignment horizontal="right"/>
    </xf>
    <xf numFmtId="44" fontId="65" fillId="0" borderId="0" xfId="7" applyFont="1" applyFill="1" applyBorder="1" applyAlignment="1">
      <alignment horizontal="center"/>
    </xf>
    <xf numFmtId="44" fontId="65" fillId="0" borderId="0" xfId="7" applyFont="1" applyFill="1" applyBorder="1"/>
    <xf numFmtId="0" fontId="49" fillId="0" borderId="0" xfId="0" quotePrefix="1" applyFont="1"/>
    <xf numFmtId="0" fontId="45" fillId="0" borderId="0" xfId="0" quotePrefix="1" applyFont="1"/>
    <xf numFmtId="165" fontId="49" fillId="2" borderId="3" xfId="2" applyNumberFormat="1" applyFont="1" applyFill="1" applyBorder="1"/>
    <xf numFmtId="165" fontId="49" fillId="2" borderId="17" xfId="2" applyNumberFormat="1" applyFont="1" applyFill="1" applyBorder="1"/>
    <xf numFmtId="9" fontId="49" fillId="0" borderId="0" xfId="0" applyNumberFormat="1" applyFont="1" applyAlignment="1">
      <alignment horizontal="center"/>
    </xf>
    <xf numFmtId="44" fontId="58" fillId="0" borderId="0" xfId="7" applyFont="1" applyBorder="1"/>
    <xf numFmtId="44" fontId="58" fillId="0" borderId="11" xfId="7" applyFont="1" applyBorder="1"/>
    <xf numFmtId="44" fontId="58" fillId="0" borderId="0" xfId="7" applyFont="1"/>
    <xf numFmtId="44" fontId="58" fillId="0" borderId="0" xfId="7" applyFont="1" applyFill="1"/>
    <xf numFmtId="164" fontId="58" fillId="2" borderId="16" xfId="3" applyNumberFormat="1" applyFont="1" applyFill="1" applyBorder="1"/>
    <xf numFmtId="164" fontId="58" fillId="2" borderId="1" xfId="3" applyNumberFormat="1" applyFont="1" applyFill="1" applyBorder="1"/>
    <xf numFmtId="164" fontId="58" fillId="2" borderId="24" xfId="3" applyNumberFormat="1" applyFont="1" applyFill="1" applyBorder="1"/>
    <xf numFmtId="164" fontId="58" fillId="0" borderId="2" xfId="3" applyNumberFormat="1" applyFont="1" applyFill="1" applyBorder="1"/>
    <xf numFmtId="164" fontId="58" fillId="0" borderId="1" xfId="3" applyNumberFormat="1" applyFont="1" applyFill="1" applyBorder="1"/>
    <xf numFmtId="164" fontId="58" fillId="0" borderId="3" xfId="3" applyNumberFormat="1" applyFont="1" applyFill="1" applyBorder="1"/>
    <xf numFmtId="164" fontId="58" fillId="2" borderId="7" xfId="3" applyNumberFormat="1" applyFont="1" applyFill="1" applyBorder="1"/>
    <xf numFmtId="164" fontId="58" fillId="2" borderId="23" xfId="3" applyNumberFormat="1" applyFont="1" applyFill="1" applyBorder="1"/>
    <xf numFmtId="164" fontId="58" fillId="2" borderId="25" xfId="3" applyNumberFormat="1" applyFont="1" applyFill="1" applyBorder="1"/>
    <xf numFmtId="164" fontId="58" fillId="0" borderId="6" xfId="3" applyNumberFormat="1" applyFont="1" applyFill="1" applyBorder="1"/>
    <xf numFmtId="164" fontId="58" fillId="0" borderId="23" xfId="3" applyNumberFormat="1" applyFont="1" applyFill="1" applyBorder="1"/>
    <xf numFmtId="164" fontId="58" fillId="0" borderId="8" xfId="3" applyNumberFormat="1" applyFont="1" applyFill="1" applyBorder="1"/>
    <xf numFmtId="165" fontId="49" fillId="0" borderId="0" xfId="0" quotePrefix="1" applyNumberFormat="1" applyFont="1"/>
    <xf numFmtId="165" fontId="49" fillId="0" borderId="11" xfId="0" quotePrefix="1" applyNumberFormat="1" applyFont="1" applyBorder="1"/>
    <xf numFmtId="0" fontId="62" fillId="0" borderId="0" xfId="0" applyFont="1" applyAlignment="1">
      <alignment horizontal="center"/>
    </xf>
    <xf numFmtId="0" fontId="62" fillId="0" borderId="0" xfId="0" applyFont="1"/>
    <xf numFmtId="0" fontId="77" fillId="0" borderId="0" xfId="0" quotePrefix="1" applyFont="1"/>
    <xf numFmtId="44" fontId="62" fillId="0" borderId="0" xfId="7" applyFont="1" applyFill="1" applyBorder="1" applyAlignment="1">
      <alignment horizontal="center"/>
    </xf>
    <xf numFmtId="44" fontId="62" fillId="0" borderId="0" xfId="7" applyFont="1" applyFill="1"/>
    <xf numFmtId="0" fontId="62" fillId="0" borderId="0" xfId="0" quotePrefix="1" applyFont="1"/>
    <xf numFmtId="166" fontId="49" fillId="0" borderId="0" xfId="2" applyNumberFormat="1" applyFont="1" applyFill="1" applyBorder="1"/>
    <xf numFmtId="165" fontId="45" fillId="0" borderId="0" xfId="2" applyNumberFormat="1" applyFont="1" applyFill="1"/>
    <xf numFmtId="0" fontId="44" fillId="0" borderId="0" xfId="0" quotePrefix="1" applyFont="1"/>
    <xf numFmtId="0" fontId="58" fillId="0" borderId="0" xfId="0" quotePrefix="1" applyFont="1"/>
    <xf numFmtId="164" fontId="58" fillId="2" borderId="3" xfId="3" applyNumberFormat="1" applyFont="1" applyFill="1" applyBorder="1"/>
    <xf numFmtId="164" fontId="44" fillId="0" borderId="0" xfId="3" applyNumberFormat="1" applyFont="1" applyFill="1"/>
    <xf numFmtId="169" fontId="49" fillId="2" borderId="8" xfId="3" applyNumberFormat="1" applyFont="1" applyFill="1" applyBorder="1"/>
    <xf numFmtId="169" fontId="49" fillId="0" borderId="0" xfId="0" applyNumberFormat="1" applyFont="1"/>
    <xf numFmtId="169" fontId="49" fillId="0" borderId="11" xfId="0" applyNumberFormat="1" applyFont="1" applyBorder="1"/>
    <xf numFmtId="169" fontId="49" fillId="0" borderId="23" xfId="3" applyNumberFormat="1" applyFont="1" applyFill="1" applyBorder="1"/>
    <xf numFmtId="0" fontId="49" fillId="0" borderId="11" xfId="0" applyFont="1" applyBorder="1"/>
    <xf numFmtId="44" fontId="49" fillId="0" borderId="0" xfId="0" applyNumberFormat="1" applyFont="1"/>
    <xf numFmtId="44" fontId="49" fillId="0" borderId="11" xfId="0" applyNumberFormat="1" applyFont="1" applyBorder="1"/>
    <xf numFmtId="0" fontId="53" fillId="0" borderId="0" xfId="0" quotePrefix="1" applyFont="1"/>
    <xf numFmtId="44" fontId="62" fillId="0" borderId="0" xfId="7" applyFont="1" applyFill="1" applyBorder="1" applyAlignment="1">
      <alignment vertical="center"/>
    </xf>
    <xf numFmtId="44" fontId="57" fillId="0" borderId="0" xfId="7" applyFont="1" applyFill="1" applyBorder="1" applyAlignment="1">
      <alignment horizontal="center" vertical="center"/>
    </xf>
    <xf numFmtId="44" fontId="57" fillId="0" borderId="0" xfId="7" applyFont="1" applyBorder="1" applyAlignment="1">
      <alignment vertical="center"/>
    </xf>
    <xf numFmtId="0" fontId="49" fillId="0" borderId="0" xfId="7" applyNumberFormat="1" applyFont="1" applyFill="1" applyAlignment="1">
      <alignment horizontal="right" vertical="center" wrapText="1"/>
    </xf>
    <xf numFmtId="0" fontId="52" fillId="0" borderId="0" xfId="0" applyFont="1" applyAlignment="1">
      <alignment vertical="center"/>
    </xf>
    <xf numFmtId="165" fontId="42" fillId="0" borderId="0" xfId="2" applyNumberFormat="1" applyFont="1" applyAlignment="1">
      <alignment vertical="center"/>
    </xf>
    <xf numFmtId="165" fontId="62" fillId="0" borderId="0" xfId="2" applyNumberFormat="1" applyFont="1" applyFill="1" applyBorder="1" applyAlignment="1">
      <alignment vertical="center"/>
    </xf>
    <xf numFmtId="165" fontId="48" fillId="0" borderId="0" xfId="2" applyNumberFormat="1" applyFont="1" applyFill="1" applyBorder="1" applyAlignment="1">
      <alignment vertical="center"/>
    </xf>
    <xf numFmtId="165" fontId="48" fillId="0" borderId="0" xfId="2" applyNumberFormat="1" applyFont="1" applyBorder="1" applyAlignment="1">
      <alignment vertical="center"/>
    </xf>
    <xf numFmtId="165" fontId="53" fillId="0" borderId="0" xfId="2" applyNumberFormat="1" applyFont="1" applyFill="1" applyBorder="1" applyAlignment="1">
      <alignment horizontal="left" vertical="center"/>
    </xf>
    <xf numFmtId="164" fontId="49" fillId="0" borderId="0" xfId="3" applyNumberFormat="1" applyFont="1" applyFill="1" applyBorder="1" applyAlignment="1">
      <alignment vertical="center"/>
    </xf>
    <xf numFmtId="9" fontId="49" fillId="0" borderId="0" xfId="7" applyNumberFormat="1" applyFont="1" applyFill="1" applyBorder="1" applyAlignment="1">
      <alignment vertical="center"/>
    </xf>
    <xf numFmtId="165" fontId="53" fillId="0" borderId="0" xfId="0" applyNumberFormat="1" applyFont="1" applyAlignment="1">
      <alignment horizontal="left" vertical="center"/>
    </xf>
    <xf numFmtId="0" fontId="64" fillId="0" borderId="0" xfId="0" applyFont="1" applyAlignment="1">
      <alignment horizontal="left" vertical="center" indent="2"/>
    </xf>
    <xf numFmtId="165" fontId="64" fillId="0" borderId="0" xfId="2" applyNumberFormat="1" applyFont="1" applyFill="1" applyBorder="1" applyAlignment="1">
      <alignment horizontal="left" vertical="center"/>
    </xf>
    <xf numFmtId="164" fontId="67" fillId="0" borderId="0" xfId="3" applyNumberFormat="1" applyFont="1" applyFill="1" applyBorder="1" applyAlignment="1">
      <alignment vertical="center"/>
    </xf>
    <xf numFmtId="9" fontId="67" fillId="0" borderId="0" xfId="7" applyNumberFormat="1" applyFont="1" applyFill="1" applyBorder="1" applyAlignment="1">
      <alignment vertical="center"/>
    </xf>
    <xf numFmtId="0" fontId="39" fillId="0" borderId="0" xfId="0" applyFont="1" applyAlignment="1">
      <alignment horizontal="left" vertical="center" indent="4"/>
    </xf>
    <xf numFmtId="0" fontId="39" fillId="0" borderId="0" xfId="0" applyFont="1" applyAlignment="1">
      <alignment horizontal="left" vertical="center" indent="2"/>
    </xf>
    <xf numFmtId="165" fontId="64" fillId="0" borderId="0" xfId="0" applyNumberFormat="1" applyFont="1" applyAlignment="1">
      <alignment horizontal="left" vertical="center"/>
    </xf>
    <xf numFmtId="0" fontId="78" fillId="0" borderId="0" xfId="0" applyFont="1" applyAlignment="1">
      <alignment vertical="center"/>
    </xf>
    <xf numFmtId="0" fontId="79" fillId="0" borderId="0" xfId="0" applyFont="1" applyAlignment="1">
      <alignment horizontal="left" vertical="center" indent="2"/>
    </xf>
    <xf numFmtId="0" fontId="79" fillId="0" borderId="0" xfId="0" applyFont="1" applyAlignment="1">
      <alignment horizontal="left" vertical="center"/>
    </xf>
    <xf numFmtId="165" fontId="35" fillId="0" borderId="0" xfId="2" applyNumberFormat="1" applyFont="1" applyFill="1"/>
    <xf numFmtId="165" fontId="80" fillId="2" borderId="1" xfId="2" applyNumberFormat="1" applyFont="1" applyFill="1" applyBorder="1"/>
    <xf numFmtId="164" fontId="80" fillId="0" borderId="0" xfId="3" applyNumberFormat="1" applyFont="1" applyFill="1" applyBorder="1" applyAlignment="1">
      <alignment vertical="center"/>
    </xf>
    <xf numFmtId="9" fontId="80" fillId="0" borderId="0" xfId="7" applyNumberFormat="1" applyFont="1" applyFill="1" applyBorder="1" applyAlignment="1">
      <alignment vertical="center"/>
    </xf>
    <xf numFmtId="0" fontId="36" fillId="0" borderId="0" xfId="0" applyFont="1" applyAlignment="1">
      <alignment vertical="center"/>
    </xf>
    <xf numFmtId="165" fontId="45" fillId="0" borderId="0" xfId="2" applyNumberFormat="1" applyFont="1" applyFill="1" applyBorder="1" applyAlignment="1">
      <alignment vertical="center"/>
    </xf>
    <xf numFmtId="0" fontId="56" fillId="0" borderId="0" xfId="0" applyFont="1" applyAlignment="1">
      <alignment vertical="center"/>
    </xf>
    <xf numFmtId="165" fontId="43" fillId="0" borderId="0" xfId="2" applyNumberFormat="1" applyFont="1" applyFill="1" applyBorder="1" applyAlignment="1">
      <alignment vertical="center"/>
    </xf>
    <xf numFmtId="164" fontId="57" fillId="0" borderId="0" xfId="3" applyNumberFormat="1" applyFont="1" applyFill="1" applyBorder="1" applyAlignment="1">
      <alignment vertical="center"/>
    </xf>
    <xf numFmtId="9" fontId="57" fillId="0" borderId="0" xfId="7" applyNumberFormat="1" applyFont="1" applyFill="1" applyBorder="1" applyAlignment="1">
      <alignment vertical="center"/>
    </xf>
    <xf numFmtId="0" fontId="54" fillId="0" borderId="0" xfId="0" applyFont="1" applyAlignment="1">
      <alignment vertical="center"/>
    </xf>
    <xf numFmtId="0" fontId="39" fillId="0" borderId="0" xfId="0" applyFont="1" applyAlignment="1">
      <alignment horizontal="left" vertical="center"/>
    </xf>
    <xf numFmtId="44" fontId="67" fillId="0" borderId="0" xfId="7" applyFont="1" applyFill="1" applyBorder="1" applyAlignment="1">
      <alignment vertical="center"/>
    </xf>
    <xf numFmtId="165" fontId="39" fillId="0" borderId="0" xfId="2" applyNumberFormat="1" applyFont="1" applyFill="1" applyBorder="1" applyAlignment="1">
      <alignment vertical="center"/>
    </xf>
    <xf numFmtId="9" fontId="39" fillId="0" borderId="0" xfId="7" applyNumberFormat="1" applyFont="1" applyFill="1" applyBorder="1" applyAlignment="1">
      <alignment vertical="center"/>
    </xf>
    <xf numFmtId="164" fontId="39" fillId="0" borderId="0" xfId="3" applyNumberFormat="1" applyFont="1" applyFill="1" applyBorder="1" applyAlignment="1">
      <alignment vertical="center"/>
    </xf>
    <xf numFmtId="0" fontId="60" fillId="0" borderId="0" xfId="0" applyFont="1" applyAlignment="1">
      <alignment vertical="center"/>
    </xf>
    <xf numFmtId="0" fontId="43" fillId="0" borderId="0" xfId="0" applyFont="1" applyAlignment="1">
      <alignment horizontal="left" vertical="center"/>
    </xf>
    <xf numFmtId="44" fontId="43" fillId="0" borderId="0" xfId="7" applyFont="1" applyFill="1" applyBorder="1" applyAlignment="1">
      <alignment vertical="center"/>
    </xf>
    <xf numFmtId="0" fontId="62" fillId="0" borderId="0" xfId="0" applyFont="1" applyAlignment="1">
      <alignment vertical="center"/>
    </xf>
    <xf numFmtId="0" fontId="40" fillId="0" borderId="0" xfId="0" applyFont="1" applyAlignment="1">
      <alignment horizontal="left" vertical="center"/>
    </xf>
    <xf numFmtId="0" fontId="45" fillId="0" borderId="0" xfId="0" applyFont="1" applyAlignment="1">
      <alignment horizontal="left" vertical="center"/>
    </xf>
    <xf numFmtId="164" fontId="45" fillId="0" borderId="0" xfId="3" applyNumberFormat="1" applyFont="1" applyFill="1" applyBorder="1" applyAlignment="1">
      <alignment vertical="center"/>
    </xf>
    <xf numFmtId="44" fontId="45" fillId="0" borderId="0" xfId="7" applyFont="1" applyFill="1" applyBorder="1" applyAlignment="1">
      <alignment vertical="center"/>
    </xf>
    <xf numFmtId="0" fontId="81" fillId="0" borderId="0" xfId="0" applyFont="1" applyAlignment="1">
      <alignment vertical="center"/>
    </xf>
    <xf numFmtId="0" fontId="43" fillId="0" borderId="14" xfId="0" applyFont="1" applyBorder="1" applyAlignment="1">
      <alignment horizontal="left" vertical="center"/>
    </xf>
    <xf numFmtId="165" fontId="57" fillId="0" borderId="14" xfId="2" applyNumberFormat="1" applyFont="1" applyFill="1" applyBorder="1" applyAlignment="1">
      <alignment vertical="center"/>
    </xf>
    <xf numFmtId="164" fontId="57" fillId="0" borderId="14" xfId="3" applyNumberFormat="1" applyFont="1" applyFill="1" applyBorder="1" applyAlignment="1">
      <alignment vertical="center"/>
    </xf>
    <xf numFmtId="44" fontId="57" fillId="0" borderId="14" xfId="7" applyFont="1" applyFill="1" applyBorder="1" applyAlignment="1">
      <alignment vertical="center"/>
    </xf>
    <xf numFmtId="0" fontId="57" fillId="0" borderId="14" xfId="0" applyFont="1" applyBorder="1" applyAlignment="1">
      <alignment vertical="center"/>
    </xf>
    <xf numFmtId="165" fontId="57" fillId="0" borderId="0" xfId="2" applyNumberFormat="1" applyFont="1" applyFill="1" applyBorder="1" applyAlignment="1">
      <alignment vertical="center"/>
    </xf>
    <xf numFmtId="44" fontId="57" fillId="0" borderId="0" xfId="7" applyFont="1" applyFill="1" applyBorder="1" applyAlignment="1">
      <alignment vertical="center"/>
    </xf>
    <xf numFmtId="0" fontId="45" fillId="0" borderId="0" xfId="0" quotePrefix="1" applyFont="1" applyAlignment="1">
      <alignment horizontal="left" vertical="center"/>
    </xf>
    <xf numFmtId="165" fontId="45" fillId="0" borderId="0" xfId="0" applyNumberFormat="1" applyFont="1" applyAlignment="1">
      <alignment horizontal="left" vertical="center"/>
    </xf>
    <xf numFmtId="165" fontId="45" fillId="0" borderId="0" xfId="7" applyNumberFormat="1" applyFont="1" applyFill="1" applyBorder="1" applyAlignment="1">
      <alignment vertical="center"/>
    </xf>
    <xf numFmtId="165" fontId="63" fillId="0" borderId="0" xfId="2" applyNumberFormat="1" applyFont="1" applyFill="1" applyBorder="1" applyAlignment="1">
      <alignment horizontal="left" vertical="center"/>
    </xf>
    <xf numFmtId="165" fontId="39" fillId="0" borderId="0" xfId="2" applyNumberFormat="1" applyFont="1" applyFill="1" applyBorder="1" applyAlignment="1">
      <alignment horizontal="left" vertical="center"/>
    </xf>
    <xf numFmtId="0" fontId="63" fillId="0" borderId="12" xfId="0" applyFont="1" applyBorder="1" applyAlignment="1">
      <alignment horizontal="left" vertical="center"/>
    </xf>
    <xf numFmtId="165" fontId="63" fillId="0" borderId="12" xfId="2" applyNumberFormat="1" applyFont="1" applyFill="1" applyBorder="1" applyAlignment="1">
      <alignment horizontal="left" vertical="center"/>
    </xf>
    <xf numFmtId="164" fontId="57" fillId="0" borderId="12" xfId="3" applyNumberFormat="1" applyFont="1" applyFill="1" applyBorder="1" applyAlignment="1">
      <alignment vertical="center"/>
    </xf>
    <xf numFmtId="44" fontId="57" fillId="0" borderId="12" xfId="7" applyFont="1" applyFill="1" applyBorder="1" applyAlignment="1">
      <alignment vertical="center"/>
    </xf>
    <xf numFmtId="0" fontId="43" fillId="0" borderId="12" xfId="0" applyFont="1" applyBorder="1" applyAlignment="1">
      <alignment horizontal="left" vertical="center"/>
    </xf>
    <xf numFmtId="165" fontId="43" fillId="0" borderId="12" xfId="2" applyNumberFormat="1" applyFont="1" applyFill="1" applyBorder="1" applyAlignment="1">
      <alignment horizontal="left" vertical="center"/>
    </xf>
    <xf numFmtId="165" fontId="57" fillId="0" borderId="12" xfId="2" applyNumberFormat="1" applyFont="1" applyFill="1" applyBorder="1" applyAlignment="1">
      <alignment vertical="center"/>
    </xf>
    <xf numFmtId="0" fontId="63" fillId="0" borderId="9" xfId="0" applyFont="1" applyBorder="1" applyAlignment="1">
      <alignment horizontal="left" vertical="center"/>
    </xf>
    <xf numFmtId="165" fontId="63" fillId="0" borderId="9" xfId="2" applyNumberFormat="1" applyFont="1" applyFill="1" applyBorder="1" applyAlignment="1">
      <alignment horizontal="left" vertical="center"/>
    </xf>
    <xf numFmtId="164" fontId="57" fillId="0" borderId="9" xfId="3" applyNumberFormat="1" applyFont="1" applyFill="1" applyBorder="1" applyAlignment="1">
      <alignment vertical="center"/>
    </xf>
    <xf numFmtId="44" fontId="57" fillId="0" borderId="9" xfId="7" applyFont="1" applyFill="1" applyBorder="1" applyAlignment="1">
      <alignment vertical="center"/>
    </xf>
    <xf numFmtId="0" fontId="45" fillId="0" borderId="19" xfId="0" applyFont="1" applyBorder="1" applyAlignment="1">
      <alignment vertical="center"/>
    </xf>
    <xf numFmtId="165" fontId="45" fillId="0" borderId="19" xfId="2" applyNumberFormat="1" applyFont="1" applyFill="1" applyBorder="1" applyAlignment="1">
      <alignment vertical="center"/>
    </xf>
    <xf numFmtId="9" fontId="82" fillId="0" borderId="19" xfId="0" applyNumberFormat="1" applyFont="1" applyBorder="1" applyAlignment="1">
      <alignment vertical="center"/>
    </xf>
    <xf numFmtId="0" fontId="43" fillId="3" borderId="19" xfId="0" applyFont="1" applyFill="1" applyBorder="1" applyAlignment="1">
      <alignment vertical="center"/>
    </xf>
    <xf numFmtId="165" fontId="43" fillId="3" borderId="19" xfId="2" applyNumberFormat="1" applyFont="1" applyFill="1" applyBorder="1" applyAlignment="1">
      <alignment vertical="center"/>
    </xf>
    <xf numFmtId="164" fontId="57" fillId="3" borderId="21" xfId="3" applyNumberFormat="1" applyFont="1" applyFill="1" applyBorder="1" applyAlignment="1">
      <alignment vertical="center"/>
    </xf>
    <xf numFmtId="165" fontId="69" fillId="0" borderId="0" xfId="0" applyNumberFormat="1" applyFont="1" applyAlignment="1">
      <alignment horizontal="left" vertical="center"/>
    </xf>
    <xf numFmtId="165" fontId="62" fillId="0" borderId="0" xfId="0" applyNumberFormat="1" applyFont="1" applyAlignment="1">
      <alignment horizontal="right" vertical="center"/>
    </xf>
    <xf numFmtId="0" fontId="43" fillId="4" borderId="0" xfId="0" applyFont="1" applyFill="1" applyAlignment="1">
      <alignment vertical="center"/>
    </xf>
    <xf numFmtId="0" fontId="63" fillId="4" borderId="0" xfId="0" applyFont="1" applyFill="1" applyAlignment="1">
      <alignment horizontal="left" vertical="center"/>
    </xf>
    <xf numFmtId="165" fontId="57" fillId="4" borderId="0" xfId="2" applyNumberFormat="1" applyFont="1" applyFill="1" applyBorder="1" applyAlignment="1">
      <alignment vertical="center"/>
    </xf>
    <xf numFmtId="44" fontId="57" fillId="4" borderId="0" xfId="7" applyFont="1" applyFill="1" applyBorder="1" applyAlignment="1">
      <alignment vertical="center"/>
    </xf>
    <xf numFmtId="0" fontId="57" fillId="4" borderId="0" xfId="0" applyFont="1" applyFill="1" applyAlignment="1">
      <alignment vertical="center"/>
    </xf>
    <xf numFmtId="0" fontId="83" fillId="0" borderId="0" xfId="0" applyFont="1" applyAlignment="1">
      <alignment vertical="center"/>
    </xf>
    <xf numFmtId="38" fontId="53" fillId="0" borderId="0" xfId="0" applyNumberFormat="1" applyFont="1" applyAlignment="1">
      <alignment horizontal="right" vertical="center"/>
    </xf>
    <xf numFmtId="38" fontId="63" fillId="0" borderId="0" xfId="0" applyNumberFormat="1" applyFont="1" applyAlignment="1">
      <alignment horizontal="right" vertical="center"/>
    </xf>
    <xf numFmtId="0" fontId="63" fillId="0" borderId="19" xfId="0" applyFont="1" applyBorder="1" applyAlignment="1">
      <alignment horizontal="left" vertical="center"/>
    </xf>
    <xf numFmtId="38" fontId="53" fillId="0" borderId="19" xfId="0" applyNumberFormat="1" applyFont="1" applyBorder="1" applyAlignment="1">
      <alignment horizontal="right" vertical="center"/>
    </xf>
    <xf numFmtId="0" fontId="57" fillId="0" borderId="19" xfId="0" applyFont="1" applyBorder="1" applyAlignment="1">
      <alignment vertical="center"/>
    </xf>
    <xf numFmtId="38" fontId="63" fillId="0" borderId="19" xfId="0" applyNumberFormat="1" applyFont="1" applyBorder="1" applyAlignment="1">
      <alignment horizontal="right" vertical="center"/>
    </xf>
    <xf numFmtId="164" fontId="57" fillId="0" borderId="19" xfId="3" applyNumberFormat="1" applyFont="1" applyFill="1" applyBorder="1" applyAlignment="1">
      <alignment vertical="center"/>
    </xf>
    <xf numFmtId="0" fontId="63" fillId="0" borderId="0" xfId="0" applyFont="1" applyAlignment="1">
      <alignment horizontal="right" vertical="center"/>
    </xf>
    <xf numFmtId="165" fontId="60" fillId="0" borderId="0" xfId="0" applyNumberFormat="1" applyFont="1" applyAlignment="1">
      <alignment horizontal="left" vertical="center"/>
    </xf>
    <xf numFmtId="165" fontId="43" fillId="0" borderId="0" xfId="0" applyNumberFormat="1" applyFont="1" applyAlignment="1">
      <alignment horizontal="left" vertical="center"/>
    </xf>
    <xf numFmtId="164" fontId="43" fillId="0" borderId="0" xfId="3" applyNumberFormat="1" applyFont="1" applyFill="1" applyBorder="1" applyAlignment="1">
      <alignment vertical="center"/>
    </xf>
    <xf numFmtId="164" fontId="52" fillId="0" borderId="0" xfId="3" applyNumberFormat="1" applyFont="1" applyFill="1" applyBorder="1" applyAlignment="1">
      <alignment vertical="center"/>
    </xf>
    <xf numFmtId="164" fontId="69" fillId="0" borderId="0" xfId="3" applyNumberFormat="1" applyFont="1" applyFill="1" applyBorder="1" applyAlignment="1">
      <alignment horizontal="right" vertical="center"/>
    </xf>
    <xf numFmtId="164" fontId="69" fillId="0" borderId="0" xfId="3" applyNumberFormat="1" applyFont="1" applyFill="1" applyAlignment="1">
      <alignment horizontal="left" vertical="center"/>
    </xf>
    <xf numFmtId="164" fontId="69" fillId="0" borderId="0" xfId="3" applyNumberFormat="1" applyFont="1" applyFill="1" applyAlignment="1">
      <alignment horizontal="right" vertical="center"/>
    </xf>
    <xf numFmtId="164" fontId="58" fillId="0" borderId="0" xfId="3" applyNumberFormat="1" applyFont="1" applyBorder="1" applyAlignment="1">
      <alignment vertical="center"/>
    </xf>
    <xf numFmtId="164" fontId="69" fillId="0" borderId="0" xfId="3" applyNumberFormat="1" applyFont="1" applyFill="1" applyBorder="1" applyAlignment="1">
      <alignment vertical="center"/>
    </xf>
    <xf numFmtId="38" fontId="57" fillId="0" borderId="0" xfId="0" applyNumberFormat="1" applyFont="1" applyAlignment="1">
      <alignment vertical="center"/>
    </xf>
    <xf numFmtId="0" fontId="69" fillId="0" borderId="0" xfId="8" applyFont="1" applyAlignment="1">
      <alignment vertical="center"/>
    </xf>
    <xf numFmtId="0" fontId="53" fillId="0" borderId="0" xfId="8" applyFont="1" applyAlignment="1">
      <alignment vertical="center"/>
    </xf>
    <xf numFmtId="165" fontId="60" fillId="0" borderId="19" xfId="0" applyNumberFormat="1" applyFont="1" applyBorder="1" applyAlignment="1">
      <alignment horizontal="left" vertical="center"/>
    </xf>
    <xf numFmtId="0" fontId="43" fillId="0" borderId="19" xfId="0" applyFont="1" applyBorder="1" applyAlignment="1">
      <alignment vertical="center"/>
    </xf>
    <xf numFmtId="165" fontId="57" fillId="0" borderId="19" xfId="2" applyNumberFormat="1" applyFont="1" applyFill="1" applyBorder="1" applyAlignment="1">
      <alignment vertical="center"/>
    </xf>
    <xf numFmtId="165" fontId="49" fillId="0" borderId="0" xfId="0" applyNumberFormat="1" applyFont="1" applyAlignment="1">
      <alignment vertical="center"/>
    </xf>
    <xf numFmtId="0" fontId="45" fillId="0" borderId="0" xfId="0" applyFont="1" applyAlignment="1">
      <alignment horizontal="left" vertical="center" indent="2"/>
    </xf>
    <xf numFmtId="38" fontId="49" fillId="0" borderId="0" xfId="0" applyNumberFormat="1" applyFont="1" applyAlignment="1">
      <alignment vertical="center"/>
    </xf>
    <xf numFmtId="0" fontId="49" fillId="0" borderId="19" xfId="0" applyFont="1" applyBorder="1" applyAlignment="1">
      <alignment vertical="center"/>
    </xf>
    <xf numFmtId="44" fontId="49" fillId="0" borderId="19" xfId="7" applyFont="1" applyBorder="1" applyAlignment="1">
      <alignment vertical="center"/>
    </xf>
    <xf numFmtId="165" fontId="57" fillId="0" borderId="19" xfId="0" applyNumberFormat="1" applyFont="1" applyBorder="1" applyAlignment="1">
      <alignment vertical="center"/>
    </xf>
    <xf numFmtId="0" fontId="64" fillId="0" borderId="0" xfId="8" applyFont="1" applyAlignment="1">
      <alignment vertical="center"/>
    </xf>
    <xf numFmtId="0" fontId="53" fillId="0" borderId="19" xfId="8" applyFont="1" applyBorder="1" applyAlignment="1">
      <alignment vertical="center"/>
    </xf>
    <xf numFmtId="0" fontId="64" fillId="0" borderId="19" xfId="8" applyFont="1" applyBorder="1" applyAlignment="1">
      <alignment vertical="center"/>
    </xf>
    <xf numFmtId="164" fontId="45" fillId="0" borderId="19" xfId="3" applyNumberFormat="1" applyFont="1" applyFill="1" applyBorder="1" applyAlignment="1">
      <alignment vertical="center"/>
    </xf>
    <xf numFmtId="0" fontId="63" fillId="0" borderId="21" xfId="8" applyFont="1" applyBorder="1" applyAlignment="1">
      <alignment vertical="center"/>
    </xf>
    <xf numFmtId="0" fontId="85" fillId="0" borderId="21" xfId="8" applyFont="1" applyBorder="1" applyAlignment="1">
      <alignment vertical="center"/>
    </xf>
    <xf numFmtId="165" fontId="63" fillId="0" borderId="21" xfId="0" applyNumberFormat="1" applyFont="1" applyBorder="1" applyAlignment="1">
      <alignment horizontal="left" vertical="center"/>
    </xf>
    <xf numFmtId="44" fontId="57" fillId="0" borderId="21" xfId="7" applyFont="1" applyBorder="1" applyAlignment="1">
      <alignment vertical="center"/>
    </xf>
    <xf numFmtId="0" fontId="44" fillId="0" borderId="0" xfId="0" applyFont="1" applyAlignment="1">
      <alignment vertical="center"/>
    </xf>
    <xf numFmtId="165" fontId="57" fillId="0" borderId="0" xfId="0" applyNumberFormat="1" applyFont="1" applyAlignment="1">
      <alignment vertical="center"/>
    </xf>
    <xf numFmtId="0" fontId="58" fillId="0" borderId="0" xfId="0" applyFont="1" applyAlignment="1">
      <alignment vertical="center"/>
    </xf>
    <xf numFmtId="10" fontId="58" fillId="0" borderId="0" xfId="3" applyNumberFormat="1" applyFont="1" applyFill="1" applyAlignment="1">
      <alignment vertical="center"/>
    </xf>
    <xf numFmtId="10" fontId="58" fillId="0" borderId="0" xfId="3" applyNumberFormat="1" applyFont="1" applyFill="1" applyBorder="1" applyAlignment="1">
      <alignment vertical="center"/>
    </xf>
    <xf numFmtId="0" fontId="49" fillId="0" borderId="10" xfId="0" applyFont="1" applyBorder="1" applyAlignment="1">
      <alignment vertical="center"/>
    </xf>
    <xf numFmtId="44" fontId="49" fillId="0" borderId="0" xfId="7" applyFont="1" applyFill="1" applyAlignment="1">
      <alignment vertical="center"/>
    </xf>
    <xf numFmtId="0" fontId="12" fillId="0" borderId="0" xfId="0" applyFont="1" applyAlignment="1">
      <alignment vertical="center"/>
    </xf>
    <xf numFmtId="0" fontId="53" fillId="0" borderId="0" xfId="0" quotePrefix="1" applyFont="1" applyAlignment="1">
      <alignment vertical="center"/>
    </xf>
    <xf numFmtId="0" fontId="53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49" fillId="0" borderId="0" xfId="0" quotePrefix="1" applyFont="1" applyAlignment="1">
      <alignment vertical="center"/>
    </xf>
    <xf numFmtId="14" fontId="53" fillId="0" borderId="0" xfId="0" applyNumberFormat="1" applyFont="1" applyAlignment="1">
      <alignment horizontal="left" vertical="center"/>
    </xf>
    <xf numFmtId="14" fontId="69" fillId="0" borderId="0" xfId="0" applyNumberFormat="1" applyFont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86" fillId="0" borderId="0" xfId="0" applyFont="1" applyProtection="1">
      <protection hidden="1"/>
    </xf>
    <xf numFmtId="0" fontId="30" fillId="0" borderId="0" xfId="0" applyFont="1" applyProtection="1">
      <protection hidden="1"/>
    </xf>
    <xf numFmtId="0" fontId="11" fillId="0" borderId="0" xfId="10" applyFont="1"/>
    <xf numFmtId="43" fontId="18" fillId="0" borderId="0" xfId="2" applyFont="1"/>
    <xf numFmtId="0" fontId="18" fillId="0" borderId="0" xfId="17" applyFont="1"/>
    <xf numFmtId="0" fontId="18" fillId="0" borderId="0" xfId="10"/>
    <xf numFmtId="0" fontId="11" fillId="0" borderId="0" xfId="14" applyFont="1"/>
    <xf numFmtId="0" fontId="87" fillId="0" borderId="0" xfId="8" applyFont="1"/>
    <xf numFmtId="0" fontId="87" fillId="0" borderId="0" xfId="8" applyFont="1" applyAlignment="1">
      <alignment horizontal="center"/>
    </xf>
    <xf numFmtId="0" fontId="11" fillId="0" borderId="0" xfId="0" applyFont="1"/>
    <xf numFmtId="0" fontId="23" fillId="0" borderId="0" xfId="0" applyFont="1" applyProtection="1">
      <protection hidden="1"/>
    </xf>
    <xf numFmtId="0" fontId="11" fillId="0" borderId="0" xfId="0" applyFont="1" applyProtection="1">
      <protection hidden="1"/>
    </xf>
    <xf numFmtId="0" fontId="11" fillId="0" borderId="0" xfId="0" applyFont="1" applyAlignment="1" applyProtection="1">
      <alignment horizontal="left" vertical="center"/>
      <protection hidden="1"/>
    </xf>
    <xf numFmtId="0" fontId="11" fillId="0" borderId="0" xfId="0" applyFont="1" applyAlignment="1" applyProtection="1">
      <alignment horizontal="left"/>
      <protection hidden="1"/>
    </xf>
    <xf numFmtId="0" fontId="11" fillId="0" borderId="0" xfId="5" applyFont="1" applyAlignment="1" applyProtection="1">
      <alignment horizontal="left"/>
      <protection hidden="1"/>
    </xf>
    <xf numFmtId="0" fontId="11" fillId="0" borderId="0" xfId="5" applyFont="1" applyProtection="1">
      <protection hidden="1"/>
    </xf>
    <xf numFmtId="167" fontId="23" fillId="0" borderId="0" xfId="7" applyNumberFormat="1" applyFont="1" applyFill="1" applyBorder="1" applyProtection="1">
      <protection hidden="1"/>
    </xf>
    <xf numFmtId="9" fontId="23" fillId="0" borderId="0" xfId="3" applyFont="1" applyFill="1" applyBorder="1" applyProtection="1">
      <protection hidden="1"/>
    </xf>
    <xf numFmtId="164" fontId="18" fillId="0" borderId="0" xfId="3" applyNumberFormat="1" applyFont="1" applyFill="1" applyBorder="1" applyProtection="1">
      <protection hidden="1"/>
    </xf>
    <xf numFmtId="164" fontId="23" fillId="0" borderId="0" xfId="3" applyNumberFormat="1" applyFont="1" applyFill="1" applyBorder="1" applyProtection="1">
      <protection hidden="1"/>
    </xf>
    <xf numFmtId="164" fontId="18" fillId="0" borderId="0" xfId="3" applyNumberFormat="1" applyFont="1" applyFill="1" applyProtection="1">
      <protection hidden="1"/>
    </xf>
    <xf numFmtId="165" fontId="18" fillId="0" borderId="0" xfId="2" applyNumberFormat="1" applyFont="1" applyFill="1" applyBorder="1" applyProtection="1">
      <protection hidden="1"/>
    </xf>
    <xf numFmtId="165" fontId="23" fillId="0" borderId="0" xfId="2" applyNumberFormat="1" applyFont="1" applyFill="1" applyBorder="1" applyProtection="1">
      <protection hidden="1"/>
    </xf>
    <xf numFmtId="9" fontId="23" fillId="0" borderId="0" xfId="0" applyNumberFormat="1" applyFont="1" applyProtection="1">
      <protection hidden="1"/>
    </xf>
    <xf numFmtId="43" fontId="18" fillId="0" borderId="0" xfId="2" applyFont="1" applyFill="1" applyBorder="1" applyProtection="1">
      <protection hidden="1"/>
    </xf>
    <xf numFmtId="43" fontId="23" fillId="0" borderId="0" xfId="2" applyFont="1" applyFill="1" applyBorder="1" applyProtection="1">
      <protection hidden="1"/>
    </xf>
    <xf numFmtId="0" fontId="18" fillId="0" borderId="0" xfId="10" applyAlignment="1">
      <alignment horizontal="center"/>
    </xf>
    <xf numFmtId="0" fontId="11" fillId="0" borderId="0" xfId="12" applyFont="1"/>
    <xf numFmtId="0" fontId="11" fillId="0" borderId="0" xfId="21" applyFont="1"/>
    <xf numFmtId="0" fontId="11" fillId="0" borderId="0" xfId="21" applyFont="1" applyProtection="1">
      <protection hidden="1"/>
    </xf>
    <xf numFmtId="49" fontId="87" fillId="0" borderId="0" xfId="7" applyNumberFormat="1" applyFont="1" applyFill="1" applyBorder="1"/>
    <xf numFmtId="14" fontId="11" fillId="0" borderId="0" xfId="10" applyNumberFormat="1" applyFont="1"/>
    <xf numFmtId="14" fontId="11" fillId="0" borderId="0" xfId="0" applyNumberFormat="1" applyFont="1"/>
    <xf numFmtId="43" fontId="11" fillId="0" borderId="0" xfId="13" applyFont="1" applyFill="1"/>
    <xf numFmtId="165" fontId="11" fillId="0" borderId="0" xfId="13" applyNumberFormat="1" applyFont="1" applyFill="1"/>
    <xf numFmtId="43" fontId="18" fillId="0" borderId="0" xfId="2" applyFont="1" applyFill="1" applyProtection="1">
      <protection hidden="1"/>
    </xf>
    <xf numFmtId="9" fontId="18" fillId="0" borderId="0" xfId="3" applyFont="1" applyFill="1" applyProtection="1">
      <protection hidden="1"/>
    </xf>
    <xf numFmtId="44" fontId="18" fillId="0" borderId="0" xfId="10" applyNumberFormat="1" applyAlignment="1">
      <alignment horizontal="center"/>
    </xf>
    <xf numFmtId="9" fontId="18" fillId="0" borderId="0" xfId="10" applyNumberFormat="1" applyAlignment="1">
      <alignment horizontal="center"/>
    </xf>
    <xf numFmtId="164" fontId="23" fillId="0" borderId="0" xfId="0" applyNumberFormat="1" applyFont="1" applyProtection="1">
      <protection hidden="1"/>
    </xf>
    <xf numFmtId="10" fontId="23" fillId="0" borderId="0" xfId="0" applyNumberFormat="1" applyFont="1" applyProtection="1">
      <protection hidden="1"/>
    </xf>
    <xf numFmtId="0" fontId="37" fillId="0" borderId="0" xfId="8"/>
    <xf numFmtId="0" fontId="37" fillId="0" borderId="0" xfId="8" applyAlignment="1">
      <alignment horizontal="center"/>
    </xf>
    <xf numFmtId="43" fontId="18" fillId="0" borderId="0" xfId="13" applyFont="1"/>
    <xf numFmtId="0" fontId="10" fillId="0" borderId="0" xfId="14" applyFont="1"/>
    <xf numFmtId="0" fontId="10" fillId="0" borderId="0" xfId="10" applyFont="1"/>
    <xf numFmtId="49" fontId="11" fillId="0" borderId="0" xfId="10" applyNumberFormat="1" applyFont="1"/>
    <xf numFmtId="0" fontId="11" fillId="0" borderId="0" xfId="13" applyNumberFormat="1" applyFont="1" applyFill="1" applyBorder="1"/>
    <xf numFmtId="0" fontId="24" fillId="0" borderId="0" xfId="8" applyFont="1"/>
    <xf numFmtId="0" fontId="19" fillId="0" borderId="0" xfId="10" applyFont="1"/>
    <xf numFmtId="0" fontId="9" fillId="0" borderId="0" xfId="14" applyFont="1"/>
    <xf numFmtId="49" fontId="9" fillId="0" borderId="0" xfId="14" applyNumberFormat="1" applyFont="1" applyAlignment="1">
      <alignment horizontal="right"/>
    </xf>
    <xf numFmtId="0" fontId="9" fillId="0" borderId="0" xfId="14" applyFont="1" applyAlignment="1">
      <alignment horizontal="right"/>
    </xf>
    <xf numFmtId="0" fontId="8" fillId="0" borderId="0" xfId="12" applyFont="1"/>
    <xf numFmtId="0" fontId="8" fillId="0" borderId="0" xfId="0" applyFont="1"/>
    <xf numFmtId="0" fontId="7" fillId="0" borderId="0" xfId="17" applyFont="1"/>
    <xf numFmtId="9" fontId="18" fillId="0" borderId="0" xfId="3" applyFont="1" applyFill="1" applyBorder="1" applyProtection="1">
      <protection hidden="1"/>
    </xf>
    <xf numFmtId="164" fontId="23" fillId="0" borderId="0" xfId="3" applyNumberFormat="1" applyFont="1" applyFill="1" applyProtection="1">
      <protection hidden="1"/>
    </xf>
    <xf numFmtId="167" fontId="18" fillId="0" borderId="0" xfId="7" applyNumberFormat="1" applyFont="1" applyFill="1" applyBorder="1" applyProtection="1">
      <protection hidden="1"/>
    </xf>
    <xf numFmtId="0" fontId="6" fillId="0" borderId="0" xfId="10" applyFont="1"/>
    <xf numFmtId="167" fontId="18" fillId="0" borderId="0" xfId="7" applyNumberFormat="1" applyFont="1" applyFill="1" applyProtection="1"/>
    <xf numFmtId="165" fontId="18" fillId="0" borderId="0" xfId="2" applyNumberFormat="1" applyFont="1" applyFill="1" applyBorder="1" applyProtection="1"/>
    <xf numFmtId="49" fontId="5" fillId="0" borderId="0" xfId="14" applyNumberFormat="1" applyFont="1" applyAlignment="1">
      <alignment horizontal="right"/>
    </xf>
    <xf numFmtId="0" fontId="4" fillId="0" borderId="0" xfId="0" applyFont="1"/>
    <xf numFmtId="0" fontId="88" fillId="0" borderId="0" xfId="0" applyFont="1"/>
    <xf numFmtId="0" fontId="4" fillId="0" borderId="0" xfId="0" applyFont="1" applyAlignment="1">
      <alignment horizontal="center"/>
    </xf>
    <xf numFmtId="167" fontId="0" fillId="0" borderId="0" xfId="7" applyNumberFormat="1" applyFont="1" applyFill="1" applyBorder="1"/>
    <xf numFmtId="0" fontId="3" fillId="0" borderId="0" xfId="10" applyFont="1"/>
    <xf numFmtId="0" fontId="3" fillId="0" borderId="0" xfId="14" applyFont="1"/>
    <xf numFmtId="0" fontId="89" fillId="0" borderId="0" xfId="0" applyFont="1"/>
    <xf numFmtId="0" fontId="27" fillId="0" borderId="0" xfId="0" applyFont="1" applyProtection="1">
      <protection hidden="1"/>
    </xf>
    <xf numFmtId="9" fontId="18" fillId="0" borderId="0" xfId="0" applyNumberFormat="1" applyFont="1" applyProtection="1">
      <protection hidden="1"/>
    </xf>
    <xf numFmtId="9" fontId="18" fillId="0" borderId="0" xfId="3" applyFont="1" applyAlignment="1">
      <alignment horizontal="center"/>
    </xf>
    <xf numFmtId="0" fontId="1" fillId="0" borderId="0" xfId="0" applyFont="1" applyAlignment="1">
      <alignment horizontal="left" indent="2"/>
    </xf>
    <xf numFmtId="0" fontId="1" fillId="0" borderId="0" xfId="0" applyFont="1"/>
    <xf numFmtId="0" fontId="1" fillId="0" borderId="0" xfId="0" applyFont="1" applyProtection="1">
      <protection hidden="1"/>
    </xf>
    <xf numFmtId="164" fontId="11" fillId="0" borderId="0" xfId="3" applyNumberFormat="1" applyFont="1" applyFill="1" applyBorder="1" applyProtection="1">
      <protection hidden="1"/>
    </xf>
    <xf numFmtId="0" fontId="13" fillId="0" borderId="0" xfId="0" applyFont="1" applyProtection="1">
      <protection locked="0"/>
    </xf>
    <xf numFmtId="0" fontId="1" fillId="0" borderId="0" xfId="10" applyFont="1"/>
    <xf numFmtId="170" fontId="18" fillId="0" borderId="0" xfId="10" applyNumberFormat="1"/>
    <xf numFmtId="167" fontId="18" fillId="0" borderId="0" xfId="10" applyNumberFormat="1"/>
    <xf numFmtId="44" fontId="18" fillId="0" borderId="0" xfId="10" applyNumberFormat="1"/>
    <xf numFmtId="0" fontId="1" fillId="0" borderId="0" xfId="14" applyFont="1"/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8" fillId="3" borderId="0" xfId="0" applyFont="1" applyFill="1" applyAlignment="1">
      <alignment horizontal="center"/>
    </xf>
    <xf numFmtId="0" fontId="38" fillId="3" borderId="0" xfId="0" applyFont="1" applyFill="1" applyAlignment="1" applyProtection="1">
      <alignment horizontal="center"/>
      <protection hidden="1"/>
    </xf>
    <xf numFmtId="165" fontId="30" fillId="0" borderId="0" xfId="2" applyNumberFormat="1" applyFont="1" applyProtection="1">
      <protection hidden="1"/>
    </xf>
    <xf numFmtId="165" fontId="30" fillId="0" borderId="0" xfId="0" applyNumberFormat="1" applyFont="1" applyProtection="1">
      <protection hidden="1"/>
    </xf>
    <xf numFmtId="43" fontId="0" fillId="0" borderId="0" xfId="0" applyNumberFormat="1"/>
    <xf numFmtId="0" fontId="18" fillId="0" borderId="0" xfId="0" applyFont="1" applyAlignment="1">
      <alignment horizontal="center"/>
    </xf>
    <xf numFmtId="0" fontId="29" fillId="0" borderId="0" xfId="17" applyFont="1" applyAlignment="1" applyProtection="1">
      <alignment horizontal="left"/>
      <protection hidden="1"/>
    </xf>
    <xf numFmtId="0" fontId="26" fillId="0" borderId="0" xfId="0" applyFont="1" applyAlignment="1">
      <alignment horizontal="left"/>
    </xf>
    <xf numFmtId="0" fontId="26" fillId="0" borderId="0" xfId="10" applyFont="1" applyAlignment="1">
      <alignment horizontal="left"/>
    </xf>
    <xf numFmtId="43" fontId="16" fillId="0" borderId="0" xfId="2" applyFont="1"/>
    <xf numFmtId="0" fontId="38" fillId="0" borderId="0" xfId="0" applyFont="1" applyAlignment="1">
      <alignment horizontal="center" wrapText="1"/>
    </xf>
    <xf numFmtId="0" fontId="18" fillId="7" borderId="0" xfId="0" applyFont="1" applyFill="1"/>
    <xf numFmtId="0" fontId="16" fillId="0" borderId="0" xfId="0" applyFont="1" applyAlignment="1">
      <alignment horizontal="right"/>
    </xf>
    <xf numFmtId="0" fontId="88" fillId="0" borderId="0" xfId="0" applyFont="1" applyAlignment="1" applyProtection="1">
      <alignment horizontal="center" wrapText="1"/>
      <protection hidden="1"/>
    </xf>
    <xf numFmtId="0" fontId="88" fillId="0" borderId="0" xfId="0" applyFont="1" applyAlignment="1">
      <alignment horizontal="center" wrapText="1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 wrapText="1"/>
    </xf>
    <xf numFmtId="0" fontId="38" fillId="0" borderId="0" xfId="0" applyFont="1" applyAlignment="1">
      <alignment horizontal="center"/>
    </xf>
    <xf numFmtId="165" fontId="0" fillId="0" borderId="0" xfId="2" applyNumberFormat="1" applyFont="1"/>
    <xf numFmtId="0" fontId="91" fillId="2" borderId="1" xfId="0" applyFont="1" applyFill="1" applyBorder="1" applyAlignment="1" applyProtection="1">
      <alignment horizontal="center"/>
      <protection locked="0"/>
    </xf>
    <xf numFmtId="0" fontId="16" fillId="2" borderId="1" xfId="0" applyFont="1" applyFill="1" applyBorder="1" applyAlignment="1" applyProtection="1">
      <alignment horizontal="center"/>
      <protection locked="0"/>
    </xf>
    <xf numFmtId="1" fontId="16" fillId="3" borderId="1" xfId="0" applyNumberFormat="1" applyFont="1" applyFill="1" applyBorder="1" applyProtection="1">
      <protection locked="0"/>
    </xf>
    <xf numFmtId="1" fontId="16" fillId="3" borderId="1" xfId="2" applyNumberFormat="1" applyFont="1" applyFill="1" applyBorder="1" applyAlignment="1" applyProtection="1">
      <protection locked="0"/>
    </xf>
    <xf numFmtId="171" fontId="16" fillId="3" borderId="1" xfId="2" applyNumberFormat="1" applyFont="1" applyFill="1" applyBorder="1" applyAlignment="1" applyProtection="1">
      <protection locked="0"/>
    </xf>
    <xf numFmtId="1" fontId="38" fillId="3" borderId="0" xfId="0" applyNumberFormat="1" applyFont="1" applyFill="1"/>
    <xf numFmtId="0" fontId="1" fillId="0" borderId="0" xfId="0" applyFont="1" applyAlignment="1">
      <alignment horizontal="left"/>
    </xf>
    <xf numFmtId="0" fontId="18" fillId="0" borderId="0" xfId="0" applyFont="1" applyAlignment="1">
      <alignment horizontal="left" indent="2"/>
    </xf>
    <xf numFmtId="0" fontId="18" fillId="0" borderId="0" xfId="0" applyFont="1" applyAlignment="1">
      <alignment horizontal="left" indent="4"/>
    </xf>
    <xf numFmtId="0" fontId="38" fillId="0" borderId="0" xfId="0" applyFont="1" applyAlignment="1">
      <alignment horizontal="centerContinuous"/>
    </xf>
    <xf numFmtId="0" fontId="16" fillId="0" borderId="0" xfId="0" applyFont="1" applyAlignment="1">
      <alignment horizontal="centerContinuous"/>
    </xf>
    <xf numFmtId="171" fontId="38" fillId="3" borderId="0" xfId="0" applyNumberFormat="1" applyFont="1" applyFill="1"/>
    <xf numFmtId="0" fontId="18" fillId="3" borderId="0" xfId="0" applyFont="1" applyFill="1"/>
    <xf numFmtId="0" fontId="19" fillId="9" borderId="27" xfId="0" applyFont="1" applyFill="1" applyBorder="1"/>
    <xf numFmtId="0" fontId="19" fillId="3" borderId="27" xfId="0" applyFont="1" applyFill="1" applyBorder="1" applyAlignment="1">
      <alignment horizontal="left"/>
    </xf>
    <xf numFmtId="0" fontId="18" fillId="3" borderId="0" xfId="0" applyFont="1" applyFill="1" applyAlignment="1">
      <alignment horizontal="left" indent="1"/>
    </xf>
    <xf numFmtId="0" fontId="19" fillId="9" borderId="28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9" fillId="8" borderId="28" xfId="0" applyFont="1" applyFill="1" applyBorder="1"/>
    <xf numFmtId="0" fontId="19" fillId="3" borderId="27" xfId="0" applyFont="1" applyFill="1" applyBorder="1"/>
    <xf numFmtId="0" fontId="94" fillId="0" borderId="0" xfId="0" applyFont="1"/>
    <xf numFmtId="0" fontId="19" fillId="9" borderId="27" xfId="0" applyFont="1" applyFill="1" applyBorder="1" applyAlignment="1">
      <alignment wrapText="1"/>
    </xf>
    <xf numFmtId="0" fontId="38" fillId="0" borderId="0" xfId="0" applyFont="1" applyAlignment="1" applyProtection="1">
      <alignment horizontal="center" wrapText="1"/>
      <protection locked="0"/>
    </xf>
    <xf numFmtId="0" fontId="92" fillId="0" borderId="0" xfId="0" applyFont="1" applyAlignment="1" applyProtection="1">
      <alignment horizontal="center" wrapText="1"/>
      <protection locked="0"/>
    </xf>
    <xf numFmtId="0" fontId="19" fillId="11" borderId="29" xfId="0" applyFont="1" applyFill="1" applyBorder="1"/>
    <xf numFmtId="0" fontId="19" fillId="11" borderId="30" xfId="0" applyFont="1" applyFill="1" applyBorder="1"/>
    <xf numFmtId="0" fontId="19" fillId="10" borderId="31" xfId="0" applyFont="1" applyFill="1" applyBorder="1" applyAlignment="1">
      <alignment horizontal="left"/>
    </xf>
    <xf numFmtId="0" fontId="19" fillId="10" borderId="13" xfId="0" applyFont="1" applyFill="1" applyBorder="1"/>
    <xf numFmtId="0" fontId="18" fillId="10" borderId="10" xfId="0" applyFont="1" applyFill="1" applyBorder="1" applyAlignment="1">
      <alignment horizontal="left" indent="1"/>
    </xf>
    <xf numFmtId="0" fontId="18" fillId="10" borderId="11" xfId="0" applyFont="1" applyFill="1" applyBorder="1"/>
    <xf numFmtId="0" fontId="18" fillId="10" borderId="31" xfId="0" applyFont="1" applyFill="1" applyBorder="1" applyAlignment="1">
      <alignment horizontal="left"/>
    </xf>
    <xf numFmtId="0" fontId="18" fillId="10" borderId="13" xfId="0" applyFont="1" applyFill="1" applyBorder="1"/>
    <xf numFmtId="0" fontId="18" fillId="10" borderId="31" xfId="0" applyFont="1" applyFill="1" applyBorder="1" applyAlignment="1">
      <alignment horizontal="left" indent="1"/>
    </xf>
    <xf numFmtId="0" fontId="19" fillId="11" borderId="31" xfId="0" applyFont="1" applyFill="1" applyBorder="1" applyAlignment="1">
      <alignment horizontal="left"/>
    </xf>
    <xf numFmtId="0" fontId="19" fillId="11" borderId="13" xfId="0" applyFont="1" applyFill="1" applyBorder="1"/>
    <xf numFmtId="165" fontId="0" fillId="0" borderId="0" xfId="0" applyNumberFormat="1"/>
    <xf numFmtId="171" fontId="18" fillId="0" borderId="0" xfId="0" applyNumberFormat="1" applyFont="1" applyAlignment="1">
      <alignment horizontal="center"/>
    </xf>
    <xf numFmtId="1" fontId="18" fillId="0" borderId="0" xfId="10" applyNumberFormat="1" applyAlignment="1">
      <alignment horizontal="center"/>
    </xf>
    <xf numFmtId="0" fontId="95" fillId="0" borderId="0" xfId="10" applyFont="1"/>
    <xf numFmtId="172" fontId="0" fillId="0" borderId="0" xfId="2" applyNumberFormat="1" applyFont="1"/>
    <xf numFmtId="172" fontId="0" fillId="0" borderId="0" xfId="0" applyNumberFormat="1"/>
    <xf numFmtId="0" fontId="18" fillId="0" borderId="4" xfId="0" applyFont="1" applyBorder="1" applyAlignment="1">
      <alignment horizontal="center"/>
    </xf>
    <xf numFmtId="0" fontId="18" fillId="0" borderId="32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33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18" fillId="0" borderId="6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14" fontId="18" fillId="0" borderId="0" xfId="0" applyNumberFormat="1" applyFont="1"/>
    <xf numFmtId="0" fontId="24" fillId="0" borderId="0" xfId="0" applyFont="1" applyAlignment="1">
      <alignment horizontal="centerContinuous"/>
    </xf>
    <xf numFmtId="165" fontId="0" fillId="0" borderId="4" xfId="2" applyNumberFormat="1" applyFont="1" applyBorder="1"/>
    <xf numFmtId="165" fontId="0" fillId="0" borderId="32" xfId="2" applyNumberFormat="1" applyFont="1" applyBorder="1"/>
    <xf numFmtId="165" fontId="0" fillId="0" borderId="5" xfId="2" applyNumberFormat="1" applyFont="1" applyBorder="1"/>
    <xf numFmtId="165" fontId="0" fillId="0" borderId="33" xfId="2" applyNumberFormat="1" applyFont="1" applyBorder="1"/>
    <xf numFmtId="165" fontId="0" fillId="0" borderId="34" xfId="2" applyNumberFormat="1" applyFont="1" applyBorder="1"/>
    <xf numFmtId="165" fontId="0" fillId="0" borderId="6" xfId="2" applyNumberFormat="1" applyFont="1" applyBorder="1"/>
    <xf numFmtId="165" fontId="0" fillId="0" borderId="7" xfId="2" applyNumberFormat="1" applyFont="1" applyBorder="1"/>
    <xf numFmtId="165" fontId="0" fillId="0" borderId="8" xfId="2" applyNumberFormat="1" applyFont="1" applyBorder="1"/>
    <xf numFmtId="165" fontId="0" fillId="0" borderId="0" xfId="2" applyNumberFormat="1" applyFont="1" applyFill="1"/>
    <xf numFmtId="0" fontId="38" fillId="0" borderId="0" xfId="0" applyFont="1" applyAlignment="1" applyProtection="1">
      <alignment horizontal="center"/>
      <protection hidden="1"/>
    </xf>
    <xf numFmtId="166" fontId="16" fillId="0" borderId="0" xfId="2" applyNumberFormat="1" applyFont="1" applyFill="1" applyBorder="1" applyAlignment="1">
      <alignment horizontal="center"/>
    </xf>
    <xf numFmtId="165" fontId="16" fillId="0" borderId="0" xfId="2" applyNumberFormat="1" applyFont="1" applyFill="1" applyBorder="1" applyAlignment="1">
      <alignment horizontal="center"/>
    </xf>
    <xf numFmtId="0" fontId="18" fillId="6" borderId="1" xfId="0" applyFont="1" applyFill="1" applyBorder="1" applyAlignment="1" applyProtection="1">
      <alignment horizontal="center"/>
      <protection locked="0"/>
    </xf>
    <xf numFmtId="171" fontId="18" fillId="6" borderId="1" xfId="0" applyNumberFormat="1" applyFont="1" applyFill="1" applyBorder="1" applyAlignment="1" applyProtection="1">
      <alignment horizontal="center"/>
      <protection locked="0"/>
    </xf>
    <xf numFmtId="1" fontId="18" fillId="6" borderId="1" xfId="0" applyNumberFormat="1" applyFont="1" applyFill="1" applyBorder="1" applyAlignment="1" applyProtection="1">
      <alignment horizontal="center"/>
      <protection locked="0"/>
    </xf>
    <xf numFmtId="1" fontId="18" fillId="6" borderId="1" xfId="2" applyNumberFormat="1" applyFont="1" applyFill="1" applyBorder="1" applyAlignment="1" applyProtection="1">
      <alignment horizontal="center"/>
      <protection locked="0"/>
    </xf>
    <xf numFmtId="173" fontId="18" fillId="0" borderId="0" xfId="10" applyNumberFormat="1" applyAlignment="1">
      <alignment horizontal="center"/>
    </xf>
    <xf numFmtId="0" fontId="30" fillId="0" borderId="0" xfId="12" applyFont="1"/>
    <xf numFmtId="1" fontId="97" fillId="0" borderId="0" xfId="0" applyNumberFormat="1" applyFont="1" applyAlignment="1">
      <alignment wrapText="1"/>
    </xf>
    <xf numFmtId="0" fontId="97" fillId="0" borderId="0" xfId="0" applyFont="1" applyAlignment="1">
      <alignment wrapText="1"/>
    </xf>
    <xf numFmtId="0" fontId="96" fillId="0" borderId="0" xfId="0" applyFont="1"/>
    <xf numFmtId="167" fontId="16" fillId="2" borderId="1" xfId="7" applyNumberFormat="1" applyFont="1" applyFill="1" applyBorder="1" applyAlignment="1" applyProtection="1">
      <alignment horizontal="center"/>
      <protection locked="0"/>
    </xf>
    <xf numFmtId="0" fontId="88" fillId="0" borderId="0" xfId="0" applyFont="1" applyAlignment="1">
      <alignment horizontal="left" indent="2"/>
    </xf>
    <xf numFmtId="0" fontId="98" fillId="0" borderId="0" xfId="0" applyFont="1"/>
    <xf numFmtId="0" fontId="26" fillId="0" borderId="0" xfId="10" applyFont="1" applyAlignment="1">
      <alignment horizontal="left" indent="2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2" xfId="17" applyFont="1" applyFill="1" applyBorder="1" applyAlignment="1" applyProtection="1">
      <alignment horizontal="center"/>
      <protection locked="0"/>
    </xf>
    <xf numFmtId="0" fontId="2" fillId="2" borderId="3" xfId="17" applyFont="1" applyFill="1" applyBorder="1" applyAlignment="1" applyProtection="1">
      <alignment horizontal="center"/>
      <protection locked="0"/>
    </xf>
    <xf numFmtId="0" fontId="57" fillId="0" borderId="10" xfId="0" applyFont="1" applyBorder="1" applyAlignment="1">
      <alignment horizontal="center" vertical="center" wrapText="1"/>
    </xf>
    <xf numFmtId="0" fontId="57" fillId="0" borderId="0" xfId="0" applyFont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44" fontId="57" fillId="0" borderId="0" xfId="7" applyFont="1" applyBorder="1" applyAlignment="1">
      <alignment horizontal="center" vertical="center"/>
    </xf>
    <xf numFmtId="44" fontId="57" fillId="0" borderId="0" xfId="7" applyFont="1" applyFill="1" applyBorder="1" applyAlignment="1">
      <alignment horizontal="center" vertical="center"/>
    </xf>
    <xf numFmtId="0" fontId="18" fillId="6" borderId="2" xfId="0" applyFont="1" applyFill="1" applyBorder="1" applyAlignment="1" applyProtection="1">
      <alignment horizontal="center"/>
      <protection locked="0"/>
    </xf>
    <xf numFmtId="0" fontId="18" fillId="6" borderId="3" xfId="0" applyFont="1" applyFill="1" applyBorder="1" applyAlignment="1" applyProtection="1">
      <alignment horizontal="center"/>
      <protection locked="0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26">
    <cellStyle name="Comma" xfId="2" builtinId="3"/>
    <cellStyle name="Comma 2" xfId="11" xr:uid="{FD791432-DB31-2744-829B-3A2281BFAB09}"/>
    <cellStyle name="Comma 2 2" xfId="24" xr:uid="{9C91A8D8-6B4C-B348-9B2A-B5DFB7F2D696}"/>
    <cellStyle name="Comma 3" xfId="13" xr:uid="{992B348D-32F7-084E-AD3C-6690AF73E528}"/>
    <cellStyle name="Comma 4" xfId="22" xr:uid="{1E4C6C7B-3E95-7344-AE95-BCCA9D4A65CA}"/>
    <cellStyle name="Currency" xfId="7" builtinId="4"/>
    <cellStyle name="Good 2" xfId="25" xr:uid="{50026D62-A9C7-C949-9506-2F907DF0DB87}"/>
    <cellStyle name="Hyperlink" xfId="4" builtinId="8"/>
    <cellStyle name="Hyperlink 2" xfId="6" xr:uid="{F8914A8A-1FA2-A544-AFE5-4DCDAC306BEC}"/>
    <cellStyle name="Hyperlink 2 2" xfId="19" xr:uid="{1BC926E6-A79F-E543-A535-89A7EFEDCF27}"/>
    <cellStyle name="Normal" xfId="0" builtinId="0"/>
    <cellStyle name="Normal 2" xfId="1" xr:uid="{00000000-0005-0000-0000-000003000000}"/>
    <cellStyle name="Normal 2 2" xfId="8" xr:uid="{502ED804-1BC4-7645-8FCA-0C3CEE2A1F2E}"/>
    <cellStyle name="Normal 2 3" xfId="18" xr:uid="{936879E2-7A65-DF4D-B83F-E562BFCBFCF1}"/>
    <cellStyle name="Normal 3" xfId="5" xr:uid="{AA0F86A3-3CAC-3C49-A1E8-A7A660CDE746}"/>
    <cellStyle name="Normal 3 2" xfId="9" xr:uid="{233672B3-DECB-D643-9DE8-C2E85D41D375}"/>
    <cellStyle name="Normal 3 3" xfId="15" xr:uid="{EFF8CC15-B500-4FB4-A3DC-47848277E3CC}"/>
    <cellStyle name="Normal 4" xfId="10" xr:uid="{15956D78-77A0-574B-AA2D-62E686ABC0C8}"/>
    <cellStyle name="Normal 5" xfId="12" xr:uid="{BAB93D5C-6EF3-E14D-B873-31985A0D7132}"/>
    <cellStyle name="Normal 5 2" xfId="17" xr:uid="{31FDFF2C-0C10-C944-A955-D3E5D30449AC}"/>
    <cellStyle name="Normal 5 3" xfId="21" xr:uid="{DA4BBAA3-4A1B-5044-AFBA-A3C555E5538B}"/>
    <cellStyle name="Normal 5 4" xfId="23" xr:uid="{E4578F7B-12B4-8244-97EE-504A3117ECAE}"/>
    <cellStyle name="Normal 6" xfId="20" xr:uid="{03CA8B80-130C-B844-B51F-2AAD9F1AAC0D}"/>
    <cellStyle name="Normal 7" xfId="14" xr:uid="{BA89AD31-CBC9-D84A-9A07-1C0DB052E6C8}"/>
    <cellStyle name="Percent" xfId="3" builtinId="5"/>
    <cellStyle name="Percent 3" xfId="16" xr:uid="{4F1B38BF-FFA7-4DCD-95DD-6EBC52D962F2}"/>
  </cellStyles>
  <dxfs count="9"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D78"/>
      <color rgb="FFFFFDA9"/>
      <color rgb="FFFFD8FF"/>
      <color rgb="FFFFAFFF"/>
      <color rgb="FFFF52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ch\Dropbox%20(CMRA)\CMRA%20Team%20Folder\RH%20Personal\TEACHING\ONLINE\Master%20Data\Company%20Data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cker info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ristopher Guzman Silva" refreshedDate="44998.02502951389" createdVersion="8" refreshedVersion="8" minRefreshableVersion="3" recordCount="1000" xr:uid="{2DF5CEBE-F056-4B69-89BF-03316E47F973}">
  <cacheSource type="worksheet">
    <worksheetSource ref="A23:F1023" sheet="Assemble Data"/>
  </cacheSource>
  <cacheFields count="8">
    <cacheField name="Procedure Number" numFmtId="0">
      <sharedItems containsSemiMixedTypes="0" containsString="0" containsNumber="1" containsInteger="1" minValue="1" maxValue="1000"/>
    </cacheField>
    <cacheField name="Procedure Code" numFmtId="0">
      <sharedItems count="10">
        <s v="P10"/>
        <s v="P16"/>
        <s v="P18"/>
        <s v="P11"/>
        <s v="P15"/>
        <s v="P19"/>
        <s v="P13"/>
        <s v="P17"/>
        <s v="P12"/>
        <s v="P14"/>
      </sharedItems>
    </cacheField>
    <cacheField name="Count" numFmtId="0">
      <sharedItems containsSemiMixedTypes="0" containsString="0" containsNumber="1" containsInteger="1" minValue="1" maxValue="1"/>
    </cacheField>
    <cacheField name="Payments" numFmtId="167">
      <sharedItems containsSemiMixedTypes="0" containsString="0" containsNumber="1" minValue="1920" maxValue="26400.000000000004"/>
    </cacheField>
    <cacheField name="Surgeon" numFmtId="0">
      <sharedItems count="9">
        <s v="C1"/>
        <s v="N1"/>
        <s v="O1"/>
        <s v="O2"/>
        <s v="C2"/>
        <s v="N2"/>
        <s v="C3"/>
        <s v="O3"/>
        <s v="N3"/>
      </sharedItems>
    </cacheField>
    <cacheField name=" OR Hours" numFmtId="0">
      <sharedItems containsSemiMixedTypes="0" containsString="0" containsNumber="1" minValue="3" maxValue="12"/>
    </cacheField>
    <cacheField name="Hourly Rate" numFmtId="0" formula="Payments/' OR Hours'" databaseField="0"/>
    <cacheField name="Average Payment" numFmtId="0" formula="Payments/Coun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x v="0"/>
    <n v="1"/>
    <n v="2880"/>
    <x v="0"/>
    <n v="3"/>
  </r>
  <r>
    <n v="2"/>
    <x v="1"/>
    <n v="1"/>
    <n v="7279.9999999999991"/>
    <x v="1"/>
    <n v="4"/>
  </r>
  <r>
    <n v="3"/>
    <x v="2"/>
    <n v="1"/>
    <n v="4860"/>
    <x v="2"/>
    <n v="6"/>
  </r>
  <r>
    <n v="4"/>
    <x v="3"/>
    <n v="1"/>
    <n v="13200"/>
    <x v="0"/>
    <n v="11"/>
  </r>
  <r>
    <n v="5"/>
    <x v="4"/>
    <n v="1"/>
    <n v="8400"/>
    <x v="1"/>
    <n v="5"/>
  </r>
  <r>
    <n v="6"/>
    <x v="0"/>
    <n v="1"/>
    <n v="2880"/>
    <x v="0"/>
    <n v="3"/>
  </r>
  <r>
    <n v="7"/>
    <x v="5"/>
    <n v="1"/>
    <n v="7920"/>
    <x v="2"/>
    <n v="11"/>
  </r>
  <r>
    <n v="8"/>
    <x v="3"/>
    <n v="1"/>
    <n v="13200"/>
    <x v="0"/>
    <n v="11"/>
  </r>
  <r>
    <n v="9"/>
    <x v="6"/>
    <n v="1"/>
    <n v="5400"/>
    <x v="0"/>
    <n v="5"/>
  </r>
  <r>
    <n v="10"/>
    <x v="1"/>
    <n v="1"/>
    <n v="7279.9999999999991"/>
    <x v="1"/>
    <n v="4"/>
  </r>
  <r>
    <n v="11"/>
    <x v="4"/>
    <n v="1"/>
    <n v="8400"/>
    <x v="1"/>
    <n v="5"/>
  </r>
  <r>
    <n v="12"/>
    <x v="7"/>
    <n v="1"/>
    <n v="10800"/>
    <x v="2"/>
    <n v="12"/>
  </r>
  <r>
    <n v="13"/>
    <x v="3"/>
    <n v="1"/>
    <n v="13200"/>
    <x v="0"/>
    <n v="11"/>
  </r>
  <r>
    <n v="14"/>
    <x v="7"/>
    <n v="1"/>
    <n v="10800"/>
    <x v="2"/>
    <n v="12"/>
  </r>
  <r>
    <n v="15"/>
    <x v="6"/>
    <n v="1"/>
    <n v="5400"/>
    <x v="0"/>
    <n v="5"/>
  </r>
  <r>
    <n v="16"/>
    <x v="1"/>
    <n v="1"/>
    <n v="7279.9999999999991"/>
    <x v="1"/>
    <n v="4"/>
  </r>
  <r>
    <n v="17"/>
    <x v="0"/>
    <n v="1"/>
    <n v="2880"/>
    <x v="0"/>
    <n v="3"/>
  </r>
  <r>
    <n v="18"/>
    <x v="0"/>
    <n v="1"/>
    <n v="2880"/>
    <x v="0"/>
    <n v="3"/>
  </r>
  <r>
    <n v="19"/>
    <x v="5"/>
    <n v="1"/>
    <n v="7920"/>
    <x v="2"/>
    <n v="11"/>
  </r>
  <r>
    <n v="20"/>
    <x v="7"/>
    <n v="1"/>
    <n v="13200.000000000002"/>
    <x v="3"/>
    <n v="12"/>
  </r>
  <r>
    <n v="21"/>
    <x v="6"/>
    <n v="1"/>
    <n v="4500"/>
    <x v="4"/>
    <n v="5"/>
  </r>
  <r>
    <n v="22"/>
    <x v="8"/>
    <n v="1"/>
    <n v="6825"/>
    <x v="4"/>
    <n v="6.5"/>
  </r>
  <r>
    <n v="23"/>
    <x v="4"/>
    <n v="1"/>
    <n v="5400"/>
    <x v="5"/>
    <n v="5"/>
  </r>
  <r>
    <n v="24"/>
    <x v="8"/>
    <n v="1"/>
    <n v="6825"/>
    <x v="4"/>
    <n v="6.5"/>
  </r>
  <r>
    <n v="25"/>
    <x v="8"/>
    <n v="1"/>
    <n v="6825"/>
    <x v="4"/>
    <n v="6.5"/>
  </r>
  <r>
    <n v="26"/>
    <x v="4"/>
    <n v="1"/>
    <n v="5400"/>
    <x v="5"/>
    <n v="5"/>
  </r>
  <r>
    <n v="27"/>
    <x v="1"/>
    <n v="1"/>
    <n v="4680"/>
    <x v="5"/>
    <n v="4"/>
  </r>
  <r>
    <n v="28"/>
    <x v="3"/>
    <n v="1"/>
    <n v="11000"/>
    <x v="4"/>
    <n v="11"/>
  </r>
  <r>
    <n v="29"/>
    <x v="0"/>
    <n v="1"/>
    <n v="2400"/>
    <x v="4"/>
    <n v="3"/>
  </r>
  <r>
    <n v="30"/>
    <x v="6"/>
    <n v="1"/>
    <n v="4500"/>
    <x v="4"/>
    <n v="5"/>
  </r>
  <r>
    <n v="31"/>
    <x v="6"/>
    <n v="1"/>
    <n v="4500"/>
    <x v="4"/>
    <n v="5"/>
  </r>
  <r>
    <n v="32"/>
    <x v="8"/>
    <n v="1"/>
    <n v="6825"/>
    <x v="4"/>
    <n v="6.5"/>
  </r>
  <r>
    <n v="33"/>
    <x v="7"/>
    <n v="1"/>
    <n v="13200.000000000002"/>
    <x v="3"/>
    <n v="12"/>
  </r>
  <r>
    <n v="34"/>
    <x v="2"/>
    <n v="1"/>
    <n v="5940.0000000000009"/>
    <x v="3"/>
    <n v="6"/>
  </r>
  <r>
    <n v="35"/>
    <x v="4"/>
    <n v="1"/>
    <n v="5400"/>
    <x v="5"/>
    <n v="5"/>
  </r>
  <r>
    <n v="36"/>
    <x v="5"/>
    <n v="1"/>
    <n v="9680"/>
    <x v="3"/>
    <n v="11"/>
  </r>
  <r>
    <n v="37"/>
    <x v="8"/>
    <n v="1"/>
    <n v="6825"/>
    <x v="4"/>
    <n v="6.5"/>
  </r>
  <r>
    <n v="38"/>
    <x v="8"/>
    <n v="1"/>
    <n v="13650"/>
    <x v="4"/>
    <n v="6.5"/>
  </r>
  <r>
    <n v="39"/>
    <x v="7"/>
    <n v="1"/>
    <n v="13200.000000000002"/>
    <x v="3"/>
    <n v="12"/>
  </r>
  <r>
    <n v="40"/>
    <x v="3"/>
    <n v="1"/>
    <n v="11000"/>
    <x v="4"/>
    <n v="11"/>
  </r>
  <r>
    <n v="41"/>
    <x v="1"/>
    <n v="1"/>
    <n v="4680"/>
    <x v="5"/>
    <n v="4"/>
  </r>
  <r>
    <n v="42"/>
    <x v="3"/>
    <n v="1"/>
    <n v="11000"/>
    <x v="4"/>
    <n v="11"/>
  </r>
  <r>
    <n v="43"/>
    <x v="9"/>
    <n v="1"/>
    <n v="6480"/>
    <x v="5"/>
    <n v="8"/>
  </r>
  <r>
    <n v="44"/>
    <x v="0"/>
    <n v="1"/>
    <n v="2400"/>
    <x v="4"/>
    <n v="3"/>
  </r>
  <r>
    <n v="45"/>
    <x v="3"/>
    <n v="1"/>
    <n v="11000"/>
    <x v="4"/>
    <n v="11"/>
  </r>
  <r>
    <n v="46"/>
    <x v="7"/>
    <n v="1"/>
    <n v="13200.000000000002"/>
    <x v="3"/>
    <n v="12"/>
  </r>
  <r>
    <n v="47"/>
    <x v="9"/>
    <n v="1"/>
    <n v="6480"/>
    <x v="5"/>
    <n v="8"/>
  </r>
  <r>
    <n v="48"/>
    <x v="9"/>
    <n v="1"/>
    <n v="6480"/>
    <x v="5"/>
    <n v="8"/>
  </r>
  <r>
    <n v="49"/>
    <x v="0"/>
    <n v="1"/>
    <n v="2400"/>
    <x v="4"/>
    <n v="3"/>
  </r>
  <r>
    <n v="50"/>
    <x v="6"/>
    <n v="1"/>
    <n v="4500"/>
    <x v="4"/>
    <n v="5"/>
  </r>
  <r>
    <n v="51"/>
    <x v="7"/>
    <n v="1"/>
    <n v="13200.000000000002"/>
    <x v="3"/>
    <n v="12"/>
  </r>
  <r>
    <n v="52"/>
    <x v="0"/>
    <n v="1"/>
    <n v="2400"/>
    <x v="4"/>
    <n v="3"/>
  </r>
  <r>
    <n v="53"/>
    <x v="2"/>
    <n v="1"/>
    <n v="11880.000000000002"/>
    <x v="3"/>
    <n v="6"/>
  </r>
  <r>
    <n v="54"/>
    <x v="6"/>
    <n v="1"/>
    <n v="4500"/>
    <x v="4"/>
    <n v="5"/>
  </r>
  <r>
    <n v="55"/>
    <x v="0"/>
    <n v="1"/>
    <n v="2400"/>
    <x v="4"/>
    <n v="3"/>
  </r>
  <r>
    <n v="56"/>
    <x v="4"/>
    <n v="1"/>
    <n v="5400"/>
    <x v="5"/>
    <n v="5"/>
  </r>
  <r>
    <n v="57"/>
    <x v="4"/>
    <n v="1"/>
    <n v="5400"/>
    <x v="5"/>
    <n v="5"/>
  </r>
  <r>
    <n v="58"/>
    <x v="9"/>
    <n v="1"/>
    <n v="6480"/>
    <x v="5"/>
    <n v="8"/>
  </r>
  <r>
    <n v="59"/>
    <x v="4"/>
    <n v="1"/>
    <n v="5400"/>
    <x v="5"/>
    <n v="5"/>
  </r>
  <r>
    <n v="60"/>
    <x v="6"/>
    <n v="1"/>
    <n v="4500"/>
    <x v="4"/>
    <n v="5"/>
  </r>
  <r>
    <n v="61"/>
    <x v="5"/>
    <n v="1"/>
    <n v="9680"/>
    <x v="3"/>
    <n v="11"/>
  </r>
  <r>
    <n v="62"/>
    <x v="8"/>
    <n v="1"/>
    <n v="6825"/>
    <x v="4"/>
    <n v="6.5"/>
  </r>
  <r>
    <n v="63"/>
    <x v="8"/>
    <n v="1"/>
    <n v="6825"/>
    <x v="4"/>
    <n v="6.5"/>
  </r>
  <r>
    <n v="64"/>
    <x v="7"/>
    <n v="1"/>
    <n v="13200.000000000002"/>
    <x v="3"/>
    <n v="12"/>
  </r>
  <r>
    <n v="65"/>
    <x v="8"/>
    <n v="1"/>
    <n v="6825"/>
    <x v="4"/>
    <n v="6.5"/>
  </r>
  <r>
    <n v="66"/>
    <x v="4"/>
    <n v="1"/>
    <n v="5400"/>
    <x v="5"/>
    <n v="5"/>
  </r>
  <r>
    <n v="67"/>
    <x v="2"/>
    <n v="1"/>
    <n v="5940.0000000000009"/>
    <x v="3"/>
    <n v="6"/>
  </r>
  <r>
    <n v="68"/>
    <x v="5"/>
    <n v="1"/>
    <n v="9680"/>
    <x v="3"/>
    <n v="11"/>
  </r>
  <r>
    <n v="69"/>
    <x v="4"/>
    <n v="1"/>
    <n v="5400"/>
    <x v="5"/>
    <n v="5"/>
  </r>
  <r>
    <n v="70"/>
    <x v="3"/>
    <n v="1"/>
    <n v="8800"/>
    <x v="6"/>
    <n v="11"/>
  </r>
  <r>
    <n v="71"/>
    <x v="5"/>
    <n v="1"/>
    <n v="7040"/>
    <x v="7"/>
    <n v="11"/>
  </r>
  <r>
    <n v="72"/>
    <x v="3"/>
    <n v="1"/>
    <n v="8800"/>
    <x v="6"/>
    <n v="11"/>
  </r>
  <r>
    <n v="73"/>
    <x v="8"/>
    <n v="1"/>
    <n v="5460"/>
    <x v="6"/>
    <n v="6.5"/>
  </r>
  <r>
    <n v="74"/>
    <x v="4"/>
    <n v="1"/>
    <n v="6000"/>
    <x v="8"/>
    <n v="5"/>
  </r>
  <r>
    <n v="75"/>
    <x v="7"/>
    <n v="1"/>
    <n v="9600"/>
    <x v="7"/>
    <n v="12"/>
  </r>
  <r>
    <n v="76"/>
    <x v="3"/>
    <n v="1"/>
    <n v="8800"/>
    <x v="6"/>
    <n v="11"/>
  </r>
  <r>
    <n v="77"/>
    <x v="5"/>
    <n v="1"/>
    <n v="7040"/>
    <x v="7"/>
    <n v="11"/>
  </r>
  <r>
    <n v="78"/>
    <x v="5"/>
    <n v="1"/>
    <n v="7040"/>
    <x v="7"/>
    <n v="11"/>
  </r>
  <r>
    <n v="79"/>
    <x v="3"/>
    <n v="1"/>
    <n v="8800"/>
    <x v="6"/>
    <n v="11"/>
  </r>
  <r>
    <n v="80"/>
    <x v="0"/>
    <n v="1"/>
    <n v="1920"/>
    <x v="6"/>
    <n v="3"/>
  </r>
  <r>
    <n v="81"/>
    <x v="2"/>
    <n v="1"/>
    <n v="4320"/>
    <x v="7"/>
    <n v="6"/>
  </r>
  <r>
    <n v="82"/>
    <x v="8"/>
    <n v="1"/>
    <n v="5460"/>
    <x v="6"/>
    <n v="6.5"/>
  </r>
  <r>
    <n v="83"/>
    <x v="1"/>
    <n v="1"/>
    <n v="5200"/>
    <x v="8"/>
    <n v="4"/>
  </r>
  <r>
    <n v="84"/>
    <x v="0"/>
    <n v="1"/>
    <n v="1920"/>
    <x v="6"/>
    <n v="3"/>
  </r>
  <r>
    <n v="85"/>
    <x v="6"/>
    <n v="1"/>
    <n v="3600"/>
    <x v="6"/>
    <n v="5"/>
  </r>
  <r>
    <n v="86"/>
    <x v="6"/>
    <n v="1"/>
    <n v="3600"/>
    <x v="6"/>
    <n v="5"/>
  </r>
  <r>
    <n v="87"/>
    <x v="0"/>
    <n v="1"/>
    <n v="1920"/>
    <x v="6"/>
    <n v="3"/>
  </r>
  <r>
    <n v="88"/>
    <x v="3"/>
    <n v="1"/>
    <n v="8800"/>
    <x v="6"/>
    <n v="11"/>
  </r>
  <r>
    <n v="89"/>
    <x v="1"/>
    <n v="1"/>
    <n v="5200"/>
    <x v="8"/>
    <n v="4"/>
  </r>
  <r>
    <n v="90"/>
    <x v="7"/>
    <n v="1"/>
    <n v="9600"/>
    <x v="7"/>
    <n v="12"/>
  </r>
  <r>
    <n v="91"/>
    <x v="7"/>
    <n v="1"/>
    <n v="9600"/>
    <x v="7"/>
    <n v="12"/>
  </r>
  <r>
    <n v="92"/>
    <x v="6"/>
    <n v="1"/>
    <n v="3600"/>
    <x v="6"/>
    <n v="5"/>
  </r>
  <r>
    <n v="93"/>
    <x v="3"/>
    <n v="1"/>
    <n v="8800"/>
    <x v="6"/>
    <n v="11"/>
  </r>
  <r>
    <n v="94"/>
    <x v="3"/>
    <n v="1"/>
    <n v="17600"/>
    <x v="6"/>
    <n v="11"/>
  </r>
  <r>
    <n v="95"/>
    <x v="8"/>
    <n v="1"/>
    <n v="5460"/>
    <x v="6"/>
    <n v="6.5"/>
  </r>
  <r>
    <n v="96"/>
    <x v="0"/>
    <n v="1"/>
    <n v="1920"/>
    <x v="6"/>
    <n v="3"/>
  </r>
  <r>
    <n v="97"/>
    <x v="0"/>
    <n v="1"/>
    <n v="1920"/>
    <x v="6"/>
    <n v="3"/>
  </r>
  <r>
    <n v="98"/>
    <x v="3"/>
    <n v="1"/>
    <n v="8800"/>
    <x v="6"/>
    <n v="11"/>
  </r>
  <r>
    <n v="99"/>
    <x v="2"/>
    <n v="1"/>
    <n v="4320"/>
    <x v="7"/>
    <n v="6"/>
  </r>
  <r>
    <n v="100"/>
    <x v="9"/>
    <n v="1"/>
    <n v="10080"/>
    <x v="1"/>
    <n v="8"/>
  </r>
  <r>
    <n v="101"/>
    <x v="0"/>
    <n v="1"/>
    <n v="2880"/>
    <x v="0"/>
    <n v="3"/>
  </r>
  <r>
    <n v="102"/>
    <x v="6"/>
    <n v="1"/>
    <n v="5400"/>
    <x v="0"/>
    <n v="5"/>
  </r>
  <r>
    <n v="103"/>
    <x v="6"/>
    <n v="1"/>
    <n v="5400"/>
    <x v="0"/>
    <n v="5"/>
  </r>
  <r>
    <n v="104"/>
    <x v="0"/>
    <n v="1"/>
    <n v="2880"/>
    <x v="0"/>
    <n v="3"/>
  </r>
  <r>
    <n v="105"/>
    <x v="3"/>
    <n v="1"/>
    <n v="13200"/>
    <x v="0"/>
    <n v="11"/>
  </r>
  <r>
    <n v="106"/>
    <x v="1"/>
    <n v="1"/>
    <n v="7279.9999999999991"/>
    <x v="1"/>
    <n v="4"/>
  </r>
  <r>
    <n v="107"/>
    <x v="7"/>
    <n v="1"/>
    <n v="10800"/>
    <x v="2"/>
    <n v="12"/>
  </r>
  <r>
    <n v="108"/>
    <x v="7"/>
    <n v="1"/>
    <n v="10800"/>
    <x v="2"/>
    <n v="12"/>
  </r>
  <r>
    <n v="109"/>
    <x v="6"/>
    <n v="1"/>
    <n v="5400"/>
    <x v="0"/>
    <n v="5"/>
  </r>
  <r>
    <n v="110"/>
    <x v="3"/>
    <n v="1"/>
    <n v="13200"/>
    <x v="0"/>
    <n v="11"/>
  </r>
  <r>
    <n v="111"/>
    <x v="3"/>
    <n v="1"/>
    <n v="13200"/>
    <x v="0"/>
    <n v="11"/>
  </r>
  <r>
    <n v="112"/>
    <x v="8"/>
    <n v="1"/>
    <n v="8190"/>
    <x v="0"/>
    <n v="6.5"/>
  </r>
  <r>
    <n v="113"/>
    <x v="0"/>
    <n v="1"/>
    <n v="2880"/>
    <x v="0"/>
    <n v="3"/>
  </r>
  <r>
    <n v="114"/>
    <x v="0"/>
    <n v="1"/>
    <n v="2880"/>
    <x v="0"/>
    <n v="3"/>
  </r>
  <r>
    <n v="115"/>
    <x v="3"/>
    <n v="1"/>
    <n v="13200"/>
    <x v="0"/>
    <n v="11"/>
  </r>
  <r>
    <n v="116"/>
    <x v="2"/>
    <n v="1"/>
    <n v="4860"/>
    <x v="2"/>
    <n v="6"/>
  </r>
  <r>
    <n v="117"/>
    <x v="9"/>
    <n v="1"/>
    <n v="10080"/>
    <x v="1"/>
    <n v="8"/>
  </r>
  <r>
    <n v="118"/>
    <x v="0"/>
    <n v="1"/>
    <n v="2880"/>
    <x v="0"/>
    <n v="3"/>
  </r>
  <r>
    <n v="119"/>
    <x v="6"/>
    <n v="1"/>
    <n v="5400"/>
    <x v="0"/>
    <n v="5"/>
  </r>
  <r>
    <n v="120"/>
    <x v="6"/>
    <n v="1"/>
    <n v="4500"/>
    <x v="4"/>
    <n v="5"/>
  </r>
  <r>
    <n v="121"/>
    <x v="0"/>
    <n v="1"/>
    <n v="2400"/>
    <x v="4"/>
    <n v="3"/>
  </r>
  <r>
    <n v="122"/>
    <x v="3"/>
    <n v="1"/>
    <n v="11000"/>
    <x v="4"/>
    <n v="11"/>
  </r>
  <r>
    <n v="123"/>
    <x v="1"/>
    <n v="1"/>
    <n v="4680"/>
    <x v="5"/>
    <n v="4"/>
  </r>
  <r>
    <n v="124"/>
    <x v="7"/>
    <n v="1"/>
    <n v="13200.000000000002"/>
    <x v="3"/>
    <n v="12"/>
  </r>
  <r>
    <n v="125"/>
    <x v="7"/>
    <n v="1"/>
    <n v="13200.000000000002"/>
    <x v="3"/>
    <n v="12"/>
  </r>
  <r>
    <n v="126"/>
    <x v="6"/>
    <n v="1"/>
    <n v="4500"/>
    <x v="4"/>
    <n v="5"/>
  </r>
  <r>
    <n v="127"/>
    <x v="3"/>
    <n v="1"/>
    <n v="11000"/>
    <x v="4"/>
    <n v="11"/>
  </r>
  <r>
    <n v="128"/>
    <x v="3"/>
    <n v="1"/>
    <n v="11000"/>
    <x v="4"/>
    <n v="11"/>
  </r>
  <r>
    <n v="129"/>
    <x v="8"/>
    <n v="1"/>
    <n v="6825"/>
    <x v="4"/>
    <n v="6.5"/>
  </r>
  <r>
    <n v="130"/>
    <x v="0"/>
    <n v="1"/>
    <n v="2400"/>
    <x v="4"/>
    <n v="3"/>
  </r>
  <r>
    <n v="131"/>
    <x v="0"/>
    <n v="1"/>
    <n v="2400"/>
    <x v="4"/>
    <n v="3"/>
  </r>
  <r>
    <n v="132"/>
    <x v="3"/>
    <n v="1"/>
    <n v="11000"/>
    <x v="4"/>
    <n v="11"/>
  </r>
  <r>
    <n v="133"/>
    <x v="2"/>
    <n v="1"/>
    <n v="5940.0000000000009"/>
    <x v="3"/>
    <n v="6"/>
  </r>
  <r>
    <n v="134"/>
    <x v="9"/>
    <n v="1"/>
    <n v="6480"/>
    <x v="5"/>
    <n v="8"/>
  </r>
  <r>
    <n v="135"/>
    <x v="0"/>
    <n v="1"/>
    <n v="2400"/>
    <x v="4"/>
    <n v="3"/>
  </r>
  <r>
    <n v="136"/>
    <x v="6"/>
    <n v="1"/>
    <n v="4500"/>
    <x v="4"/>
    <n v="5"/>
  </r>
  <r>
    <n v="137"/>
    <x v="6"/>
    <n v="1"/>
    <n v="4500"/>
    <x v="4"/>
    <n v="5"/>
  </r>
  <r>
    <n v="138"/>
    <x v="0"/>
    <n v="1"/>
    <n v="4800"/>
    <x v="4"/>
    <n v="3"/>
  </r>
  <r>
    <n v="139"/>
    <x v="3"/>
    <n v="1"/>
    <n v="11000"/>
    <x v="4"/>
    <n v="11"/>
  </r>
  <r>
    <n v="140"/>
    <x v="1"/>
    <n v="1"/>
    <n v="4680"/>
    <x v="5"/>
    <n v="4"/>
  </r>
  <r>
    <n v="141"/>
    <x v="7"/>
    <n v="1"/>
    <n v="13200.000000000002"/>
    <x v="3"/>
    <n v="12"/>
  </r>
  <r>
    <n v="142"/>
    <x v="7"/>
    <n v="1"/>
    <n v="13200.000000000002"/>
    <x v="3"/>
    <n v="12"/>
  </r>
  <r>
    <n v="143"/>
    <x v="6"/>
    <n v="1"/>
    <n v="4500"/>
    <x v="4"/>
    <n v="5"/>
  </r>
  <r>
    <n v="144"/>
    <x v="3"/>
    <n v="1"/>
    <n v="11000"/>
    <x v="4"/>
    <n v="11"/>
  </r>
  <r>
    <n v="145"/>
    <x v="3"/>
    <n v="1"/>
    <n v="11000"/>
    <x v="4"/>
    <n v="11"/>
  </r>
  <r>
    <n v="146"/>
    <x v="8"/>
    <n v="1"/>
    <n v="6825"/>
    <x v="4"/>
    <n v="6.5"/>
  </r>
  <r>
    <n v="147"/>
    <x v="0"/>
    <n v="1"/>
    <n v="2400"/>
    <x v="4"/>
    <n v="3"/>
  </r>
  <r>
    <n v="148"/>
    <x v="0"/>
    <n v="1"/>
    <n v="2400"/>
    <x v="4"/>
    <n v="3"/>
  </r>
  <r>
    <n v="149"/>
    <x v="3"/>
    <n v="1"/>
    <n v="11000"/>
    <x v="4"/>
    <n v="11"/>
  </r>
  <r>
    <n v="150"/>
    <x v="2"/>
    <n v="1"/>
    <n v="5940.0000000000009"/>
    <x v="3"/>
    <n v="6"/>
  </r>
  <r>
    <n v="151"/>
    <x v="9"/>
    <n v="1"/>
    <n v="6480"/>
    <x v="5"/>
    <n v="8"/>
  </r>
  <r>
    <n v="152"/>
    <x v="0"/>
    <n v="1"/>
    <n v="2400"/>
    <x v="4"/>
    <n v="3"/>
  </r>
  <r>
    <n v="153"/>
    <x v="6"/>
    <n v="1"/>
    <n v="9000"/>
    <x v="4"/>
    <n v="5"/>
  </r>
  <r>
    <n v="154"/>
    <x v="6"/>
    <n v="1"/>
    <n v="4500"/>
    <x v="4"/>
    <n v="5"/>
  </r>
  <r>
    <n v="155"/>
    <x v="0"/>
    <n v="1"/>
    <n v="2400"/>
    <x v="4"/>
    <n v="3"/>
  </r>
  <r>
    <n v="156"/>
    <x v="3"/>
    <n v="1"/>
    <n v="11000"/>
    <x v="4"/>
    <n v="11"/>
  </r>
  <r>
    <n v="157"/>
    <x v="1"/>
    <n v="1"/>
    <n v="4680"/>
    <x v="5"/>
    <n v="4"/>
  </r>
  <r>
    <n v="158"/>
    <x v="7"/>
    <n v="1"/>
    <n v="13200.000000000002"/>
    <x v="3"/>
    <n v="12"/>
  </r>
  <r>
    <n v="159"/>
    <x v="7"/>
    <n v="1"/>
    <n v="13200.000000000002"/>
    <x v="3"/>
    <n v="12"/>
  </r>
  <r>
    <n v="160"/>
    <x v="6"/>
    <n v="1"/>
    <n v="4500"/>
    <x v="4"/>
    <n v="5"/>
  </r>
  <r>
    <n v="161"/>
    <x v="3"/>
    <n v="1"/>
    <n v="11000"/>
    <x v="4"/>
    <n v="11"/>
  </r>
  <r>
    <n v="162"/>
    <x v="3"/>
    <n v="1"/>
    <n v="11000"/>
    <x v="4"/>
    <n v="11"/>
  </r>
  <r>
    <n v="163"/>
    <x v="8"/>
    <n v="1"/>
    <n v="6825"/>
    <x v="4"/>
    <n v="6.5"/>
  </r>
  <r>
    <n v="164"/>
    <x v="0"/>
    <n v="1"/>
    <n v="2400"/>
    <x v="4"/>
    <n v="3"/>
  </r>
  <r>
    <n v="165"/>
    <x v="0"/>
    <n v="1"/>
    <n v="2400"/>
    <x v="4"/>
    <n v="3"/>
  </r>
  <r>
    <n v="166"/>
    <x v="3"/>
    <n v="1"/>
    <n v="11000"/>
    <x v="4"/>
    <n v="11"/>
  </r>
  <r>
    <n v="167"/>
    <x v="2"/>
    <n v="1"/>
    <n v="5940.0000000000009"/>
    <x v="3"/>
    <n v="6"/>
  </r>
  <r>
    <n v="168"/>
    <x v="9"/>
    <n v="1"/>
    <n v="6480"/>
    <x v="5"/>
    <n v="8"/>
  </r>
  <r>
    <n v="169"/>
    <x v="0"/>
    <n v="1"/>
    <n v="2400"/>
    <x v="4"/>
    <n v="3"/>
  </r>
  <r>
    <n v="170"/>
    <x v="6"/>
    <n v="1"/>
    <n v="3600"/>
    <x v="6"/>
    <n v="5"/>
  </r>
  <r>
    <n v="171"/>
    <x v="6"/>
    <n v="1"/>
    <n v="3600"/>
    <x v="6"/>
    <n v="5"/>
  </r>
  <r>
    <n v="172"/>
    <x v="0"/>
    <n v="1"/>
    <n v="1920"/>
    <x v="6"/>
    <n v="3"/>
  </r>
  <r>
    <n v="173"/>
    <x v="3"/>
    <n v="1"/>
    <n v="8800"/>
    <x v="6"/>
    <n v="11"/>
  </r>
  <r>
    <n v="174"/>
    <x v="1"/>
    <n v="1"/>
    <n v="5200"/>
    <x v="8"/>
    <n v="4"/>
  </r>
  <r>
    <n v="175"/>
    <x v="7"/>
    <n v="1"/>
    <n v="9600"/>
    <x v="7"/>
    <n v="12"/>
  </r>
  <r>
    <n v="176"/>
    <x v="7"/>
    <n v="1"/>
    <n v="9600"/>
    <x v="7"/>
    <n v="12"/>
  </r>
  <r>
    <n v="177"/>
    <x v="6"/>
    <n v="1"/>
    <n v="3600"/>
    <x v="6"/>
    <n v="5"/>
  </r>
  <r>
    <n v="178"/>
    <x v="3"/>
    <n v="1"/>
    <n v="8800"/>
    <x v="6"/>
    <n v="11"/>
  </r>
  <r>
    <n v="179"/>
    <x v="3"/>
    <n v="1"/>
    <n v="8800"/>
    <x v="6"/>
    <n v="11"/>
  </r>
  <r>
    <n v="180"/>
    <x v="8"/>
    <n v="1"/>
    <n v="5460"/>
    <x v="6"/>
    <n v="6.5"/>
  </r>
  <r>
    <n v="181"/>
    <x v="0"/>
    <n v="1"/>
    <n v="1920"/>
    <x v="6"/>
    <n v="3"/>
  </r>
  <r>
    <n v="182"/>
    <x v="0"/>
    <n v="1"/>
    <n v="1920"/>
    <x v="6"/>
    <n v="3"/>
  </r>
  <r>
    <n v="183"/>
    <x v="3"/>
    <n v="1"/>
    <n v="8800"/>
    <x v="6"/>
    <n v="11"/>
  </r>
  <r>
    <n v="184"/>
    <x v="2"/>
    <n v="1"/>
    <n v="4320"/>
    <x v="7"/>
    <n v="6"/>
  </r>
  <r>
    <n v="185"/>
    <x v="9"/>
    <n v="1"/>
    <n v="7200"/>
    <x v="8"/>
    <n v="8"/>
  </r>
  <r>
    <n v="186"/>
    <x v="0"/>
    <n v="1"/>
    <n v="1920"/>
    <x v="6"/>
    <n v="3"/>
  </r>
  <r>
    <n v="187"/>
    <x v="6"/>
    <n v="1"/>
    <n v="3600"/>
    <x v="6"/>
    <n v="5"/>
  </r>
  <r>
    <n v="188"/>
    <x v="6"/>
    <n v="1"/>
    <n v="3600"/>
    <x v="6"/>
    <n v="5"/>
  </r>
  <r>
    <n v="189"/>
    <x v="0"/>
    <n v="1"/>
    <n v="1920"/>
    <x v="6"/>
    <n v="3"/>
  </r>
  <r>
    <n v="190"/>
    <x v="3"/>
    <n v="1"/>
    <n v="8800"/>
    <x v="6"/>
    <n v="11"/>
  </r>
  <r>
    <n v="191"/>
    <x v="1"/>
    <n v="1"/>
    <n v="5200"/>
    <x v="8"/>
    <n v="4"/>
  </r>
  <r>
    <n v="192"/>
    <x v="7"/>
    <n v="1"/>
    <n v="9600"/>
    <x v="7"/>
    <n v="12"/>
  </r>
  <r>
    <n v="193"/>
    <x v="7"/>
    <n v="1"/>
    <n v="9600"/>
    <x v="7"/>
    <n v="12"/>
  </r>
  <r>
    <n v="194"/>
    <x v="6"/>
    <n v="1"/>
    <n v="7200"/>
    <x v="6"/>
    <n v="5"/>
  </r>
  <r>
    <n v="195"/>
    <x v="3"/>
    <n v="1"/>
    <n v="8800"/>
    <x v="6"/>
    <n v="11"/>
  </r>
  <r>
    <n v="196"/>
    <x v="3"/>
    <n v="1"/>
    <n v="8800"/>
    <x v="6"/>
    <n v="11"/>
  </r>
  <r>
    <n v="197"/>
    <x v="8"/>
    <n v="1"/>
    <n v="5460"/>
    <x v="6"/>
    <n v="6.5"/>
  </r>
  <r>
    <n v="198"/>
    <x v="0"/>
    <n v="1"/>
    <n v="1920"/>
    <x v="6"/>
    <n v="3"/>
  </r>
  <r>
    <n v="199"/>
    <x v="0"/>
    <n v="1"/>
    <n v="1920"/>
    <x v="6"/>
    <n v="3"/>
  </r>
  <r>
    <n v="200"/>
    <x v="3"/>
    <n v="1"/>
    <n v="13200"/>
    <x v="0"/>
    <n v="11"/>
  </r>
  <r>
    <n v="201"/>
    <x v="2"/>
    <n v="1"/>
    <n v="4860"/>
    <x v="2"/>
    <n v="6"/>
  </r>
  <r>
    <n v="202"/>
    <x v="9"/>
    <n v="1"/>
    <n v="10080"/>
    <x v="1"/>
    <n v="8"/>
  </r>
  <r>
    <n v="203"/>
    <x v="0"/>
    <n v="1"/>
    <n v="2880"/>
    <x v="0"/>
    <n v="3"/>
  </r>
  <r>
    <n v="204"/>
    <x v="6"/>
    <n v="1"/>
    <n v="5400"/>
    <x v="0"/>
    <n v="5"/>
  </r>
  <r>
    <n v="205"/>
    <x v="6"/>
    <n v="1"/>
    <n v="5400"/>
    <x v="0"/>
    <n v="5"/>
  </r>
  <r>
    <n v="206"/>
    <x v="0"/>
    <n v="1"/>
    <n v="2880"/>
    <x v="0"/>
    <n v="3"/>
  </r>
  <r>
    <n v="207"/>
    <x v="3"/>
    <n v="1"/>
    <n v="13200"/>
    <x v="0"/>
    <n v="11"/>
  </r>
  <r>
    <n v="208"/>
    <x v="1"/>
    <n v="1"/>
    <n v="7279.9999999999991"/>
    <x v="1"/>
    <n v="4"/>
  </r>
  <r>
    <n v="209"/>
    <x v="7"/>
    <n v="1"/>
    <n v="10800"/>
    <x v="2"/>
    <n v="12"/>
  </r>
  <r>
    <n v="210"/>
    <x v="7"/>
    <n v="1"/>
    <n v="10800"/>
    <x v="2"/>
    <n v="12"/>
  </r>
  <r>
    <n v="211"/>
    <x v="6"/>
    <n v="1"/>
    <n v="5400"/>
    <x v="0"/>
    <n v="5"/>
  </r>
  <r>
    <n v="212"/>
    <x v="3"/>
    <n v="1"/>
    <n v="13200"/>
    <x v="0"/>
    <n v="11"/>
  </r>
  <r>
    <n v="213"/>
    <x v="3"/>
    <n v="1"/>
    <n v="13200"/>
    <x v="0"/>
    <n v="11"/>
  </r>
  <r>
    <n v="214"/>
    <x v="8"/>
    <n v="1"/>
    <n v="8190"/>
    <x v="0"/>
    <n v="6.5"/>
  </r>
  <r>
    <n v="215"/>
    <x v="0"/>
    <n v="1"/>
    <n v="2880"/>
    <x v="0"/>
    <n v="3"/>
  </r>
  <r>
    <n v="216"/>
    <x v="0"/>
    <n v="1"/>
    <n v="2880"/>
    <x v="0"/>
    <n v="3"/>
  </r>
  <r>
    <n v="217"/>
    <x v="3"/>
    <n v="1"/>
    <n v="13200"/>
    <x v="0"/>
    <n v="11"/>
  </r>
  <r>
    <n v="218"/>
    <x v="2"/>
    <n v="1"/>
    <n v="4860"/>
    <x v="2"/>
    <n v="6"/>
  </r>
  <r>
    <n v="219"/>
    <x v="9"/>
    <n v="1"/>
    <n v="10080"/>
    <x v="1"/>
    <n v="8"/>
  </r>
  <r>
    <n v="220"/>
    <x v="0"/>
    <n v="1"/>
    <n v="2400"/>
    <x v="4"/>
    <n v="3"/>
  </r>
  <r>
    <n v="221"/>
    <x v="6"/>
    <n v="1"/>
    <n v="4500"/>
    <x v="4"/>
    <n v="5"/>
  </r>
  <r>
    <n v="222"/>
    <x v="6"/>
    <n v="1"/>
    <n v="4500"/>
    <x v="4"/>
    <n v="5"/>
  </r>
  <r>
    <n v="223"/>
    <x v="0"/>
    <n v="1"/>
    <n v="2400"/>
    <x v="4"/>
    <n v="3"/>
  </r>
  <r>
    <n v="224"/>
    <x v="3"/>
    <n v="1"/>
    <n v="11000"/>
    <x v="4"/>
    <n v="11"/>
  </r>
  <r>
    <n v="225"/>
    <x v="1"/>
    <n v="1"/>
    <n v="4680"/>
    <x v="5"/>
    <n v="4"/>
  </r>
  <r>
    <n v="226"/>
    <x v="7"/>
    <n v="1"/>
    <n v="13200.000000000002"/>
    <x v="3"/>
    <n v="12"/>
  </r>
  <r>
    <n v="227"/>
    <x v="7"/>
    <n v="1"/>
    <n v="13200.000000000002"/>
    <x v="3"/>
    <n v="12"/>
  </r>
  <r>
    <n v="228"/>
    <x v="6"/>
    <n v="1"/>
    <n v="4500"/>
    <x v="4"/>
    <n v="5"/>
  </r>
  <r>
    <n v="229"/>
    <x v="3"/>
    <n v="1"/>
    <n v="11000"/>
    <x v="4"/>
    <n v="11"/>
  </r>
  <r>
    <n v="230"/>
    <x v="3"/>
    <n v="1"/>
    <n v="11000"/>
    <x v="4"/>
    <n v="11"/>
  </r>
  <r>
    <n v="231"/>
    <x v="8"/>
    <n v="1"/>
    <n v="6825"/>
    <x v="4"/>
    <n v="6.5"/>
  </r>
  <r>
    <n v="232"/>
    <x v="0"/>
    <n v="1"/>
    <n v="2400"/>
    <x v="4"/>
    <n v="3"/>
  </r>
  <r>
    <n v="233"/>
    <x v="0"/>
    <n v="1"/>
    <n v="2400"/>
    <x v="4"/>
    <n v="3"/>
  </r>
  <r>
    <n v="234"/>
    <x v="3"/>
    <n v="1"/>
    <n v="11000"/>
    <x v="4"/>
    <n v="11"/>
  </r>
  <r>
    <n v="235"/>
    <x v="2"/>
    <n v="1"/>
    <n v="5940.0000000000009"/>
    <x v="3"/>
    <n v="6"/>
  </r>
  <r>
    <n v="236"/>
    <x v="9"/>
    <n v="1"/>
    <n v="6480"/>
    <x v="5"/>
    <n v="8"/>
  </r>
  <r>
    <n v="237"/>
    <x v="0"/>
    <n v="1"/>
    <n v="2400"/>
    <x v="4"/>
    <n v="3"/>
  </r>
  <r>
    <n v="238"/>
    <x v="6"/>
    <n v="1"/>
    <n v="9000"/>
    <x v="4"/>
    <n v="5"/>
  </r>
  <r>
    <n v="239"/>
    <x v="6"/>
    <n v="1"/>
    <n v="4500"/>
    <x v="4"/>
    <n v="5"/>
  </r>
  <r>
    <n v="240"/>
    <x v="0"/>
    <n v="1"/>
    <n v="2400"/>
    <x v="4"/>
    <n v="3"/>
  </r>
  <r>
    <n v="241"/>
    <x v="3"/>
    <n v="1"/>
    <n v="11000"/>
    <x v="4"/>
    <n v="11"/>
  </r>
  <r>
    <n v="242"/>
    <x v="1"/>
    <n v="1"/>
    <n v="4680"/>
    <x v="5"/>
    <n v="4"/>
  </r>
  <r>
    <n v="243"/>
    <x v="7"/>
    <n v="1"/>
    <n v="13200.000000000002"/>
    <x v="3"/>
    <n v="12"/>
  </r>
  <r>
    <n v="244"/>
    <x v="7"/>
    <n v="1"/>
    <n v="13200.000000000002"/>
    <x v="3"/>
    <n v="12"/>
  </r>
  <r>
    <n v="245"/>
    <x v="6"/>
    <n v="1"/>
    <n v="4500"/>
    <x v="4"/>
    <n v="5"/>
  </r>
  <r>
    <n v="246"/>
    <x v="3"/>
    <n v="1"/>
    <n v="11000"/>
    <x v="4"/>
    <n v="11"/>
  </r>
  <r>
    <n v="247"/>
    <x v="3"/>
    <n v="1"/>
    <n v="11000"/>
    <x v="4"/>
    <n v="11"/>
  </r>
  <r>
    <n v="248"/>
    <x v="8"/>
    <n v="1"/>
    <n v="6825"/>
    <x v="4"/>
    <n v="6.5"/>
  </r>
  <r>
    <n v="249"/>
    <x v="0"/>
    <n v="1"/>
    <n v="2400"/>
    <x v="4"/>
    <n v="3"/>
  </r>
  <r>
    <n v="250"/>
    <x v="0"/>
    <n v="1"/>
    <n v="2400"/>
    <x v="4"/>
    <n v="3"/>
  </r>
  <r>
    <n v="251"/>
    <x v="3"/>
    <n v="1"/>
    <n v="11000"/>
    <x v="4"/>
    <n v="11"/>
  </r>
  <r>
    <n v="252"/>
    <x v="2"/>
    <n v="1"/>
    <n v="5940.0000000000009"/>
    <x v="3"/>
    <n v="6"/>
  </r>
  <r>
    <n v="253"/>
    <x v="9"/>
    <n v="1"/>
    <n v="12960"/>
    <x v="5"/>
    <n v="8"/>
  </r>
  <r>
    <n v="254"/>
    <x v="0"/>
    <n v="1"/>
    <n v="2400"/>
    <x v="4"/>
    <n v="3"/>
  </r>
  <r>
    <n v="255"/>
    <x v="6"/>
    <n v="1"/>
    <n v="4500"/>
    <x v="4"/>
    <n v="5"/>
  </r>
  <r>
    <n v="256"/>
    <x v="6"/>
    <n v="1"/>
    <n v="4500"/>
    <x v="4"/>
    <n v="5"/>
  </r>
  <r>
    <n v="257"/>
    <x v="0"/>
    <n v="1"/>
    <n v="2400"/>
    <x v="4"/>
    <n v="3"/>
  </r>
  <r>
    <n v="258"/>
    <x v="3"/>
    <n v="1"/>
    <n v="11000"/>
    <x v="4"/>
    <n v="11"/>
  </r>
  <r>
    <n v="259"/>
    <x v="1"/>
    <n v="1"/>
    <n v="4680"/>
    <x v="5"/>
    <n v="4"/>
  </r>
  <r>
    <n v="260"/>
    <x v="7"/>
    <n v="1"/>
    <n v="13200.000000000002"/>
    <x v="3"/>
    <n v="12"/>
  </r>
  <r>
    <n v="261"/>
    <x v="7"/>
    <n v="1"/>
    <n v="13200.000000000002"/>
    <x v="3"/>
    <n v="12"/>
  </r>
  <r>
    <n v="262"/>
    <x v="6"/>
    <n v="1"/>
    <n v="4500"/>
    <x v="4"/>
    <n v="5"/>
  </r>
  <r>
    <n v="263"/>
    <x v="3"/>
    <n v="1"/>
    <n v="11000"/>
    <x v="4"/>
    <n v="11"/>
  </r>
  <r>
    <n v="264"/>
    <x v="3"/>
    <n v="1"/>
    <n v="11000"/>
    <x v="4"/>
    <n v="11"/>
  </r>
  <r>
    <n v="265"/>
    <x v="8"/>
    <n v="1"/>
    <n v="6825"/>
    <x v="4"/>
    <n v="6.5"/>
  </r>
  <r>
    <n v="266"/>
    <x v="0"/>
    <n v="1"/>
    <n v="2400"/>
    <x v="4"/>
    <n v="3"/>
  </r>
  <r>
    <n v="267"/>
    <x v="0"/>
    <n v="1"/>
    <n v="2400"/>
    <x v="4"/>
    <n v="3"/>
  </r>
  <r>
    <n v="268"/>
    <x v="3"/>
    <n v="1"/>
    <n v="11000"/>
    <x v="4"/>
    <n v="11"/>
  </r>
  <r>
    <n v="269"/>
    <x v="2"/>
    <n v="1"/>
    <n v="5940.0000000000009"/>
    <x v="3"/>
    <n v="6"/>
  </r>
  <r>
    <n v="270"/>
    <x v="9"/>
    <n v="1"/>
    <n v="7200"/>
    <x v="8"/>
    <n v="8"/>
  </r>
  <r>
    <n v="271"/>
    <x v="0"/>
    <n v="1"/>
    <n v="1920"/>
    <x v="6"/>
    <n v="3"/>
  </r>
  <r>
    <n v="272"/>
    <x v="6"/>
    <n v="1"/>
    <n v="3600"/>
    <x v="6"/>
    <n v="5"/>
  </r>
  <r>
    <n v="273"/>
    <x v="6"/>
    <n v="1"/>
    <n v="3600"/>
    <x v="6"/>
    <n v="5"/>
  </r>
  <r>
    <n v="274"/>
    <x v="0"/>
    <n v="1"/>
    <n v="1920"/>
    <x v="6"/>
    <n v="3"/>
  </r>
  <r>
    <n v="275"/>
    <x v="3"/>
    <n v="1"/>
    <n v="8800"/>
    <x v="6"/>
    <n v="11"/>
  </r>
  <r>
    <n v="276"/>
    <x v="1"/>
    <n v="1"/>
    <n v="5200"/>
    <x v="8"/>
    <n v="4"/>
  </r>
  <r>
    <n v="277"/>
    <x v="7"/>
    <n v="1"/>
    <n v="9600"/>
    <x v="7"/>
    <n v="12"/>
  </r>
  <r>
    <n v="278"/>
    <x v="7"/>
    <n v="1"/>
    <n v="9600"/>
    <x v="7"/>
    <n v="12"/>
  </r>
  <r>
    <n v="279"/>
    <x v="6"/>
    <n v="1"/>
    <n v="3600"/>
    <x v="6"/>
    <n v="5"/>
  </r>
  <r>
    <n v="280"/>
    <x v="3"/>
    <n v="1"/>
    <n v="8800"/>
    <x v="6"/>
    <n v="11"/>
  </r>
  <r>
    <n v="281"/>
    <x v="3"/>
    <n v="1"/>
    <n v="8800"/>
    <x v="6"/>
    <n v="11"/>
  </r>
  <r>
    <n v="282"/>
    <x v="8"/>
    <n v="1"/>
    <n v="5460"/>
    <x v="6"/>
    <n v="6.5"/>
  </r>
  <r>
    <n v="283"/>
    <x v="0"/>
    <n v="1"/>
    <n v="1920"/>
    <x v="6"/>
    <n v="3"/>
  </r>
  <r>
    <n v="284"/>
    <x v="0"/>
    <n v="1"/>
    <n v="1920"/>
    <x v="6"/>
    <n v="3"/>
  </r>
  <r>
    <n v="285"/>
    <x v="3"/>
    <n v="1"/>
    <n v="8800"/>
    <x v="6"/>
    <n v="11"/>
  </r>
  <r>
    <n v="286"/>
    <x v="2"/>
    <n v="1"/>
    <n v="4320"/>
    <x v="7"/>
    <n v="6"/>
  </r>
  <r>
    <n v="287"/>
    <x v="9"/>
    <n v="1"/>
    <n v="7200"/>
    <x v="8"/>
    <n v="8"/>
  </r>
  <r>
    <n v="288"/>
    <x v="0"/>
    <n v="1"/>
    <n v="1920"/>
    <x v="6"/>
    <n v="3"/>
  </r>
  <r>
    <n v="289"/>
    <x v="6"/>
    <n v="1"/>
    <n v="3600"/>
    <x v="6"/>
    <n v="5"/>
  </r>
  <r>
    <n v="290"/>
    <x v="6"/>
    <n v="1"/>
    <n v="3600"/>
    <x v="6"/>
    <n v="5"/>
  </r>
  <r>
    <n v="291"/>
    <x v="0"/>
    <n v="1"/>
    <n v="1920"/>
    <x v="6"/>
    <n v="3"/>
  </r>
  <r>
    <n v="292"/>
    <x v="3"/>
    <n v="1"/>
    <n v="8800"/>
    <x v="6"/>
    <n v="11"/>
  </r>
  <r>
    <n v="293"/>
    <x v="1"/>
    <n v="1"/>
    <n v="5200"/>
    <x v="8"/>
    <n v="4"/>
  </r>
  <r>
    <n v="294"/>
    <x v="7"/>
    <n v="1"/>
    <n v="19200"/>
    <x v="7"/>
    <n v="12"/>
  </r>
  <r>
    <n v="295"/>
    <x v="7"/>
    <n v="1"/>
    <n v="9600"/>
    <x v="7"/>
    <n v="12"/>
  </r>
  <r>
    <n v="296"/>
    <x v="6"/>
    <n v="1"/>
    <n v="3600"/>
    <x v="6"/>
    <n v="5"/>
  </r>
  <r>
    <n v="297"/>
    <x v="3"/>
    <n v="1"/>
    <n v="8800"/>
    <x v="6"/>
    <n v="11"/>
  </r>
  <r>
    <n v="298"/>
    <x v="3"/>
    <n v="1"/>
    <n v="8800"/>
    <x v="6"/>
    <n v="11"/>
  </r>
  <r>
    <n v="299"/>
    <x v="8"/>
    <n v="1"/>
    <n v="5460"/>
    <x v="6"/>
    <n v="6.5"/>
  </r>
  <r>
    <n v="300"/>
    <x v="0"/>
    <n v="1"/>
    <n v="2880"/>
    <x v="0"/>
    <n v="3"/>
  </r>
  <r>
    <n v="301"/>
    <x v="0"/>
    <n v="1"/>
    <n v="2880"/>
    <x v="0"/>
    <n v="3"/>
  </r>
  <r>
    <n v="302"/>
    <x v="3"/>
    <n v="1"/>
    <n v="13200"/>
    <x v="0"/>
    <n v="11"/>
  </r>
  <r>
    <n v="303"/>
    <x v="2"/>
    <n v="1"/>
    <n v="4860"/>
    <x v="2"/>
    <n v="6"/>
  </r>
  <r>
    <n v="304"/>
    <x v="9"/>
    <n v="1"/>
    <n v="10080"/>
    <x v="1"/>
    <n v="8"/>
  </r>
  <r>
    <n v="305"/>
    <x v="0"/>
    <n v="1"/>
    <n v="2880"/>
    <x v="0"/>
    <n v="3"/>
  </r>
  <r>
    <n v="306"/>
    <x v="6"/>
    <n v="1"/>
    <n v="5400"/>
    <x v="0"/>
    <n v="5"/>
  </r>
  <r>
    <n v="307"/>
    <x v="6"/>
    <n v="1"/>
    <n v="5400"/>
    <x v="0"/>
    <n v="5"/>
  </r>
  <r>
    <n v="308"/>
    <x v="0"/>
    <n v="1"/>
    <n v="2880"/>
    <x v="0"/>
    <n v="3"/>
  </r>
  <r>
    <n v="309"/>
    <x v="3"/>
    <n v="1"/>
    <n v="13200"/>
    <x v="0"/>
    <n v="11"/>
  </r>
  <r>
    <n v="310"/>
    <x v="1"/>
    <n v="1"/>
    <n v="7279.9999999999991"/>
    <x v="1"/>
    <n v="4"/>
  </r>
  <r>
    <n v="311"/>
    <x v="7"/>
    <n v="1"/>
    <n v="10800"/>
    <x v="2"/>
    <n v="12"/>
  </r>
  <r>
    <n v="312"/>
    <x v="7"/>
    <n v="1"/>
    <n v="10800"/>
    <x v="2"/>
    <n v="12"/>
  </r>
  <r>
    <n v="313"/>
    <x v="6"/>
    <n v="1"/>
    <n v="5400"/>
    <x v="0"/>
    <n v="5"/>
  </r>
  <r>
    <n v="314"/>
    <x v="3"/>
    <n v="1"/>
    <n v="13200"/>
    <x v="0"/>
    <n v="11"/>
  </r>
  <r>
    <n v="315"/>
    <x v="3"/>
    <n v="1"/>
    <n v="13200"/>
    <x v="0"/>
    <n v="11"/>
  </r>
  <r>
    <n v="316"/>
    <x v="8"/>
    <n v="1"/>
    <n v="8190"/>
    <x v="0"/>
    <n v="6.5"/>
  </r>
  <r>
    <n v="317"/>
    <x v="0"/>
    <n v="1"/>
    <n v="2880"/>
    <x v="0"/>
    <n v="3"/>
  </r>
  <r>
    <n v="318"/>
    <x v="0"/>
    <n v="1"/>
    <n v="2880"/>
    <x v="0"/>
    <n v="3"/>
  </r>
  <r>
    <n v="319"/>
    <x v="3"/>
    <n v="1"/>
    <n v="13200"/>
    <x v="0"/>
    <n v="11"/>
  </r>
  <r>
    <n v="320"/>
    <x v="2"/>
    <n v="1"/>
    <n v="5940.0000000000009"/>
    <x v="3"/>
    <n v="6"/>
  </r>
  <r>
    <n v="321"/>
    <x v="9"/>
    <n v="1"/>
    <n v="6480"/>
    <x v="5"/>
    <n v="8"/>
  </r>
  <r>
    <n v="322"/>
    <x v="0"/>
    <n v="1"/>
    <n v="2400"/>
    <x v="4"/>
    <n v="3"/>
  </r>
  <r>
    <n v="323"/>
    <x v="6"/>
    <n v="1"/>
    <n v="4500"/>
    <x v="4"/>
    <n v="5"/>
  </r>
  <r>
    <n v="324"/>
    <x v="6"/>
    <n v="1"/>
    <n v="4500"/>
    <x v="4"/>
    <n v="5"/>
  </r>
  <r>
    <n v="325"/>
    <x v="0"/>
    <n v="1"/>
    <n v="2400"/>
    <x v="4"/>
    <n v="3"/>
  </r>
  <r>
    <n v="326"/>
    <x v="3"/>
    <n v="1"/>
    <n v="11000"/>
    <x v="4"/>
    <n v="11"/>
  </r>
  <r>
    <n v="327"/>
    <x v="1"/>
    <n v="1"/>
    <n v="4680"/>
    <x v="5"/>
    <n v="4"/>
  </r>
  <r>
    <n v="328"/>
    <x v="7"/>
    <n v="1"/>
    <n v="13200.000000000002"/>
    <x v="3"/>
    <n v="12"/>
  </r>
  <r>
    <n v="329"/>
    <x v="7"/>
    <n v="1"/>
    <n v="13200.000000000002"/>
    <x v="3"/>
    <n v="12"/>
  </r>
  <r>
    <n v="330"/>
    <x v="6"/>
    <n v="1"/>
    <n v="4500"/>
    <x v="4"/>
    <n v="5"/>
  </r>
  <r>
    <n v="331"/>
    <x v="3"/>
    <n v="1"/>
    <n v="11000"/>
    <x v="4"/>
    <n v="11"/>
  </r>
  <r>
    <n v="332"/>
    <x v="3"/>
    <n v="1"/>
    <n v="11000"/>
    <x v="4"/>
    <n v="11"/>
  </r>
  <r>
    <n v="333"/>
    <x v="8"/>
    <n v="1"/>
    <n v="6825"/>
    <x v="4"/>
    <n v="6.5"/>
  </r>
  <r>
    <n v="334"/>
    <x v="0"/>
    <n v="1"/>
    <n v="2400"/>
    <x v="4"/>
    <n v="3"/>
  </r>
  <r>
    <n v="335"/>
    <x v="0"/>
    <n v="1"/>
    <n v="2400"/>
    <x v="4"/>
    <n v="3"/>
  </r>
  <r>
    <n v="336"/>
    <x v="3"/>
    <n v="1"/>
    <n v="11000"/>
    <x v="4"/>
    <n v="11"/>
  </r>
  <r>
    <n v="337"/>
    <x v="2"/>
    <n v="1"/>
    <n v="5940.0000000000009"/>
    <x v="3"/>
    <n v="6"/>
  </r>
  <r>
    <n v="338"/>
    <x v="9"/>
    <n v="1"/>
    <n v="12960"/>
    <x v="5"/>
    <n v="8"/>
  </r>
  <r>
    <n v="339"/>
    <x v="0"/>
    <n v="1"/>
    <n v="2400"/>
    <x v="4"/>
    <n v="3"/>
  </r>
  <r>
    <n v="340"/>
    <x v="6"/>
    <n v="1"/>
    <n v="4500"/>
    <x v="4"/>
    <n v="5"/>
  </r>
  <r>
    <n v="341"/>
    <x v="6"/>
    <n v="1"/>
    <n v="4500"/>
    <x v="4"/>
    <n v="5"/>
  </r>
  <r>
    <n v="342"/>
    <x v="0"/>
    <n v="1"/>
    <n v="2400"/>
    <x v="4"/>
    <n v="3"/>
  </r>
  <r>
    <n v="343"/>
    <x v="3"/>
    <n v="1"/>
    <n v="11000"/>
    <x v="4"/>
    <n v="11"/>
  </r>
  <r>
    <n v="344"/>
    <x v="1"/>
    <n v="1"/>
    <n v="4680"/>
    <x v="5"/>
    <n v="4"/>
  </r>
  <r>
    <n v="345"/>
    <x v="7"/>
    <n v="1"/>
    <n v="13200.000000000002"/>
    <x v="3"/>
    <n v="12"/>
  </r>
  <r>
    <n v="346"/>
    <x v="7"/>
    <n v="1"/>
    <n v="13200.000000000002"/>
    <x v="3"/>
    <n v="12"/>
  </r>
  <r>
    <n v="347"/>
    <x v="6"/>
    <n v="1"/>
    <n v="4500"/>
    <x v="4"/>
    <n v="5"/>
  </r>
  <r>
    <n v="348"/>
    <x v="3"/>
    <n v="1"/>
    <n v="11000"/>
    <x v="4"/>
    <n v="11"/>
  </r>
  <r>
    <n v="349"/>
    <x v="3"/>
    <n v="1"/>
    <n v="11000"/>
    <x v="4"/>
    <n v="11"/>
  </r>
  <r>
    <n v="350"/>
    <x v="8"/>
    <n v="1"/>
    <n v="6825"/>
    <x v="4"/>
    <n v="6.5"/>
  </r>
  <r>
    <n v="351"/>
    <x v="0"/>
    <n v="1"/>
    <n v="2400"/>
    <x v="4"/>
    <n v="3"/>
  </r>
  <r>
    <n v="352"/>
    <x v="0"/>
    <n v="1"/>
    <n v="2400"/>
    <x v="4"/>
    <n v="3"/>
  </r>
  <r>
    <n v="353"/>
    <x v="3"/>
    <n v="1"/>
    <n v="22000"/>
    <x v="4"/>
    <n v="11"/>
  </r>
  <r>
    <n v="354"/>
    <x v="2"/>
    <n v="1"/>
    <n v="5940.0000000000009"/>
    <x v="3"/>
    <n v="6"/>
  </r>
  <r>
    <n v="355"/>
    <x v="9"/>
    <n v="1"/>
    <n v="6480"/>
    <x v="5"/>
    <n v="8"/>
  </r>
  <r>
    <n v="356"/>
    <x v="0"/>
    <n v="1"/>
    <n v="2400"/>
    <x v="4"/>
    <n v="3"/>
  </r>
  <r>
    <n v="357"/>
    <x v="6"/>
    <n v="1"/>
    <n v="4500"/>
    <x v="4"/>
    <n v="5"/>
  </r>
  <r>
    <n v="358"/>
    <x v="6"/>
    <n v="1"/>
    <n v="4500"/>
    <x v="4"/>
    <n v="5"/>
  </r>
  <r>
    <n v="359"/>
    <x v="0"/>
    <n v="1"/>
    <n v="2400"/>
    <x v="4"/>
    <n v="3"/>
  </r>
  <r>
    <n v="360"/>
    <x v="3"/>
    <n v="1"/>
    <n v="11000"/>
    <x v="4"/>
    <n v="11"/>
  </r>
  <r>
    <n v="361"/>
    <x v="1"/>
    <n v="1"/>
    <n v="4680"/>
    <x v="5"/>
    <n v="4"/>
  </r>
  <r>
    <n v="362"/>
    <x v="7"/>
    <n v="1"/>
    <n v="13200.000000000002"/>
    <x v="3"/>
    <n v="12"/>
  </r>
  <r>
    <n v="363"/>
    <x v="7"/>
    <n v="1"/>
    <n v="13200.000000000002"/>
    <x v="3"/>
    <n v="12"/>
  </r>
  <r>
    <n v="364"/>
    <x v="6"/>
    <n v="1"/>
    <n v="4500"/>
    <x v="4"/>
    <n v="5"/>
  </r>
  <r>
    <n v="365"/>
    <x v="3"/>
    <n v="1"/>
    <n v="11000"/>
    <x v="4"/>
    <n v="11"/>
  </r>
  <r>
    <n v="366"/>
    <x v="3"/>
    <n v="1"/>
    <n v="11000"/>
    <x v="4"/>
    <n v="11"/>
  </r>
  <r>
    <n v="367"/>
    <x v="8"/>
    <n v="1"/>
    <n v="6825"/>
    <x v="4"/>
    <n v="6.5"/>
  </r>
  <r>
    <n v="368"/>
    <x v="0"/>
    <n v="1"/>
    <n v="2400"/>
    <x v="4"/>
    <n v="3"/>
  </r>
  <r>
    <n v="369"/>
    <x v="0"/>
    <n v="1"/>
    <n v="2400"/>
    <x v="4"/>
    <n v="3"/>
  </r>
  <r>
    <n v="370"/>
    <x v="3"/>
    <n v="1"/>
    <n v="8800"/>
    <x v="6"/>
    <n v="11"/>
  </r>
  <r>
    <n v="371"/>
    <x v="2"/>
    <n v="1"/>
    <n v="4320"/>
    <x v="7"/>
    <n v="6"/>
  </r>
  <r>
    <n v="372"/>
    <x v="9"/>
    <n v="1"/>
    <n v="7200"/>
    <x v="8"/>
    <n v="8"/>
  </r>
  <r>
    <n v="373"/>
    <x v="0"/>
    <n v="1"/>
    <n v="1920"/>
    <x v="6"/>
    <n v="3"/>
  </r>
  <r>
    <n v="374"/>
    <x v="6"/>
    <n v="1"/>
    <n v="3600"/>
    <x v="6"/>
    <n v="5"/>
  </r>
  <r>
    <n v="375"/>
    <x v="6"/>
    <n v="1"/>
    <n v="3600"/>
    <x v="6"/>
    <n v="5"/>
  </r>
  <r>
    <n v="376"/>
    <x v="0"/>
    <n v="1"/>
    <n v="1920"/>
    <x v="6"/>
    <n v="3"/>
  </r>
  <r>
    <n v="377"/>
    <x v="3"/>
    <n v="1"/>
    <n v="8800"/>
    <x v="6"/>
    <n v="11"/>
  </r>
  <r>
    <n v="378"/>
    <x v="1"/>
    <n v="1"/>
    <n v="5200"/>
    <x v="8"/>
    <n v="4"/>
  </r>
  <r>
    <n v="379"/>
    <x v="7"/>
    <n v="1"/>
    <n v="9600"/>
    <x v="7"/>
    <n v="12"/>
  </r>
  <r>
    <n v="380"/>
    <x v="7"/>
    <n v="1"/>
    <n v="9600"/>
    <x v="7"/>
    <n v="12"/>
  </r>
  <r>
    <n v="381"/>
    <x v="6"/>
    <n v="1"/>
    <n v="3600"/>
    <x v="6"/>
    <n v="5"/>
  </r>
  <r>
    <n v="382"/>
    <x v="3"/>
    <n v="1"/>
    <n v="8800"/>
    <x v="6"/>
    <n v="11"/>
  </r>
  <r>
    <n v="383"/>
    <x v="3"/>
    <n v="1"/>
    <n v="8800"/>
    <x v="6"/>
    <n v="11"/>
  </r>
  <r>
    <n v="384"/>
    <x v="8"/>
    <n v="1"/>
    <n v="5460"/>
    <x v="6"/>
    <n v="6.5"/>
  </r>
  <r>
    <n v="385"/>
    <x v="0"/>
    <n v="1"/>
    <n v="1920"/>
    <x v="6"/>
    <n v="3"/>
  </r>
  <r>
    <n v="386"/>
    <x v="0"/>
    <n v="1"/>
    <n v="1920"/>
    <x v="6"/>
    <n v="3"/>
  </r>
  <r>
    <n v="387"/>
    <x v="3"/>
    <n v="1"/>
    <n v="8800"/>
    <x v="6"/>
    <n v="11"/>
  </r>
  <r>
    <n v="388"/>
    <x v="2"/>
    <n v="1"/>
    <n v="4320"/>
    <x v="7"/>
    <n v="6"/>
  </r>
  <r>
    <n v="389"/>
    <x v="9"/>
    <n v="1"/>
    <n v="7200"/>
    <x v="8"/>
    <n v="8"/>
  </r>
  <r>
    <n v="390"/>
    <x v="0"/>
    <n v="1"/>
    <n v="1920"/>
    <x v="6"/>
    <n v="3"/>
  </r>
  <r>
    <n v="391"/>
    <x v="6"/>
    <n v="1"/>
    <n v="3600"/>
    <x v="6"/>
    <n v="5"/>
  </r>
  <r>
    <n v="392"/>
    <x v="6"/>
    <n v="1"/>
    <n v="3600"/>
    <x v="6"/>
    <n v="5"/>
  </r>
  <r>
    <n v="393"/>
    <x v="0"/>
    <n v="1"/>
    <n v="1920"/>
    <x v="6"/>
    <n v="3"/>
  </r>
  <r>
    <n v="394"/>
    <x v="3"/>
    <n v="1"/>
    <n v="17600"/>
    <x v="6"/>
    <n v="11"/>
  </r>
  <r>
    <n v="395"/>
    <x v="1"/>
    <n v="1"/>
    <n v="5200"/>
    <x v="8"/>
    <n v="4"/>
  </r>
  <r>
    <n v="396"/>
    <x v="7"/>
    <n v="1"/>
    <n v="9600"/>
    <x v="7"/>
    <n v="12"/>
  </r>
  <r>
    <n v="397"/>
    <x v="7"/>
    <n v="1"/>
    <n v="9600"/>
    <x v="7"/>
    <n v="12"/>
  </r>
  <r>
    <n v="398"/>
    <x v="6"/>
    <n v="1"/>
    <n v="3600"/>
    <x v="6"/>
    <n v="5"/>
  </r>
  <r>
    <n v="399"/>
    <x v="3"/>
    <n v="1"/>
    <n v="8800"/>
    <x v="6"/>
    <n v="11"/>
  </r>
  <r>
    <n v="400"/>
    <x v="3"/>
    <n v="1"/>
    <n v="13200"/>
    <x v="0"/>
    <n v="11"/>
  </r>
  <r>
    <n v="401"/>
    <x v="8"/>
    <n v="1"/>
    <n v="8190"/>
    <x v="0"/>
    <n v="6.5"/>
  </r>
  <r>
    <n v="402"/>
    <x v="0"/>
    <n v="1"/>
    <n v="2880"/>
    <x v="0"/>
    <n v="3"/>
  </r>
  <r>
    <n v="403"/>
    <x v="0"/>
    <n v="1"/>
    <n v="2880"/>
    <x v="0"/>
    <n v="3"/>
  </r>
  <r>
    <n v="404"/>
    <x v="3"/>
    <n v="1"/>
    <n v="13200"/>
    <x v="0"/>
    <n v="11"/>
  </r>
  <r>
    <n v="405"/>
    <x v="2"/>
    <n v="1"/>
    <n v="4860"/>
    <x v="2"/>
    <n v="6"/>
  </r>
  <r>
    <n v="406"/>
    <x v="9"/>
    <n v="1"/>
    <n v="10080"/>
    <x v="1"/>
    <n v="8"/>
  </r>
  <r>
    <n v="407"/>
    <x v="0"/>
    <n v="1"/>
    <n v="2880"/>
    <x v="0"/>
    <n v="3"/>
  </r>
  <r>
    <n v="408"/>
    <x v="6"/>
    <n v="1"/>
    <n v="5400"/>
    <x v="0"/>
    <n v="5"/>
  </r>
  <r>
    <n v="409"/>
    <x v="6"/>
    <n v="1"/>
    <n v="5400"/>
    <x v="0"/>
    <n v="5"/>
  </r>
  <r>
    <n v="410"/>
    <x v="0"/>
    <n v="1"/>
    <n v="2880"/>
    <x v="0"/>
    <n v="3"/>
  </r>
  <r>
    <n v="411"/>
    <x v="3"/>
    <n v="1"/>
    <n v="13200"/>
    <x v="0"/>
    <n v="11"/>
  </r>
  <r>
    <n v="412"/>
    <x v="1"/>
    <n v="1"/>
    <n v="7279.9999999999991"/>
    <x v="1"/>
    <n v="4"/>
  </r>
  <r>
    <n v="413"/>
    <x v="7"/>
    <n v="1"/>
    <n v="10800"/>
    <x v="2"/>
    <n v="12"/>
  </r>
  <r>
    <n v="414"/>
    <x v="7"/>
    <n v="1"/>
    <n v="10800"/>
    <x v="2"/>
    <n v="12"/>
  </r>
  <r>
    <n v="415"/>
    <x v="6"/>
    <n v="1"/>
    <n v="5400"/>
    <x v="0"/>
    <n v="5"/>
  </r>
  <r>
    <n v="416"/>
    <x v="3"/>
    <n v="1"/>
    <n v="13200"/>
    <x v="0"/>
    <n v="11"/>
  </r>
  <r>
    <n v="417"/>
    <x v="3"/>
    <n v="1"/>
    <n v="13200"/>
    <x v="0"/>
    <n v="11"/>
  </r>
  <r>
    <n v="418"/>
    <x v="8"/>
    <n v="1"/>
    <n v="8190"/>
    <x v="0"/>
    <n v="6.5"/>
  </r>
  <r>
    <n v="419"/>
    <x v="0"/>
    <n v="1"/>
    <n v="2880"/>
    <x v="0"/>
    <n v="3"/>
  </r>
  <r>
    <n v="420"/>
    <x v="0"/>
    <n v="1"/>
    <n v="2400"/>
    <x v="4"/>
    <n v="3"/>
  </r>
  <r>
    <n v="421"/>
    <x v="3"/>
    <n v="1"/>
    <n v="11000"/>
    <x v="4"/>
    <n v="11"/>
  </r>
  <r>
    <n v="422"/>
    <x v="2"/>
    <n v="1"/>
    <n v="5940.0000000000009"/>
    <x v="3"/>
    <n v="6"/>
  </r>
  <r>
    <n v="423"/>
    <x v="9"/>
    <n v="1"/>
    <n v="6480"/>
    <x v="5"/>
    <n v="8"/>
  </r>
  <r>
    <n v="424"/>
    <x v="0"/>
    <n v="1"/>
    <n v="2400"/>
    <x v="4"/>
    <n v="3"/>
  </r>
  <r>
    <n v="425"/>
    <x v="6"/>
    <n v="1"/>
    <n v="4500"/>
    <x v="4"/>
    <n v="5"/>
  </r>
  <r>
    <n v="426"/>
    <x v="6"/>
    <n v="1"/>
    <n v="4500"/>
    <x v="4"/>
    <n v="5"/>
  </r>
  <r>
    <n v="427"/>
    <x v="0"/>
    <n v="1"/>
    <n v="2400"/>
    <x v="4"/>
    <n v="3"/>
  </r>
  <r>
    <n v="428"/>
    <x v="3"/>
    <n v="1"/>
    <n v="11000"/>
    <x v="4"/>
    <n v="11"/>
  </r>
  <r>
    <n v="429"/>
    <x v="1"/>
    <n v="1"/>
    <n v="4680"/>
    <x v="5"/>
    <n v="4"/>
  </r>
  <r>
    <n v="430"/>
    <x v="7"/>
    <n v="1"/>
    <n v="13200.000000000002"/>
    <x v="3"/>
    <n v="12"/>
  </r>
  <r>
    <n v="431"/>
    <x v="7"/>
    <n v="1"/>
    <n v="13200.000000000002"/>
    <x v="3"/>
    <n v="12"/>
  </r>
  <r>
    <n v="432"/>
    <x v="6"/>
    <n v="1"/>
    <n v="4500"/>
    <x v="4"/>
    <n v="5"/>
  </r>
  <r>
    <n v="433"/>
    <x v="3"/>
    <n v="1"/>
    <n v="11000"/>
    <x v="4"/>
    <n v="11"/>
  </r>
  <r>
    <n v="434"/>
    <x v="3"/>
    <n v="1"/>
    <n v="11000"/>
    <x v="4"/>
    <n v="11"/>
  </r>
  <r>
    <n v="435"/>
    <x v="8"/>
    <n v="1"/>
    <n v="6825"/>
    <x v="4"/>
    <n v="6.5"/>
  </r>
  <r>
    <n v="436"/>
    <x v="0"/>
    <n v="1"/>
    <n v="2400"/>
    <x v="4"/>
    <n v="3"/>
  </r>
  <r>
    <n v="437"/>
    <x v="0"/>
    <n v="1"/>
    <n v="2400"/>
    <x v="4"/>
    <n v="3"/>
  </r>
  <r>
    <n v="438"/>
    <x v="3"/>
    <n v="1"/>
    <n v="22000"/>
    <x v="4"/>
    <n v="11"/>
  </r>
  <r>
    <n v="439"/>
    <x v="2"/>
    <n v="1"/>
    <n v="5940.0000000000009"/>
    <x v="3"/>
    <n v="6"/>
  </r>
  <r>
    <n v="440"/>
    <x v="9"/>
    <n v="1"/>
    <n v="6480"/>
    <x v="5"/>
    <n v="8"/>
  </r>
  <r>
    <n v="441"/>
    <x v="0"/>
    <n v="1"/>
    <n v="2400"/>
    <x v="4"/>
    <n v="3"/>
  </r>
  <r>
    <n v="442"/>
    <x v="6"/>
    <n v="1"/>
    <n v="4500"/>
    <x v="4"/>
    <n v="5"/>
  </r>
  <r>
    <n v="443"/>
    <x v="6"/>
    <n v="1"/>
    <n v="4500"/>
    <x v="4"/>
    <n v="5"/>
  </r>
  <r>
    <n v="444"/>
    <x v="0"/>
    <n v="1"/>
    <n v="2400"/>
    <x v="4"/>
    <n v="3"/>
  </r>
  <r>
    <n v="445"/>
    <x v="3"/>
    <n v="1"/>
    <n v="11000"/>
    <x v="4"/>
    <n v="11"/>
  </r>
  <r>
    <n v="446"/>
    <x v="1"/>
    <n v="1"/>
    <n v="4680"/>
    <x v="5"/>
    <n v="4"/>
  </r>
  <r>
    <n v="447"/>
    <x v="7"/>
    <n v="1"/>
    <n v="13200.000000000002"/>
    <x v="3"/>
    <n v="12"/>
  </r>
  <r>
    <n v="448"/>
    <x v="7"/>
    <n v="1"/>
    <n v="13200.000000000002"/>
    <x v="3"/>
    <n v="12"/>
  </r>
  <r>
    <n v="449"/>
    <x v="6"/>
    <n v="1"/>
    <n v="4500"/>
    <x v="4"/>
    <n v="5"/>
  </r>
  <r>
    <n v="450"/>
    <x v="3"/>
    <n v="1"/>
    <n v="11000"/>
    <x v="4"/>
    <n v="11"/>
  </r>
  <r>
    <n v="451"/>
    <x v="3"/>
    <n v="1"/>
    <n v="11000"/>
    <x v="4"/>
    <n v="11"/>
  </r>
  <r>
    <n v="452"/>
    <x v="8"/>
    <n v="1"/>
    <n v="6825"/>
    <x v="4"/>
    <n v="6.5"/>
  </r>
  <r>
    <n v="453"/>
    <x v="0"/>
    <n v="1"/>
    <n v="4800"/>
    <x v="4"/>
    <n v="3"/>
  </r>
  <r>
    <n v="454"/>
    <x v="0"/>
    <n v="1"/>
    <n v="2400"/>
    <x v="4"/>
    <n v="3"/>
  </r>
  <r>
    <n v="455"/>
    <x v="3"/>
    <n v="1"/>
    <n v="11000"/>
    <x v="4"/>
    <n v="11"/>
  </r>
  <r>
    <n v="456"/>
    <x v="2"/>
    <n v="1"/>
    <n v="5940.0000000000009"/>
    <x v="3"/>
    <n v="6"/>
  </r>
  <r>
    <n v="457"/>
    <x v="9"/>
    <n v="1"/>
    <n v="6480"/>
    <x v="5"/>
    <n v="8"/>
  </r>
  <r>
    <n v="458"/>
    <x v="0"/>
    <n v="1"/>
    <n v="2400"/>
    <x v="4"/>
    <n v="3"/>
  </r>
  <r>
    <n v="459"/>
    <x v="6"/>
    <n v="1"/>
    <n v="4500"/>
    <x v="4"/>
    <n v="5"/>
  </r>
  <r>
    <n v="460"/>
    <x v="6"/>
    <n v="1"/>
    <n v="4500"/>
    <x v="4"/>
    <n v="5"/>
  </r>
  <r>
    <n v="461"/>
    <x v="0"/>
    <n v="1"/>
    <n v="2400"/>
    <x v="4"/>
    <n v="3"/>
  </r>
  <r>
    <n v="462"/>
    <x v="3"/>
    <n v="1"/>
    <n v="11000"/>
    <x v="4"/>
    <n v="11"/>
  </r>
  <r>
    <n v="463"/>
    <x v="1"/>
    <n v="1"/>
    <n v="4680"/>
    <x v="5"/>
    <n v="4"/>
  </r>
  <r>
    <n v="464"/>
    <x v="7"/>
    <n v="1"/>
    <n v="13200.000000000002"/>
    <x v="3"/>
    <n v="12"/>
  </r>
  <r>
    <n v="465"/>
    <x v="7"/>
    <n v="1"/>
    <n v="13200.000000000002"/>
    <x v="3"/>
    <n v="12"/>
  </r>
  <r>
    <n v="466"/>
    <x v="6"/>
    <n v="1"/>
    <n v="4500"/>
    <x v="4"/>
    <n v="5"/>
  </r>
  <r>
    <n v="467"/>
    <x v="3"/>
    <n v="1"/>
    <n v="11000"/>
    <x v="4"/>
    <n v="11"/>
  </r>
  <r>
    <n v="468"/>
    <x v="3"/>
    <n v="1"/>
    <n v="11000"/>
    <x v="4"/>
    <n v="11"/>
  </r>
  <r>
    <n v="469"/>
    <x v="8"/>
    <n v="1"/>
    <n v="6825"/>
    <x v="4"/>
    <n v="6.5"/>
  </r>
  <r>
    <n v="470"/>
    <x v="0"/>
    <n v="1"/>
    <n v="1920"/>
    <x v="6"/>
    <n v="3"/>
  </r>
  <r>
    <n v="471"/>
    <x v="0"/>
    <n v="1"/>
    <n v="1920"/>
    <x v="6"/>
    <n v="3"/>
  </r>
  <r>
    <n v="472"/>
    <x v="3"/>
    <n v="1"/>
    <n v="8800"/>
    <x v="6"/>
    <n v="11"/>
  </r>
  <r>
    <n v="473"/>
    <x v="2"/>
    <n v="1"/>
    <n v="4320"/>
    <x v="7"/>
    <n v="6"/>
  </r>
  <r>
    <n v="474"/>
    <x v="9"/>
    <n v="1"/>
    <n v="7200"/>
    <x v="8"/>
    <n v="8"/>
  </r>
  <r>
    <n v="475"/>
    <x v="0"/>
    <n v="1"/>
    <n v="1920"/>
    <x v="6"/>
    <n v="3"/>
  </r>
  <r>
    <n v="476"/>
    <x v="6"/>
    <n v="1"/>
    <n v="3600"/>
    <x v="6"/>
    <n v="5"/>
  </r>
  <r>
    <n v="477"/>
    <x v="6"/>
    <n v="1"/>
    <n v="3600"/>
    <x v="6"/>
    <n v="5"/>
  </r>
  <r>
    <n v="478"/>
    <x v="0"/>
    <n v="1"/>
    <n v="1920"/>
    <x v="6"/>
    <n v="3"/>
  </r>
  <r>
    <n v="479"/>
    <x v="3"/>
    <n v="1"/>
    <n v="8800"/>
    <x v="6"/>
    <n v="11"/>
  </r>
  <r>
    <n v="480"/>
    <x v="1"/>
    <n v="1"/>
    <n v="5200"/>
    <x v="8"/>
    <n v="4"/>
  </r>
  <r>
    <n v="481"/>
    <x v="7"/>
    <n v="1"/>
    <n v="9600"/>
    <x v="7"/>
    <n v="12"/>
  </r>
  <r>
    <n v="482"/>
    <x v="7"/>
    <n v="1"/>
    <n v="9600"/>
    <x v="7"/>
    <n v="12"/>
  </r>
  <r>
    <n v="483"/>
    <x v="6"/>
    <n v="1"/>
    <n v="3600"/>
    <x v="6"/>
    <n v="5"/>
  </r>
  <r>
    <n v="484"/>
    <x v="3"/>
    <n v="1"/>
    <n v="8800"/>
    <x v="6"/>
    <n v="11"/>
  </r>
  <r>
    <n v="485"/>
    <x v="3"/>
    <n v="1"/>
    <n v="8800"/>
    <x v="6"/>
    <n v="11"/>
  </r>
  <r>
    <n v="486"/>
    <x v="8"/>
    <n v="1"/>
    <n v="5460"/>
    <x v="6"/>
    <n v="6.5"/>
  </r>
  <r>
    <n v="487"/>
    <x v="0"/>
    <n v="1"/>
    <n v="1920"/>
    <x v="6"/>
    <n v="3"/>
  </r>
  <r>
    <n v="488"/>
    <x v="0"/>
    <n v="1"/>
    <n v="1920"/>
    <x v="6"/>
    <n v="3"/>
  </r>
  <r>
    <n v="489"/>
    <x v="3"/>
    <n v="1"/>
    <n v="8800"/>
    <x v="6"/>
    <n v="11"/>
  </r>
  <r>
    <n v="490"/>
    <x v="2"/>
    <n v="1"/>
    <n v="4320"/>
    <x v="7"/>
    <n v="6"/>
  </r>
  <r>
    <n v="491"/>
    <x v="9"/>
    <n v="1"/>
    <n v="7200"/>
    <x v="8"/>
    <n v="8"/>
  </r>
  <r>
    <n v="492"/>
    <x v="0"/>
    <n v="1"/>
    <n v="1920"/>
    <x v="6"/>
    <n v="3"/>
  </r>
  <r>
    <n v="493"/>
    <x v="6"/>
    <n v="1"/>
    <n v="3600"/>
    <x v="6"/>
    <n v="5"/>
  </r>
  <r>
    <n v="494"/>
    <x v="6"/>
    <n v="1"/>
    <n v="7200"/>
    <x v="6"/>
    <n v="5"/>
  </r>
  <r>
    <n v="495"/>
    <x v="0"/>
    <n v="1"/>
    <n v="1920"/>
    <x v="6"/>
    <n v="3"/>
  </r>
  <r>
    <n v="496"/>
    <x v="3"/>
    <n v="1"/>
    <n v="8800"/>
    <x v="6"/>
    <n v="11"/>
  </r>
  <r>
    <n v="497"/>
    <x v="1"/>
    <n v="1"/>
    <n v="5200"/>
    <x v="8"/>
    <n v="4"/>
  </r>
  <r>
    <n v="498"/>
    <x v="7"/>
    <n v="1"/>
    <n v="9600"/>
    <x v="7"/>
    <n v="12"/>
  </r>
  <r>
    <n v="499"/>
    <x v="7"/>
    <n v="1"/>
    <n v="9600"/>
    <x v="7"/>
    <n v="12"/>
  </r>
  <r>
    <n v="500"/>
    <x v="6"/>
    <n v="1"/>
    <n v="5400"/>
    <x v="0"/>
    <n v="5"/>
  </r>
  <r>
    <n v="501"/>
    <x v="3"/>
    <n v="1"/>
    <n v="13200"/>
    <x v="0"/>
    <n v="11"/>
  </r>
  <r>
    <n v="502"/>
    <x v="3"/>
    <n v="1"/>
    <n v="13200"/>
    <x v="0"/>
    <n v="11"/>
  </r>
  <r>
    <n v="503"/>
    <x v="8"/>
    <n v="1"/>
    <n v="8190"/>
    <x v="0"/>
    <n v="6.5"/>
  </r>
  <r>
    <n v="504"/>
    <x v="0"/>
    <n v="1"/>
    <n v="2880"/>
    <x v="0"/>
    <n v="3"/>
  </r>
  <r>
    <n v="505"/>
    <x v="0"/>
    <n v="1"/>
    <n v="2880"/>
    <x v="0"/>
    <n v="3"/>
  </r>
  <r>
    <n v="506"/>
    <x v="3"/>
    <n v="1"/>
    <n v="13200"/>
    <x v="0"/>
    <n v="11"/>
  </r>
  <r>
    <n v="507"/>
    <x v="2"/>
    <n v="1"/>
    <n v="4860"/>
    <x v="2"/>
    <n v="6"/>
  </r>
  <r>
    <n v="508"/>
    <x v="9"/>
    <n v="1"/>
    <n v="10080"/>
    <x v="1"/>
    <n v="8"/>
  </r>
  <r>
    <n v="509"/>
    <x v="0"/>
    <n v="1"/>
    <n v="2880"/>
    <x v="0"/>
    <n v="3"/>
  </r>
  <r>
    <n v="510"/>
    <x v="6"/>
    <n v="1"/>
    <n v="5400"/>
    <x v="0"/>
    <n v="5"/>
  </r>
  <r>
    <n v="511"/>
    <x v="6"/>
    <n v="1"/>
    <n v="5400"/>
    <x v="0"/>
    <n v="5"/>
  </r>
  <r>
    <n v="512"/>
    <x v="0"/>
    <n v="1"/>
    <n v="2880"/>
    <x v="0"/>
    <n v="3"/>
  </r>
  <r>
    <n v="513"/>
    <x v="3"/>
    <n v="1"/>
    <n v="13200"/>
    <x v="0"/>
    <n v="11"/>
  </r>
  <r>
    <n v="514"/>
    <x v="1"/>
    <n v="1"/>
    <n v="7279.9999999999991"/>
    <x v="1"/>
    <n v="4"/>
  </r>
  <r>
    <n v="515"/>
    <x v="7"/>
    <n v="1"/>
    <n v="10800"/>
    <x v="2"/>
    <n v="12"/>
  </r>
  <r>
    <n v="516"/>
    <x v="7"/>
    <n v="1"/>
    <n v="10800"/>
    <x v="2"/>
    <n v="12"/>
  </r>
  <r>
    <n v="517"/>
    <x v="6"/>
    <n v="1"/>
    <n v="5400"/>
    <x v="0"/>
    <n v="5"/>
  </r>
  <r>
    <n v="518"/>
    <x v="3"/>
    <n v="1"/>
    <n v="13200"/>
    <x v="0"/>
    <n v="11"/>
  </r>
  <r>
    <n v="519"/>
    <x v="3"/>
    <n v="1"/>
    <n v="13200"/>
    <x v="0"/>
    <n v="11"/>
  </r>
  <r>
    <n v="520"/>
    <x v="8"/>
    <n v="1"/>
    <n v="6825"/>
    <x v="4"/>
    <n v="6.5"/>
  </r>
  <r>
    <n v="521"/>
    <x v="0"/>
    <n v="1"/>
    <n v="2400"/>
    <x v="4"/>
    <n v="3"/>
  </r>
  <r>
    <n v="522"/>
    <x v="0"/>
    <n v="1"/>
    <n v="2400"/>
    <x v="4"/>
    <n v="3"/>
  </r>
  <r>
    <n v="523"/>
    <x v="3"/>
    <n v="1"/>
    <n v="11000"/>
    <x v="4"/>
    <n v="11"/>
  </r>
  <r>
    <n v="524"/>
    <x v="2"/>
    <n v="1"/>
    <n v="5940.0000000000009"/>
    <x v="3"/>
    <n v="6"/>
  </r>
  <r>
    <n v="525"/>
    <x v="9"/>
    <n v="1"/>
    <n v="6480"/>
    <x v="5"/>
    <n v="8"/>
  </r>
  <r>
    <n v="526"/>
    <x v="0"/>
    <n v="1"/>
    <n v="2400"/>
    <x v="4"/>
    <n v="3"/>
  </r>
  <r>
    <n v="527"/>
    <x v="6"/>
    <n v="1"/>
    <n v="4500"/>
    <x v="4"/>
    <n v="5"/>
  </r>
  <r>
    <n v="528"/>
    <x v="6"/>
    <n v="1"/>
    <n v="4500"/>
    <x v="4"/>
    <n v="5"/>
  </r>
  <r>
    <n v="529"/>
    <x v="0"/>
    <n v="1"/>
    <n v="2400"/>
    <x v="4"/>
    <n v="3"/>
  </r>
  <r>
    <n v="530"/>
    <x v="3"/>
    <n v="1"/>
    <n v="11000"/>
    <x v="4"/>
    <n v="11"/>
  </r>
  <r>
    <n v="531"/>
    <x v="1"/>
    <n v="1"/>
    <n v="4680"/>
    <x v="5"/>
    <n v="4"/>
  </r>
  <r>
    <n v="532"/>
    <x v="7"/>
    <n v="1"/>
    <n v="13200.000000000002"/>
    <x v="3"/>
    <n v="12"/>
  </r>
  <r>
    <n v="533"/>
    <x v="7"/>
    <n v="1"/>
    <n v="13200.000000000002"/>
    <x v="3"/>
    <n v="12"/>
  </r>
  <r>
    <n v="534"/>
    <x v="6"/>
    <n v="1"/>
    <n v="4500"/>
    <x v="4"/>
    <n v="5"/>
  </r>
  <r>
    <n v="535"/>
    <x v="3"/>
    <n v="1"/>
    <n v="11000"/>
    <x v="4"/>
    <n v="11"/>
  </r>
  <r>
    <n v="536"/>
    <x v="3"/>
    <n v="1"/>
    <n v="11000"/>
    <x v="4"/>
    <n v="11"/>
  </r>
  <r>
    <n v="537"/>
    <x v="8"/>
    <n v="1"/>
    <n v="6825"/>
    <x v="4"/>
    <n v="6.5"/>
  </r>
  <r>
    <n v="538"/>
    <x v="0"/>
    <n v="1"/>
    <n v="4800"/>
    <x v="4"/>
    <n v="3"/>
  </r>
  <r>
    <n v="539"/>
    <x v="0"/>
    <n v="1"/>
    <n v="2400"/>
    <x v="4"/>
    <n v="3"/>
  </r>
  <r>
    <n v="540"/>
    <x v="3"/>
    <n v="1"/>
    <n v="11000"/>
    <x v="4"/>
    <n v="11"/>
  </r>
  <r>
    <n v="541"/>
    <x v="2"/>
    <n v="1"/>
    <n v="5940.0000000000009"/>
    <x v="3"/>
    <n v="6"/>
  </r>
  <r>
    <n v="542"/>
    <x v="9"/>
    <n v="1"/>
    <n v="6480"/>
    <x v="5"/>
    <n v="8"/>
  </r>
  <r>
    <n v="543"/>
    <x v="0"/>
    <n v="1"/>
    <n v="2400"/>
    <x v="4"/>
    <n v="3"/>
  </r>
  <r>
    <n v="544"/>
    <x v="6"/>
    <n v="1"/>
    <n v="4500"/>
    <x v="4"/>
    <n v="5"/>
  </r>
  <r>
    <n v="545"/>
    <x v="6"/>
    <n v="1"/>
    <n v="4500"/>
    <x v="4"/>
    <n v="5"/>
  </r>
  <r>
    <n v="546"/>
    <x v="0"/>
    <n v="1"/>
    <n v="2400"/>
    <x v="4"/>
    <n v="3"/>
  </r>
  <r>
    <n v="547"/>
    <x v="3"/>
    <n v="1"/>
    <n v="11000"/>
    <x v="4"/>
    <n v="11"/>
  </r>
  <r>
    <n v="548"/>
    <x v="1"/>
    <n v="1"/>
    <n v="4680"/>
    <x v="5"/>
    <n v="4"/>
  </r>
  <r>
    <n v="549"/>
    <x v="7"/>
    <n v="1"/>
    <n v="13200.000000000002"/>
    <x v="3"/>
    <n v="12"/>
  </r>
  <r>
    <n v="550"/>
    <x v="7"/>
    <n v="1"/>
    <n v="13200.000000000002"/>
    <x v="3"/>
    <n v="12"/>
  </r>
  <r>
    <n v="551"/>
    <x v="6"/>
    <n v="1"/>
    <n v="4500"/>
    <x v="4"/>
    <n v="5"/>
  </r>
  <r>
    <n v="552"/>
    <x v="3"/>
    <n v="1"/>
    <n v="11000"/>
    <x v="4"/>
    <n v="11"/>
  </r>
  <r>
    <n v="553"/>
    <x v="3"/>
    <n v="1"/>
    <n v="22000"/>
    <x v="4"/>
    <n v="11"/>
  </r>
  <r>
    <n v="554"/>
    <x v="8"/>
    <n v="1"/>
    <n v="6825"/>
    <x v="4"/>
    <n v="6.5"/>
  </r>
  <r>
    <n v="555"/>
    <x v="0"/>
    <n v="1"/>
    <n v="2400"/>
    <x v="4"/>
    <n v="3"/>
  </r>
  <r>
    <n v="556"/>
    <x v="0"/>
    <n v="1"/>
    <n v="2400"/>
    <x v="4"/>
    <n v="3"/>
  </r>
  <r>
    <n v="557"/>
    <x v="3"/>
    <n v="1"/>
    <n v="11000"/>
    <x v="4"/>
    <n v="11"/>
  </r>
  <r>
    <n v="558"/>
    <x v="2"/>
    <n v="1"/>
    <n v="5940.0000000000009"/>
    <x v="3"/>
    <n v="6"/>
  </r>
  <r>
    <n v="559"/>
    <x v="9"/>
    <n v="1"/>
    <n v="6480"/>
    <x v="5"/>
    <n v="8"/>
  </r>
  <r>
    <n v="560"/>
    <x v="0"/>
    <n v="1"/>
    <n v="2400"/>
    <x v="4"/>
    <n v="3"/>
  </r>
  <r>
    <n v="561"/>
    <x v="6"/>
    <n v="1"/>
    <n v="4500"/>
    <x v="4"/>
    <n v="5"/>
  </r>
  <r>
    <n v="562"/>
    <x v="6"/>
    <n v="1"/>
    <n v="4500"/>
    <x v="4"/>
    <n v="5"/>
  </r>
  <r>
    <n v="563"/>
    <x v="0"/>
    <n v="1"/>
    <n v="2400"/>
    <x v="4"/>
    <n v="3"/>
  </r>
  <r>
    <n v="564"/>
    <x v="3"/>
    <n v="1"/>
    <n v="11000"/>
    <x v="4"/>
    <n v="11"/>
  </r>
  <r>
    <n v="565"/>
    <x v="1"/>
    <n v="1"/>
    <n v="4680"/>
    <x v="5"/>
    <n v="4"/>
  </r>
  <r>
    <n v="566"/>
    <x v="7"/>
    <n v="1"/>
    <n v="13200.000000000002"/>
    <x v="3"/>
    <n v="12"/>
  </r>
  <r>
    <n v="567"/>
    <x v="7"/>
    <n v="1"/>
    <n v="13200.000000000002"/>
    <x v="3"/>
    <n v="12"/>
  </r>
  <r>
    <n v="568"/>
    <x v="6"/>
    <n v="1"/>
    <n v="4500"/>
    <x v="4"/>
    <n v="5"/>
  </r>
  <r>
    <n v="569"/>
    <x v="3"/>
    <n v="1"/>
    <n v="11000"/>
    <x v="4"/>
    <n v="11"/>
  </r>
  <r>
    <n v="570"/>
    <x v="3"/>
    <n v="1"/>
    <n v="8800"/>
    <x v="6"/>
    <n v="11"/>
  </r>
  <r>
    <n v="571"/>
    <x v="8"/>
    <n v="1"/>
    <n v="5460"/>
    <x v="6"/>
    <n v="6.5"/>
  </r>
  <r>
    <n v="572"/>
    <x v="0"/>
    <n v="1"/>
    <n v="1920"/>
    <x v="6"/>
    <n v="3"/>
  </r>
  <r>
    <n v="573"/>
    <x v="0"/>
    <n v="1"/>
    <n v="1920"/>
    <x v="6"/>
    <n v="3"/>
  </r>
  <r>
    <n v="574"/>
    <x v="3"/>
    <n v="1"/>
    <n v="8800"/>
    <x v="6"/>
    <n v="11"/>
  </r>
  <r>
    <n v="575"/>
    <x v="2"/>
    <n v="1"/>
    <n v="4320"/>
    <x v="7"/>
    <n v="6"/>
  </r>
  <r>
    <n v="576"/>
    <x v="9"/>
    <n v="1"/>
    <n v="7200"/>
    <x v="8"/>
    <n v="8"/>
  </r>
  <r>
    <n v="577"/>
    <x v="0"/>
    <n v="1"/>
    <n v="1920"/>
    <x v="6"/>
    <n v="3"/>
  </r>
  <r>
    <n v="578"/>
    <x v="6"/>
    <n v="1"/>
    <n v="3600"/>
    <x v="6"/>
    <n v="5"/>
  </r>
  <r>
    <n v="579"/>
    <x v="6"/>
    <n v="1"/>
    <n v="3600"/>
    <x v="6"/>
    <n v="5"/>
  </r>
  <r>
    <n v="580"/>
    <x v="0"/>
    <n v="1"/>
    <n v="1920"/>
    <x v="6"/>
    <n v="3"/>
  </r>
  <r>
    <n v="581"/>
    <x v="3"/>
    <n v="1"/>
    <n v="8800"/>
    <x v="6"/>
    <n v="11"/>
  </r>
  <r>
    <n v="582"/>
    <x v="1"/>
    <n v="1"/>
    <n v="5200"/>
    <x v="8"/>
    <n v="4"/>
  </r>
  <r>
    <n v="583"/>
    <x v="7"/>
    <n v="1"/>
    <n v="9600"/>
    <x v="7"/>
    <n v="12"/>
  </r>
  <r>
    <n v="584"/>
    <x v="7"/>
    <n v="1"/>
    <n v="9600"/>
    <x v="7"/>
    <n v="12"/>
  </r>
  <r>
    <n v="585"/>
    <x v="6"/>
    <n v="1"/>
    <n v="3600"/>
    <x v="6"/>
    <n v="5"/>
  </r>
  <r>
    <n v="586"/>
    <x v="3"/>
    <n v="1"/>
    <n v="8800"/>
    <x v="6"/>
    <n v="11"/>
  </r>
  <r>
    <n v="587"/>
    <x v="3"/>
    <n v="1"/>
    <n v="8800"/>
    <x v="6"/>
    <n v="11"/>
  </r>
  <r>
    <n v="588"/>
    <x v="8"/>
    <n v="1"/>
    <n v="5460"/>
    <x v="6"/>
    <n v="6.5"/>
  </r>
  <r>
    <n v="589"/>
    <x v="0"/>
    <n v="1"/>
    <n v="1920"/>
    <x v="6"/>
    <n v="3"/>
  </r>
  <r>
    <n v="590"/>
    <x v="0"/>
    <n v="1"/>
    <n v="1920"/>
    <x v="6"/>
    <n v="3"/>
  </r>
  <r>
    <n v="591"/>
    <x v="3"/>
    <n v="1"/>
    <n v="8800"/>
    <x v="6"/>
    <n v="11"/>
  </r>
  <r>
    <n v="592"/>
    <x v="2"/>
    <n v="1"/>
    <n v="4320"/>
    <x v="7"/>
    <n v="6"/>
  </r>
  <r>
    <n v="593"/>
    <x v="9"/>
    <n v="1"/>
    <n v="7200"/>
    <x v="8"/>
    <n v="8"/>
  </r>
  <r>
    <n v="594"/>
    <x v="0"/>
    <n v="1"/>
    <n v="3840"/>
    <x v="6"/>
    <n v="3"/>
  </r>
  <r>
    <n v="595"/>
    <x v="6"/>
    <n v="1"/>
    <n v="3600"/>
    <x v="6"/>
    <n v="5"/>
  </r>
  <r>
    <n v="596"/>
    <x v="6"/>
    <n v="1"/>
    <n v="3600"/>
    <x v="6"/>
    <n v="5"/>
  </r>
  <r>
    <n v="597"/>
    <x v="0"/>
    <n v="1"/>
    <n v="1920"/>
    <x v="6"/>
    <n v="3"/>
  </r>
  <r>
    <n v="598"/>
    <x v="3"/>
    <n v="1"/>
    <n v="8800"/>
    <x v="6"/>
    <n v="11"/>
  </r>
  <r>
    <n v="599"/>
    <x v="1"/>
    <n v="1"/>
    <n v="5200"/>
    <x v="8"/>
    <n v="4"/>
  </r>
  <r>
    <n v="600"/>
    <x v="7"/>
    <n v="1"/>
    <n v="10800"/>
    <x v="2"/>
    <n v="12"/>
  </r>
  <r>
    <n v="601"/>
    <x v="7"/>
    <n v="1"/>
    <n v="10800"/>
    <x v="2"/>
    <n v="12"/>
  </r>
  <r>
    <n v="602"/>
    <x v="6"/>
    <n v="1"/>
    <n v="5400"/>
    <x v="0"/>
    <n v="5"/>
  </r>
  <r>
    <n v="603"/>
    <x v="3"/>
    <n v="1"/>
    <n v="13200"/>
    <x v="0"/>
    <n v="11"/>
  </r>
  <r>
    <n v="604"/>
    <x v="3"/>
    <n v="1"/>
    <n v="13200"/>
    <x v="0"/>
    <n v="11"/>
  </r>
  <r>
    <n v="605"/>
    <x v="8"/>
    <n v="1"/>
    <n v="8190"/>
    <x v="0"/>
    <n v="6.5"/>
  </r>
  <r>
    <n v="606"/>
    <x v="0"/>
    <n v="1"/>
    <n v="2880"/>
    <x v="0"/>
    <n v="3"/>
  </r>
  <r>
    <n v="607"/>
    <x v="0"/>
    <n v="1"/>
    <n v="2880"/>
    <x v="0"/>
    <n v="3"/>
  </r>
  <r>
    <n v="608"/>
    <x v="3"/>
    <n v="1"/>
    <n v="13200"/>
    <x v="0"/>
    <n v="11"/>
  </r>
  <r>
    <n v="609"/>
    <x v="2"/>
    <n v="1"/>
    <n v="4860"/>
    <x v="2"/>
    <n v="6"/>
  </r>
  <r>
    <n v="610"/>
    <x v="9"/>
    <n v="1"/>
    <n v="10080"/>
    <x v="1"/>
    <n v="8"/>
  </r>
  <r>
    <n v="611"/>
    <x v="0"/>
    <n v="1"/>
    <n v="2880"/>
    <x v="0"/>
    <n v="3"/>
  </r>
  <r>
    <n v="612"/>
    <x v="6"/>
    <n v="1"/>
    <n v="5400"/>
    <x v="0"/>
    <n v="5"/>
  </r>
  <r>
    <n v="613"/>
    <x v="6"/>
    <n v="1"/>
    <n v="5400"/>
    <x v="0"/>
    <n v="5"/>
  </r>
  <r>
    <n v="614"/>
    <x v="0"/>
    <n v="1"/>
    <n v="2880"/>
    <x v="0"/>
    <n v="3"/>
  </r>
  <r>
    <n v="615"/>
    <x v="3"/>
    <n v="1"/>
    <n v="13200"/>
    <x v="0"/>
    <n v="11"/>
  </r>
  <r>
    <n v="616"/>
    <x v="1"/>
    <n v="1"/>
    <n v="7279.9999999999991"/>
    <x v="1"/>
    <n v="4"/>
  </r>
  <r>
    <n v="617"/>
    <x v="7"/>
    <n v="1"/>
    <n v="10800"/>
    <x v="2"/>
    <n v="12"/>
  </r>
  <r>
    <n v="618"/>
    <x v="7"/>
    <n v="1"/>
    <n v="10800"/>
    <x v="2"/>
    <n v="12"/>
  </r>
  <r>
    <n v="619"/>
    <x v="6"/>
    <n v="1"/>
    <n v="5400"/>
    <x v="0"/>
    <n v="5"/>
  </r>
  <r>
    <n v="620"/>
    <x v="3"/>
    <n v="1"/>
    <n v="11000"/>
    <x v="4"/>
    <n v="11"/>
  </r>
  <r>
    <n v="621"/>
    <x v="3"/>
    <n v="1"/>
    <n v="11000"/>
    <x v="4"/>
    <n v="11"/>
  </r>
  <r>
    <n v="622"/>
    <x v="8"/>
    <n v="1"/>
    <n v="6825"/>
    <x v="4"/>
    <n v="6.5"/>
  </r>
  <r>
    <n v="623"/>
    <x v="0"/>
    <n v="1"/>
    <n v="2400"/>
    <x v="4"/>
    <n v="3"/>
  </r>
  <r>
    <n v="624"/>
    <x v="0"/>
    <n v="1"/>
    <n v="2400"/>
    <x v="4"/>
    <n v="3"/>
  </r>
  <r>
    <n v="625"/>
    <x v="3"/>
    <n v="1"/>
    <n v="11000"/>
    <x v="4"/>
    <n v="11"/>
  </r>
  <r>
    <n v="626"/>
    <x v="2"/>
    <n v="1"/>
    <n v="5940.0000000000009"/>
    <x v="3"/>
    <n v="6"/>
  </r>
  <r>
    <n v="627"/>
    <x v="9"/>
    <n v="1"/>
    <n v="6480"/>
    <x v="5"/>
    <n v="8"/>
  </r>
  <r>
    <n v="628"/>
    <x v="0"/>
    <n v="1"/>
    <n v="2400"/>
    <x v="4"/>
    <n v="3"/>
  </r>
  <r>
    <n v="629"/>
    <x v="6"/>
    <n v="1"/>
    <n v="4500"/>
    <x v="4"/>
    <n v="5"/>
  </r>
  <r>
    <n v="630"/>
    <x v="6"/>
    <n v="1"/>
    <n v="4500"/>
    <x v="4"/>
    <n v="5"/>
  </r>
  <r>
    <n v="631"/>
    <x v="0"/>
    <n v="1"/>
    <n v="2400"/>
    <x v="4"/>
    <n v="3"/>
  </r>
  <r>
    <n v="632"/>
    <x v="3"/>
    <n v="1"/>
    <n v="11000"/>
    <x v="4"/>
    <n v="11"/>
  </r>
  <r>
    <n v="633"/>
    <x v="1"/>
    <n v="1"/>
    <n v="4680"/>
    <x v="5"/>
    <n v="4"/>
  </r>
  <r>
    <n v="634"/>
    <x v="7"/>
    <n v="1"/>
    <n v="13200.000000000002"/>
    <x v="3"/>
    <n v="12"/>
  </r>
  <r>
    <n v="635"/>
    <x v="7"/>
    <n v="1"/>
    <n v="13200.000000000002"/>
    <x v="3"/>
    <n v="12"/>
  </r>
  <r>
    <n v="636"/>
    <x v="6"/>
    <n v="1"/>
    <n v="4500"/>
    <x v="4"/>
    <n v="5"/>
  </r>
  <r>
    <n v="637"/>
    <x v="3"/>
    <n v="1"/>
    <n v="11000"/>
    <x v="4"/>
    <n v="11"/>
  </r>
  <r>
    <n v="638"/>
    <x v="3"/>
    <n v="1"/>
    <n v="22000"/>
    <x v="4"/>
    <n v="11"/>
  </r>
  <r>
    <n v="639"/>
    <x v="8"/>
    <n v="1"/>
    <n v="6825"/>
    <x v="4"/>
    <n v="6.5"/>
  </r>
  <r>
    <n v="640"/>
    <x v="0"/>
    <n v="1"/>
    <n v="2400"/>
    <x v="4"/>
    <n v="3"/>
  </r>
  <r>
    <n v="641"/>
    <x v="0"/>
    <n v="1"/>
    <n v="2400"/>
    <x v="4"/>
    <n v="3"/>
  </r>
  <r>
    <n v="642"/>
    <x v="3"/>
    <n v="1"/>
    <n v="11000"/>
    <x v="4"/>
    <n v="11"/>
  </r>
  <r>
    <n v="643"/>
    <x v="2"/>
    <n v="1"/>
    <n v="5940.0000000000009"/>
    <x v="3"/>
    <n v="6"/>
  </r>
  <r>
    <n v="644"/>
    <x v="9"/>
    <n v="1"/>
    <n v="6480"/>
    <x v="5"/>
    <n v="8"/>
  </r>
  <r>
    <n v="645"/>
    <x v="0"/>
    <n v="1"/>
    <n v="2400"/>
    <x v="4"/>
    <n v="3"/>
  </r>
  <r>
    <n v="646"/>
    <x v="6"/>
    <n v="1"/>
    <n v="4500"/>
    <x v="4"/>
    <n v="5"/>
  </r>
  <r>
    <n v="647"/>
    <x v="6"/>
    <n v="1"/>
    <n v="4500"/>
    <x v="4"/>
    <n v="5"/>
  </r>
  <r>
    <n v="648"/>
    <x v="0"/>
    <n v="1"/>
    <n v="2400"/>
    <x v="4"/>
    <n v="3"/>
  </r>
  <r>
    <n v="649"/>
    <x v="3"/>
    <n v="1"/>
    <n v="11000"/>
    <x v="4"/>
    <n v="11"/>
  </r>
  <r>
    <n v="650"/>
    <x v="1"/>
    <n v="1"/>
    <n v="4680"/>
    <x v="5"/>
    <n v="4"/>
  </r>
  <r>
    <n v="651"/>
    <x v="7"/>
    <n v="1"/>
    <n v="13200.000000000002"/>
    <x v="3"/>
    <n v="12"/>
  </r>
  <r>
    <n v="652"/>
    <x v="7"/>
    <n v="1"/>
    <n v="13200.000000000002"/>
    <x v="3"/>
    <n v="12"/>
  </r>
  <r>
    <n v="653"/>
    <x v="6"/>
    <n v="1"/>
    <n v="9000"/>
    <x v="4"/>
    <n v="5"/>
  </r>
  <r>
    <n v="654"/>
    <x v="3"/>
    <n v="1"/>
    <n v="11000"/>
    <x v="4"/>
    <n v="11"/>
  </r>
  <r>
    <n v="655"/>
    <x v="3"/>
    <n v="1"/>
    <n v="11000"/>
    <x v="4"/>
    <n v="11"/>
  </r>
  <r>
    <n v="656"/>
    <x v="8"/>
    <n v="1"/>
    <n v="6825"/>
    <x v="4"/>
    <n v="6.5"/>
  </r>
  <r>
    <n v="657"/>
    <x v="0"/>
    <n v="1"/>
    <n v="2400"/>
    <x v="4"/>
    <n v="3"/>
  </r>
  <r>
    <n v="658"/>
    <x v="0"/>
    <n v="1"/>
    <n v="2400"/>
    <x v="4"/>
    <n v="3"/>
  </r>
  <r>
    <n v="659"/>
    <x v="3"/>
    <n v="1"/>
    <n v="11000"/>
    <x v="4"/>
    <n v="11"/>
  </r>
  <r>
    <n v="660"/>
    <x v="2"/>
    <n v="1"/>
    <n v="5940.0000000000009"/>
    <x v="3"/>
    <n v="6"/>
  </r>
  <r>
    <n v="661"/>
    <x v="9"/>
    <n v="1"/>
    <n v="6480"/>
    <x v="5"/>
    <n v="8"/>
  </r>
  <r>
    <n v="662"/>
    <x v="0"/>
    <n v="1"/>
    <n v="2400"/>
    <x v="4"/>
    <n v="3"/>
  </r>
  <r>
    <n v="663"/>
    <x v="6"/>
    <n v="1"/>
    <n v="4500"/>
    <x v="4"/>
    <n v="5"/>
  </r>
  <r>
    <n v="664"/>
    <x v="6"/>
    <n v="1"/>
    <n v="4500"/>
    <x v="4"/>
    <n v="5"/>
  </r>
  <r>
    <n v="665"/>
    <x v="0"/>
    <n v="1"/>
    <n v="2400"/>
    <x v="4"/>
    <n v="3"/>
  </r>
  <r>
    <n v="666"/>
    <x v="3"/>
    <n v="1"/>
    <n v="11000"/>
    <x v="4"/>
    <n v="11"/>
  </r>
  <r>
    <n v="667"/>
    <x v="1"/>
    <n v="1"/>
    <n v="4680"/>
    <x v="5"/>
    <n v="4"/>
  </r>
  <r>
    <n v="668"/>
    <x v="7"/>
    <n v="1"/>
    <n v="13200.000000000002"/>
    <x v="3"/>
    <n v="12"/>
  </r>
  <r>
    <n v="669"/>
    <x v="7"/>
    <n v="1"/>
    <n v="13200.000000000002"/>
    <x v="3"/>
    <n v="12"/>
  </r>
  <r>
    <n v="670"/>
    <x v="6"/>
    <n v="1"/>
    <n v="3600"/>
    <x v="6"/>
    <n v="5"/>
  </r>
  <r>
    <n v="671"/>
    <x v="3"/>
    <n v="1"/>
    <n v="8800"/>
    <x v="6"/>
    <n v="11"/>
  </r>
  <r>
    <n v="672"/>
    <x v="3"/>
    <n v="1"/>
    <n v="8800"/>
    <x v="6"/>
    <n v="11"/>
  </r>
  <r>
    <n v="673"/>
    <x v="8"/>
    <n v="1"/>
    <n v="5460"/>
    <x v="6"/>
    <n v="6.5"/>
  </r>
  <r>
    <n v="674"/>
    <x v="0"/>
    <n v="1"/>
    <n v="1920"/>
    <x v="6"/>
    <n v="3"/>
  </r>
  <r>
    <n v="675"/>
    <x v="0"/>
    <n v="1"/>
    <n v="1920"/>
    <x v="6"/>
    <n v="3"/>
  </r>
  <r>
    <n v="676"/>
    <x v="3"/>
    <n v="1"/>
    <n v="8800"/>
    <x v="6"/>
    <n v="11"/>
  </r>
  <r>
    <n v="677"/>
    <x v="2"/>
    <n v="1"/>
    <n v="4320"/>
    <x v="7"/>
    <n v="6"/>
  </r>
  <r>
    <n v="678"/>
    <x v="9"/>
    <n v="1"/>
    <n v="7200"/>
    <x v="8"/>
    <n v="8"/>
  </r>
  <r>
    <n v="679"/>
    <x v="0"/>
    <n v="1"/>
    <n v="1920"/>
    <x v="6"/>
    <n v="3"/>
  </r>
  <r>
    <n v="680"/>
    <x v="6"/>
    <n v="1"/>
    <n v="3600"/>
    <x v="6"/>
    <n v="5"/>
  </r>
  <r>
    <n v="681"/>
    <x v="6"/>
    <n v="1"/>
    <n v="3600"/>
    <x v="6"/>
    <n v="5"/>
  </r>
  <r>
    <n v="682"/>
    <x v="0"/>
    <n v="1"/>
    <n v="1920"/>
    <x v="6"/>
    <n v="3"/>
  </r>
  <r>
    <n v="683"/>
    <x v="3"/>
    <n v="1"/>
    <n v="8800"/>
    <x v="6"/>
    <n v="11"/>
  </r>
  <r>
    <n v="684"/>
    <x v="1"/>
    <n v="1"/>
    <n v="5200"/>
    <x v="8"/>
    <n v="4"/>
  </r>
  <r>
    <n v="685"/>
    <x v="7"/>
    <n v="1"/>
    <n v="9600"/>
    <x v="7"/>
    <n v="12"/>
  </r>
  <r>
    <n v="686"/>
    <x v="7"/>
    <n v="1"/>
    <n v="9600"/>
    <x v="7"/>
    <n v="12"/>
  </r>
  <r>
    <n v="687"/>
    <x v="6"/>
    <n v="1"/>
    <n v="3600"/>
    <x v="6"/>
    <n v="5"/>
  </r>
  <r>
    <n v="688"/>
    <x v="3"/>
    <n v="1"/>
    <n v="8800"/>
    <x v="6"/>
    <n v="11"/>
  </r>
  <r>
    <n v="689"/>
    <x v="3"/>
    <n v="1"/>
    <n v="8800"/>
    <x v="6"/>
    <n v="11"/>
  </r>
  <r>
    <n v="690"/>
    <x v="8"/>
    <n v="1"/>
    <n v="5460"/>
    <x v="6"/>
    <n v="6.5"/>
  </r>
  <r>
    <n v="691"/>
    <x v="0"/>
    <n v="1"/>
    <n v="1920"/>
    <x v="6"/>
    <n v="3"/>
  </r>
  <r>
    <n v="692"/>
    <x v="0"/>
    <n v="1"/>
    <n v="1920"/>
    <x v="6"/>
    <n v="3"/>
  </r>
  <r>
    <n v="693"/>
    <x v="3"/>
    <n v="1"/>
    <n v="8800"/>
    <x v="6"/>
    <n v="11"/>
  </r>
  <r>
    <n v="694"/>
    <x v="2"/>
    <n v="1"/>
    <n v="8640"/>
    <x v="7"/>
    <n v="6"/>
  </r>
  <r>
    <n v="695"/>
    <x v="9"/>
    <n v="1"/>
    <n v="7200"/>
    <x v="8"/>
    <n v="8"/>
  </r>
  <r>
    <n v="696"/>
    <x v="0"/>
    <n v="1"/>
    <n v="1920"/>
    <x v="6"/>
    <n v="3"/>
  </r>
  <r>
    <n v="697"/>
    <x v="6"/>
    <n v="1"/>
    <n v="3600"/>
    <x v="6"/>
    <n v="5"/>
  </r>
  <r>
    <n v="698"/>
    <x v="6"/>
    <n v="1"/>
    <n v="3600"/>
    <x v="6"/>
    <n v="5"/>
  </r>
  <r>
    <n v="699"/>
    <x v="0"/>
    <n v="1"/>
    <n v="1920"/>
    <x v="6"/>
    <n v="3"/>
  </r>
  <r>
    <n v="700"/>
    <x v="3"/>
    <n v="1"/>
    <n v="13200"/>
    <x v="0"/>
    <n v="11"/>
  </r>
  <r>
    <n v="701"/>
    <x v="1"/>
    <n v="1"/>
    <n v="7279.9999999999991"/>
    <x v="1"/>
    <n v="4"/>
  </r>
  <r>
    <n v="702"/>
    <x v="7"/>
    <n v="1"/>
    <n v="10800"/>
    <x v="2"/>
    <n v="12"/>
  </r>
  <r>
    <n v="703"/>
    <x v="7"/>
    <n v="1"/>
    <n v="10800"/>
    <x v="2"/>
    <n v="12"/>
  </r>
  <r>
    <n v="704"/>
    <x v="6"/>
    <n v="1"/>
    <n v="5400"/>
    <x v="0"/>
    <n v="5"/>
  </r>
  <r>
    <n v="705"/>
    <x v="3"/>
    <n v="1"/>
    <n v="13200"/>
    <x v="0"/>
    <n v="11"/>
  </r>
  <r>
    <n v="706"/>
    <x v="3"/>
    <n v="1"/>
    <n v="13200"/>
    <x v="0"/>
    <n v="11"/>
  </r>
  <r>
    <n v="707"/>
    <x v="8"/>
    <n v="1"/>
    <n v="8190"/>
    <x v="0"/>
    <n v="6.5"/>
  </r>
  <r>
    <n v="708"/>
    <x v="0"/>
    <n v="1"/>
    <n v="2880"/>
    <x v="0"/>
    <n v="3"/>
  </r>
  <r>
    <n v="709"/>
    <x v="0"/>
    <n v="1"/>
    <n v="2880"/>
    <x v="0"/>
    <n v="3"/>
  </r>
  <r>
    <n v="710"/>
    <x v="3"/>
    <n v="1"/>
    <n v="13200"/>
    <x v="0"/>
    <n v="11"/>
  </r>
  <r>
    <n v="711"/>
    <x v="2"/>
    <n v="1"/>
    <n v="4860"/>
    <x v="2"/>
    <n v="6"/>
  </r>
  <r>
    <n v="712"/>
    <x v="9"/>
    <n v="1"/>
    <n v="10080"/>
    <x v="1"/>
    <n v="8"/>
  </r>
  <r>
    <n v="713"/>
    <x v="0"/>
    <n v="1"/>
    <n v="2880"/>
    <x v="0"/>
    <n v="3"/>
  </r>
  <r>
    <n v="714"/>
    <x v="6"/>
    <n v="1"/>
    <n v="5400"/>
    <x v="0"/>
    <n v="5"/>
  </r>
  <r>
    <n v="715"/>
    <x v="6"/>
    <n v="1"/>
    <n v="5400"/>
    <x v="0"/>
    <n v="5"/>
  </r>
  <r>
    <n v="716"/>
    <x v="0"/>
    <n v="1"/>
    <n v="2880"/>
    <x v="0"/>
    <n v="3"/>
  </r>
  <r>
    <n v="717"/>
    <x v="3"/>
    <n v="1"/>
    <n v="13200"/>
    <x v="0"/>
    <n v="11"/>
  </r>
  <r>
    <n v="718"/>
    <x v="1"/>
    <n v="1"/>
    <n v="7279.9999999999991"/>
    <x v="1"/>
    <n v="4"/>
  </r>
  <r>
    <n v="719"/>
    <x v="7"/>
    <n v="1"/>
    <n v="10800"/>
    <x v="2"/>
    <n v="12"/>
  </r>
  <r>
    <n v="720"/>
    <x v="7"/>
    <n v="1"/>
    <n v="13200.000000000002"/>
    <x v="3"/>
    <n v="12"/>
  </r>
  <r>
    <n v="721"/>
    <x v="6"/>
    <n v="1"/>
    <n v="4500"/>
    <x v="4"/>
    <n v="5"/>
  </r>
  <r>
    <n v="722"/>
    <x v="3"/>
    <n v="1"/>
    <n v="11000"/>
    <x v="4"/>
    <n v="11"/>
  </r>
  <r>
    <n v="723"/>
    <x v="3"/>
    <n v="1"/>
    <n v="11000"/>
    <x v="4"/>
    <n v="11"/>
  </r>
  <r>
    <n v="724"/>
    <x v="8"/>
    <n v="1"/>
    <n v="6825"/>
    <x v="4"/>
    <n v="6.5"/>
  </r>
  <r>
    <n v="725"/>
    <x v="0"/>
    <n v="1"/>
    <n v="2400"/>
    <x v="4"/>
    <n v="3"/>
  </r>
  <r>
    <n v="726"/>
    <x v="0"/>
    <n v="1"/>
    <n v="2400"/>
    <x v="4"/>
    <n v="3"/>
  </r>
  <r>
    <n v="727"/>
    <x v="3"/>
    <n v="1"/>
    <n v="11000"/>
    <x v="4"/>
    <n v="11"/>
  </r>
  <r>
    <n v="728"/>
    <x v="2"/>
    <n v="1"/>
    <n v="5940.0000000000009"/>
    <x v="3"/>
    <n v="6"/>
  </r>
  <r>
    <n v="729"/>
    <x v="9"/>
    <n v="1"/>
    <n v="6480"/>
    <x v="5"/>
    <n v="8"/>
  </r>
  <r>
    <n v="730"/>
    <x v="0"/>
    <n v="1"/>
    <n v="2400"/>
    <x v="4"/>
    <n v="3"/>
  </r>
  <r>
    <n v="731"/>
    <x v="6"/>
    <n v="1"/>
    <n v="4500"/>
    <x v="4"/>
    <n v="5"/>
  </r>
  <r>
    <n v="732"/>
    <x v="6"/>
    <n v="1"/>
    <n v="4500"/>
    <x v="4"/>
    <n v="5"/>
  </r>
  <r>
    <n v="733"/>
    <x v="0"/>
    <n v="1"/>
    <n v="2400"/>
    <x v="4"/>
    <n v="3"/>
  </r>
  <r>
    <n v="734"/>
    <x v="3"/>
    <n v="1"/>
    <n v="11000"/>
    <x v="4"/>
    <n v="11"/>
  </r>
  <r>
    <n v="735"/>
    <x v="1"/>
    <n v="1"/>
    <n v="4680"/>
    <x v="5"/>
    <n v="4"/>
  </r>
  <r>
    <n v="736"/>
    <x v="7"/>
    <n v="1"/>
    <n v="13200.000000000002"/>
    <x v="3"/>
    <n v="12"/>
  </r>
  <r>
    <n v="737"/>
    <x v="7"/>
    <n v="1"/>
    <n v="13200.000000000002"/>
    <x v="3"/>
    <n v="12"/>
  </r>
  <r>
    <n v="738"/>
    <x v="6"/>
    <n v="1"/>
    <n v="9000"/>
    <x v="4"/>
    <n v="5"/>
  </r>
  <r>
    <n v="739"/>
    <x v="3"/>
    <n v="1"/>
    <n v="11000"/>
    <x v="4"/>
    <n v="11"/>
  </r>
  <r>
    <n v="740"/>
    <x v="3"/>
    <n v="1"/>
    <n v="11000"/>
    <x v="4"/>
    <n v="11"/>
  </r>
  <r>
    <n v="741"/>
    <x v="8"/>
    <n v="1"/>
    <n v="6825"/>
    <x v="4"/>
    <n v="6.5"/>
  </r>
  <r>
    <n v="742"/>
    <x v="0"/>
    <n v="1"/>
    <n v="2400"/>
    <x v="4"/>
    <n v="3"/>
  </r>
  <r>
    <n v="743"/>
    <x v="0"/>
    <n v="1"/>
    <n v="2400"/>
    <x v="4"/>
    <n v="3"/>
  </r>
  <r>
    <n v="744"/>
    <x v="3"/>
    <n v="1"/>
    <n v="11000"/>
    <x v="4"/>
    <n v="11"/>
  </r>
  <r>
    <n v="745"/>
    <x v="2"/>
    <n v="1"/>
    <n v="5940.0000000000009"/>
    <x v="3"/>
    <n v="6"/>
  </r>
  <r>
    <n v="746"/>
    <x v="9"/>
    <n v="1"/>
    <n v="6480"/>
    <x v="5"/>
    <n v="8"/>
  </r>
  <r>
    <n v="747"/>
    <x v="0"/>
    <n v="1"/>
    <n v="2400"/>
    <x v="4"/>
    <n v="3"/>
  </r>
  <r>
    <n v="748"/>
    <x v="6"/>
    <n v="1"/>
    <n v="4500"/>
    <x v="4"/>
    <n v="5"/>
  </r>
  <r>
    <n v="749"/>
    <x v="6"/>
    <n v="1"/>
    <n v="4500"/>
    <x v="4"/>
    <n v="5"/>
  </r>
  <r>
    <n v="750"/>
    <x v="0"/>
    <n v="1"/>
    <n v="2400"/>
    <x v="4"/>
    <n v="3"/>
  </r>
  <r>
    <n v="751"/>
    <x v="3"/>
    <n v="1"/>
    <n v="11000"/>
    <x v="4"/>
    <n v="11"/>
  </r>
  <r>
    <n v="752"/>
    <x v="1"/>
    <n v="1"/>
    <n v="4680"/>
    <x v="5"/>
    <n v="4"/>
  </r>
  <r>
    <n v="753"/>
    <x v="7"/>
    <n v="1"/>
    <n v="26400.000000000004"/>
    <x v="3"/>
    <n v="12"/>
  </r>
  <r>
    <n v="754"/>
    <x v="7"/>
    <n v="1"/>
    <n v="13200.000000000002"/>
    <x v="3"/>
    <n v="12"/>
  </r>
  <r>
    <n v="755"/>
    <x v="6"/>
    <n v="1"/>
    <n v="4500"/>
    <x v="4"/>
    <n v="5"/>
  </r>
  <r>
    <n v="756"/>
    <x v="3"/>
    <n v="1"/>
    <n v="11000"/>
    <x v="4"/>
    <n v="11"/>
  </r>
  <r>
    <n v="757"/>
    <x v="3"/>
    <n v="1"/>
    <n v="11000"/>
    <x v="4"/>
    <n v="11"/>
  </r>
  <r>
    <n v="758"/>
    <x v="8"/>
    <n v="1"/>
    <n v="6825"/>
    <x v="4"/>
    <n v="6.5"/>
  </r>
  <r>
    <n v="759"/>
    <x v="0"/>
    <n v="1"/>
    <n v="2400"/>
    <x v="4"/>
    <n v="3"/>
  </r>
  <r>
    <n v="760"/>
    <x v="0"/>
    <n v="1"/>
    <n v="2400"/>
    <x v="4"/>
    <n v="3"/>
  </r>
  <r>
    <n v="761"/>
    <x v="3"/>
    <n v="1"/>
    <n v="11000"/>
    <x v="4"/>
    <n v="11"/>
  </r>
  <r>
    <n v="762"/>
    <x v="2"/>
    <n v="1"/>
    <n v="5940.0000000000009"/>
    <x v="3"/>
    <n v="6"/>
  </r>
  <r>
    <n v="763"/>
    <x v="9"/>
    <n v="1"/>
    <n v="6480"/>
    <x v="5"/>
    <n v="8"/>
  </r>
  <r>
    <n v="764"/>
    <x v="0"/>
    <n v="1"/>
    <n v="2400"/>
    <x v="4"/>
    <n v="3"/>
  </r>
  <r>
    <n v="765"/>
    <x v="6"/>
    <n v="1"/>
    <n v="4500"/>
    <x v="4"/>
    <n v="5"/>
  </r>
  <r>
    <n v="766"/>
    <x v="6"/>
    <n v="1"/>
    <n v="4500"/>
    <x v="4"/>
    <n v="5"/>
  </r>
  <r>
    <n v="767"/>
    <x v="0"/>
    <n v="1"/>
    <n v="2400"/>
    <x v="4"/>
    <n v="3"/>
  </r>
  <r>
    <n v="768"/>
    <x v="3"/>
    <n v="1"/>
    <n v="11000"/>
    <x v="4"/>
    <n v="11"/>
  </r>
  <r>
    <n v="769"/>
    <x v="1"/>
    <n v="1"/>
    <n v="4680"/>
    <x v="5"/>
    <n v="4"/>
  </r>
  <r>
    <n v="770"/>
    <x v="7"/>
    <n v="1"/>
    <n v="9600"/>
    <x v="7"/>
    <n v="12"/>
  </r>
  <r>
    <n v="771"/>
    <x v="7"/>
    <n v="1"/>
    <n v="9600"/>
    <x v="7"/>
    <n v="12"/>
  </r>
  <r>
    <n v="772"/>
    <x v="6"/>
    <n v="1"/>
    <n v="3600"/>
    <x v="6"/>
    <n v="5"/>
  </r>
  <r>
    <n v="773"/>
    <x v="3"/>
    <n v="1"/>
    <n v="8800"/>
    <x v="6"/>
    <n v="11"/>
  </r>
  <r>
    <n v="774"/>
    <x v="3"/>
    <n v="1"/>
    <n v="8800"/>
    <x v="6"/>
    <n v="11"/>
  </r>
  <r>
    <n v="775"/>
    <x v="8"/>
    <n v="1"/>
    <n v="5460"/>
    <x v="6"/>
    <n v="6.5"/>
  </r>
  <r>
    <n v="776"/>
    <x v="0"/>
    <n v="1"/>
    <n v="1920"/>
    <x v="6"/>
    <n v="3"/>
  </r>
  <r>
    <n v="777"/>
    <x v="0"/>
    <n v="1"/>
    <n v="1920"/>
    <x v="6"/>
    <n v="3"/>
  </r>
  <r>
    <n v="778"/>
    <x v="3"/>
    <n v="1"/>
    <n v="8800"/>
    <x v="6"/>
    <n v="11"/>
  </r>
  <r>
    <n v="779"/>
    <x v="2"/>
    <n v="1"/>
    <n v="4320"/>
    <x v="7"/>
    <n v="6"/>
  </r>
  <r>
    <n v="780"/>
    <x v="9"/>
    <n v="1"/>
    <n v="7200"/>
    <x v="8"/>
    <n v="8"/>
  </r>
  <r>
    <n v="781"/>
    <x v="0"/>
    <n v="1"/>
    <n v="1920"/>
    <x v="6"/>
    <n v="3"/>
  </r>
  <r>
    <n v="782"/>
    <x v="6"/>
    <n v="1"/>
    <n v="3600"/>
    <x v="6"/>
    <n v="5"/>
  </r>
  <r>
    <n v="783"/>
    <x v="6"/>
    <n v="1"/>
    <n v="3600"/>
    <x v="6"/>
    <n v="5"/>
  </r>
  <r>
    <n v="784"/>
    <x v="0"/>
    <n v="1"/>
    <n v="1920"/>
    <x v="6"/>
    <n v="3"/>
  </r>
  <r>
    <n v="785"/>
    <x v="3"/>
    <n v="1"/>
    <n v="8800"/>
    <x v="6"/>
    <n v="11"/>
  </r>
  <r>
    <n v="786"/>
    <x v="1"/>
    <n v="1"/>
    <n v="5200"/>
    <x v="8"/>
    <n v="4"/>
  </r>
  <r>
    <n v="787"/>
    <x v="7"/>
    <n v="1"/>
    <n v="9600"/>
    <x v="7"/>
    <n v="12"/>
  </r>
  <r>
    <n v="788"/>
    <x v="7"/>
    <n v="1"/>
    <n v="9600"/>
    <x v="7"/>
    <n v="12"/>
  </r>
  <r>
    <n v="789"/>
    <x v="6"/>
    <n v="1"/>
    <n v="3600"/>
    <x v="6"/>
    <n v="5"/>
  </r>
  <r>
    <n v="790"/>
    <x v="3"/>
    <n v="1"/>
    <n v="8800"/>
    <x v="6"/>
    <n v="11"/>
  </r>
  <r>
    <n v="791"/>
    <x v="3"/>
    <n v="1"/>
    <n v="8800"/>
    <x v="6"/>
    <n v="11"/>
  </r>
  <r>
    <n v="792"/>
    <x v="8"/>
    <n v="1"/>
    <n v="5460"/>
    <x v="6"/>
    <n v="6.5"/>
  </r>
  <r>
    <n v="793"/>
    <x v="0"/>
    <n v="1"/>
    <n v="1920"/>
    <x v="6"/>
    <n v="3"/>
  </r>
  <r>
    <n v="794"/>
    <x v="0"/>
    <n v="1"/>
    <n v="3840"/>
    <x v="6"/>
    <n v="3"/>
  </r>
  <r>
    <n v="795"/>
    <x v="3"/>
    <n v="1"/>
    <n v="8800"/>
    <x v="6"/>
    <n v="11"/>
  </r>
  <r>
    <n v="796"/>
    <x v="2"/>
    <n v="1"/>
    <n v="4320"/>
    <x v="7"/>
    <n v="6"/>
  </r>
  <r>
    <n v="797"/>
    <x v="9"/>
    <n v="1"/>
    <n v="7200"/>
    <x v="8"/>
    <n v="8"/>
  </r>
  <r>
    <n v="798"/>
    <x v="0"/>
    <n v="1"/>
    <n v="1920"/>
    <x v="6"/>
    <n v="3"/>
  </r>
  <r>
    <n v="799"/>
    <x v="6"/>
    <n v="1"/>
    <n v="3600"/>
    <x v="6"/>
    <n v="5"/>
  </r>
  <r>
    <n v="800"/>
    <x v="6"/>
    <n v="1"/>
    <n v="5400"/>
    <x v="0"/>
    <n v="5"/>
  </r>
  <r>
    <n v="801"/>
    <x v="0"/>
    <n v="1"/>
    <n v="2880"/>
    <x v="0"/>
    <n v="3"/>
  </r>
  <r>
    <n v="802"/>
    <x v="3"/>
    <n v="1"/>
    <n v="13200"/>
    <x v="0"/>
    <n v="11"/>
  </r>
  <r>
    <n v="803"/>
    <x v="1"/>
    <n v="1"/>
    <n v="7279.9999999999991"/>
    <x v="1"/>
    <n v="4"/>
  </r>
  <r>
    <n v="804"/>
    <x v="7"/>
    <n v="1"/>
    <n v="10800"/>
    <x v="2"/>
    <n v="12"/>
  </r>
  <r>
    <n v="805"/>
    <x v="7"/>
    <n v="1"/>
    <n v="10800"/>
    <x v="2"/>
    <n v="12"/>
  </r>
  <r>
    <n v="806"/>
    <x v="6"/>
    <n v="1"/>
    <n v="5400"/>
    <x v="0"/>
    <n v="5"/>
  </r>
  <r>
    <n v="807"/>
    <x v="3"/>
    <n v="1"/>
    <n v="13200"/>
    <x v="0"/>
    <n v="11"/>
  </r>
  <r>
    <n v="808"/>
    <x v="3"/>
    <n v="1"/>
    <n v="13200"/>
    <x v="0"/>
    <n v="11"/>
  </r>
  <r>
    <n v="809"/>
    <x v="8"/>
    <n v="1"/>
    <n v="8190"/>
    <x v="0"/>
    <n v="6.5"/>
  </r>
  <r>
    <n v="810"/>
    <x v="0"/>
    <n v="1"/>
    <n v="2880"/>
    <x v="0"/>
    <n v="3"/>
  </r>
  <r>
    <n v="811"/>
    <x v="0"/>
    <n v="1"/>
    <n v="2880"/>
    <x v="0"/>
    <n v="3"/>
  </r>
  <r>
    <n v="812"/>
    <x v="3"/>
    <n v="1"/>
    <n v="13200"/>
    <x v="0"/>
    <n v="11"/>
  </r>
  <r>
    <n v="813"/>
    <x v="2"/>
    <n v="1"/>
    <n v="4860"/>
    <x v="2"/>
    <n v="6"/>
  </r>
  <r>
    <n v="814"/>
    <x v="9"/>
    <n v="1"/>
    <n v="10080"/>
    <x v="1"/>
    <n v="8"/>
  </r>
  <r>
    <n v="815"/>
    <x v="0"/>
    <n v="1"/>
    <n v="2880"/>
    <x v="0"/>
    <n v="3"/>
  </r>
  <r>
    <n v="816"/>
    <x v="6"/>
    <n v="1"/>
    <n v="5400"/>
    <x v="0"/>
    <n v="5"/>
  </r>
  <r>
    <n v="817"/>
    <x v="6"/>
    <n v="1"/>
    <n v="5400"/>
    <x v="0"/>
    <n v="5"/>
  </r>
  <r>
    <n v="818"/>
    <x v="0"/>
    <n v="1"/>
    <n v="2880"/>
    <x v="0"/>
    <n v="3"/>
  </r>
  <r>
    <n v="819"/>
    <x v="3"/>
    <n v="1"/>
    <n v="13200"/>
    <x v="0"/>
    <n v="11"/>
  </r>
  <r>
    <n v="820"/>
    <x v="1"/>
    <n v="1"/>
    <n v="4680"/>
    <x v="5"/>
    <n v="4"/>
  </r>
  <r>
    <n v="821"/>
    <x v="7"/>
    <n v="1"/>
    <n v="13200.000000000002"/>
    <x v="3"/>
    <n v="12"/>
  </r>
  <r>
    <n v="822"/>
    <x v="7"/>
    <n v="1"/>
    <n v="13200.000000000002"/>
    <x v="3"/>
    <n v="12"/>
  </r>
  <r>
    <n v="823"/>
    <x v="6"/>
    <n v="1"/>
    <n v="4500"/>
    <x v="4"/>
    <n v="5"/>
  </r>
  <r>
    <n v="824"/>
    <x v="3"/>
    <n v="1"/>
    <n v="11000"/>
    <x v="4"/>
    <n v="11"/>
  </r>
  <r>
    <n v="825"/>
    <x v="3"/>
    <n v="1"/>
    <n v="11000"/>
    <x v="4"/>
    <n v="11"/>
  </r>
  <r>
    <n v="826"/>
    <x v="8"/>
    <n v="1"/>
    <n v="6825"/>
    <x v="4"/>
    <n v="6.5"/>
  </r>
  <r>
    <n v="827"/>
    <x v="0"/>
    <n v="1"/>
    <n v="2400"/>
    <x v="4"/>
    <n v="3"/>
  </r>
  <r>
    <n v="828"/>
    <x v="0"/>
    <n v="1"/>
    <n v="2400"/>
    <x v="4"/>
    <n v="3"/>
  </r>
  <r>
    <n v="829"/>
    <x v="3"/>
    <n v="1"/>
    <n v="11000"/>
    <x v="4"/>
    <n v="11"/>
  </r>
  <r>
    <n v="830"/>
    <x v="2"/>
    <n v="1"/>
    <n v="5940.0000000000009"/>
    <x v="3"/>
    <n v="6"/>
  </r>
  <r>
    <n v="831"/>
    <x v="9"/>
    <n v="1"/>
    <n v="6480"/>
    <x v="5"/>
    <n v="8"/>
  </r>
  <r>
    <n v="832"/>
    <x v="0"/>
    <n v="1"/>
    <n v="2400"/>
    <x v="4"/>
    <n v="3"/>
  </r>
  <r>
    <n v="833"/>
    <x v="6"/>
    <n v="1"/>
    <n v="4500"/>
    <x v="4"/>
    <n v="5"/>
  </r>
  <r>
    <n v="834"/>
    <x v="6"/>
    <n v="1"/>
    <n v="4500"/>
    <x v="4"/>
    <n v="5"/>
  </r>
  <r>
    <n v="835"/>
    <x v="0"/>
    <n v="1"/>
    <n v="2400"/>
    <x v="4"/>
    <n v="3"/>
  </r>
  <r>
    <n v="836"/>
    <x v="3"/>
    <n v="1"/>
    <n v="11000"/>
    <x v="4"/>
    <n v="11"/>
  </r>
  <r>
    <n v="837"/>
    <x v="1"/>
    <n v="1"/>
    <n v="4680"/>
    <x v="5"/>
    <n v="4"/>
  </r>
  <r>
    <n v="838"/>
    <x v="7"/>
    <n v="1"/>
    <n v="26400.000000000004"/>
    <x v="3"/>
    <n v="12"/>
  </r>
  <r>
    <n v="839"/>
    <x v="7"/>
    <n v="1"/>
    <n v="13200.000000000002"/>
    <x v="3"/>
    <n v="12"/>
  </r>
  <r>
    <n v="840"/>
    <x v="6"/>
    <n v="1"/>
    <n v="4500"/>
    <x v="4"/>
    <n v="5"/>
  </r>
  <r>
    <n v="841"/>
    <x v="3"/>
    <n v="1"/>
    <n v="11000"/>
    <x v="4"/>
    <n v="11"/>
  </r>
  <r>
    <n v="842"/>
    <x v="3"/>
    <n v="1"/>
    <n v="11000"/>
    <x v="4"/>
    <n v="11"/>
  </r>
  <r>
    <n v="843"/>
    <x v="8"/>
    <n v="1"/>
    <n v="6825"/>
    <x v="4"/>
    <n v="6.5"/>
  </r>
  <r>
    <n v="844"/>
    <x v="0"/>
    <n v="1"/>
    <n v="2400"/>
    <x v="4"/>
    <n v="3"/>
  </r>
  <r>
    <n v="845"/>
    <x v="0"/>
    <n v="1"/>
    <n v="2400"/>
    <x v="4"/>
    <n v="3"/>
  </r>
  <r>
    <n v="846"/>
    <x v="3"/>
    <n v="1"/>
    <n v="11000"/>
    <x v="4"/>
    <n v="11"/>
  </r>
  <r>
    <n v="847"/>
    <x v="2"/>
    <n v="1"/>
    <n v="5940.0000000000009"/>
    <x v="3"/>
    <n v="6"/>
  </r>
  <r>
    <n v="848"/>
    <x v="9"/>
    <n v="1"/>
    <n v="6480"/>
    <x v="5"/>
    <n v="8"/>
  </r>
  <r>
    <n v="849"/>
    <x v="0"/>
    <n v="1"/>
    <n v="2400"/>
    <x v="4"/>
    <n v="3"/>
  </r>
  <r>
    <n v="850"/>
    <x v="6"/>
    <n v="1"/>
    <n v="4500"/>
    <x v="4"/>
    <n v="5"/>
  </r>
  <r>
    <n v="851"/>
    <x v="6"/>
    <n v="1"/>
    <n v="4500"/>
    <x v="4"/>
    <n v="5"/>
  </r>
  <r>
    <n v="852"/>
    <x v="0"/>
    <n v="1"/>
    <n v="2400"/>
    <x v="4"/>
    <n v="3"/>
  </r>
  <r>
    <n v="853"/>
    <x v="3"/>
    <n v="1"/>
    <n v="22000"/>
    <x v="4"/>
    <n v="11"/>
  </r>
  <r>
    <n v="854"/>
    <x v="1"/>
    <n v="1"/>
    <n v="4680"/>
    <x v="5"/>
    <n v="4"/>
  </r>
  <r>
    <n v="855"/>
    <x v="7"/>
    <n v="1"/>
    <n v="13200.000000000002"/>
    <x v="3"/>
    <n v="12"/>
  </r>
  <r>
    <n v="856"/>
    <x v="7"/>
    <n v="1"/>
    <n v="13200.000000000002"/>
    <x v="3"/>
    <n v="12"/>
  </r>
  <r>
    <n v="857"/>
    <x v="6"/>
    <n v="1"/>
    <n v="4500"/>
    <x v="4"/>
    <n v="5"/>
  </r>
  <r>
    <n v="858"/>
    <x v="3"/>
    <n v="1"/>
    <n v="11000"/>
    <x v="4"/>
    <n v="11"/>
  </r>
  <r>
    <n v="859"/>
    <x v="3"/>
    <n v="1"/>
    <n v="11000"/>
    <x v="4"/>
    <n v="11"/>
  </r>
  <r>
    <n v="860"/>
    <x v="8"/>
    <n v="1"/>
    <n v="6825"/>
    <x v="4"/>
    <n v="6.5"/>
  </r>
  <r>
    <n v="861"/>
    <x v="0"/>
    <n v="1"/>
    <n v="2400"/>
    <x v="4"/>
    <n v="3"/>
  </r>
  <r>
    <n v="862"/>
    <x v="0"/>
    <n v="1"/>
    <n v="2400"/>
    <x v="4"/>
    <n v="3"/>
  </r>
  <r>
    <n v="863"/>
    <x v="3"/>
    <n v="1"/>
    <n v="11000"/>
    <x v="4"/>
    <n v="11"/>
  </r>
  <r>
    <n v="864"/>
    <x v="2"/>
    <n v="1"/>
    <n v="5940.0000000000009"/>
    <x v="3"/>
    <n v="6"/>
  </r>
  <r>
    <n v="865"/>
    <x v="9"/>
    <n v="1"/>
    <n v="6480"/>
    <x v="5"/>
    <n v="8"/>
  </r>
  <r>
    <n v="866"/>
    <x v="0"/>
    <n v="1"/>
    <n v="2400"/>
    <x v="4"/>
    <n v="3"/>
  </r>
  <r>
    <n v="867"/>
    <x v="6"/>
    <n v="1"/>
    <n v="4500"/>
    <x v="4"/>
    <n v="5"/>
  </r>
  <r>
    <n v="868"/>
    <x v="6"/>
    <n v="1"/>
    <n v="4500"/>
    <x v="4"/>
    <n v="5"/>
  </r>
  <r>
    <n v="869"/>
    <x v="0"/>
    <n v="1"/>
    <n v="2400"/>
    <x v="4"/>
    <n v="3"/>
  </r>
  <r>
    <n v="870"/>
    <x v="3"/>
    <n v="1"/>
    <n v="8800"/>
    <x v="6"/>
    <n v="11"/>
  </r>
  <r>
    <n v="871"/>
    <x v="1"/>
    <n v="1"/>
    <n v="5200"/>
    <x v="8"/>
    <n v="4"/>
  </r>
  <r>
    <n v="872"/>
    <x v="7"/>
    <n v="1"/>
    <n v="9600"/>
    <x v="7"/>
    <n v="12"/>
  </r>
  <r>
    <n v="873"/>
    <x v="7"/>
    <n v="1"/>
    <n v="9600"/>
    <x v="7"/>
    <n v="12"/>
  </r>
  <r>
    <n v="874"/>
    <x v="6"/>
    <n v="1"/>
    <n v="3600"/>
    <x v="6"/>
    <n v="5"/>
  </r>
  <r>
    <n v="875"/>
    <x v="3"/>
    <n v="1"/>
    <n v="8800"/>
    <x v="6"/>
    <n v="11"/>
  </r>
  <r>
    <n v="876"/>
    <x v="3"/>
    <n v="1"/>
    <n v="8800"/>
    <x v="6"/>
    <n v="11"/>
  </r>
  <r>
    <n v="877"/>
    <x v="8"/>
    <n v="1"/>
    <n v="5460"/>
    <x v="6"/>
    <n v="6.5"/>
  </r>
  <r>
    <n v="878"/>
    <x v="0"/>
    <n v="1"/>
    <n v="1920"/>
    <x v="6"/>
    <n v="3"/>
  </r>
  <r>
    <n v="879"/>
    <x v="0"/>
    <n v="1"/>
    <n v="1920"/>
    <x v="6"/>
    <n v="3"/>
  </r>
  <r>
    <n v="880"/>
    <x v="3"/>
    <n v="1"/>
    <n v="8800"/>
    <x v="6"/>
    <n v="11"/>
  </r>
  <r>
    <n v="881"/>
    <x v="2"/>
    <n v="1"/>
    <n v="4320"/>
    <x v="7"/>
    <n v="6"/>
  </r>
  <r>
    <n v="882"/>
    <x v="9"/>
    <n v="1"/>
    <n v="7200"/>
    <x v="8"/>
    <n v="8"/>
  </r>
  <r>
    <n v="883"/>
    <x v="0"/>
    <n v="1"/>
    <n v="1920"/>
    <x v="6"/>
    <n v="3"/>
  </r>
  <r>
    <n v="884"/>
    <x v="6"/>
    <n v="1"/>
    <n v="3600"/>
    <x v="6"/>
    <n v="5"/>
  </r>
  <r>
    <n v="885"/>
    <x v="6"/>
    <n v="1"/>
    <n v="3600"/>
    <x v="6"/>
    <n v="5"/>
  </r>
  <r>
    <n v="886"/>
    <x v="0"/>
    <n v="1"/>
    <n v="1920"/>
    <x v="6"/>
    <n v="3"/>
  </r>
  <r>
    <n v="887"/>
    <x v="3"/>
    <n v="1"/>
    <n v="8800"/>
    <x v="6"/>
    <n v="11"/>
  </r>
  <r>
    <n v="888"/>
    <x v="1"/>
    <n v="1"/>
    <n v="5200"/>
    <x v="8"/>
    <n v="4"/>
  </r>
  <r>
    <n v="889"/>
    <x v="7"/>
    <n v="1"/>
    <n v="9600"/>
    <x v="7"/>
    <n v="12"/>
  </r>
  <r>
    <n v="890"/>
    <x v="7"/>
    <n v="1"/>
    <n v="9600"/>
    <x v="7"/>
    <n v="12"/>
  </r>
  <r>
    <n v="891"/>
    <x v="6"/>
    <n v="1"/>
    <n v="3600"/>
    <x v="6"/>
    <n v="5"/>
  </r>
  <r>
    <n v="892"/>
    <x v="3"/>
    <n v="1"/>
    <n v="8800"/>
    <x v="6"/>
    <n v="11"/>
  </r>
  <r>
    <n v="893"/>
    <x v="3"/>
    <n v="1"/>
    <n v="8800"/>
    <x v="6"/>
    <n v="11"/>
  </r>
  <r>
    <n v="894"/>
    <x v="8"/>
    <n v="1"/>
    <n v="10920"/>
    <x v="6"/>
    <n v="6.5"/>
  </r>
  <r>
    <n v="895"/>
    <x v="0"/>
    <n v="1"/>
    <n v="1920"/>
    <x v="6"/>
    <n v="3"/>
  </r>
  <r>
    <n v="896"/>
    <x v="0"/>
    <n v="1"/>
    <n v="1920"/>
    <x v="6"/>
    <n v="3"/>
  </r>
  <r>
    <n v="897"/>
    <x v="3"/>
    <n v="1"/>
    <n v="8800"/>
    <x v="6"/>
    <n v="11"/>
  </r>
  <r>
    <n v="898"/>
    <x v="2"/>
    <n v="1"/>
    <n v="4320"/>
    <x v="7"/>
    <n v="6"/>
  </r>
  <r>
    <n v="899"/>
    <x v="9"/>
    <n v="1"/>
    <n v="7200"/>
    <x v="8"/>
    <n v="8"/>
  </r>
  <r>
    <n v="900"/>
    <x v="0"/>
    <n v="1"/>
    <n v="2880"/>
    <x v="0"/>
    <n v="3"/>
  </r>
  <r>
    <n v="901"/>
    <x v="6"/>
    <n v="1"/>
    <n v="5400"/>
    <x v="0"/>
    <n v="5"/>
  </r>
  <r>
    <n v="902"/>
    <x v="6"/>
    <n v="1"/>
    <n v="5400"/>
    <x v="0"/>
    <n v="5"/>
  </r>
  <r>
    <n v="903"/>
    <x v="0"/>
    <n v="1"/>
    <n v="2880"/>
    <x v="0"/>
    <n v="3"/>
  </r>
  <r>
    <n v="904"/>
    <x v="3"/>
    <n v="1"/>
    <n v="13200"/>
    <x v="0"/>
    <n v="11"/>
  </r>
  <r>
    <n v="905"/>
    <x v="1"/>
    <n v="1"/>
    <n v="7279.9999999999991"/>
    <x v="1"/>
    <n v="4"/>
  </r>
  <r>
    <n v="906"/>
    <x v="7"/>
    <n v="1"/>
    <n v="10800"/>
    <x v="2"/>
    <n v="12"/>
  </r>
  <r>
    <n v="907"/>
    <x v="7"/>
    <n v="1"/>
    <n v="10800"/>
    <x v="2"/>
    <n v="12"/>
  </r>
  <r>
    <n v="908"/>
    <x v="6"/>
    <n v="1"/>
    <n v="5400"/>
    <x v="0"/>
    <n v="5"/>
  </r>
  <r>
    <n v="909"/>
    <x v="3"/>
    <n v="1"/>
    <n v="13200"/>
    <x v="0"/>
    <n v="11"/>
  </r>
  <r>
    <n v="910"/>
    <x v="3"/>
    <n v="1"/>
    <n v="13200"/>
    <x v="0"/>
    <n v="11"/>
  </r>
  <r>
    <n v="911"/>
    <x v="8"/>
    <n v="1"/>
    <n v="8190"/>
    <x v="0"/>
    <n v="6.5"/>
  </r>
  <r>
    <n v="912"/>
    <x v="0"/>
    <n v="1"/>
    <n v="2880"/>
    <x v="0"/>
    <n v="3"/>
  </r>
  <r>
    <n v="913"/>
    <x v="0"/>
    <n v="1"/>
    <n v="2880"/>
    <x v="0"/>
    <n v="3"/>
  </r>
  <r>
    <n v="914"/>
    <x v="3"/>
    <n v="1"/>
    <n v="13200"/>
    <x v="0"/>
    <n v="11"/>
  </r>
  <r>
    <n v="915"/>
    <x v="2"/>
    <n v="1"/>
    <n v="4860"/>
    <x v="2"/>
    <n v="6"/>
  </r>
  <r>
    <n v="916"/>
    <x v="9"/>
    <n v="1"/>
    <n v="10080"/>
    <x v="1"/>
    <n v="8"/>
  </r>
  <r>
    <n v="917"/>
    <x v="0"/>
    <n v="1"/>
    <n v="2880"/>
    <x v="0"/>
    <n v="3"/>
  </r>
  <r>
    <n v="918"/>
    <x v="6"/>
    <n v="1"/>
    <n v="5400"/>
    <x v="0"/>
    <n v="5"/>
  </r>
  <r>
    <n v="919"/>
    <x v="6"/>
    <n v="1"/>
    <n v="5400"/>
    <x v="0"/>
    <n v="5"/>
  </r>
  <r>
    <n v="920"/>
    <x v="0"/>
    <n v="1"/>
    <n v="2400"/>
    <x v="4"/>
    <n v="3"/>
  </r>
  <r>
    <n v="921"/>
    <x v="3"/>
    <n v="1"/>
    <n v="11000"/>
    <x v="4"/>
    <n v="11"/>
  </r>
  <r>
    <n v="922"/>
    <x v="1"/>
    <n v="1"/>
    <n v="4680"/>
    <x v="5"/>
    <n v="4"/>
  </r>
  <r>
    <n v="923"/>
    <x v="7"/>
    <n v="1"/>
    <n v="13200.000000000002"/>
    <x v="3"/>
    <n v="12"/>
  </r>
  <r>
    <n v="924"/>
    <x v="7"/>
    <n v="1"/>
    <n v="13200.000000000002"/>
    <x v="3"/>
    <n v="12"/>
  </r>
  <r>
    <n v="925"/>
    <x v="6"/>
    <n v="1"/>
    <n v="4500"/>
    <x v="4"/>
    <n v="5"/>
  </r>
  <r>
    <n v="926"/>
    <x v="3"/>
    <n v="1"/>
    <n v="11000"/>
    <x v="4"/>
    <n v="11"/>
  </r>
  <r>
    <n v="927"/>
    <x v="3"/>
    <n v="1"/>
    <n v="11000"/>
    <x v="4"/>
    <n v="11"/>
  </r>
  <r>
    <n v="928"/>
    <x v="8"/>
    <n v="1"/>
    <n v="6825"/>
    <x v="4"/>
    <n v="6.5"/>
  </r>
  <r>
    <n v="929"/>
    <x v="0"/>
    <n v="1"/>
    <n v="2400"/>
    <x v="4"/>
    <n v="3"/>
  </r>
  <r>
    <n v="930"/>
    <x v="0"/>
    <n v="1"/>
    <n v="2400"/>
    <x v="4"/>
    <n v="3"/>
  </r>
  <r>
    <n v="931"/>
    <x v="3"/>
    <n v="1"/>
    <n v="11000"/>
    <x v="4"/>
    <n v="11"/>
  </r>
  <r>
    <n v="932"/>
    <x v="2"/>
    <n v="1"/>
    <n v="5940.0000000000009"/>
    <x v="3"/>
    <n v="6"/>
  </r>
  <r>
    <n v="933"/>
    <x v="9"/>
    <n v="1"/>
    <n v="6480"/>
    <x v="5"/>
    <n v="8"/>
  </r>
  <r>
    <n v="934"/>
    <x v="0"/>
    <n v="1"/>
    <n v="2400"/>
    <x v="4"/>
    <n v="3"/>
  </r>
  <r>
    <n v="935"/>
    <x v="6"/>
    <n v="1"/>
    <n v="4500"/>
    <x v="4"/>
    <n v="5"/>
  </r>
  <r>
    <n v="936"/>
    <x v="6"/>
    <n v="1"/>
    <n v="4500"/>
    <x v="4"/>
    <n v="5"/>
  </r>
  <r>
    <n v="937"/>
    <x v="0"/>
    <n v="1"/>
    <n v="2400"/>
    <x v="4"/>
    <n v="3"/>
  </r>
  <r>
    <n v="938"/>
    <x v="3"/>
    <n v="1"/>
    <n v="22000"/>
    <x v="4"/>
    <n v="11"/>
  </r>
  <r>
    <n v="939"/>
    <x v="1"/>
    <n v="1"/>
    <n v="4680"/>
    <x v="5"/>
    <n v="4"/>
  </r>
  <r>
    <n v="940"/>
    <x v="7"/>
    <n v="1"/>
    <n v="13200.000000000002"/>
    <x v="3"/>
    <n v="12"/>
  </r>
  <r>
    <n v="941"/>
    <x v="7"/>
    <n v="1"/>
    <n v="13200.000000000002"/>
    <x v="3"/>
    <n v="12"/>
  </r>
  <r>
    <n v="942"/>
    <x v="6"/>
    <n v="1"/>
    <n v="4500"/>
    <x v="4"/>
    <n v="5"/>
  </r>
  <r>
    <n v="943"/>
    <x v="3"/>
    <n v="1"/>
    <n v="11000"/>
    <x v="4"/>
    <n v="11"/>
  </r>
  <r>
    <n v="944"/>
    <x v="3"/>
    <n v="1"/>
    <n v="11000"/>
    <x v="4"/>
    <n v="11"/>
  </r>
  <r>
    <n v="945"/>
    <x v="8"/>
    <n v="1"/>
    <n v="6825"/>
    <x v="4"/>
    <n v="6.5"/>
  </r>
  <r>
    <n v="946"/>
    <x v="0"/>
    <n v="1"/>
    <n v="2400"/>
    <x v="4"/>
    <n v="3"/>
  </r>
  <r>
    <n v="947"/>
    <x v="0"/>
    <n v="1"/>
    <n v="2400"/>
    <x v="4"/>
    <n v="3"/>
  </r>
  <r>
    <n v="948"/>
    <x v="3"/>
    <n v="1"/>
    <n v="11000"/>
    <x v="4"/>
    <n v="11"/>
  </r>
  <r>
    <n v="949"/>
    <x v="2"/>
    <n v="1"/>
    <n v="5940.0000000000009"/>
    <x v="3"/>
    <n v="6"/>
  </r>
  <r>
    <n v="950"/>
    <x v="9"/>
    <n v="1"/>
    <n v="6480"/>
    <x v="5"/>
    <n v="8"/>
  </r>
  <r>
    <n v="951"/>
    <x v="0"/>
    <n v="1"/>
    <n v="2400"/>
    <x v="4"/>
    <n v="3"/>
  </r>
  <r>
    <n v="952"/>
    <x v="6"/>
    <n v="1"/>
    <n v="4500"/>
    <x v="4"/>
    <n v="5"/>
  </r>
  <r>
    <n v="953"/>
    <x v="6"/>
    <n v="1"/>
    <n v="9000"/>
    <x v="4"/>
    <n v="5"/>
  </r>
  <r>
    <n v="954"/>
    <x v="0"/>
    <n v="1"/>
    <n v="2400"/>
    <x v="4"/>
    <n v="3"/>
  </r>
  <r>
    <n v="955"/>
    <x v="3"/>
    <n v="1"/>
    <n v="11000"/>
    <x v="4"/>
    <n v="11"/>
  </r>
  <r>
    <n v="956"/>
    <x v="1"/>
    <n v="1"/>
    <n v="4680"/>
    <x v="5"/>
    <n v="4"/>
  </r>
  <r>
    <n v="957"/>
    <x v="7"/>
    <n v="1"/>
    <n v="13200.000000000002"/>
    <x v="3"/>
    <n v="12"/>
  </r>
  <r>
    <n v="958"/>
    <x v="7"/>
    <n v="1"/>
    <n v="13200.000000000002"/>
    <x v="3"/>
    <n v="12"/>
  </r>
  <r>
    <n v="959"/>
    <x v="6"/>
    <n v="1"/>
    <n v="4500"/>
    <x v="4"/>
    <n v="5"/>
  </r>
  <r>
    <n v="960"/>
    <x v="3"/>
    <n v="1"/>
    <n v="11000"/>
    <x v="4"/>
    <n v="11"/>
  </r>
  <r>
    <n v="961"/>
    <x v="3"/>
    <n v="1"/>
    <n v="11000"/>
    <x v="4"/>
    <n v="11"/>
  </r>
  <r>
    <n v="962"/>
    <x v="8"/>
    <n v="1"/>
    <n v="6825"/>
    <x v="4"/>
    <n v="6.5"/>
  </r>
  <r>
    <n v="963"/>
    <x v="0"/>
    <n v="1"/>
    <n v="2400"/>
    <x v="4"/>
    <n v="3"/>
  </r>
  <r>
    <n v="964"/>
    <x v="0"/>
    <n v="1"/>
    <n v="2400"/>
    <x v="4"/>
    <n v="3"/>
  </r>
  <r>
    <n v="965"/>
    <x v="3"/>
    <n v="1"/>
    <n v="11000"/>
    <x v="4"/>
    <n v="11"/>
  </r>
  <r>
    <n v="966"/>
    <x v="2"/>
    <n v="1"/>
    <n v="5940.0000000000009"/>
    <x v="3"/>
    <n v="6"/>
  </r>
  <r>
    <n v="967"/>
    <x v="9"/>
    <n v="1"/>
    <n v="6480"/>
    <x v="5"/>
    <n v="8"/>
  </r>
  <r>
    <n v="968"/>
    <x v="0"/>
    <n v="1"/>
    <n v="2400"/>
    <x v="4"/>
    <n v="3"/>
  </r>
  <r>
    <n v="969"/>
    <x v="6"/>
    <n v="1"/>
    <n v="4500"/>
    <x v="4"/>
    <n v="5"/>
  </r>
  <r>
    <n v="970"/>
    <x v="6"/>
    <n v="1"/>
    <n v="3600"/>
    <x v="6"/>
    <n v="5"/>
  </r>
  <r>
    <n v="971"/>
    <x v="0"/>
    <n v="1"/>
    <n v="1920"/>
    <x v="6"/>
    <n v="3"/>
  </r>
  <r>
    <n v="972"/>
    <x v="3"/>
    <n v="1"/>
    <n v="8800"/>
    <x v="6"/>
    <n v="11"/>
  </r>
  <r>
    <n v="973"/>
    <x v="1"/>
    <n v="1"/>
    <n v="5200"/>
    <x v="8"/>
    <n v="4"/>
  </r>
  <r>
    <n v="974"/>
    <x v="7"/>
    <n v="1"/>
    <n v="9600"/>
    <x v="7"/>
    <n v="12"/>
  </r>
  <r>
    <n v="975"/>
    <x v="7"/>
    <n v="1"/>
    <n v="9600"/>
    <x v="7"/>
    <n v="12"/>
  </r>
  <r>
    <n v="976"/>
    <x v="6"/>
    <n v="1"/>
    <n v="3600"/>
    <x v="6"/>
    <n v="5"/>
  </r>
  <r>
    <n v="977"/>
    <x v="3"/>
    <n v="1"/>
    <n v="8800"/>
    <x v="6"/>
    <n v="11"/>
  </r>
  <r>
    <n v="978"/>
    <x v="3"/>
    <n v="1"/>
    <n v="8800"/>
    <x v="6"/>
    <n v="11"/>
  </r>
  <r>
    <n v="979"/>
    <x v="8"/>
    <n v="1"/>
    <n v="5460"/>
    <x v="6"/>
    <n v="6.5"/>
  </r>
  <r>
    <n v="980"/>
    <x v="0"/>
    <n v="1"/>
    <n v="1920"/>
    <x v="6"/>
    <n v="3"/>
  </r>
  <r>
    <n v="981"/>
    <x v="0"/>
    <n v="1"/>
    <n v="1920"/>
    <x v="6"/>
    <n v="3"/>
  </r>
  <r>
    <n v="982"/>
    <x v="3"/>
    <n v="1"/>
    <n v="8800"/>
    <x v="6"/>
    <n v="11"/>
  </r>
  <r>
    <n v="983"/>
    <x v="2"/>
    <n v="1"/>
    <n v="4320"/>
    <x v="7"/>
    <n v="6"/>
  </r>
  <r>
    <n v="984"/>
    <x v="9"/>
    <n v="1"/>
    <n v="7200"/>
    <x v="8"/>
    <n v="8"/>
  </r>
  <r>
    <n v="985"/>
    <x v="0"/>
    <n v="1"/>
    <n v="1920"/>
    <x v="6"/>
    <n v="3"/>
  </r>
  <r>
    <n v="986"/>
    <x v="6"/>
    <n v="1"/>
    <n v="3600"/>
    <x v="6"/>
    <n v="5"/>
  </r>
  <r>
    <n v="987"/>
    <x v="6"/>
    <n v="1"/>
    <n v="3600"/>
    <x v="6"/>
    <n v="5"/>
  </r>
  <r>
    <n v="988"/>
    <x v="0"/>
    <n v="1"/>
    <n v="1920"/>
    <x v="6"/>
    <n v="3"/>
  </r>
  <r>
    <n v="989"/>
    <x v="3"/>
    <n v="1"/>
    <n v="8800"/>
    <x v="6"/>
    <n v="11"/>
  </r>
  <r>
    <n v="990"/>
    <x v="1"/>
    <n v="1"/>
    <n v="5200"/>
    <x v="8"/>
    <n v="4"/>
  </r>
  <r>
    <n v="991"/>
    <x v="7"/>
    <n v="1"/>
    <n v="9600"/>
    <x v="7"/>
    <n v="12"/>
  </r>
  <r>
    <n v="992"/>
    <x v="7"/>
    <n v="1"/>
    <n v="9600"/>
    <x v="7"/>
    <n v="12"/>
  </r>
  <r>
    <n v="993"/>
    <x v="6"/>
    <n v="1"/>
    <n v="3600"/>
    <x v="6"/>
    <n v="5"/>
  </r>
  <r>
    <n v="994"/>
    <x v="3"/>
    <n v="1"/>
    <n v="17600"/>
    <x v="6"/>
    <n v="11"/>
  </r>
  <r>
    <n v="995"/>
    <x v="3"/>
    <n v="1"/>
    <n v="8800"/>
    <x v="6"/>
    <n v="11"/>
  </r>
  <r>
    <n v="996"/>
    <x v="8"/>
    <n v="1"/>
    <n v="5460"/>
    <x v="6"/>
    <n v="6.5"/>
  </r>
  <r>
    <n v="997"/>
    <x v="0"/>
    <n v="1"/>
    <n v="1920"/>
    <x v="6"/>
    <n v="3"/>
  </r>
  <r>
    <n v="998"/>
    <x v="0"/>
    <n v="1"/>
    <n v="1920"/>
    <x v="6"/>
    <n v="3"/>
  </r>
  <r>
    <n v="999"/>
    <x v="3"/>
    <n v="1"/>
    <n v="8800"/>
    <x v="6"/>
    <n v="11"/>
  </r>
  <r>
    <n v="1000"/>
    <x v="2"/>
    <n v="1"/>
    <n v="4860"/>
    <x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4D0959-11DA-4782-B39A-BAE78664580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9:D49" firstHeaderRow="0" firstDataRow="1" firstDataCol="1"/>
  <pivotFields count="8">
    <pivotField showAll="0"/>
    <pivotField axis="axisRow" showAll="0">
      <items count="11">
        <item x="0"/>
        <item x="3"/>
        <item x="8"/>
        <item x="6"/>
        <item x="9"/>
        <item x="4"/>
        <item x="1"/>
        <item x="7"/>
        <item x="2"/>
        <item x="5"/>
        <item t="default"/>
      </items>
    </pivotField>
    <pivotField dataField="1" showAll="0"/>
    <pivotField numFmtId="167" showAll="0"/>
    <pivotField axis="axisRow" showAll="0">
      <items count="10">
        <item x="0"/>
        <item x="4"/>
        <item x="6"/>
        <item x="1"/>
        <item x="5"/>
        <item x="8"/>
        <item x="2"/>
        <item x="3"/>
        <item x="7"/>
        <item t="default"/>
      </items>
    </pivotField>
    <pivotField dataField="1" showAll="0"/>
    <pivotField dragToRow="0" dragToCol="0" dragToPage="0" showAll="0" defaultSubtotal="0"/>
    <pivotField dataField="1" dragToRow="0" dragToCol="0" dragToPage="0" showAll="0" defaultSubtotal="0"/>
  </pivotFields>
  <rowFields count="2">
    <field x="4"/>
    <field x="1"/>
  </rowFields>
  <rowItems count="4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 v="4"/>
    </i>
    <i r="1">
      <x v="5"/>
    </i>
    <i r="1">
      <x v="6"/>
    </i>
    <i>
      <x v="4"/>
    </i>
    <i r="1">
      <x v="4"/>
    </i>
    <i r="1">
      <x v="5"/>
    </i>
    <i r="1">
      <x v="6"/>
    </i>
    <i>
      <x v="5"/>
    </i>
    <i r="1">
      <x v="4"/>
    </i>
    <i r="1">
      <x v="5"/>
    </i>
    <i r="1">
      <x v="6"/>
    </i>
    <i>
      <x v="6"/>
    </i>
    <i r="1">
      <x v="7"/>
    </i>
    <i r="1">
      <x v="8"/>
    </i>
    <i r="1">
      <x v="9"/>
    </i>
    <i>
      <x v="7"/>
    </i>
    <i r="1">
      <x v="7"/>
    </i>
    <i r="1">
      <x v="8"/>
    </i>
    <i r="1">
      <x v="9"/>
    </i>
    <i>
      <x v="8"/>
    </i>
    <i r="1">
      <x v="7"/>
    </i>
    <i r="1">
      <x v="8"/>
    </i>
    <i r="1"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ount" fld="2" baseField="0" baseItem="0"/>
    <dataField name="Sum of Average Payment" fld="7" baseField="0" baseItem="0"/>
    <dataField name="Sum of  OR Hou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p.com/products/financial-management/financial-planning-analysis-fpa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5D6D-885F-F943-9AAC-1DCAAD673C45}">
  <sheetPr published="0"/>
  <dimension ref="A1:BA35"/>
  <sheetViews>
    <sheetView zoomScale="115" workbookViewId="0">
      <selection activeCell="C9" sqref="C9"/>
    </sheetView>
  </sheetViews>
  <sheetFormatPr defaultColWidth="11.125" defaultRowHeight="15.75"/>
  <cols>
    <col min="15" max="15" width="0" style="754" hidden="1" customWidth="1"/>
  </cols>
  <sheetData>
    <row r="1" spans="1:53" s="10" customFormat="1" ht="18.75">
      <c r="A1" s="9" t="s">
        <v>259</v>
      </c>
      <c r="H1" s="757" t="s">
        <v>411</v>
      </c>
      <c r="O1" s="12"/>
      <c r="Z1" s="12"/>
      <c r="AA1" s="575"/>
      <c r="AB1" s="575"/>
      <c r="AC1" s="575"/>
      <c r="AD1" s="575"/>
      <c r="AE1" s="575"/>
      <c r="AF1" s="575"/>
      <c r="AG1" s="575"/>
      <c r="AH1" s="575"/>
      <c r="AI1" s="575"/>
      <c r="AJ1" s="575"/>
      <c r="AK1" s="575"/>
      <c r="AL1" s="575"/>
      <c r="AM1" s="575"/>
      <c r="AN1" s="575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12"/>
    </row>
    <row r="2" spans="1:53" s="10" customFormat="1" ht="12.75">
      <c r="A2" s="7" t="s">
        <v>260</v>
      </c>
      <c r="H2" s="11"/>
      <c r="O2" s="12"/>
      <c r="Z2" s="12"/>
      <c r="AA2" s="575"/>
      <c r="AB2" s="575"/>
      <c r="AC2" s="575"/>
      <c r="AD2" s="575"/>
      <c r="AE2" s="575"/>
      <c r="AF2" s="575"/>
      <c r="AG2" s="575"/>
      <c r="AH2" s="575"/>
      <c r="AI2" s="575"/>
      <c r="AJ2" s="575"/>
      <c r="AK2" s="575"/>
      <c r="AL2" s="575"/>
      <c r="AM2" s="575"/>
      <c r="AN2" s="575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12"/>
    </row>
    <row r="3" spans="1:53" s="10" customFormat="1" ht="12.75">
      <c r="A3" s="5" t="s">
        <v>407</v>
      </c>
      <c r="O3" s="12"/>
      <c r="Z3" s="12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12"/>
    </row>
    <row r="4" spans="1:53" s="10" customFormat="1" ht="12.75">
      <c r="A4" s="8" t="str">
        <f ca="1">"Sheet: "&amp;MID(CELL("filename",A1),FIND("]",CELL("filename",A1))+1,255)</f>
        <v>Sheet: ENTER SFAM ID</v>
      </c>
      <c r="O4" s="12"/>
      <c r="Z4" s="12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12"/>
    </row>
    <row r="5" spans="1:53" s="6" customFormat="1" ht="12.75">
      <c r="O5" s="751"/>
    </row>
    <row r="6" spans="1:53" s="6" customFormat="1" ht="12.75">
      <c r="B6" s="628" t="s">
        <v>244</v>
      </c>
      <c r="O6" s="751"/>
    </row>
    <row r="7" spans="1:53" s="6" customFormat="1" ht="13.5" thickBot="1">
      <c r="O7" s="751"/>
    </row>
    <row r="8" spans="1:53" s="630" customFormat="1" ht="15" customHeight="1" thickBot="1">
      <c r="C8" s="761">
        <v>23472093</v>
      </c>
      <c r="D8" s="762"/>
      <c r="O8" s="752">
        <v>12249598</v>
      </c>
    </row>
    <row r="9" spans="1:53">
      <c r="O9" s="753">
        <v>13094454</v>
      </c>
    </row>
    <row r="10" spans="1:53">
      <c r="B10" s="629" t="s">
        <v>245</v>
      </c>
      <c r="O10" s="753">
        <v>15088115</v>
      </c>
    </row>
    <row r="11" spans="1:53">
      <c r="B11" s="648" t="s">
        <v>246</v>
      </c>
      <c r="O11" s="753">
        <v>23124915</v>
      </c>
    </row>
    <row r="12" spans="1:53">
      <c r="B12" s="648" t="s">
        <v>258</v>
      </c>
      <c r="O12" s="753">
        <v>23127451</v>
      </c>
    </row>
    <row r="13" spans="1:53">
      <c r="O13" s="753">
        <v>23187403</v>
      </c>
    </row>
    <row r="14" spans="1:53">
      <c r="O14" s="753">
        <v>23349375</v>
      </c>
    </row>
    <row r="15" spans="1:53" s="638" customFormat="1" ht="15" customHeight="1">
      <c r="B15" s="639"/>
      <c r="G15" s="649"/>
      <c r="O15" s="753">
        <v>23472093</v>
      </c>
    </row>
    <row r="16" spans="1:53" s="638" customFormat="1" ht="15" customHeight="1">
      <c r="A16" s="640"/>
      <c r="G16" s="649"/>
      <c r="H16" s="649"/>
      <c r="O16" s="753">
        <v>23499774</v>
      </c>
    </row>
    <row r="17" spans="1:15" s="638" customFormat="1" ht="15" customHeight="1">
      <c r="A17" s="640"/>
      <c r="G17" s="649"/>
      <c r="H17" s="649"/>
      <c r="O17" s="753">
        <v>23558332</v>
      </c>
    </row>
    <row r="18" spans="1:15" s="638" customFormat="1" ht="15" customHeight="1">
      <c r="A18" s="640"/>
      <c r="O18" s="753">
        <v>23621570</v>
      </c>
    </row>
    <row r="19" spans="1:15" s="638" customFormat="1" ht="15" customHeight="1">
      <c r="A19" s="640"/>
      <c r="J19" s="649"/>
      <c r="O19" s="753">
        <v>23650144</v>
      </c>
    </row>
    <row r="20" spans="1:15" s="638" customFormat="1" ht="15" customHeight="1">
      <c r="A20" s="640"/>
      <c r="B20" s="649"/>
      <c r="J20" s="649"/>
      <c r="O20" s="753">
        <v>23726275</v>
      </c>
    </row>
    <row r="21" spans="1:15" s="638" customFormat="1" ht="15" customHeight="1">
      <c r="A21" s="640"/>
      <c r="B21" s="649"/>
      <c r="J21" s="649"/>
      <c r="O21" s="753">
        <v>23731154</v>
      </c>
    </row>
    <row r="22" spans="1:15" s="638" customFormat="1" ht="15" customHeight="1">
      <c r="A22" s="640"/>
      <c r="B22" s="649"/>
      <c r="J22" s="649"/>
      <c r="O22" s="753">
        <v>23756680</v>
      </c>
    </row>
    <row r="23" spans="1:15" s="638" customFormat="1" ht="15" customHeight="1">
      <c r="O23" s="753">
        <v>23761860</v>
      </c>
    </row>
    <row r="24" spans="1:15" s="638" customFormat="1" ht="15" customHeight="1">
      <c r="A24" s="661"/>
      <c r="O24" s="753">
        <v>23852100</v>
      </c>
    </row>
    <row r="25" spans="1:15" s="638" customFormat="1" ht="15" customHeight="1">
      <c r="A25" s="661"/>
      <c r="O25" s="753">
        <v>23862816</v>
      </c>
    </row>
    <row r="26" spans="1:15" s="638" customFormat="1" ht="15" customHeight="1">
      <c r="O26" s="753">
        <v>23882987</v>
      </c>
    </row>
    <row r="27" spans="1:15">
      <c r="B27" s="649"/>
      <c r="O27" s="753">
        <v>23893711</v>
      </c>
    </row>
    <row r="28" spans="1:15">
      <c r="O28" s="753">
        <v>23962266</v>
      </c>
    </row>
    <row r="29" spans="1:15">
      <c r="B29" s="649"/>
      <c r="O29" s="753">
        <v>23975909</v>
      </c>
    </row>
    <row r="30" spans="1:15">
      <c r="O30" s="753">
        <v>23990195</v>
      </c>
    </row>
    <row r="31" spans="1:15">
      <c r="O31" s="753">
        <v>24030917</v>
      </c>
    </row>
    <row r="32" spans="1:15">
      <c r="O32" s="753">
        <v>24038137</v>
      </c>
    </row>
    <row r="33" spans="15:15">
      <c r="O33" s="753">
        <v>24051217</v>
      </c>
    </row>
    <row r="34" spans="15:15">
      <c r="O34" s="753">
        <v>24097377</v>
      </c>
    </row>
    <row r="35" spans="15:15">
      <c r="O35" s="753">
        <v>24156455</v>
      </c>
    </row>
  </sheetData>
  <sheetProtection algorithmName="SHA-512" hashValue="L8yqaaia2k/xzQW681+wAbR2gkJnz7+uwRXamSPwmKIgnInu3XBemgUHAfbQpWtzqGDpt1lwJfht6WWgn2fPBw==" saltValue="QNPBMnDMgLr3cKAp4HfI8Q==" spinCount="100000" sheet="1" objects="1" scenarios="1"/>
  <mergeCells count="1">
    <mergeCell ref="C8:D8"/>
  </mergeCells>
  <dataValidations count="1">
    <dataValidation type="list" errorStyle="warning" allowBlank="1" showDropDown="1" showInputMessage="1" showErrorMessage="1" errorTitle="Invalid SFAM ID" error="Your entry is not included in our list of enrolled SFAM IDs. Please validate that the value you have entered is your correct SFAM ID (Employee Number)." promptTitle="Enter your SFAM ID" prompt="For CUNY this is your Employee ID" sqref="C8:D8" xr:uid="{8957F1F9-0B9A-9A41-9323-4106DF3A029F}">
      <formula1>$O:$O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7F393-823B-444F-B2F7-A8E21E34B594}">
  <sheetPr published="0"/>
  <dimension ref="A1:BA33"/>
  <sheetViews>
    <sheetView topLeftCell="A9" zoomScale="125" zoomScaleNormal="140" workbookViewId="0">
      <selection activeCell="A6" sqref="A6"/>
    </sheetView>
  </sheetViews>
  <sheetFormatPr defaultColWidth="11" defaultRowHeight="15.75"/>
  <sheetData>
    <row r="1" spans="1:53" s="10" customFormat="1" ht="18.75">
      <c r="A1" s="9" t="s">
        <v>259</v>
      </c>
      <c r="H1" s="757" t="s">
        <v>411</v>
      </c>
      <c r="Z1" s="12"/>
      <c r="AA1" s="575"/>
      <c r="AB1" s="575"/>
      <c r="AC1" s="575"/>
      <c r="AD1" s="575"/>
      <c r="AE1" s="575"/>
      <c r="AF1" s="575"/>
      <c r="AG1" s="575"/>
      <c r="AH1" s="575"/>
      <c r="AI1" s="575"/>
      <c r="AJ1" s="575"/>
      <c r="AK1" s="575"/>
      <c r="AL1" s="575"/>
      <c r="AM1" s="575"/>
      <c r="AN1" s="575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12"/>
    </row>
    <row r="2" spans="1:53" s="10" customFormat="1" ht="12.75">
      <c r="A2" s="7" t="s">
        <v>260</v>
      </c>
      <c r="H2" s="11"/>
      <c r="Z2" s="12"/>
      <c r="AA2" s="575"/>
      <c r="AB2" s="575"/>
      <c r="AC2" s="575"/>
      <c r="AD2" s="575"/>
      <c r="AE2" s="575"/>
      <c r="AF2" s="575"/>
      <c r="AG2" s="575"/>
      <c r="AH2" s="575"/>
      <c r="AI2" s="575"/>
      <c r="AJ2" s="575"/>
      <c r="AK2" s="575"/>
      <c r="AL2" s="575"/>
      <c r="AM2" s="575"/>
      <c r="AN2" s="575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12"/>
    </row>
    <row r="3" spans="1:53" s="10" customFormat="1" ht="12.75">
      <c r="A3" s="5" t="s">
        <v>407</v>
      </c>
      <c r="Z3" s="12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12"/>
    </row>
    <row r="4" spans="1:53" s="10" customFormat="1" ht="12.75">
      <c r="A4" s="8" t="str">
        <f ca="1">"Sheet: "&amp;MID(CELL("filename",A1),FIND("]",CELL("filename",A1))+1,255)</f>
        <v>Sheet: INTRO</v>
      </c>
      <c r="Z4" s="12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12"/>
    </row>
    <row r="6" spans="1:53">
      <c r="A6" s="721"/>
    </row>
    <row r="7" spans="1:53">
      <c r="A7" s="721"/>
    </row>
    <row r="8" spans="1:53">
      <c r="A8" s="721"/>
    </row>
    <row r="9" spans="1:53">
      <c r="A9" s="8" t="s">
        <v>271</v>
      </c>
    </row>
    <row r="10" spans="1:53">
      <c r="A10" s="8" t="s">
        <v>270</v>
      </c>
    </row>
    <row r="11" spans="1:53">
      <c r="A11" s="8" t="s">
        <v>272</v>
      </c>
    </row>
    <row r="12" spans="1:53">
      <c r="A12" s="8"/>
    </row>
    <row r="13" spans="1:53">
      <c r="A13" s="8" t="s">
        <v>261</v>
      </c>
    </row>
    <row r="14" spans="1:53">
      <c r="A14" s="758" t="s">
        <v>262</v>
      </c>
    </row>
    <row r="15" spans="1:53">
      <c r="A15" s="758" t="s">
        <v>263</v>
      </c>
    </row>
    <row r="16" spans="1:53">
      <c r="A16" s="758" t="s">
        <v>264</v>
      </c>
    </row>
    <row r="17" spans="1:12">
      <c r="A17" s="758" t="s">
        <v>265</v>
      </c>
    </row>
    <row r="18" spans="1:12">
      <c r="A18" s="758" t="s">
        <v>266</v>
      </c>
    </row>
    <row r="19" spans="1:12">
      <c r="A19" s="758" t="s">
        <v>267</v>
      </c>
    </row>
    <row r="20" spans="1:12">
      <c r="A20" s="758" t="s">
        <v>268</v>
      </c>
    </row>
    <row r="21" spans="1:12">
      <c r="A21" s="758" t="s">
        <v>269</v>
      </c>
    </row>
    <row r="22" spans="1:12">
      <c r="A22" t="s">
        <v>410</v>
      </c>
    </row>
    <row r="23" spans="1:12">
      <c r="A23" t="s">
        <v>274</v>
      </c>
    </row>
    <row r="24" spans="1:12">
      <c r="A24" t="s">
        <v>277</v>
      </c>
    </row>
    <row r="25" spans="1:12">
      <c r="A25" t="s">
        <v>278</v>
      </c>
    </row>
    <row r="26" spans="1:12">
      <c r="A26" t="s">
        <v>275</v>
      </c>
    </row>
    <row r="27" spans="1:12">
      <c r="A27" t="s">
        <v>276</v>
      </c>
    </row>
    <row r="28" spans="1:12">
      <c r="A28" t="s">
        <v>273</v>
      </c>
    </row>
    <row r="30" spans="1:12">
      <c r="B30" s="659"/>
      <c r="D30" s="659"/>
      <c r="F30" s="659"/>
      <c r="H30" s="659"/>
      <c r="J30" s="659"/>
      <c r="L30" s="659"/>
    </row>
    <row r="31" spans="1:12">
      <c r="D31" s="660"/>
      <c r="F31" s="658"/>
      <c r="H31" s="658"/>
      <c r="J31" s="658"/>
      <c r="L31" s="658"/>
    </row>
    <row r="32" spans="1:12">
      <c r="D32" s="660"/>
      <c r="F32" s="658"/>
      <c r="H32" s="658"/>
      <c r="J32" s="658"/>
      <c r="L32" s="658"/>
    </row>
    <row r="33" spans="4:12">
      <c r="D33" s="660"/>
      <c r="F33" s="658"/>
      <c r="H33" s="658"/>
      <c r="J33" s="658"/>
      <c r="L33" s="658"/>
    </row>
  </sheetData>
  <hyperlinks>
    <hyperlink ref="A9" r:id="rId1" display="https://www.sap.com/products/financial-management/financial-planning-analysis-fpa.html" xr:uid="{001CDE5A-6165-E841-BEDD-C87354B206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W1053"/>
  <sheetViews>
    <sheetView topLeftCell="A990" zoomScale="119" zoomScaleNormal="120" workbookViewId="0">
      <selection activeCell="F24" sqref="F24:F1023"/>
    </sheetView>
  </sheetViews>
  <sheetFormatPr defaultColWidth="10.875" defaultRowHeight="15.75"/>
  <cols>
    <col min="1" max="2" width="10.875" style="662"/>
    <col min="3" max="3" width="6" style="662" customWidth="1"/>
    <col min="4" max="4" width="10.875" style="13"/>
    <col min="5" max="5" width="10.875" style="678"/>
    <col min="6" max="6" width="10.875" style="13"/>
    <col min="8" max="14" width="10.875" style="13"/>
    <col min="15" max="15" width="10.875" style="662"/>
    <col min="16" max="17" width="10.875" style="13"/>
    <col min="26" max="26" width="10.875" style="576" customWidth="1"/>
    <col min="27" max="27" width="12.5" style="576" customWidth="1"/>
    <col min="28" max="46" width="10.875" style="576" customWidth="1"/>
    <col min="47" max="47" width="10.875" style="17"/>
    <col min="48" max="16384" width="10.875" style="13"/>
  </cols>
  <sheetData>
    <row r="1" spans="1:47" s="10" customFormat="1" ht="18.75">
      <c r="A1" s="669" t="s">
        <v>259</v>
      </c>
      <c r="B1" s="668"/>
      <c r="C1" s="668"/>
      <c r="E1" s="678"/>
      <c r="J1" s="757" t="s">
        <v>411</v>
      </c>
      <c r="O1" s="668"/>
      <c r="Z1" s="575"/>
      <c r="AA1" s="575"/>
      <c r="AB1" s="575"/>
      <c r="AC1" s="575"/>
      <c r="AD1" s="575"/>
      <c r="AE1" s="575"/>
      <c r="AF1" s="575"/>
      <c r="AG1" s="575"/>
      <c r="AH1" s="575"/>
      <c r="AI1" s="575"/>
      <c r="AJ1" s="575"/>
      <c r="AK1" s="575"/>
      <c r="AL1" s="575"/>
      <c r="AM1" s="575"/>
      <c r="AN1" s="575"/>
      <c r="AO1" s="575"/>
      <c r="AP1" s="575"/>
      <c r="AQ1" s="575"/>
      <c r="AR1" s="575"/>
      <c r="AS1" s="575"/>
      <c r="AT1" s="575"/>
      <c r="AU1" s="12"/>
    </row>
    <row r="2" spans="1:47" s="10" customFormat="1" ht="12.75">
      <c r="A2" s="670" t="s">
        <v>260</v>
      </c>
      <c r="B2" s="668"/>
      <c r="C2" s="668"/>
      <c r="E2" s="678"/>
      <c r="H2" s="11"/>
      <c r="O2" s="668"/>
      <c r="Z2" s="575"/>
      <c r="AA2" s="575"/>
      <c r="AB2" s="575"/>
      <c r="AC2" s="575"/>
      <c r="AD2" s="575"/>
      <c r="AE2" s="575"/>
      <c r="AF2" s="575"/>
      <c r="AG2" s="575"/>
      <c r="AH2" s="575"/>
      <c r="AI2" s="575"/>
      <c r="AJ2" s="575"/>
      <c r="AK2" s="575"/>
      <c r="AL2" s="575"/>
      <c r="AM2" s="575"/>
      <c r="AN2" s="575"/>
      <c r="AO2" s="575"/>
      <c r="AP2" s="575"/>
      <c r="AQ2" s="575"/>
      <c r="AR2" s="575"/>
      <c r="AS2" s="575"/>
      <c r="AT2" s="575"/>
      <c r="AU2" s="12"/>
    </row>
    <row r="3" spans="1:47" s="10" customFormat="1">
      <c r="A3" s="5" t="s">
        <v>407</v>
      </c>
      <c r="B3" s="668"/>
      <c r="C3" s="668"/>
      <c r="E3" s="678"/>
      <c r="F3"/>
      <c r="O3" s="668"/>
      <c r="Z3" s="575"/>
      <c r="AA3" s="575"/>
      <c r="AB3" s="575"/>
      <c r="AC3" s="575"/>
      <c r="AD3" s="575"/>
      <c r="AE3" s="575"/>
      <c r="AF3" s="575"/>
      <c r="AG3" s="575"/>
      <c r="AH3" s="575"/>
      <c r="AI3" s="575"/>
      <c r="AJ3" s="575"/>
      <c r="AK3" s="575"/>
      <c r="AL3" s="575"/>
      <c r="AM3" s="575"/>
      <c r="AN3" s="575"/>
      <c r="AO3" s="575"/>
      <c r="AP3" s="575"/>
      <c r="AQ3" s="575"/>
      <c r="AR3" s="575"/>
      <c r="AS3" s="575"/>
      <c r="AT3" s="575"/>
      <c r="AU3" s="12"/>
    </row>
    <row r="4" spans="1:47" s="10" customFormat="1">
      <c r="A4" s="671" t="str">
        <f ca="1">"Sheet: "&amp;MID(CELL("filename",A1),FIND("]",CELL("filename",A1))+1,255)</f>
        <v>Sheet: Assemble Data</v>
      </c>
      <c r="B4" s="668"/>
      <c r="C4" s="668"/>
      <c r="E4" s="678"/>
      <c r="F4"/>
      <c r="O4" s="668"/>
      <c r="Z4" s="575"/>
      <c r="AA4" s="575"/>
      <c r="AB4" s="575"/>
      <c r="AC4" s="575"/>
      <c r="AD4" s="575"/>
      <c r="AE4" s="575"/>
      <c r="AF4" s="575"/>
      <c r="AG4" s="575"/>
      <c r="AH4" s="575"/>
      <c r="AI4" s="575"/>
      <c r="AJ4" s="575"/>
      <c r="AK4" s="575"/>
      <c r="AL4" s="575"/>
      <c r="AM4" s="575"/>
      <c r="AN4" s="575"/>
      <c r="AO4" s="575"/>
      <c r="AP4" s="575"/>
      <c r="AQ4" s="575"/>
      <c r="AR4" s="575"/>
      <c r="AS4" s="575"/>
      <c r="AT4" s="575"/>
      <c r="AU4" s="12"/>
    </row>
    <row r="5" spans="1:47">
      <c r="H5" s="649"/>
      <c r="K5" s="14"/>
      <c r="L5" s="14"/>
    </row>
    <row r="6" spans="1:47" ht="15" customHeight="1">
      <c r="A6" s="688" t="s">
        <v>364</v>
      </c>
    </row>
    <row r="7" spans="1:47">
      <c r="A7" s="648" t="s">
        <v>409</v>
      </c>
    </row>
    <row r="8" spans="1:47">
      <c r="A8" s="648" t="s">
        <v>332</v>
      </c>
    </row>
    <row r="9" spans="1:47">
      <c r="A9" s="648" t="s">
        <v>333</v>
      </c>
    </row>
    <row r="10" spans="1:47">
      <c r="A10" s="649" t="s">
        <v>334</v>
      </c>
    </row>
    <row r="11" spans="1:47">
      <c r="A11" s="10" t="s">
        <v>335</v>
      </c>
    </row>
    <row r="12" spans="1:47">
      <c r="A12" s="649" t="s">
        <v>403</v>
      </c>
    </row>
    <row r="13" spans="1:47">
      <c r="A13" s="648" t="s">
        <v>404</v>
      </c>
    </row>
    <row r="14" spans="1:47">
      <c r="A14" s="690" t="s">
        <v>412</v>
      </c>
    </row>
    <row r="15" spans="1:47">
      <c r="A15" s="648" t="s">
        <v>405</v>
      </c>
    </row>
    <row r="16" spans="1:47">
      <c r="A16" s="689" t="s">
        <v>365</v>
      </c>
    </row>
    <row r="17" spans="1:49">
      <c r="A17" s="690" t="s">
        <v>338</v>
      </c>
    </row>
    <row r="18" spans="1:49">
      <c r="A18" s="688" t="s">
        <v>408</v>
      </c>
    </row>
    <row r="19" spans="1:49">
      <c r="A19" s="756" t="str">
        <f>IF('Scratch Sheet'!E20&gt;0,"You have an error in Column D","")</f>
        <v/>
      </c>
      <c r="B19" s="13"/>
      <c r="C19" s="13"/>
    </row>
    <row r="20" spans="1:49">
      <c r="A20" s="756" t="str">
        <f ca="1">IF('Scratch Sheet'!F20&gt;0,"You have an error in Column E","")</f>
        <v/>
      </c>
      <c r="B20" s="13"/>
      <c r="C20" s="13"/>
    </row>
    <row r="21" spans="1:49">
      <c r="A21" s="756" t="str">
        <f ca="1">IF('Scratch Sheet'!G20&gt;0,"You have an error in Column F","")</f>
        <v/>
      </c>
      <c r="B21" s="13"/>
      <c r="C21" s="13"/>
    </row>
    <row r="22" spans="1:49">
      <c r="D22"/>
      <c r="F22"/>
      <c r="H22" s="691" t="s">
        <v>301</v>
      </c>
      <c r="I22" s="692"/>
      <c r="K22" s="691" t="s">
        <v>300</v>
      </c>
      <c r="L22" s="692"/>
      <c r="N22" s="691" t="s">
        <v>337</v>
      </c>
      <c r="O22" s="692"/>
      <c r="AU22" s="576"/>
      <c r="AV22" s="576"/>
      <c r="AW22" s="17"/>
    </row>
    <row r="23" spans="1:49" s="673" customFormat="1" ht="26.25" thickBot="1">
      <c r="A23" s="673" t="s">
        <v>313</v>
      </c>
      <c r="B23" s="673" t="s">
        <v>282</v>
      </c>
      <c r="C23" s="673" t="s">
        <v>281</v>
      </c>
      <c r="D23" s="705" t="s">
        <v>285</v>
      </c>
      <c r="E23" s="706" t="s">
        <v>290</v>
      </c>
      <c r="F23" s="705" t="s">
        <v>336</v>
      </c>
      <c r="H23" s="673" t="s">
        <v>313</v>
      </c>
      <c r="I23" s="673" t="s">
        <v>279</v>
      </c>
      <c r="K23" s="673" t="s">
        <v>313</v>
      </c>
      <c r="L23" s="673" t="s">
        <v>285</v>
      </c>
      <c r="N23" s="673" t="s">
        <v>313</v>
      </c>
      <c r="O23" s="673" t="s">
        <v>290</v>
      </c>
      <c r="Z23" s="676"/>
      <c r="AA23" s="676"/>
      <c r="AB23" s="676"/>
      <c r="AC23" s="676"/>
      <c r="AD23" s="676"/>
      <c r="AE23" s="676"/>
      <c r="AF23" s="676" t="str">
        <f>IF(AG23=AH23,"",1)</f>
        <v/>
      </c>
      <c r="AG23" s="676"/>
      <c r="AH23" s="676"/>
      <c r="AI23" s="676"/>
      <c r="AJ23" s="676"/>
      <c r="AK23" s="676"/>
      <c r="AL23" s="676"/>
      <c r="AM23" s="676"/>
      <c r="AN23" s="676"/>
      <c r="AO23" s="676"/>
      <c r="AP23" s="676"/>
      <c r="AQ23" s="676"/>
      <c r="AR23" s="676"/>
      <c r="AS23" s="676"/>
      <c r="AT23" s="676"/>
      <c r="AU23" s="676"/>
      <c r="AV23" s="676"/>
      <c r="AW23" s="677"/>
    </row>
    <row r="24" spans="1:49" ht="16.5" thickBot="1">
      <c r="A24" s="662">
        <v>1</v>
      </c>
      <c r="B24" s="661" t="str" cm="1">
        <f t="array" ref="B24">"P"&amp;INDEX(X!$CL$2:$CL$12,'Scratch Sheet'!H23+1)+9</f>
        <v>P10</v>
      </c>
      <c r="C24" s="661">
        <v>1</v>
      </c>
      <c r="D24" s="755">
        <f>SUMIF($K$24:$K$1053, $A24, $L$24:$L$1053)</f>
        <v>2880</v>
      </c>
      <c r="E24" s="682" t="str">
        <f>INDEX($O$24:$O$1023,MATCH($A24,$N$24:$N$1023,0))</f>
        <v>C1</v>
      </c>
      <c r="F24" s="683">
        <f>VLOOKUP(A24, $H$24:$I$1023, 2, FALSE)</f>
        <v>3</v>
      </c>
      <c r="H24" s="13">
        <v>917</v>
      </c>
      <c r="I24" s="13">
        <f>VLOOKUP(VLOOKUP(H24,$A$24:$B$1023,2,FALSE),'Scratch Sheet'!$U$23:$X$32,3,FALSE)</f>
        <v>3</v>
      </c>
      <c r="K24" s="13">
        <f>X!CP2</f>
        <v>10</v>
      </c>
      <c r="L24" s="13">
        <f>IFERROR(VLOOKUP(VLOOKUP(K24,$A$24:$B$1023,2,FALSE),'Scratch Sheet'!$U$23:$Y$32,5,FALSE)*VLOOKUP(VLOOKUP(K24,$A$24:$E$1023,5,FALSE),'Scratch Sheet'!$L$22:$M$30,2,FALSE),"")</f>
        <v>7279.9999999999991</v>
      </c>
      <c r="N24" s="675">
        <v>1</v>
      </c>
      <c r="O24" s="675" t="str" cm="1">
        <f t="array" ref="O24">IF(OR(INDEX($B$24:$B$1023,N24)="P10",INDEX($B$24:$B$1023,N24)="P11",INDEX($B$24:$B$1023,N24)="P12",INDEX($B$24:$B$1023,N24)="P13"),"C",IF(OR(INDEX($B$24:$B$1023,N24)="P14",INDEX($B$24:$B$1023,N24)="P15",INDEX($B$24:$B$1023,N24)="P16"),"N","O"))&amp;IF(MOD(N24,100)&lt;20,1,IF(MOD(N24,100)&lt;70,2,3))</f>
        <v>C1</v>
      </c>
      <c r="AF24" s="576" t="str">
        <f t="shared" ref="AF24:AF25" si="0">IF(AG24=AH24,"",1)</f>
        <v/>
      </c>
      <c r="AU24" s="576"/>
      <c r="AV24" s="576"/>
      <c r="AW24" s="17"/>
    </row>
    <row r="25" spans="1:49" ht="16.5" thickBot="1">
      <c r="A25" s="662">
        <v>2</v>
      </c>
      <c r="B25" s="661" t="str" cm="1">
        <f t="array" ref="B25">"P"&amp;INDEX(X!$CL$2:$CL$12,'Scratch Sheet'!H24+1)+9</f>
        <v>P16</v>
      </c>
      <c r="C25" s="661">
        <v>1</v>
      </c>
      <c r="D25" s="755">
        <f t="shared" ref="D25:D88" si="1">SUMIF($K$24:$K$1053, $A25, $L$24:$L$1053)</f>
        <v>7279.9999999999991</v>
      </c>
      <c r="E25" s="682" t="str">
        <f t="shared" ref="E25:E88" si="2">INDEX($O$24:$O$1023,MATCH($A25,$N$24:$N$1023,0))</f>
        <v>N1</v>
      </c>
      <c r="F25" s="683">
        <f t="shared" ref="F25:F88" si="3">VLOOKUP(A25, $H$24:$I$1023, 2, FALSE)</f>
        <v>4</v>
      </c>
      <c r="H25" s="13">
        <v>255</v>
      </c>
      <c r="I25" s="13">
        <f>VLOOKUP(VLOOKUP(H25,$A$24:$B$1023,2,FALSE),'Scratch Sheet'!$U$23:$X$32,3,FALSE)</f>
        <v>5</v>
      </c>
      <c r="K25" s="13">
        <f>X!CP3</f>
        <v>13</v>
      </c>
      <c r="L25" s="13">
        <f>IFERROR(VLOOKUP(VLOOKUP(K25,$A$24:$B$1023,2,FALSE),'Scratch Sheet'!$U$23:$Y$32,5,FALSE)*VLOOKUP(VLOOKUP(K25,$A$24:$E$1023,5,FALSE),'Scratch Sheet'!$L$22:$M$30,2,FALSE),"")</f>
        <v>13200</v>
      </c>
      <c r="N25" s="675">
        <v>6</v>
      </c>
      <c r="O25" s="675" t="str" cm="1">
        <f t="array" ref="O25">IF(OR(INDEX($B$24:$B$1023,N25)="P10",INDEX($B$24:$B$1023,N25)="P11",INDEX($B$24:$B$1023,N25)="P12",INDEX($B$24:$B$1023,N25)="P13"),"C",IF(OR(INDEX($B$24:$B$1023,N25)="P14",INDEX($B$24:$B$1023,N25)="P15",INDEX($B$24:$B$1023,N25)="P16"),"N","O"))&amp;IF(MOD(N25,100)&lt;20,1,IF(MOD(N25,100)&lt;70,2,3))</f>
        <v>C1</v>
      </c>
      <c r="AF25" s="576" t="str">
        <f t="shared" si="0"/>
        <v/>
      </c>
      <c r="AU25" s="576"/>
      <c r="AV25" s="576"/>
      <c r="AW25" s="17"/>
    </row>
    <row r="26" spans="1:49" ht="16.5" thickBot="1">
      <c r="A26" s="662">
        <v>3</v>
      </c>
      <c r="B26" s="661" t="str" cm="1">
        <f t="array" ref="B26">"P"&amp;INDEX(X!$CL$2:$CL$12,'Scratch Sheet'!H25+1)+9</f>
        <v>P18</v>
      </c>
      <c r="C26" s="661">
        <v>1</v>
      </c>
      <c r="D26" s="755">
        <f t="shared" si="1"/>
        <v>4860</v>
      </c>
      <c r="E26" s="682" t="str">
        <f t="shared" si="2"/>
        <v>O1</v>
      </c>
      <c r="F26" s="683">
        <f t="shared" si="3"/>
        <v>6</v>
      </c>
      <c r="H26" s="13">
        <v>55</v>
      </c>
      <c r="I26" s="13">
        <f>VLOOKUP(VLOOKUP(H26,$A$24:$B$1023,2,FALSE),'Scratch Sheet'!$U$23:$X$32,3,FALSE)</f>
        <v>3</v>
      </c>
      <c r="K26" s="13">
        <f>X!CP4</f>
        <v>12</v>
      </c>
      <c r="L26" s="13">
        <f>IFERROR(VLOOKUP(VLOOKUP(K26,$A$24:$B$1023,2,FALSE),'Scratch Sheet'!$U$23:$Y$32,5,FALSE)*VLOOKUP(VLOOKUP(K26,$A$24:$E$1023,5,FALSE),'Scratch Sheet'!$L$22:$M$30,2,FALSE),"")</f>
        <v>10800</v>
      </c>
      <c r="N26" s="675">
        <v>7</v>
      </c>
      <c r="O26" s="675" t="str" cm="1">
        <f t="array" ref="O26">IF(OR(INDEX($B$24:$B$1023,N26)="P10",INDEX($B$24:$B$1023,N26)="P11",INDEX($B$24:$B$1023,N26)="P12",INDEX($B$24:$B$1023,N26)="P13"),"C",IF(OR(INDEX($B$24:$B$1023,N26)="P14",INDEX($B$24:$B$1023,N26)="P15",INDEX($B$24:$B$1023,N26)="P16"),"N","O"))&amp;IF(MOD(N26,100)&lt;20,1,IF(MOD(N26,100)&lt;70,2,3))</f>
        <v>O1</v>
      </c>
      <c r="Z26" s="15"/>
      <c r="AA26" s="15"/>
      <c r="AB26" s="13"/>
      <c r="AC26" s="13"/>
      <c r="AD26" s="13"/>
      <c r="AE26" s="13"/>
      <c r="AU26" s="576"/>
      <c r="AV26" s="576"/>
      <c r="AW26" s="17"/>
    </row>
    <row r="27" spans="1:49" ht="16.5" thickBot="1">
      <c r="A27" s="662">
        <v>4</v>
      </c>
      <c r="B27" s="661" t="str" cm="1">
        <f t="array" ref="B27">"P"&amp;INDEX(X!$CL$2:$CL$12,'Scratch Sheet'!H26+1)+9</f>
        <v>P11</v>
      </c>
      <c r="C27" s="661">
        <v>1</v>
      </c>
      <c r="D27" s="755">
        <f t="shared" si="1"/>
        <v>13200</v>
      </c>
      <c r="E27" s="682" t="str">
        <f t="shared" si="2"/>
        <v>C1</v>
      </c>
      <c r="F27" s="683">
        <f t="shared" si="3"/>
        <v>11</v>
      </c>
      <c r="H27" s="13">
        <v>357</v>
      </c>
      <c r="I27" s="13">
        <f>VLOOKUP(VLOOKUP(H27,$A$24:$B$1023,2,FALSE),'Scratch Sheet'!$U$23:$X$32,3,FALSE)</f>
        <v>5</v>
      </c>
      <c r="K27" s="13">
        <f>X!CP5</f>
        <v>6</v>
      </c>
      <c r="L27" s="13">
        <f>IFERROR(VLOOKUP(VLOOKUP(K27,$A$24:$B$1023,2,FALSE),'Scratch Sheet'!$U$23:$Y$32,5,FALSE)*VLOOKUP(VLOOKUP(K27,$A$24:$E$1023,5,FALSE),'Scratch Sheet'!$L$22:$M$30,2,FALSE),"")</f>
        <v>2880</v>
      </c>
      <c r="N27" s="675">
        <v>12</v>
      </c>
      <c r="O27" s="675" t="str" cm="1">
        <f t="array" ref="O27">IF(OR(INDEX($B$24:$B$1023,N27)="P10",INDEX($B$24:$B$1023,N27)="P11",INDEX($B$24:$B$1023,N27)="P12",INDEX($B$24:$B$1023,N27)="P13"),"C",IF(OR(INDEX($B$24:$B$1023,N27)="P14",INDEX($B$24:$B$1023,N27)="P15",INDEX($B$24:$B$1023,N27)="P16"),"N","O"))&amp;IF(MOD(N27,100)&lt;20,1,IF(MOD(N27,100)&lt;70,2,3))</f>
        <v>O1</v>
      </c>
      <c r="AB27" s="13"/>
      <c r="AC27" s="13"/>
      <c r="AD27" s="13"/>
      <c r="AE27" s="13"/>
      <c r="AF27" s="672"/>
      <c r="AU27" s="576"/>
      <c r="AV27" s="576"/>
      <c r="AW27" s="17"/>
    </row>
    <row r="28" spans="1:49" ht="16.5" thickBot="1">
      <c r="A28" s="662">
        <v>5</v>
      </c>
      <c r="B28" s="661" t="str" cm="1">
        <f t="array" ref="B28">"P"&amp;INDEX(X!$CL$2:$CL$12,'Scratch Sheet'!H27+1)+9</f>
        <v>P15</v>
      </c>
      <c r="C28" s="661">
        <v>1</v>
      </c>
      <c r="D28" s="755">
        <f t="shared" si="1"/>
        <v>8400</v>
      </c>
      <c r="E28" s="682" t="str">
        <f t="shared" si="2"/>
        <v>N1</v>
      </c>
      <c r="F28" s="683">
        <f t="shared" si="3"/>
        <v>5</v>
      </c>
      <c r="H28" s="13">
        <v>222</v>
      </c>
      <c r="I28" s="13">
        <f>VLOOKUP(VLOOKUP(H28,$A$24:$B$1023,2,FALSE),'Scratch Sheet'!$U$23:$X$32,3,FALSE)</f>
        <v>5</v>
      </c>
      <c r="K28" s="13">
        <f>X!CP6</f>
        <v>9</v>
      </c>
      <c r="L28" s="13">
        <f>IFERROR(VLOOKUP(VLOOKUP(K28,$A$24:$B$1023,2,FALSE),'Scratch Sheet'!$U$23:$Y$32,5,FALSE)*VLOOKUP(VLOOKUP(K28,$A$24:$E$1023,5,FALSE),'Scratch Sheet'!$L$22:$M$30,2,FALSE),"")</f>
        <v>5400</v>
      </c>
      <c r="N28" s="675">
        <v>14</v>
      </c>
      <c r="O28" s="675" t="str" cm="1">
        <f t="array" ref="O28">IF(OR(INDEX($B$24:$B$1023,N28)="P10",INDEX($B$24:$B$1023,N28)="P11",INDEX($B$24:$B$1023,N28)="P12",INDEX($B$24:$B$1023,N28)="P13"),"C",IF(OR(INDEX($B$24:$B$1023,N28)="P14",INDEX($B$24:$B$1023,N28)="P15",INDEX($B$24:$B$1023,N28)="P16"),"N","O"))&amp;IF(MOD(N28,100)&lt;20,1,IF(MOD(N28,100)&lt;70,2,3))</f>
        <v>O1</v>
      </c>
      <c r="AB28" s="13"/>
      <c r="AC28" s="13"/>
      <c r="AD28" s="13"/>
      <c r="AE28" s="13"/>
      <c r="AF28" s="672"/>
      <c r="AU28" s="576"/>
      <c r="AV28" s="576"/>
      <c r="AW28" s="17"/>
    </row>
    <row r="29" spans="1:49" ht="16.5" thickBot="1">
      <c r="A29" s="662">
        <v>6</v>
      </c>
      <c r="B29" s="661" t="str" cm="1">
        <f t="array" ref="B29">"P"&amp;INDEX(X!$CL$2:$CL$12,'Scratch Sheet'!H28+1)+9</f>
        <v>P10</v>
      </c>
      <c r="C29" s="661">
        <v>1</v>
      </c>
      <c r="D29" s="755">
        <f t="shared" si="1"/>
        <v>2880</v>
      </c>
      <c r="E29" s="682" t="str">
        <f t="shared" si="2"/>
        <v>C1</v>
      </c>
      <c r="F29" s="683">
        <f t="shared" si="3"/>
        <v>3</v>
      </c>
      <c r="H29" s="13">
        <v>434</v>
      </c>
      <c r="I29" s="13">
        <f>VLOOKUP(VLOOKUP(H29,$A$24:$B$1023,2,FALSE),'Scratch Sheet'!$U$23:$X$32,3,FALSE)</f>
        <v>11</v>
      </c>
      <c r="K29" s="13">
        <f>X!CP7</f>
        <v>8</v>
      </c>
      <c r="L29" s="13">
        <f>IFERROR(VLOOKUP(VLOOKUP(K29,$A$24:$B$1023,2,FALSE),'Scratch Sheet'!$U$23:$Y$32,5,FALSE)*VLOOKUP(VLOOKUP(K29,$A$24:$E$1023,5,FALSE),'Scratch Sheet'!$L$22:$M$30,2,FALSE),"")</f>
        <v>13200</v>
      </c>
      <c r="N29" s="675">
        <v>17</v>
      </c>
      <c r="O29" s="675" t="str" cm="1">
        <f t="array" ref="O29">IF(OR(INDEX($B$24:$B$1023,N29)="P10",INDEX($B$24:$B$1023,N29)="P11",INDEX($B$24:$B$1023,N29)="P12",INDEX($B$24:$B$1023,N29)="P13"),"C",IF(OR(INDEX($B$24:$B$1023,N29)="P14",INDEX($B$24:$B$1023,N29)="P15",INDEX($B$24:$B$1023,N29)="P16"),"N","O"))&amp;IF(MOD(N29,100)&lt;20,1,IF(MOD(N29,100)&lt;70,2,3))</f>
        <v>C1</v>
      </c>
      <c r="AB29" s="13"/>
      <c r="AC29" s="13"/>
      <c r="AD29" s="13"/>
      <c r="AE29" s="13"/>
      <c r="AF29" s="672"/>
      <c r="AU29" s="576"/>
      <c r="AV29" s="576"/>
      <c r="AW29" s="17"/>
    </row>
    <row r="30" spans="1:49" ht="16.5" thickBot="1">
      <c r="A30" s="662">
        <v>7</v>
      </c>
      <c r="B30" s="661" t="str" cm="1">
        <f t="array" ref="B30">"P"&amp;INDEX(X!$CL$2:$CL$12,'Scratch Sheet'!H29+1)+9</f>
        <v>P19</v>
      </c>
      <c r="C30" s="661">
        <v>1</v>
      </c>
      <c r="D30" s="755">
        <f t="shared" si="1"/>
        <v>7920</v>
      </c>
      <c r="E30" s="682" t="str">
        <f t="shared" si="2"/>
        <v>O1</v>
      </c>
      <c r="F30" s="683">
        <f t="shared" si="3"/>
        <v>11</v>
      </c>
      <c r="H30" s="13">
        <v>784</v>
      </c>
      <c r="I30" s="13">
        <f>VLOOKUP(VLOOKUP(H30,$A$24:$B$1023,2,FALSE),'Scratch Sheet'!$U$23:$X$32,3,FALSE)</f>
        <v>3</v>
      </c>
      <c r="K30" s="13">
        <f>X!CP8</f>
        <v>11</v>
      </c>
      <c r="L30" s="13">
        <f>IFERROR(VLOOKUP(VLOOKUP(K30,$A$24:$B$1023,2,FALSE),'Scratch Sheet'!$U$23:$Y$32,5,FALSE)*VLOOKUP(VLOOKUP(K30,$A$24:$E$1023,5,FALSE),'Scratch Sheet'!$L$22:$M$30,2,FALSE),"")</f>
        <v>8400</v>
      </c>
      <c r="N30" s="675">
        <v>18</v>
      </c>
      <c r="O30" s="675" t="str" cm="1">
        <f t="array" ref="O30">IF(OR(INDEX($B$24:$B$1023,N30)="P10",INDEX($B$24:$B$1023,N30)="P11",INDEX($B$24:$B$1023,N30)="P12",INDEX($B$24:$B$1023,N30)="P13"),"C",IF(OR(INDEX($B$24:$B$1023,N30)="P14",INDEX($B$24:$B$1023,N30)="P15",INDEX($B$24:$B$1023,N30)="P16"),"N","O"))&amp;IF(MOD(N30,100)&lt;20,1,IF(MOD(N30,100)&lt;70,2,3))</f>
        <v>C1</v>
      </c>
      <c r="AB30" s="13"/>
      <c r="AC30" s="13"/>
      <c r="AD30" s="13"/>
      <c r="AE30" s="13"/>
      <c r="AF30" s="672"/>
      <c r="AU30" s="576"/>
      <c r="AV30" s="576"/>
      <c r="AW30" s="17"/>
    </row>
    <row r="31" spans="1:49" ht="16.5" thickBot="1">
      <c r="A31" s="662">
        <v>8</v>
      </c>
      <c r="B31" s="661" t="str" cm="1">
        <f t="array" ref="B31">"P"&amp;INDEX(X!$CL$2:$CL$12,'Scratch Sheet'!H30+1)+9</f>
        <v>P11</v>
      </c>
      <c r="C31" s="661">
        <v>1</v>
      </c>
      <c r="D31" s="755">
        <f t="shared" si="1"/>
        <v>13200</v>
      </c>
      <c r="E31" s="682" t="str">
        <f t="shared" si="2"/>
        <v>C1</v>
      </c>
      <c r="F31" s="683">
        <f t="shared" si="3"/>
        <v>11</v>
      </c>
      <c r="H31" s="13">
        <v>497</v>
      </c>
      <c r="I31" s="13">
        <f>VLOOKUP(VLOOKUP(H31,$A$24:$B$1023,2,FALSE),'Scratch Sheet'!$U$23:$X$32,3,FALSE)</f>
        <v>4</v>
      </c>
      <c r="K31" s="13">
        <f>X!CP9</f>
        <v>5</v>
      </c>
      <c r="L31" s="13">
        <f>IFERROR(VLOOKUP(VLOOKUP(K31,$A$24:$B$1023,2,FALSE),'Scratch Sheet'!$U$23:$Y$32,5,FALSE)*VLOOKUP(VLOOKUP(K31,$A$24:$E$1023,5,FALSE),'Scratch Sheet'!$L$22:$M$30,2,FALSE),"")</f>
        <v>8400</v>
      </c>
      <c r="N31" s="675">
        <v>20</v>
      </c>
      <c r="O31" s="675" t="str" cm="1">
        <f t="array" ref="O31">IF(OR(INDEX($B$24:$B$1023,N31)="P10",INDEX($B$24:$B$1023,N31)="P11",INDEX($B$24:$B$1023,N31)="P12",INDEX($B$24:$B$1023,N31)="P13"),"C",IF(OR(INDEX($B$24:$B$1023,N31)="P14",INDEX($B$24:$B$1023,N31)="P15",INDEX($B$24:$B$1023,N31)="P16"),"N","O"))&amp;IF(MOD(N31,100)&lt;20,1,IF(MOD(N31,100)&lt;70,2,3))</f>
        <v>O2</v>
      </c>
      <c r="AB31" s="13"/>
      <c r="AC31" s="13"/>
      <c r="AD31" s="13"/>
      <c r="AE31" s="13"/>
      <c r="AF31" s="672"/>
      <c r="AU31" s="576"/>
      <c r="AV31" s="576"/>
      <c r="AW31" s="17"/>
    </row>
    <row r="32" spans="1:49" ht="16.5" thickBot="1">
      <c r="A32" s="662">
        <v>9</v>
      </c>
      <c r="B32" s="661" t="str" cm="1">
        <f t="array" ref="B32">"P"&amp;INDEX(X!$CL$2:$CL$12,'Scratch Sheet'!H31+1)+9</f>
        <v>P13</v>
      </c>
      <c r="C32" s="661">
        <v>1</v>
      </c>
      <c r="D32" s="755">
        <f t="shared" si="1"/>
        <v>5400</v>
      </c>
      <c r="E32" s="682" t="str">
        <f t="shared" si="2"/>
        <v>C1</v>
      </c>
      <c r="F32" s="683">
        <f t="shared" si="3"/>
        <v>5</v>
      </c>
      <c r="H32" s="13">
        <v>385</v>
      </c>
      <c r="I32" s="13">
        <f>VLOOKUP(VLOOKUP(H32,$A$24:$B$1023,2,FALSE),'Scratch Sheet'!$U$23:$X$32,3,FALSE)</f>
        <v>3</v>
      </c>
      <c r="K32" s="13">
        <f>X!CP10</f>
        <v>3</v>
      </c>
      <c r="L32" s="13">
        <f>IFERROR(VLOOKUP(VLOOKUP(K32,$A$24:$B$1023,2,FALSE),'Scratch Sheet'!$U$23:$Y$32,5,FALSE)*VLOOKUP(VLOOKUP(K32,$A$24:$E$1023,5,FALSE),'Scratch Sheet'!$L$22:$M$30,2,FALSE),"")</f>
        <v>4860</v>
      </c>
      <c r="N32" s="675">
        <v>29</v>
      </c>
      <c r="O32" s="675" t="str" cm="1">
        <f t="array" ref="O32">IF(OR(INDEX($B$24:$B$1023,N32)="P10",INDEX($B$24:$B$1023,N32)="P11",INDEX($B$24:$B$1023,N32)="P12",INDEX($B$24:$B$1023,N32)="P13"),"C",IF(OR(INDEX($B$24:$B$1023,N32)="P14",INDEX($B$24:$B$1023,N32)="P15",INDEX($B$24:$B$1023,N32)="P16"),"N","O"))&amp;IF(MOD(N32,100)&lt;20,1,IF(MOD(N32,100)&lt;70,2,3))</f>
        <v>C2</v>
      </c>
      <c r="AB32" s="13"/>
      <c r="AC32" s="13"/>
      <c r="AD32" s="13"/>
      <c r="AE32" s="13"/>
      <c r="AF32" s="672"/>
      <c r="AU32" s="576"/>
      <c r="AV32" s="576"/>
      <c r="AW32" s="17"/>
    </row>
    <row r="33" spans="1:49" ht="16.5" thickBot="1">
      <c r="A33" s="662">
        <v>10</v>
      </c>
      <c r="B33" s="661" t="str" cm="1">
        <f t="array" ref="B33">"P"&amp;INDEX(X!$CL$2:$CL$12,'Scratch Sheet'!H32+1)+9</f>
        <v>P16</v>
      </c>
      <c r="C33" s="661">
        <v>1</v>
      </c>
      <c r="D33" s="755">
        <f t="shared" si="1"/>
        <v>7279.9999999999991</v>
      </c>
      <c r="E33" s="682" t="str">
        <f t="shared" si="2"/>
        <v>N1</v>
      </c>
      <c r="F33" s="683">
        <f t="shared" si="3"/>
        <v>4</v>
      </c>
      <c r="H33" s="13">
        <v>187</v>
      </c>
      <c r="I33" s="13">
        <f>VLOOKUP(VLOOKUP(H33,$A$24:$B$1023,2,FALSE),'Scratch Sheet'!$U$23:$X$32,3,FALSE)</f>
        <v>5</v>
      </c>
      <c r="K33" s="13">
        <f>X!CP11</f>
        <v>4</v>
      </c>
      <c r="L33" s="13">
        <f>IFERROR(VLOOKUP(VLOOKUP(K33,$A$24:$B$1023,2,FALSE),'Scratch Sheet'!$U$23:$Y$32,5,FALSE)*VLOOKUP(VLOOKUP(K33,$A$24:$E$1023,5,FALSE),'Scratch Sheet'!$L$22:$M$30,2,FALSE),"")</f>
        <v>13200</v>
      </c>
      <c r="N33" s="675">
        <v>33</v>
      </c>
      <c r="O33" s="675" t="str" cm="1">
        <f t="array" ref="O33">IF(OR(INDEX($B$24:$B$1023,N33)="P10",INDEX($B$24:$B$1023,N33)="P11",INDEX($B$24:$B$1023,N33)="P12",INDEX($B$24:$B$1023,N33)="P13"),"C",IF(OR(INDEX($B$24:$B$1023,N33)="P14",INDEX($B$24:$B$1023,N33)="P15",INDEX($B$24:$B$1023,N33)="P16"),"N","O"))&amp;IF(MOD(N33,100)&lt;20,1,IF(MOD(N33,100)&lt;70,2,3))</f>
        <v>O2</v>
      </c>
      <c r="AB33" s="13"/>
      <c r="AC33" s="13"/>
      <c r="AD33" s="13"/>
      <c r="AE33" s="13"/>
      <c r="AF33" s="672"/>
      <c r="AU33" s="576"/>
      <c r="AV33" s="576"/>
      <c r="AW33" s="17"/>
    </row>
    <row r="34" spans="1:49" ht="16.5" thickBot="1">
      <c r="A34" s="662">
        <v>11</v>
      </c>
      <c r="B34" s="661" t="str" cm="1">
        <f t="array" ref="B34">"P"&amp;INDEX(X!$CL$2:$CL$12,'Scratch Sheet'!H33+1)+9</f>
        <v>P15</v>
      </c>
      <c r="C34" s="661">
        <v>1</v>
      </c>
      <c r="D34" s="755">
        <f t="shared" si="1"/>
        <v>8400</v>
      </c>
      <c r="E34" s="682" t="str">
        <f t="shared" si="2"/>
        <v>N1</v>
      </c>
      <c r="F34" s="683">
        <f t="shared" si="3"/>
        <v>5</v>
      </c>
      <c r="H34" s="13">
        <v>391</v>
      </c>
      <c r="I34" s="13">
        <f>VLOOKUP(VLOOKUP(H34,$A$24:$B$1023,2,FALSE),'Scratch Sheet'!$U$23:$X$32,3,FALSE)</f>
        <v>5</v>
      </c>
      <c r="K34" s="13">
        <f>X!CP12</f>
        <v>2</v>
      </c>
      <c r="L34" s="13">
        <f>IFERROR(VLOOKUP(VLOOKUP(K34,$A$24:$B$1023,2,FALSE),'Scratch Sheet'!$U$23:$Y$32,5,FALSE)*VLOOKUP(VLOOKUP(K34,$A$24:$E$1023,5,FALSE),'Scratch Sheet'!$L$22:$M$30,2,FALSE),"")</f>
        <v>7279.9999999999991</v>
      </c>
      <c r="N34" s="675">
        <v>39</v>
      </c>
      <c r="O34" s="675" t="str" cm="1">
        <f t="array" ref="O34">IF(OR(INDEX($B$24:$B$1023,N34)="P10",INDEX($B$24:$B$1023,N34)="P11",INDEX($B$24:$B$1023,N34)="P12",INDEX($B$24:$B$1023,N34)="P13"),"C",IF(OR(INDEX($B$24:$B$1023,N34)="P14",INDEX($B$24:$B$1023,N34)="P15",INDEX($B$24:$B$1023,N34)="P16"),"N","O"))&amp;IF(MOD(N34,100)&lt;20,1,IF(MOD(N34,100)&lt;70,2,3))</f>
        <v>O2</v>
      </c>
      <c r="AB34" s="13"/>
      <c r="AC34" s="13"/>
      <c r="AD34" s="13"/>
      <c r="AE34" s="13"/>
      <c r="AF34" s="672"/>
      <c r="AU34" s="576"/>
      <c r="AV34" s="576"/>
      <c r="AW34" s="17"/>
    </row>
    <row r="35" spans="1:49" ht="16.5" thickBot="1">
      <c r="A35" s="662">
        <v>12</v>
      </c>
      <c r="B35" s="661" t="str" cm="1">
        <f t="array" ref="B35">"P"&amp;INDEX(X!$CL$2:$CL$12,'Scratch Sheet'!H34+1)+9</f>
        <v>P17</v>
      </c>
      <c r="C35" s="661">
        <v>1</v>
      </c>
      <c r="D35" s="755">
        <f t="shared" si="1"/>
        <v>10800</v>
      </c>
      <c r="E35" s="682" t="str">
        <f t="shared" si="2"/>
        <v>O1</v>
      </c>
      <c r="F35" s="683">
        <f t="shared" si="3"/>
        <v>12</v>
      </c>
      <c r="H35" s="13">
        <v>338</v>
      </c>
      <c r="I35" s="13">
        <f>VLOOKUP(VLOOKUP(H35,$A$24:$B$1023,2,FALSE),'Scratch Sheet'!$U$23:$X$32,3,FALSE)</f>
        <v>8</v>
      </c>
      <c r="K35" s="13">
        <f>X!CP13</f>
        <v>1</v>
      </c>
      <c r="L35" s="13">
        <f>IFERROR(VLOOKUP(VLOOKUP(K35,$A$24:$B$1023,2,FALSE),'Scratch Sheet'!$U$23:$Y$32,5,FALSE)*VLOOKUP(VLOOKUP(K35,$A$24:$E$1023,5,FALSE),'Scratch Sheet'!$L$22:$M$30,2,FALSE),"")</f>
        <v>2880</v>
      </c>
      <c r="N35" s="675">
        <v>44</v>
      </c>
      <c r="O35" s="675" t="str" cm="1">
        <f t="array" ref="O35">IF(OR(INDEX($B$24:$B$1023,N35)="P10",INDEX($B$24:$B$1023,N35)="P11",INDEX($B$24:$B$1023,N35)="P12",INDEX($B$24:$B$1023,N35)="P13"),"C",IF(OR(INDEX($B$24:$B$1023,N35)="P14",INDEX($B$24:$B$1023,N35)="P15",INDEX($B$24:$B$1023,N35)="P16"),"N","O"))&amp;IF(MOD(N35,100)&lt;20,1,IF(MOD(N35,100)&lt;70,2,3))</f>
        <v>C2</v>
      </c>
      <c r="AB35" s="13"/>
      <c r="AC35" s="13"/>
      <c r="AD35" s="13"/>
      <c r="AE35" s="13"/>
      <c r="AF35" s="672"/>
      <c r="AU35" s="576"/>
      <c r="AV35" s="576"/>
      <c r="AW35" s="17"/>
    </row>
    <row r="36" spans="1:49" ht="16.5" thickBot="1">
      <c r="A36" s="662">
        <v>13</v>
      </c>
      <c r="B36" s="661" t="str" cm="1">
        <f t="array" ref="B36">"P"&amp;INDEX(X!$CL$2:$CL$12,'Scratch Sheet'!H35+1)+9</f>
        <v>P11</v>
      </c>
      <c r="C36" s="661">
        <v>1</v>
      </c>
      <c r="D36" s="755">
        <f t="shared" si="1"/>
        <v>13200</v>
      </c>
      <c r="E36" s="682" t="str">
        <f t="shared" si="2"/>
        <v>C1</v>
      </c>
      <c r="F36" s="683">
        <f t="shared" si="3"/>
        <v>11</v>
      </c>
      <c r="H36" s="13">
        <v>272</v>
      </c>
      <c r="I36" s="13">
        <f>VLOOKUP(VLOOKUP(H36,$A$24:$B$1023,2,FALSE),'Scratch Sheet'!$U$23:$X$32,3,FALSE)</f>
        <v>5</v>
      </c>
      <c r="K36" s="13">
        <f>X!CP14</f>
        <v>14</v>
      </c>
      <c r="L36" s="13">
        <f>IFERROR(VLOOKUP(VLOOKUP(K36,$A$24:$B$1023,2,FALSE),'Scratch Sheet'!$U$23:$Y$32,5,FALSE)*VLOOKUP(VLOOKUP(K36,$A$24:$E$1023,5,FALSE),'Scratch Sheet'!$L$22:$M$30,2,FALSE),"")</f>
        <v>10800</v>
      </c>
      <c r="N36" s="675">
        <v>46</v>
      </c>
      <c r="O36" s="675" t="str" cm="1">
        <f t="array" ref="O36">IF(OR(INDEX($B$24:$B$1023,N36)="P10",INDEX($B$24:$B$1023,N36)="P11",INDEX($B$24:$B$1023,N36)="P12",INDEX($B$24:$B$1023,N36)="P13"),"C",IF(OR(INDEX($B$24:$B$1023,N36)="P14",INDEX($B$24:$B$1023,N36)="P15",INDEX($B$24:$B$1023,N36)="P16"),"N","O"))&amp;IF(MOD(N36,100)&lt;20,1,IF(MOD(N36,100)&lt;70,2,3))</f>
        <v>O2</v>
      </c>
      <c r="AB36" s="13"/>
      <c r="AC36" s="13"/>
      <c r="AD36" s="13"/>
      <c r="AE36" s="13"/>
      <c r="AF36" s="672"/>
      <c r="AU36" s="576"/>
      <c r="AV36" s="576"/>
      <c r="AW36" s="17"/>
    </row>
    <row r="37" spans="1:49" ht="16.5" thickBot="1">
      <c r="A37" s="662">
        <v>14</v>
      </c>
      <c r="B37" s="661" t="str" cm="1">
        <f t="array" ref="B37">"P"&amp;INDEX(X!$CL$2:$CL$12,'Scratch Sheet'!H36+1)+9</f>
        <v>P17</v>
      </c>
      <c r="C37" s="661">
        <v>1</v>
      </c>
      <c r="D37" s="755">
        <f t="shared" si="1"/>
        <v>10800</v>
      </c>
      <c r="E37" s="682" t="str">
        <f t="shared" si="2"/>
        <v>O1</v>
      </c>
      <c r="F37" s="683">
        <f t="shared" si="3"/>
        <v>12</v>
      </c>
      <c r="H37" s="13">
        <v>327</v>
      </c>
      <c r="I37" s="13">
        <f>VLOOKUP(VLOOKUP(H37,$A$24:$B$1023,2,FALSE),'Scratch Sheet'!$U$23:$X$32,3,FALSE)</f>
        <v>4</v>
      </c>
      <c r="K37" s="13">
        <f>X!CP15</f>
        <v>7</v>
      </c>
      <c r="L37" s="13">
        <f>IFERROR(VLOOKUP(VLOOKUP(K37,$A$24:$B$1023,2,FALSE),'Scratch Sheet'!$U$23:$Y$32,5,FALSE)*VLOOKUP(VLOOKUP(K37,$A$24:$E$1023,5,FALSE),'Scratch Sheet'!$L$22:$M$30,2,FALSE),"")</f>
        <v>7920</v>
      </c>
      <c r="N37" s="675">
        <v>49</v>
      </c>
      <c r="O37" s="675" t="str" cm="1">
        <f t="array" ref="O37">IF(OR(INDEX($B$24:$B$1023,N37)="P10",INDEX($B$24:$B$1023,N37)="P11",INDEX($B$24:$B$1023,N37)="P12",INDEX($B$24:$B$1023,N37)="P13"),"C",IF(OR(INDEX($B$24:$B$1023,N37)="P14",INDEX($B$24:$B$1023,N37)="P15",INDEX($B$24:$B$1023,N37)="P16"),"N","O"))&amp;IF(MOD(N37,100)&lt;20,1,IF(MOD(N37,100)&lt;70,2,3))</f>
        <v>C2</v>
      </c>
      <c r="AU37" s="576"/>
      <c r="AV37" s="576"/>
      <c r="AW37" s="17"/>
    </row>
    <row r="38" spans="1:49" ht="16.5" thickBot="1">
      <c r="A38" s="662">
        <v>15</v>
      </c>
      <c r="B38" s="661" t="str" cm="1">
        <f t="array" ref="B38">"P"&amp;INDEX(X!$CL$2:$CL$12,'Scratch Sheet'!H37+1)+9</f>
        <v>P13</v>
      </c>
      <c r="C38" s="661">
        <v>1</v>
      </c>
      <c r="D38" s="755">
        <f t="shared" si="1"/>
        <v>5400</v>
      </c>
      <c r="E38" s="682" t="str">
        <f t="shared" si="2"/>
        <v>C1</v>
      </c>
      <c r="F38" s="683">
        <f t="shared" si="3"/>
        <v>5</v>
      </c>
      <c r="H38" s="13">
        <v>529</v>
      </c>
      <c r="I38" s="13">
        <f>VLOOKUP(VLOOKUP(H38,$A$24:$B$1023,2,FALSE),'Scratch Sheet'!$U$23:$X$32,3,FALSE)</f>
        <v>3</v>
      </c>
      <c r="K38" s="13">
        <f>14+X!CO2</f>
        <v>23</v>
      </c>
      <c r="L38" s="13">
        <f>IFERROR(VLOOKUP(VLOOKUP(K38,$A$24:$B$1023,2,FALSE),'Scratch Sheet'!$U$23:$Y$32,5,FALSE)*VLOOKUP(VLOOKUP(K38,$A$24:$E$1023,5,FALSE),'Scratch Sheet'!$L$22:$M$30,2,FALSE),"")</f>
        <v>5400</v>
      </c>
      <c r="N38" s="675">
        <v>51</v>
      </c>
      <c r="O38" s="675" t="str" cm="1">
        <f t="array" ref="O38">IF(OR(INDEX($B$24:$B$1023,N38)="P10",INDEX($B$24:$B$1023,N38)="P11",INDEX($B$24:$B$1023,N38)="P12",INDEX($B$24:$B$1023,N38)="P13"),"C",IF(OR(INDEX($B$24:$B$1023,N38)="P14",INDEX($B$24:$B$1023,N38)="P15",INDEX($B$24:$B$1023,N38)="P16"),"N","O"))&amp;IF(MOD(N38,100)&lt;20,1,IF(MOD(N38,100)&lt;70,2,3))</f>
        <v>O2</v>
      </c>
      <c r="AU38" s="576"/>
      <c r="AV38" s="576"/>
      <c r="AW38" s="17"/>
    </row>
    <row r="39" spans="1:49" ht="16.5" thickBot="1">
      <c r="A39" s="662">
        <v>16</v>
      </c>
      <c r="B39" s="661" t="str" cm="1">
        <f t="array" ref="B39">"P"&amp;INDEX(X!$CL$2:$CL$12,'Scratch Sheet'!H38+1)+9</f>
        <v>P16</v>
      </c>
      <c r="C39" s="661">
        <v>1</v>
      </c>
      <c r="D39" s="755">
        <f t="shared" si="1"/>
        <v>7279.9999999999991</v>
      </c>
      <c r="E39" s="682" t="str">
        <f t="shared" si="2"/>
        <v>N1</v>
      </c>
      <c r="F39" s="683">
        <f t="shared" si="3"/>
        <v>4</v>
      </c>
      <c r="H39" s="13">
        <v>801</v>
      </c>
      <c r="I39" s="13">
        <f>VLOOKUP(VLOOKUP(H39,$A$24:$B$1023,2,FALSE),'Scratch Sheet'!$U$23:$X$32,3,FALSE)</f>
        <v>3</v>
      </c>
      <c r="K39" s="13">
        <f>14+X!CO3</f>
        <v>26</v>
      </c>
      <c r="L39" s="13">
        <f>IFERROR(VLOOKUP(VLOOKUP(K39,$A$24:$B$1023,2,FALSE),'Scratch Sheet'!$U$23:$Y$32,5,FALSE)*VLOOKUP(VLOOKUP(K39,$A$24:$E$1023,5,FALSE),'Scratch Sheet'!$L$22:$M$30,2,FALSE),"")</f>
        <v>5400</v>
      </c>
      <c r="N39" s="675">
        <v>52</v>
      </c>
      <c r="O39" s="675" t="str" cm="1">
        <f t="array" ref="O39">IF(OR(INDEX($B$24:$B$1023,N39)="P10",INDEX($B$24:$B$1023,N39)="P11",INDEX($B$24:$B$1023,N39)="P12",INDEX($B$24:$B$1023,N39)="P13"),"C",IF(OR(INDEX($B$24:$B$1023,N39)="P14",INDEX($B$24:$B$1023,N39)="P15",INDEX($B$24:$B$1023,N39)="P16"),"N","O"))&amp;IF(MOD(N39,100)&lt;20,1,IF(MOD(N39,100)&lt;70,2,3))</f>
        <v>C2</v>
      </c>
      <c r="AU39" s="576"/>
      <c r="AV39" s="576"/>
      <c r="AW39" s="17"/>
    </row>
    <row r="40" spans="1:49" ht="16.5" thickBot="1">
      <c r="A40" s="662">
        <v>17</v>
      </c>
      <c r="B40" s="661" t="str" cm="1">
        <f t="array" ref="B40">"P"&amp;INDEX(X!$CL$2:$CL$12,'Scratch Sheet'!H39+1)+9</f>
        <v>P10</v>
      </c>
      <c r="C40" s="661">
        <v>1</v>
      </c>
      <c r="D40" s="755">
        <f t="shared" si="1"/>
        <v>2880</v>
      </c>
      <c r="E40" s="682" t="str">
        <f t="shared" si="2"/>
        <v>C1</v>
      </c>
      <c r="F40" s="683">
        <f t="shared" si="3"/>
        <v>3</v>
      </c>
      <c r="H40" s="13">
        <v>261</v>
      </c>
      <c r="I40" s="13">
        <f>VLOOKUP(VLOOKUP(H40,$A$24:$B$1023,2,FALSE),'Scratch Sheet'!$U$23:$X$32,3,FALSE)</f>
        <v>12</v>
      </c>
      <c r="K40" s="13">
        <f>14+X!CO4</f>
        <v>25</v>
      </c>
      <c r="L40" s="13">
        <f>IFERROR(VLOOKUP(VLOOKUP(K40,$A$24:$B$1023,2,FALSE),'Scratch Sheet'!$U$23:$Y$32,5,FALSE)*VLOOKUP(VLOOKUP(K40,$A$24:$E$1023,5,FALSE),'Scratch Sheet'!$L$22:$M$30,2,FALSE),"")</f>
        <v>6825</v>
      </c>
      <c r="N40" s="675">
        <v>55</v>
      </c>
      <c r="O40" s="675" t="str" cm="1">
        <f t="array" ref="O40">IF(OR(INDEX($B$24:$B$1023,N40)="P10",INDEX($B$24:$B$1023,N40)="P11",INDEX($B$24:$B$1023,N40)="P12",INDEX($B$24:$B$1023,N40)="P13"),"C",IF(OR(INDEX($B$24:$B$1023,N40)="P14",INDEX($B$24:$B$1023,N40)="P15",INDEX($B$24:$B$1023,N40)="P16"),"N","O"))&amp;IF(MOD(N40,100)&lt;20,1,IF(MOD(N40,100)&lt;70,2,3))</f>
        <v>C2</v>
      </c>
      <c r="AG40" s="666"/>
      <c r="AU40" s="576"/>
      <c r="AV40" s="576"/>
      <c r="AW40" s="17"/>
    </row>
    <row r="41" spans="1:49" ht="16.5" thickBot="1">
      <c r="A41" s="662">
        <v>18</v>
      </c>
      <c r="B41" s="661" t="str" cm="1">
        <f t="array" ref="B41">"P"&amp;INDEX(X!$CL$2:$CL$12,'Scratch Sheet'!H40+1)+9</f>
        <v>P10</v>
      </c>
      <c r="C41" s="661">
        <v>1</v>
      </c>
      <c r="D41" s="755">
        <f t="shared" si="1"/>
        <v>2880</v>
      </c>
      <c r="E41" s="682" t="str">
        <f t="shared" si="2"/>
        <v>C1</v>
      </c>
      <c r="F41" s="683">
        <f t="shared" si="3"/>
        <v>3</v>
      </c>
      <c r="H41" s="13">
        <v>602</v>
      </c>
      <c r="I41" s="13">
        <f>VLOOKUP(VLOOKUP(H41,$A$24:$B$1023,2,FALSE),'Scratch Sheet'!$U$23:$X$32,3,FALSE)</f>
        <v>5</v>
      </c>
      <c r="K41" s="13">
        <f>14+X!CO5</f>
        <v>20</v>
      </c>
      <c r="L41" s="13">
        <f>IFERROR(VLOOKUP(VLOOKUP(K41,$A$24:$B$1023,2,FALSE),'Scratch Sheet'!$U$23:$Y$32,5,FALSE)*VLOOKUP(VLOOKUP(K41,$A$24:$E$1023,5,FALSE),'Scratch Sheet'!$L$22:$M$30,2,FALSE),"")</f>
        <v>13200.000000000002</v>
      </c>
      <c r="N41" s="675">
        <v>64</v>
      </c>
      <c r="O41" s="675" t="str" cm="1">
        <f t="array" ref="O41">IF(OR(INDEX($B$24:$B$1023,N41)="P10",INDEX($B$24:$B$1023,N41)="P11",INDEX($B$24:$B$1023,N41)="P12",INDEX($B$24:$B$1023,N41)="P13"),"C",IF(OR(INDEX($B$24:$B$1023,N41)="P14",INDEX($B$24:$B$1023,N41)="P15",INDEX($B$24:$B$1023,N41)="P16"),"N","O"))&amp;IF(MOD(N41,100)&lt;20,1,IF(MOD(N41,100)&lt;70,2,3))</f>
        <v>O2</v>
      </c>
      <c r="AG41" s="666"/>
      <c r="AU41" s="576"/>
      <c r="AV41" s="576"/>
      <c r="AW41" s="17"/>
    </row>
    <row r="42" spans="1:49" ht="16.5" thickBot="1">
      <c r="A42" s="662">
        <v>19</v>
      </c>
      <c r="B42" s="661" t="str" cm="1">
        <f t="array" ref="B42">"P"&amp;INDEX(X!$CL$2:$CL$12,'Scratch Sheet'!H41+1)+9</f>
        <v>P19</v>
      </c>
      <c r="C42" s="661">
        <v>1</v>
      </c>
      <c r="D42" s="755">
        <f t="shared" si="1"/>
        <v>7920</v>
      </c>
      <c r="E42" s="682" t="str">
        <f t="shared" si="2"/>
        <v>O1</v>
      </c>
      <c r="F42" s="683">
        <f t="shared" si="3"/>
        <v>11</v>
      </c>
      <c r="H42" s="13">
        <v>256</v>
      </c>
      <c r="I42" s="13">
        <f>VLOOKUP(VLOOKUP(H42,$A$24:$B$1023,2,FALSE),'Scratch Sheet'!$U$23:$X$32,3,FALSE)</f>
        <v>5</v>
      </c>
      <c r="K42" s="13">
        <f>14+X!CO6</f>
        <v>22</v>
      </c>
      <c r="L42" s="13">
        <f>IFERROR(VLOOKUP(VLOOKUP(K42,$A$24:$B$1023,2,FALSE),'Scratch Sheet'!$U$23:$Y$32,5,FALSE)*VLOOKUP(VLOOKUP(K42,$A$24:$E$1023,5,FALSE),'Scratch Sheet'!$L$22:$M$30,2,FALSE),"")</f>
        <v>6825</v>
      </c>
      <c r="N42" s="675">
        <v>75</v>
      </c>
      <c r="O42" s="675" t="str" cm="1">
        <f t="array" ref="O42">IF(OR(INDEX($B$24:$B$1023,N42)="P10",INDEX($B$24:$B$1023,N42)="P11",INDEX($B$24:$B$1023,N42)="P12",INDEX($B$24:$B$1023,N42)="P13"),"C",IF(OR(INDEX($B$24:$B$1023,N42)="P14",INDEX($B$24:$B$1023,N42)="P15",INDEX($B$24:$B$1023,N42)="P16"),"N","O"))&amp;IF(MOD(N42,100)&lt;20,1,IF(MOD(N42,100)&lt;70,2,3))</f>
        <v>O3</v>
      </c>
      <c r="AG42" s="666"/>
      <c r="AU42" s="576"/>
      <c r="AV42" s="576"/>
      <c r="AW42" s="17"/>
    </row>
    <row r="43" spans="1:49" ht="16.5" thickBot="1">
      <c r="A43" s="662">
        <v>20</v>
      </c>
      <c r="B43" s="661" t="str" cm="1">
        <f t="array" ref="B43">"P"&amp;INDEX(X!$CL$2:$CL$12,'Scratch Sheet'!H42+1)+9</f>
        <v>P17</v>
      </c>
      <c r="C43" s="661">
        <v>1</v>
      </c>
      <c r="D43" s="755">
        <f t="shared" si="1"/>
        <v>13200.000000000002</v>
      </c>
      <c r="E43" s="682" t="str">
        <f t="shared" si="2"/>
        <v>O2</v>
      </c>
      <c r="F43" s="683">
        <f t="shared" si="3"/>
        <v>12</v>
      </c>
      <c r="H43" s="13">
        <v>904</v>
      </c>
      <c r="I43" s="13">
        <f>VLOOKUP(VLOOKUP(H43,$A$24:$B$1023,2,FALSE),'Scratch Sheet'!$U$23:$X$32,3,FALSE)</f>
        <v>11</v>
      </c>
      <c r="K43" s="13">
        <f>14+X!CO7</f>
        <v>21</v>
      </c>
      <c r="L43" s="13">
        <f>IFERROR(VLOOKUP(VLOOKUP(K43,$A$24:$B$1023,2,FALSE),'Scratch Sheet'!$U$23:$Y$32,5,FALSE)*VLOOKUP(VLOOKUP(K43,$A$24:$E$1023,5,FALSE),'Scratch Sheet'!$L$22:$M$30,2,FALSE),"")</f>
        <v>4500</v>
      </c>
      <c r="N43" s="675">
        <v>80</v>
      </c>
      <c r="O43" s="675" t="str" cm="1">
        <f t="array" ref="O43">IF(OR(INDEX($B$24:$B$1023,N43)="P10",INDEX($B$24:$B$1023,N43)="P11",INDEX($B$24:$B$1023,N43)="P12",INDEX($B$24:$B$1023,N43)="P13"),"C",IF(OR(INDEX($B$24:$B$1023,N43)="P14",INDEX($B$24:$B$1023,N43)="P15",INDEX($B$24:$B$1023,N43)="P16"),"N","O"))&amp;IF(MOD(N43,100)&lt;20,1,IF(MOD(N43,100)&lt;70,2,3))</f>
        <v>C3</v>
      </c>
      <c r="AG43" s="666"/>
      <c r="AU43" s="576"/>
      <c r="AV43" s="576"/>
      <c r="AW43" s="17"/>
    </row>
    <row r="44" spans="1:49" ht="16.5" thickBot="1">
      <c r="A44" s="662">
        <v>21</v>
      </c>
      <c r="B44" s="661" t="str" cm="1">
        <f t="array" ref="B44">"P"&amp;INDEX(X!$CL$2:$CL$12,'Scratch Sheet'!H43+1)+9</f>
        <v>P13</v>
      </c>
      <c r="C44" s="661">
        <v>1</v>
      </c>
      <c r="D44" s="755">
        <f t="shared" si="1"/>
        <v>4500</v>
      </c>
      <c r="E44" s="682" t="str">
        <f t="shared" si="2"/>
        <v>C2</v>
      </c>
      <c r="F44" s="683">
        <f t="shared" si="3"/>
        <v>5</v>
      </c>
      <c r="H44" s="13">
        <v>229</v>
      </c>
      <c r="I44" s="13">
        <f>VLOOKUP(VLOOKUP(H44,$A$24:$B$1023,2,FALSE),'Scratch Sheet'!$U$23:$X$32,3,FALSE)</f>
        <v>11</v>
      </c>
      <c r="K44" s="13">
        <f>14+X!CO8</f>
        <v>24</v>
      </c>
      <c r="L44" s="13">
        <f>IFERROR(VLOOKUP(VLOOKUP(K44,$A$24:$B$1023,2,FALSE),'Scratch Sheet'!$U$23:$Y$32,5,FALSE)*VLOOKUP(VLOOKUP(K44,$A$24:$E$1023,5,FALSE),'Scratch Sheet'!$L$22:$M$30,2,FALSE),"")</f>
        <v>6825</v>
      </c>
      <c r="N44" s="675">
        <v>84</v>
      </c>
      <c r="O44" s="675" t="str" cm="1">
        <f t="array" ref="O44">IF(OR(INDEX($B$24:$B$1023,N44)="P10",INDEX($B$24:$B$1023,N44)="P11",INDEX($B$24:$B$1023,N44)="P12",INDEX($B$24:$B$1023,N44)="P13"),"C",IF(OR(INDEX($B$24:$B$1023,N44)="P14",INDEX($B$24:$B$1023,N44)="P15",INDEX($B$24:$B$1023,N44)="P16"),"N","O"))&amp;IF(MOD(N44,100)&lt;20,1,IF(MOD(N44,100)&lt;70,2,3))</f>
        <v>C3</v>
      </c>
      <c r="AG44" s="666"/>
      <c r="AU44" s="576"/>
      <c r="AV44" s="576"/>
      <c r="AW44" s="17"/>
    </row>
    <row r="45" spans="1:49" ht="16.5" thickBot="1">
      <c r="A45" s="662">
        <v>22</v>
      </c>
      <c r="B45" s="661" t="str" cm="1">
        <f t="array" ref="B45">"P"&amp;INDEX(X!$CL$2:$CL$12,'Scratch Sheet'!H44+1)+9</f>
        <v>P12</v>
      </c>
      <c r="C45" s="661">
        <v>1</v>
      </c>
      <c r="D45" s="755">
        <f t="shared" si="1"/>
        <v>6825</v>
      </c>
      <c r="E45" s="682" t="str">
        <f t="shared" si="2"/>
        <v>C2</v>
      </c>
      <c r="F45" s="683">
        <f t="shared" si="3"/>
        <v>6.5</v>
      </c>
      <c r="H45" s="13">
        <v>364</v>
      </c>
      <c r="I45" s="13">
        <f>VLOOKUP(VLOOKUP(H45,$A$24:$B$1023,2,FALSE),'Scratch Sheet'!$U$23:$X$32,3,FALSE)</f>
        <v>5</v>
      </c>
      <c r="K45" s="13">
        <f>14+X!CO9</f>
        <v>19</v>
      </c>
      <c r="L45" s="13">
        <f>IFERROR(VLOOKUP(VLOOKUP(K45,$A$24:$B$1023,2,FALSE),'Scratch Sheet'!$U$23:$Y$32,5,FALSE)*VLOOKUP(VLOOKUP(K45,$A$24:$E$1023,5,FALSE),'Scratch Sheet'!$L$22:$M$30,2,FALSE),"")</f>
        <v>7920</v>
      </c>
      <c r="N45" s="675">
        <v>87</v>
      </c>
      <c r="O45" s="675" t="str" cm="1">
        <f t="array" ref="O45">IF(OR(INDEX($B$24:$B$1023,N45)="P10",INDEX($B$24:$B$1023,N45)="P11",INDEX($B$24:$B$1023,N45)="P12",INDEX($B$24:$B$1023,N45)="P13"),"C",IF(OR(INDEX($B$24:$B$1023,N45)="P14",INDEX($B$24:$B$1023,N45)="P15",INDEX($B$24:$B$1023,N45)="P16"),"N","O"))&amp;IF(MOD(N45,100)&lt;20,1,IF(MOD(N45,100)&lt;70,2,3))</f>
        <v>C3</v>
      </c>
      <c r="AG45" s="666"/>
      <c r="AU45" s="576"/>
      <c r="AV45" s="576"/>
      <c r="AW45" s="17"/>
    </row>
    <row r="46" spans="1:49" ht="16.5" thickBot="1">
      <c r="A46" s="662">
        <v>23</v>
      </c>
      <c r="B46" s="661" t="str" cm="1">
        <f t="array" ref="B46">"P"&amp;INDEX(X!$CL$2:$CL$12,'Scratch Sheet'!H45+1)+9</f>
        <v>P15</v>
      </c>
      <c r="C46" s="661">
        <v>1</v>
      </c>
      <c r="D46" s="755">
        <f t="shared" si="1"/>
        <v>5400</v>
      </c>
      <c r="E46" s="682" t="str">
        <f t="shared" si="2"/>
        <v>N2</v>
      </c>
      <c r="F46" s="683">
        <f t="shared" si="3"/>
        <v>5</v>
      </c>
      <c r="H46" s="13">
        <v>619</v>
      </c>
      <c r="I46" s="13">
        <f>VLOOKUP(VLOOKUP(H46,$A$24:$B$1023,2,FALSE),'Scratch Sheet'!$U$23:$X$32,3,FALSE)</f>
        <v>5</v>
      </c>
      <c r="K46" s="13">
        <f>14+X!CO10</f>
        <v>17</v>
      </c>
      <c r="L46" s="13">
        <f>IFERROR(VLOOKUP(VLOOKUP(K46,$A$24:$B$1023,2,FALSE),'Scratch Sheet'!$U$23:$Y$32,5,FALSE)*VLOOKUP(VLOOKUP(K46,$A$24:$E$1023,5,FALSE),'Scratch Sheet'!$L$22:$M$30,2,FALSE),"")</f>
        <v>2880</v>
      </c>
      <c r="N46" s="675">
        <v>90</v>
      </c>
      <c r="O46" s="675" t="str" cm="1">
        <f t="array" ref="O46">IF(OR(INDEX($B$24:$B$1023,N46)="P10",INDEX($B$24:$B$1023,N46)="P11",INDEX($B$24:$B$1023,N46)="P12",INDEX($B$24:$B$1023,N46)="P13"),"C",IF(OR(INDEX($B$24:$B$1023,N46)="P14",INDEX($B$24:$B$1023,N46)="P15",INDEX($B$24:$B$1023,N46)="P16"),"N","O"))&amp;IF(MOD(N46,100)&lt;20,1,IF(MOD(N46,100)&lt;70,2,3))</f>
        <v>O3</v>
      </c>
      <c r="AG46" s="666"/>
      <c r="AU46" s="576"/>
      <c r="AV46" s="576"/>
      <c r="AW46" s="17"/>
    </row>
    <row r="47" spans="1:49" ht="16.5" thickBot="1">
      <c r="A47" s="662">
        <v>24</v>
      </c>
      <c r="B47" s="661" t="str" cm="1">
        <f t="array" ref="B47">"P"&amp;INDEX(X!$CL$2:$CL$12,'Scratch Sheet'!H46+1)+9</f>
        <v>P12</v>
      </c>
      <c r="C47" s="661">
        <v>1</v>
      </c>
      <c r="D47" s="755">
        <f t="shared" si="1"/>
        <v>6825</v>
      </c>
      <c r="E47" s="682" t="str">
        <f t="shared" si="2"/>
        <v>C2</v>
      </c>
      <c r="F47" s="683">
        <f t="shared" si="3"/>
        <v>6.5</v>
      </c>
      <c r="H47" s="13">
        <v>724</v>
      </c>
      <c r="I47" s="13">
        <f>VLOOKUP(VLOOKUP(H47,$A$24:$B$1023,2,FALSE),'Scratch Sheet'!$U$23:$X$32,3,FALSE)</f>
        <v>6.5</v>
      </c>
      <c r="K47" s="13">
        <f>14+X!CO11</f>
        <v>18</v>
      </c>
      <c r="L47" s="13">
        <f>IFERROR(VLOOKUP(VLOOKUP(K47,$A$24:$B$1023,2,FALSE),'Scratch Sheet'!$U$23:$Y$32,5,FALSE)*VLOOKUP(VLOOKUP(K47,$A$24:$E$1023,5,FALSE),'Scratch Sheet'!$L$22:$M$30,2,FALSE),"")</f>
        <v>2880</v>
      </c>
      <c r="N47" s="675">
        <v>91</v>
      </c>
      <c r="O47" s="675" t="str" cm="1">
        <f t="array" ref="O47">IF(OR(INDEX($B$24:$B$1023,N47)="P10",INDEX($B$24:$B$1023,N47)="P11",INDEX($B$24:$B$1023,N47)="P12",INDEX($B$24:$B$1023,N47)="P13"),"C",IF(OR(INDEX($B$24:$B$1023,N47)="P14",INDEX($B$24:$B$1023,N47)="P15",INDEX($B$24:$B$1023,N47)="P16"),"N","O"))&amp;IF(MOD(N47,100)&lt;20,1,IF(MOD(N47,100)&lt;70,2,3))</f>
        <v>O3</v>
      </c>
      <c r="AG47" s="666"/>
      <c r="AU47" s="576"/>
      <c r="AV47" s="576"/>
      <c r="AW47" s="17"/>
    </row>
    <row r="48" spans="1:49" ht="16.5" thickBot="1">
      <c r="A48" s="662">
        <v>25</v>
      </c>
      <c r="B48" s="661" t="str" cm="1">
        <f t="array" ref="B48">"P"&amp;INDEX(X!$CL$2:$CL$12,'Scratch Sheet'!H47+1)+9</f>
        <v>P12</v>
      </c>
      <c r="C48" s="661">
        <v>1</v>
      </c>
      <c r="D48" s="755">
        <f t="shared" si="1"/>
        <v>6825</v>
      </c>
      <c r="E48" s="682" t="str">
        <f t="shared" si="2"/>
        <v>C2</v>
      </c>
      <c r="F48" s="683">
        <f t="shared" si="3"/>
        <v>6.5</v>
      </c>
      <c r="H48" s="13">
        <v>668</v>
      </c>
      <c r="I48" s="13">
        <f>VLOOKUP(VLOOKUP(H48,$A$24:$B$1023,2,FALSE),'Scratch Sheet'!$U$23:$X$32,3,FALSE)</f>
        <v>12</v>
      </c>
      <c r="K48" s="13">
        <f>14+X!CO12</f>
        <v>16</v>
      </c>
      <c r="L48" s="13">
        <f>IFERROR(VLOOKUP(VLOOKUP(K48,$A$24:$B$1023,2,FALSE),'Scratch Sheet'!$U$23:$Y$32,5,FALSE)*VLOOKUP(VLOOKUP(K48,$A$24:$E$1023,5,FALSE),'Scratch Sheet'!$L$22:$M$30,2,FALSE),"")</f>
        <v>7279.9999999999991</v>
      </c>
      <c r="N48" s="675">
        <v>96</v>
      </c>
      <c r="O48" s="675" t="str" cm="1">
        <f t="array" ref="O48">IF(OR(INDEX($B$24:$B$1023,N48)="P10",INDEX($B$24:$B$1023,N48)="P11",INDEX($B$24:$B$1023,N48)="P12",INDEX($B$24:$B$1023,N48)="P13"),"C",IF(OR(INDEX($B$24:$B$1023,N48)="P14",INDEX($B$24:$B$1023,N48)="P15",INDEX($B$24:$B$1023,N48)="P16"),"N","O"))&amp;IF(MOD(N48,100)&lt;20,1,IF(MOD(N48,100)&lt;70,2,3))</f>
        <v>C3</v>
      </c>
      <c r="AG48" s="666"/>
      <c r="AU48" s="576"/>
      <c r="AV48" s="576"/>
      <c r="AW48" s="17"/>
    </row>
    <row r="49" spans="1:49" ht="16.5" thickBot="1">
      <c r="A49" s="662">
        <v>26</v>
      </c>
      <c r="B49" s="661" t="str" cm="1">
        <f t="array" ref="B49">"P"&amp;INDEX(X!$CL$2:$CL$12,'Scratch Sheet'!H48+1)+9</f>
        <v>P15</v>
      </c>
      <c r="C49" s="661">
        <v>1</v>
      </c>
      <c r="D49" s="755">
        <f t="shared" si="1"/>
        <v>5400</v>
      </c>
      <c r="E49" s="682" t="str">
        <f t="shared" si="2"/>
        <v>N2</v>
      </c>
      <c r="F49" s="683">
        <f t="shared" si="3"/>
        <v>5</v>
      </c>
      <c r="H49" s="13">
        <v>421</v>
      </c>
      <c r="I49" s="13">
        <f>VLOOKUP(VLOOKUP(H49,$A$24:$B$1023,2,FALSE),'Scratch Sheet'!$U$23:$X$32,3,FALSE)</f>
        <v>11</v>
      </c>
      <c r="K49" s="13">
        <f>14+X!CO13</f>
        <v>15</v>
      </c>
      <c r="L49" s="13">
        <f>IFERROR(VLOOKUP(VLOOKUP(K49,$A$24:$B$1023,2,FALSE),'Scratch Sheet'!$U$23:$Y$32,5,FALSE)*VLOOKUP(VLOOKUP(K49,$A$24:$E$1023,5,FALSE),'Scratch Sheet'!$L$22:$M$30,2,FALSE),"")</f>
        <v>5400</v>
      </c>
      <c r="N49" s="675">
        <v>97</v>
      </c>
      <c r="O49" s="675" t="str" cm="1">
        <f t="array" ref="O49">IF(OR(INDEX($B$24:$B$1023,N49)="P10",INDEX($B$24:$B$1023,N49)="P11",INDEX($B$24:$B$1023,N49)="P12",INDEX($B$24:$B$1023,N49)="P13"),"C",IF(OR(INDEX($B$24:$B$1023,N49)="P14",INDEX($B$24:$B$1023,N49)="P15",INDEX($B$24:$B$1023,N49)="P16"),"N","O"))&amp;IF(MOD(N49,100)&lt;20,1,IF(MOD(N49,100)&lt;70,2,3))</f>
        <v>C3</v>
      </c>
      <c r="AG49" s="666"/>
      <c r="AU49" s="576"/>
      <c r="AV49" s="576"/>
      <c r="AW49" s="17"/>
    </row>
    <row r="50" spans="1:49" ht="16.5" thickBot="1">
      <c r="A50" s="662">
        <v>27</v>
      </c>
      <c r="B50" s="661" t="str" cm="1">
        <f t="array" ref="B50">"P"&amp;INDEX(X!$CL$2:$CL$12,'Scratch Sheet'!H49+1)+9</f>
        <v>P16</v>
      </c>
      <c r="C50" s="661">
        <v>1</v>
      </c>
      <c r="D50" s="755">
        <f t="shared" si="1"/>
        <v>4680</v>
      </c>
      <c r="E50" s="682" t="str">
        <f t="shared" si="2"/>
        <v>N2</v>
      </c>
      <c r="F50" s="683">
        <f t="shared" si="3"/>
        <v>4</v>
      </c>
      <c r="H50" s="13">
        <v>541</v>
      </c>
      <c r="I50" s="13">
        <f>VLOOKUP(VLOOKUP(H50,$A$24:$B$1023,2,FALSE),'Scratch Sheet'!$U$23:$X$32,3,FALSE)</f>
        <v>6</v>
      </c>
      <c r="K50" s="13">
        <f>14+X!CO14</f>
        <v>27</v>
      </c>
      <c r="L50" s="13">
        <f>IFERROR(VLOOKUP(VLOOKUP(K50,$A$24:$B$1023,2,FALSE),'Scratch Sheet'!$U$23:$Y$32,5,FALSE)*VLOOKUP(VLOOKUP(K50,$A$24:$E$1023,5,FALSE),'Scratch Sheet'!$L$22:$M$30,2,FALSE),"")</f>
        <v>4680</v>
      </c>
      <c r="N50" s="675">
        <v>101</v>
      </c>
      <c r="O50" s="675" t="str" cm="1">
        <f t="array" ref="O50">IF(OR(INDEX($B$24:$B$1023,N50)="P10",INDEX($B$24:$B$1023,N50)="P11",INDEX($B$24:$B$1023,N50)="P12",INDEX($B$24:$B$1023,N50)="P13"),"C",IF(OR(INDEX($B$24:$B$1023,N50)="P14",INDEX($B$24:$B$1023,N50)="P15",INDEX($B$24:$B$1023,N50)="P16"),"N","O"))&amp;IF(MOD(N50,100)&lt;20,1,IF(MOD(N50,100)&lt;70,2,3))</f>
        <v>C1</v>
      </c>
      <c r="AU50" s="576"/>
      <c r="AV50" s="576"/>
      <c r="AW50" s="17"/>
    </row>
    <row r="51" spans="1:49" ht="16.5" thickBot="1">
      <c r="A51" s="662">
        <v>28</v>
      </c>
      <c r="B51" s="661" t="str" cm="1">
        <f t="array" ref="B51">"P"&amp;INDEX(X!$CL$2:$CL$12,'Scratch Sheet'!H50+1)+9</f>
        <v>P11</v>
      </c>
      <c r="C51" s="661">
        <v>1</v>
      </c>
      <c r="D51" s="755">
        <f t="shared" si="1"/>
        <v>11000</v>
      </c>
      <c r="E51" s="682" t="str">
        <f t="shared" si="2"/>
        <v>C2</v>
      </c>
      <c r="F51" s="683">
        <f t="shared" si="3"/>
        <v>11</v>
      </c>
      <c r="H51" s="13">
        <v>253</v>
      </c>
      <c r="I51" s="13">
        <f>VLOOKUP(VLOOKUP(H51,$A$24:$B$1023,2,FALSE),'Scratch Sheet'!$U$23:$X$32,3,FALSE)</f>
        <v>8</v>
      </c>
      <c r="K51" s="13">
        <f>27+X!CN2</f>
        <v>36</v>
      </c>
      <c r="L51" s="13">
        <f>IFERROR(VLOOKUP(VLOOKUP(K51,$A$24:$B$1023,2,FALSE),'Scratch Sheet'!$U$23:$Y$32,5,FALSE)*VLOOKUP(VLOOKUP(K51,$A$24:$E$1023,5,FALSE),'Scratch Sheet'!$L$22:$M$30,2,FALSE),"")</f>
        <v>9680</v>
      </c>
      <c r="N51" s="675">
        <v>104</v>
      </c>
      <c r="O51" s="675" t="str" cm="1">
        <f t="array" ref="O51">IF(OR(INDEX($B$24:$B$1023,N51)="P10",INDEX($B$24:$B$1023,N51)="P11",INDEX($B$24:$B$1023,N51)="P12",INDEX($B$24:$B$1023,N51)="P13"),"C",IF(OR(INDEX($B$24:$B$1023,N51)="P14",INDEX($B$24:$B$1023,N51)="P15",INDEX($B$24:$B$1023,N51)="P16"),"N","O"))&amp;IF(MOD(N51,100)&lt;20,1,IF(MOD(N51,100)&lt;70,2,3))</f>
        <v>C1</v>
      </c>
      <c r="AG51" s="666"/>
      <c r="AU51" s="576"/>
      <c r="AV51" s="576"/>
      <c r="AW51" s="17"/>
    </row>
    <row r="52" spans="1:49" ht="16.5" thickBot="1">
      <c r="A52" s="662">
        <v>29</v>
      </c>
      <c r="B52" s="661" t="str" cm="1">
        <f t="array" ref="B52">"P"&amp;INDEX(X!$CL$2:$CL$12,'Scratch Sheet'!H51+1)+9</f>
        <v>P10</v>
      </c>
      <c r="C52" s="661">
        <v>1</v>
      </c>
      <c r="D52" s="755">
        <f t="shared" si="1"/>
        <v>2400</v>
      </c>
      <c r="E52" s="682" t="str">
        <f t="shared" si="2"/>
        <v>C2</v>
      </c>
      <c r="F52" s="683">
        <f t="shared" si="3"/>
        <v>3</v>
      </c>
      <c r="H52" s="13">
        <v>928</v>
      </c>
      <c r="I52" s="13">
        <f>VLOOKUP(VLOOKUP(H52,$A$24:$B$1023,2,FALSE),'Scratch Sheet'!$U$23:$X$32,3,FALSE)</f>
        <v>6.5</v>
      </c>
      <c r="K52" s="13">
        <f>27+X!CN3</f>
        <v>39</v>
      </c>
      <c r="L52" s="13">
        <f>IFERROR(VLOOKUP(VLOOKUP(K52,$A$24:$B$1023,2,FALSE),'Scratch Sheet'!$U$23:$Y$32,5,FALSE)*VLOOKUP(VLOOKUP(K52,$A$24:$E$1023,5,FALSE),'Scratch Sheet'!$L$22:$M$30,2,FALSE),"")</f>
        <v>13200.000000000002</v>
      </c>
      <c r="N52" s="675">
        <v>107</v>
      </c>
      <c r="O52" s="675" t="str" cm="1">
        <f t="array" ref="O52">IF(OR(INDEX($B$24:$B$1023,N52)="P10",INDEX($B$24:$B$1023,N52)="P11",INDEX($B$24:$B$1023,N52)="P12",INDEX($B$24:$B$1023,N52)="P13"),"C",IF(OR(INDEX($B$24:$B$1023,N52)="P14",INDEX($B$24:$B$1023,N52)="P15",INDEX($B$24:$B$1023,N52)="P16"),"N","O"))&amp;IF(MOD(N52,100)&lt;20,1,IF(MOD(N52,100)&lt;70,2,3))</f>
        <v>O1</v>
      </c>
      <c r="AU52" s="576"/>
      <c r="AV52" s="576"/>
      <c r="AW52" s="17"/>
    </row>
    <row r="53" spans="1:49" ht="16.5" thickBot="1">
      <c r="A53" s="662">
        <v>30</v>
      </c>
      <c r="B53" s="661" t="str" cm="1">
        <f t="array" ref="B53">"P"&amp;INDEX(X!$CL$2:$CL$12,'Scratch Sheet'!H52+1)+9</f>
        <v>P13</v>
      </c>
      <c r="C53" s="661">
        <v>1</v>
      </c>
      <c r="D53" s="755">
        <f t="shared" si="1"/>
        <v>4500</v>
      </c>
      <c r="E53" s="682" t="str">
        <f t="shared" si="2"/>
        <v>C2</v>
      </c>
      <c r="F53" s="683">
        <f t="shared" si="3"/>
        <v>5</v>
      </c>
      <c r="H53" s="13">
        <v>969</v>
      </c>
      <c r="I53" s="13">
        <f>VLOOKUP(VLOOKUP(H53,$A$24:$B$1023,2,FALSE),'Scratch Sheet'!$U$23:$X$32,3,FALSE)</f>
        <v>5</v>
      </c>
      <c r="K53" s="13">
        <f>27+X!CN4</f>
        <v>38</v>
      </c>
      <c r="L53" s="13">
        <f>IFERROR(VLOOKUP(VLOOKUP(K53,$A$24:$B$1023,2,FALSE),'Scratch Sheet'!$U$23:$Y$32,5,FALSE)*VLOOKUP(VLOOKUP(K53,$A$24:$E$1023,5,FALSE),'Scratch Sheet'!$L$22:$M$30,2,FALSE),"")</f>
        <v>6825</v>
      </c>
      <c r="N53" s="675">
        <v>108</v>
      </c>
      <c r="O53" s="675" t="str" cm="1">
        <f t="array" ref="O53">IF(OR(INDEX($B$24:$B$1023,N53)="P10",INDEX($B$24:$B$1023,N53)="P11",INDEX($B$24:$B$1023,N53)="P12",INDEX($B$24:$B$1023,N53)="P13"),"C",IF(OR(INDEX($B$24:$B$1023,N53)="P14",INDEX($B$24:$B$1023,N53)="P15",INDEX($B$24:$B$1023,N53)="P16"),"N","O"))&amp;IF(MOD(N53,100)&lt;20,1,IF(MOD(N53,100)&lt;70,2,3))</f>
        <v>O1</v>
      </c>
      <c r="AU53" s="576"/>
      <c r="AV53" s="576"/>
      <c r="AW53" s="17"/>
    </row>
    <row r="54" spans="1:49" ht="16.5" thickBot="1">
      <c r="A54" s="662">
        <v>31</v>
      </c>
      <c r="B54" s="661" t="str" cm="1">
        <f t="array" ref="B54">"P"&amp;INDEX(X!$CL$2:$CL$12,'Scratch Sheet'!H53+1)+9</f>
        <v>P13</v>
      </c>
      <c r="C54" s="661">
        <v>1</v>
      </c>
      <c r="D54" s="755">
        <f t="shared" si="1"/>
        <v>4500</v>
      </c>
      <c r="E54" s="682" t="str">
        <f t="shared" si="2"/>
        <v>C2</v>
      </c>
      <c r="F54" s="683">
        <f t="shared" si="3"/>
        <v>5</v>
      </c>
      <c r="H54" s="13">
        <v>97</v>
      </c>
      <c r="I54" s="13">
        <f>VLOOKUP(VLOOKUP(H54,$A$24:$B$1023,2,FALSE),'Scratch Sheet'!$U$23:$X$32,3,FALSE)</f>
        <v>3</v>
      </c>
      <c r="K54" s="13">
        <f>27+X!CN5</f>
        <v>33</v>
      </c>
      <c r="L54" s="13">
        <f>IFERROR(VLOOKUP(VLOOKUP(K54,$A$24:$B$1023,2,FALSE),'Scratch Sheet'!$U$23:$Y$32,5,FALSE)*VLOOKUP(VLOOKUP(K54,$A$24:$E$1023,5,FALSE),'Scratch Sheet'!$L$22:$M$30,2,FALSE),"")</f>
        <v>13200.000000000002</v>
      </c>
      <c r="N54" s="675">
        <v>113</v>
      </c>
      <c r="O54" s="675" t="str" cm="1">
        <f t="array" ref="O54">IF(OR(INDEX($B$24:$B$1023,N54)="P10",INDEX($B$24:$B$1023,N54)="P11",INDEX($B$24:$B$1023,N54)="P12",INDEX($B$24:$B$1023,N54)="P13"),"C",IF(OR(INDEX($B$24:$B$1023,N54)="P14",INDEX($B$24:$B$1023,N54)="P15",INDEX($B$24:$B$1023,N54)="P16"),"N","O"))&amp;IF(MOD(N54,100)&lt;20,1,IF(MOD(N54,100)&lt;70,2,3))</f>
        <v>C1</v>
      </c>
      <c r="AU54" s="576"/>
      <c r="AV54" s="576"/>
      <c r="AW54" s="17"/>
    </row>
    <row r="55" spans="1:49" ht="16.5" thickBot="1">
      <c r="A55" s="662">
        <v>32</v>
      </c>
      <c r="B55" s="661" t="str" cm="1">
        <f t="array" ref="B55">"P"&amp;INDEX(X!$CL$2:$CL$12,'Scratch Sheet'!H54+1)+9</f>
        <v>P12</v>
      </c>
      <c r="C55" s="661">
        <v>1</v>
      </c>
      <c r="D55" s="755">
        <f t="shared" si="1"/>
        <v>6825</v>
      </c>
      <c r="E55" s="682" t="str">
        <f t="shared" si="2"/>
        <v>C2</v>
      </c>
      <c r="F55" s="683">
        <f t="shared" si="3"/>
        <v>6.5</v>
      </c>
      <c r="H55" s="13">
        <v>388</v>
      </c>
      <c r="I55" s="13">
        <f>VLOOKUP(VLOOKUP(H55,$A$24:$B$1023,2,FALSE),'Scratch Sheet'!$U$23:$X$32,3,FALSE)</f>
        <v>6</v>
      </c>
      <c r="K55" s="13">
        <f>27+X!CN6</f>
        <v>35</v>
      </c>
      <c r="L55" s="13">
        <f>IFERROR(VLOOKUP(VLOOKUP(K55,$A$24:$B$1023,2,FALSE),'Scratch Sheet'!$U$23:$Y$32,5,FALSE)*VLOOKUP(VLOOKUP(K55,$A$24:$E$1023,5,FALSE),'Scratch Sheet'!$L$22:$M$30,2,FALSE),"")</f>
        <v>5400</v>
      </c>
      <c r="N55" s="675">
        <v>114</v>
      </c>
      <c r="O55" s="675" t="str" cm="1">
        <f t="array" ref="O55">IF(OR(INDEX($B$24:$B$1023,N55)="P10",INDEX($B$24:$B$1023,N55)="P11",INDEX($B$24:$B$1023,N55)="P12",INDEX($B$24:$B$1023,N55)="P13"),"C",IF(OR(INDEX($B$24:$B$1023,N55)="P14",INDEX($B$24:$B$1023,N55)="P15",INDEX($B$24:$B$1023,N55)="P16"),"N","O"))&amp;IF(MOD(N55,100)&lt;20,1,IF(MOD(N55,100)&lt;70,2,3))</f>
        <v>C1</v>
      </c>
      <c r="AG55" s="18"/>
      <c r="AU55" s="576"/>
      <c r="AV55" s="576"/>
      <c r="AW55" s="17"/>
    </row>
    <row r="56" spans="1:49" ht="16.5" thickBot="1">
      <c r="A56" s="662">
        <v>33</v>
      </c>
      <c r="B56" s="661" t="str" cm="1">
        <f t="array" ref="B56">"P"&amp;INDEX(X!$CL$2:$CL$12,'Scratch Sheet'!H55+1)+9</f>
        <v>P17</v>
      </c>
      <c r="C56" s="661">
        <v>1</v>
      </c>
      <c r="D56" s="755">
        <f t="shared" si="1"/>
        <v>13200.000000000002</v>
      </c>
      <c r="E56" s="682" t="str">
        <f t="shared" si="2"/>
        <v>O2</v>
      </c>
      <c r="F56" s="683">
        <f t="shared" si="3"/>
        <v>12</v>
      </c>
      <c r="H56" s="13">
        <v>308</v>
      </c>
      <c r="I56" s="13">
        <f>VLOOKUP(VLOOKUP(H56,$A$24:$B$1023,2,FALSE),'Scratch Sheet'!$U$23:$X$32,3,FALSE)</f>
        <v>3</v>
      </c>
      <c r="K56" s="13">
        <f>27+X!CN7</f>
        <v>34</v>
      </c>
      <c r="L56" s="13">
        <f>IFERROR(VLOOKUP(VLOOKUP(K56,$A$24:$B$1023,2,FALSE),'Scratch Sheet'!$U$23:$Y$32,5,FALSE)*VLOOKUP(VLOOKUP(K56,$A$24:$E$1023,5,FALSE),'Scratch Sheet'!$L$22:$M$30,2,FALSE),"")</f>
        <v>5940.0000000000009</v>
      </c>
      <c r="N56" s="675">
        <v>118</v>
      </c>
      <c r="O56" s="675" t="str" cm="1">
        <f t="array" ref="O56">IF(OR(INDEX($B$24:$B$1023,N56)="P10",INDEX($B$24:$B$1023,N56)="P11",INDEX($B$24:$B$1023,N56)="P12",INDEX($B$24:$B$1023,N56)="P13"),"C",IF(OR(INDEX($B$24:$B$1023,N56)="P14",INDEX($B$24:$B$1023,N56)="P15",INDEX($B$24:$B$1023,N56)="P16"),"N","O"))&amp;IF(MOD(N56,100)&lt;20,1,IF(MOD(N56,100)&lt;70,2,3))</f>
        <v>C1</v>
      </c>
      <c r="AU56" s="576"/>
      <c r="AV56" s="576"/>
      <c r="AW56" s="17"/>
    </row>
    <row r="57" spans="1:49" ht="16.5" thickBot="1">
      <c r="A57" s="662">
        <v>34</v>
      </c>
      <c r="B57" s="661" t="str" cm="1">
        <f t="array" ref="B57">"P"&amp;INDEX(X!$CL$2:$CL$12,'Scratch Sheet'!H56+1)+9</f>
        <v>P18</v>
      </c>
      <c r="C57" s="661">
        <v>1</v>
      </c>
      <c r="D57" s="755">
        <f t="shared" si="1"/>
        <v>5940.0000000000009</v>
      </c>
      <c r="E57" s="682" t="str">
        <f t="shared" si="2"/>
        <v>O2</v>
      </c>
      <c r="F57" s="683">
        <f t="shared" si="3"/>
        <v>6</v>
      </c>
      <c r="H57" s="13">
        <v>821</v>
      </c>
      <c r="I57" s="13">
        <f>VLOOKUP(VLOOKUP(H57,$A$24:$B$1023,2,FALSE),'Scratch Sheet'!$U$23:$X$32,3,FALSE)</f>
        <v>12</v>
      </c>
      <c r="K57" s="13">
        <f>27+X!CN8</f>
        <v>37</v>
      </c>
      <c r="L57" s="13">
        <f>IFERROR(VLOOKUP(VLOOKUP(K57,$A$24:$B$1023,2,FALSE),'Scratch Sheet'!$U$23:$Y$32,5,FALSE)*VLOOKUP(VLOOKUP(K57,$A$24:$E$1023,5,FALSE),'Scratch Sheet'!$L$22:$M$30,2,FALSE),"")</f>
        <v>6825</v>
      </c>
      <c r="N57" s="675">
        <v>121</v>
      </c>
      <c r="O57" s="675" t="str" cm="1">
        <f t="array" ref="O57">IF(OR(INDEX($B$24:$B$1023,N57)="P10",INDEX($B$24:$B$1023,N57)="P11",INDEX($B$24:$B$1023,N57)="P12",INDEX($B$24:$B$1023,N57)="P13"),"C",IF(OR(INDEX($B$24:$B$1023,N57)="P14",INDEX($B$24:$B$1023,N57)="P15",INDEX($B$24:$B$1023,N57)="P16"),"N","O"))&amp;IF(MOD(N57,100)&lt;20,1,IF(MOD(N57,100)&lt;70,2,3))</f>
        <v>C2</v>
      </c>
      <c r="AI57" s="18"/>
      <c r="AJ57" s="18"/>
      <c r="AK57" s="18"/>
      <c r="AL57" s="18"/>
      <c r="AU57" s="576"/>
      <c r="AV57" s="576"/>
      <c r="AW57" s="17"/>
    </row>
    <row r="58" spans="1:49" ht="16.5" thickBot="1">
      <c r="A58" s="662">
        <v>35</v>
      </c>
      <c r="B58" s="661" t="str" cm="1">
        <f t="array" ref="B58">"P"&amp;INDEX(X!$CL$2:$CL$12,'Scratch Sheet'!H57+1)+9</f>
        <v>P15</v>
      </c>
      <c r="C58" s="661">
        <v>1</v>
      </c>
      <c r="D58" s="755">
        <f t="shared" si="1"/>
        <v>5400</v>
      </c>
      <c r="E58" s="682" t="str">
        <f t="shared" si="2"/>
        <v>N2</v>
      </c>
      <c r="F58" s="683">
        <f t="shared" si="3"/>
        <v>5</v>
      </c>
      <c r="H58" s="13">
        <v>124</v>
      </c>
      <c r="I58" s="13">
        <f>VLOOKUP(VLOOKUP(H58,$A$24:$B$1023,2,FALSE),'Scratch Sheet'!$U$23:$X$32,3,FALSE)</f>
        <v>12</v>
      </c>
      <c r="K58" s="13">
        <f>27+X!CN9</f>
        <v>32</v>
      </c>
      <c r="L58" s="13">
        <f>IFERROR(VLOOKUP(VLOOKUP(K58,$A$24:$B$1023,2,FALSE),'Scratch Sheet'!$U$23:$Y$32,5,FALSE)*VLOOKUP(VLOOKUP(K58,$A$24:$E$1023,5,FALSE),'Scratch Sheet'!$L$22:$M$30,2,FALSE),"")</f>
        <v>6825</v>
      </c>
      <c r="N58" s="675">
        <v>124</v>
      </c>
      <c r="O58" s="675" t="str" cm="1">
        <f t="array" ref="O58">IF(OR(INDEX($B$24:$B$1023,N58)="P10",INDEX($B$24:$B$1023,N58)="P11",INDEX($B$24:$B$1023,N58)="P12",INDEX($B$24:$B$1023,N58)="P13"),"C",IF(OR(INDEX($B$24:$B$1023,N58)="P14",INDEX($B$24:$B$1023,N58)="P15",INDEX($B$24:$B$1023,N58)="P16"),"N","O"))&amp;IF(MOD(N58,100)&lt;20,1,IF(MOD(N58,100)&lt;70,2,3))</f>
        <v>O2</v>
      </c>
      <c r="AU58" s="576"/>
      <c r="AV58" s="576"/>
      <c r="AW58" s="17"/>
    </row>
    <row r="59" spans="1:49" ht="16.5" thickBot="1">
      <c r="A59" s="662">
        <v>36</v>
      </c>
      <c r="B59" s="661" t="str" cm="1">
        <f t="array" ref="B59">"P"&amp;INDEX(X!$CL$2:$CL$12,'Scratch Sheet'!H58+1)+9</f>
        <v>P19</v>
      </c>
      <c r="C59" s="661">
        <v>1</v>
      </c>
      <c r="D59" s="755">
        <f t="shared" si="1"/>
        <v>9680</v>
      </c>
      <c r="E59" s="682" t="str">
        <f t="shared" si="2"/>
        <v>O2</v>
      </c>
      <c r="F59" s="683">
        <f t="shared" si="3"/>
        <v>11</v>
      </c>
      <c r="H59" s="13">
        <v>227</v>
      </c>
      <c r="I59" s="13">
        <f>VLOOKUP(VLOOKUP(H59,$A$24:$B$1023,2,FALSE),'Scratch Sheet'!$U$23:$X$32,3,FALSE)</f>
        <v>12</v>
      </c>
      <c r="K59" s="13">
        <f>27+X!CN10</f>
        <v>30</v>
      </c>
      <c r="L59" s="13">
        <f>IFERROR(VLOOKUP(VLOOKUP(K59,$A$24:$B$1023,2,FALSE),'Scratch Sheet'!$U$23:$Y$32,5,FALSE)*VLOOKUP(VLOOKUP(K59,$A$24:$E$1023,5,FALSE),'Scratch Sheet'!$L$22:$M$30,2,FALSE),"")</f>
        <v>4500</v>
      </c>
      <c r="N59" s="675">
        <v>125</v>
      </c>
      <c r="O59" s="675" t="str" cm="1">
        <f t="array" ref="O59">IF(OR(INDEX($B$24:$B$1023,N59)="P10",INDEX($B$24:$B$1023,N59)="P11",INDEX($B$24:$B$1023,N59)="P12",INDEX($B$24:$B$1023,N59)="P13"),"C",IF(OR(INDEX($B$24:$B$1023,N59)="P14",INDEX($B$24:$B$1023,N59)="P15",INDEX($B$24:$B$1023,N59)="P16"),"N","O"))&amp;IF(MOD(N59,100)&lt;20,1,IF(MOD(N59,100)&lt;70,2,3))</f>
        <v>O2</v>
      </c>
      <c r="AU59" s="576"/>
      <c r="AV59" s="576"/>
      <c r="AW59" s="17"/>
    </row>
    <row r="60" spans="1:49" s="18" customFormat="1" ht="16.5" thickBot="1">
      <c r="A60" s="662">
        <v>37</v>
      </c>
      <c r="B60" s="661" t="str" cm="1">
        <f t="array" ref="B60">"P"&amp;INDEX(X!$CL$2:$CL$12,'Scratch Sheet'!H59+1)+9</f>
        <v>P12</v>
      </c>
      <c r="C60" s="661">
        <v>1</v>
      </c>
      <c r="D60" s="755">
        <f t="shared" si="1"/>
        <v>6825</v>
      </c>
      <c r="E60" s="682" t="str">
        <f t="shared" si="2"/>
        <v>C2</v>
      </c>
      <c r="F60" s="683">
        <f t="shared" si="3"/>
        <v>6.5</v>
      </c>
      <c r="H60" s="13">
        <v>491</v>
      </c>
      <c r="I60" s="13">
        <f>VLOOKUP(VLOOKUP(H60,$A$24:$B$1023,2,FALSE),'Scratch Sheet'!$U$23:$X$32,3,FALSE)</f>
        <v>8</v>
      </c>
      <c r="J60" s="13"/>
      <c r="K60" s="13">
        <f>27+X!CN11</f>
        <v>31</v>
      </c>
      <c r="L60" s="13">
        <f>IFERROR(VLOOKUP(VLOOKUP(K60,$A$24:$B$1023,2,FALSE),'Scratch Sheet'!$U$23:$Y$32,5,FALSE)*VLOOKUP(VLOOKUP(K60,$A$24:$E$1023,5,FALSE),'Scratch Sheet'!$L$22:$M$30,2,FALSE),"")</f>
        <v>4500</v>
      </c>
      <c r="M60" s="13"/>
      <c r="N60" s="675">
        <v>130</v>
      </c>
      <c r="O60" s="675" t="str" cm="1">
        <f t="array" ref="O60">IF(OR(INDEX($B$24:$B$1023,N60)="P10",INDEX($B$24:$B$1023,N60)="P11",INDEX($B$24:$B$1023,N60)="P12",INDEX($B$24:$B$1023,N60)="P13"),"C",IF(OR(INDEX($B$24:$B$1023,N60)="P14",INDEX($B$24:$B$1023,N60)="P15",INDEX($B$24:$B$1023,N60)="P16"),"N","O"))&amp;IF(MOD(N60,100)&lt;20,1,IF(MOD(N60,100)&lt;70,2,3))</f>
        <v>C2</v>
      </c>
      <c r="Z60" s="644"/>
      <c r="AA60" s="644"/>
      <c r="AB60" s="644"/>
      <c r="AC60" s="644"/>
      <c r="AD60" s="644"/>
      <c r="AE60" s="644"/>
      <c r="AF60" s="576"/>
      <c r="AG60" s="576"/>
      <c r="AH60" s="576"/>
      <c r="AI60" s="576"/>
      <c r="AJ60" s="576"/>
      <c r="AK60" s="576"/>
      <c r="AL60" s="576"/>
    </row>
    <row r="61" spans="1:49" ht="16.5" thickBot="1">
      <c r="A61" s="662">
        <v>38</v>
      </c>
      <c r="B61" s="661" t="str" cm="1">
        <f t="array" ref="B61">"P"&amp;INDEX(X!$CL$2:$CL$12,'Scratch Sheet'!H60+1)+9</f>
        <v>P12</v>
      </c>
      <c r="C61" s="661">
        <v>1</v>
      </c>
      <c r="D61" s="755">
        <f t="shared" si="1"/>
        <v>13650</v>
      </c>
      <c r="E61" s="682" t="str">
        <f t="shared" si="2"/>
        <v>C2</v>
      </c>
      <c r="F61" s="683">
        <f t="shared" si="3"/>
        <v>6.5</v>
      </c>
      <c r="H61" s="13">
        <v>244</v>
      </c>
      <c r="I61" s="13">
        <f>VLOOKUP(VLOOKUP(H61,$A$24:$B$1023,2,FALSE),'Scratch Sheet'!$U$23:$X$32,3,FALSE)</f>
        <v>12</v>
      </c>
      <c r="K61" s="13">
        <f>27+X!CN12</f>
        <v>29</v>
      </c>
      <c r="L61" s="13">
        <f>IFERROR(VLOOKUP(VLOOKUP(K61,$A$24:$B$1023,2,FALSE),'Scratch Sheet'!$U$23:$Y$32,5,FALSE)*VLOOKUP(VLOOKUP(K61,$A$24:$E$1023,5,FALSE),'Scratch Sheet'!$L$22:$M$30,2,FALSE),"")</f>
        <v>2400</v>
      </c>
      <c r="N61" s="675">
        <v>131</v>
      </c>
      <c r="O61" s="675" t="str" cm="1">
        <f t="array" ref="O61">IF(OR(INDEX($B$24:$B$1023,N61)="P10",INDEX($B$24:$B$1023,N61)="P11",INDEX($B$24:$B$1023,N61)="P12",INDEX($B$24:$B$1023,N61)="P13"),"C",IF(OR(INDEX($B$24:$B$1023,N61)="P14",INDEX($B$24:$B$1023,N61)="P15",INDEX($B$24:$B$1023,N61)="P16"),"N","O"))&amp;IF(MOD(N61,100)&lt;20,1,IF(MOD(N61,100)&lt;70,2,3))</f>
        <v>C2</v>
      </c>
      <c r="Z61" s="645"/>
      <c r="AA61" s="645"/>
      <c r="AB61" s="645"/>
      <c r="AC61" s="645"/>
      <c r="AD61" s="645"/>
      <c r="AE61" s="645"/>
      <c r="AU61" s="576"/>
      <c r="AV61" s="576"/>
      <c r="AW61" s="17"/>
    </row>
    <row r="62" spans="1:49" ht="16.5" thickBot="1">
      <c r="A62" s="662">
        <v>39</v>
      </c>
      <c r="B62" s="661" t="str" cm="1">
        <f t="array" ref="B62">"P"&amp;INDEX(X!$CL$2:$CL$12,'Scratch Sheet'!H61+1)+9</f>
        <v>P17</v>
      </c>
      <c r="C62" s="661">
        <v>1</v>
      </c>
      <c r="D62" s="755">
        <f t="shared" si="1"/>
        <v>13200.000000000002</v>
      </c>
      <c r="E62" s="682" t="str">
        <f t="shared" si="2"/>
        <v>O2</v>
      </c>
      <c r="F62" s="683">
        <f t="shared" si="3"/>
        <v>12</v>
      </c>
      <c r="H62" s="13">
        <v>362</v>
      </c>
      <c r="I62" s="13">
        <f>VLOOKUP(VLOOKUP(H62,$A$24:$B$1023,2,FALSE),'Scratch Sheet'!$U$23:$X$32,3,FALSE)</f>
        <v>12</v>
      </c>
      <c r="K62" s="13">
        <f>27+X!CN13</f>
        <v>28</v>
      </c>
      <c r="L62" s="13">
        <f>IFERROR(VLOOKUP(VLOOKUP(K62,$A$24:$B$1023,2,FALSE),'Scratch Sheet'!$U$23:$Y$32,5,FALSE)*VLOOKUP(VLOOKUP(K62,$A$24:$E$1023,5,FALSE),'Scratch Sheet'!$L$22:$M$30,2,FALSE),"")</f>
        <v>11000</v>
      </c>
      <c r="N62" s="675">
        <v>135</v>
      </c>
      <c r="O62" s="675" t="str" cm="1">
        <f t="array" ref="O62">IF(OR(INDEX($B$24:$B$1023,N62)="P10",INDEX($B$24:$B$1023,N62)="P11",INDEX($B$24:$B$1023,N62)="P12",INDEX($B$24:$B$1023,N62)="P13"),"C",IF(OR(INDEX($B$24:$B$1023,N62)="P14",INDEX($B$24:$B$1023,N62)="P15",INDEX($B$24:$B$1023,N62)="P16"),"N","O"))&amp;IF(MOD(N62,100)&lt;20,1,IF(MOD(N62,100)&lt;70,2,3))</f>
        <v>C2</v>
      </c>
      <c r="AU62" s="576"/>
      <c r="AV62" s="576"/>
      <c r="AW62" s="17"/>
    </row>
    <row r="63" spans="1:49" ht="16.5" thickBot="1">
      <c r="A63" s="662">
        <v>40</v>
      </c>
      <c r="B63" s="661" t="str" cm="1">
        <f t="array" ref="B63">"P"&amp;INDEX(X!$CL$2:$CL$12,'Scratch Sheet'!H62+1)+9</f>
        <v>P11</v>
      </c>
      <c r="C63" s="661">
        <v>1</v>
      </c>
      <c r="D63" s="755">
        <f t="shared" si="1"/>
        <v>11000</v>
      </c>
      <c r="E63" s="682" t="str">
        <f t="shared" si="2"/>
        <v>C2</v>
      </c>
      <c r="F63" s="683">
        <f t="shared" si="3"/>
        <v>11</v>
      </c>
      <c r="H63" s="13">
        <v>175</v>
      </c>
      <c r="I63" s="13">
        <f>VLOOKUP(VLOOKUP(H63,$A$24:$B$1023,2,FALSE),'Scratch Sheet'!$U$23:$X$32,3,FALSE)</f>
        <v>12</v>
      </c>
      <c r="K63" s="13">
        <f>39+X!CM2</f>
        <v>47</v>
      </c>
      <c r="L63" s="13">
        <f>IFERROR(VLOOKUP(VLOOKUP(K63,$A$24:$B$1023,2,FALSE),'Scratch Sheet'!$U$23:$Y$32,5,FALSE)*VLOOKUP(VLOOKUP(K63,$A$24:$E$1023,5,FALSE),'Scratch Sheet'!$L$22:$M$30,2,FALSE),"")</f>
        <v>6480</v>
      </c>
      <c r="N63" s="675">
        <v>138</v>
      </c>
      <c r="O63" s="675" t="str" cm="1">
        <f t="array" ref="O63">IF(OR(INDEX($B$24:$B$1023,N63)="P10",INDEX($B$24:$B$1023,N63)="P11",INDEX($B$24:$B$1023,N63)="P12",INDEX($B$24:$B$1023,N63)="P13"),"C",IF(OR(INDEX($B$24:$B$1023,N63)="P14",INDEX($B$24:$B$1023,N63)="P15",INDEX($B$24:$B$1023,N63)="P16"),"N","O"))&amp;IF(MOD(N63,100)&lt;20,1,IF(MOD(N63,100)&lt;70,2,3))</f>
        <v>C2</v>
      </c>
      <c r="AU63" s="576"/>
      <c r="AV63" s="576"/>
      <c r="AW63" s="17"/>
    </row>
    <row r="64" spans="1:49" ht="16.5" thickBot="1">
      <c r="A64" s="662">
        <v>41</v>
      </c>
      <c r="B64" s="661" t="str" cm="1">
        <f t="array" ref="B64">"P"&amp;INDEX(X!$CL$2:$CL$12,'Scratch Sheet'!H63+1)+9</f>
        <v>P16</v>
      </c>
      <c r="C64" s="661">
        <v>1</v>
      </c>
      <c r="D64" s="755">
        <f t="shared" si="1"/>
        <v>4680</v>
      </c>
      <c r="E64" s="682" t="str">
        <f t="shared" si="2"/>
        <v>N2</v>
      </c>
      <c r="F64" s="683">
        <f t="shared" si="3"/>
        <v>4</v>
      </c>
      <c r="H64" s="13">
        <v>317</v>
      </c>
      <c r="I64" s="13">
        <f>VLOOKUP(VLOOKUP(H64,$A$24:$B$1023,2,FALSE),'Scratch Sheet'!$U$23:$X$32,3,FALSE)</f>
        <v>3</v>
      </c>
      <c r="K64" s="13">
        <f>39+X!CM3</f>
        <v>50</v>
      </c>
      <c r="L64" s="13">
        <f>IFERROR(VLOOKUP(VLOOKUP(K64,$A$24:$B$1023,2,FALSE),'Scratch Sheet'!$U$23:$Y$32,5,FALSE)*VLOOKUP(VLOOKUP(K64,$A$24:$E$1023,5,FALSE),'Scratch Sheet'!$L$22:$M$30,2,FALSE),"")</f>
        <v>4500</v>
      </c>
      <c r="N64" s="675">
        <v>141</v>
      </c>
      <c r="O64" s="675" t="str" cm="1">
        <f t="array" ref="O64">IF(OR(INDEX($B$24:$B$1023,N64)="P10",INDEX($B$24:$B$1023,N64)="P11",INDEX($B$24:$B$1023,N64)="P12",INDEX($B$24:$B$1023,N64)="P13"),"C",IF(OR(INDEX($B$24:$B$1023,N64)="P14",INDEX($B$24:$B$1023,N64)="P15",INDEX($B$24:$B$1023,N64)="P16"),"N","O"))&amp;IF(MOD(N64,100)&lt;20,1,IF(MOD(N64,100)&lt;70,2,3))</f>
        <v>O2</v>
      </c>
      <c r="AU64" s="576"/>
      <c r="AV64" s="576"/>
      <c r="AW64" s="17"/>
    </row>
    <row r="65" spans="1:49" ht="16.5" thickBot="1">
      <c r="A65" s="662">
        <v>42</v>
      </c>
      <c r="B65" s="661" t="str" cm="1">
        <f t="array" ref="B65">"P"&amp;INDEX(X!$CL$2:$CL$12,'Scratch Sheet'!H64+1)+9</f>
        <v>P11</v>
      </c>
      <c r="C65" s="661">
        <v>1</v>
      </c>
      <c r="D65" s="755">
        <f t="shared" si="1"/>
        <v>11000</v>
      </c>
      <c r="E65" s="682" t="str">
        <f t="shared" si="2"/>
        <v>C2</v>
      </c>
      <c r="F65" s="683">
        <f t="shared" si="3"/>
        <v>11</v>
      </c>
      <c r="H65" s="13">
        <v>691</v>
      </c>
      <c r="I65" s="13">
        <f>VLOOKUP(VLOOKUP(H65,$A$24:$B$1023,2,FALSE),'Scratch Sheet'!$U$23:$X$32,3,FALSE)</f>
        <v>3</v>
      </c>
      <c r="K65" s="13">
        <f>39+X!CM4</f>
        <v>49</v>
      </c>
      <c r="L65" s="13">
        <f>IFERROR(VLOOKUP(VLOOKUP(K65,$A$24:$B$1023,2,FALSE),'Scratch Sheet'!$U$23:$Y$32,5,FALSE)*VLOOKUP(VLOOKUP(K65,$A$24:$E$1023,5,FALSE),'Scratch Sheet'!$L$22:$M$30,2,FALSE),"")</f>
        <v>2400</v>
      </c>
      <c r="N65" s="675">
        <v>147</v>
      </c>
      <c r="O65" s="675" t="str" cm="1">
        <f t="array" ref="O65">IF(OR(INDEX($B$24:$B$1023,N65)="P10",INDEX($B$24:$B$1023,N65)="P11",INDEX($B$24:$B$1023,N65)="P12",INDEX($B$24:$B$1023,N65)="P13"),"C",IF(OR(INDEX($B$24:$B$1023,N65)="P14",INDEX($B$24:$B$1023,N65)="P15",INDEX($B$24:$B$1023,N65)="P16"),"N","O"))&amp;IF(MOD(N65,100)&lt;20,1,IF(MOD(N65,100)&lt;70,2,3))</f>
        <v>C2</v>
      </c>
      <c r="AU65" s="576"/>
      <c r="AV65" s="576"/>
      <c r="AW65" s="17"/>
    </row>
    <row r="66" spans="1:49" ht="16.5" thickBot="1">
      <c r="A66" s="662">
        <v>43</v>
      </c>
      <c r="B66" s="661" t="str" cm="1">
        <f t="array" ref="B66">"P"&amp;INDEX(X!$CL$2:$CL$12,'Scratch Sheet'!H65+1)+9</f>
        <v>P14</v>
      </c>
      <c r="C66" s="661">
        <v>1</v>
      </c>
      <c r="D66" s="755">
        <f t="shared" si="1"/>
        <v>6480</v>
      </c>
      <c r="E66" s="682" t="str">
        <f t="shared" si="2"/>
        <v>N2</v>
      </c>
      <c r="F66" s="683">
        <f t="shared" si="3"/>
        <v>8</v>
      </c>
      <c r="H66" s="13">
        <v>81</v>
      </c>
      <c r="I66" s="13">
        <f>VLOOKUP(VLOOKUP(H66,$A$24:$B$1023,2,FALSE),'Scratch Sheet'!$U$23:$X$32,3,FALSE)</f>
        <v>6</v>
      </c>
      <c r="K66" s="13">
        <f>39+X!CM5</f>
        <v>44</v>
      </c>
      <c r="L66" s="13">
        <f>IFERROR(VLOOKUP(VLOOKUP(K66,$A$24:$B$1023,2,FALSE),'Scratch Sheet'!$U$23:$Y$32,5,FALSE)*VLOOKUP(VLOOKUP(K66,$A$24:$E$1023,5,FALSE),'Scratch Sheet'!$L$22:$M$30,2,FALSE),"")</f>
        <v>2400</v>
      </c>
      <c r="N66" s="675">
        <v>148</v>
      </c>
      <c r="O66" s="675" t="str" cm="1">
        <f t="array" ref="O66">IF(OR(INDEX($B$24:$B$1023,N66)="P10",INDEX($B$24:$B$1023,N66)="P11",INDEX($B$24:$B$1023,N66)="P12",INDEX($B$24:$B$1023,N66)="P13"),"C",IF(OR(INDEX($B$24:$B$1023,N66)="P14",INDEX($B$24:$B$1023,N66)="P15",INDEX($B$24:$B$1023,N66)="P16"),"N","O"))&amp;IF(MOD(N66,100)&lt;20,1,IF(MOD(N66,100)&lt;70,2,3))</f>
        <v>C2</v>
      </c>
      <c r="AU66" s="576"/>
      <c r="AV66" s="576"/>
      <c r="AW66" s="17"/>
    </row>
    <row r="67" spans="1:49" ht="16.5" thickBot="1">
      <c r="A67" s="662">
        <v>44</v>
      </c>
      <c r="B67" s="661" t="str" cm="1">
        <f t="array" ref="B67">"P"&amp;INDEX(X!$CL$2:$CL$12,'Scratch Sheet'!H66+1)+9</f>
        <v>P10</v>
      </c>
      <c r="C67" s="661">
        <v>1</v>
      </c>
      <c r="D67" s="755">
        <f t="shared" si="1"/>
        <v>2400</v>
      </c>
      <c r="E67" s="682" t="str">
        <f t="shared" si="2"/>
        <v>C2</v>
      </c>
      <c r="F67" s="683">
        <f t="shared" si="3"/>
        <v>3</v>
      </c>
      <c r="H67" s="13">
        <v>396</v>
      </c>
      <c r="I67" s="13">
        <f>VLOOKUP(VLOOKUP(H67,$A$24:$B$1023,2,FALSE),'Scratch Sheet'!$U$23:$X$32,3,FALSE)</f>
        <v>12</v>
      </c>
      <c r="K67" s="13">
        <f>39+X!CM6</f>
        <v>46</v>
      </c>
      <c r="L67" s="13">
        <f>IFERROR(VLOOKUP(VLOOKUP(K67,$A$24:$B$1023,2,FALSE),'Scratch Sheet'!$U$23:$Y$32,5,FALSE)*VLOOKUP(VLOOKUP(K67,$A$24:$E$1023,5,FALSE),'Scratch Sheet'!$L$22:$M$30,2,FALSE),"")</f>
        <v>13200.000000000002</v>
      </c>
      <c r="N67" s="675">
        <v>152</v>
      </c>
      <c r="O67" s="675" t="str" cm="1">
        <f t="array" ref="O67">IF(OR(INDEX($B$24:$B$1023,N67)="P10",INDEX($B$24:$B$1023,N67)="P11",INDEX($B$24:$B$1023,N67)="P12",INDEX($B$24:$B$1023,N67)="P13"),"C",IF(OR(INDEX($B$24:$B$1023,N67)="P14",INDEX($B$24:$B$1023,N67)="P15",INDEX($B$24:$B$1023,N67)="P16"),"N","O"))&amp;IF(MOD(N67,100)&lt;20,1,IF(MOD(N67,100)&lt;70,2,3))</f>
        <v>C2</v>
      </c>
      <c r="AU67" s="576"/>
      <c r="AV67" s="576"/>
      <c r="AW67" s="17"/>
    </row>
    <row r="68" spans="1:49" ht="16.5" thickBot="1">
      <c r="A68" s="662">
        <v>45</v>
      </c>
      <c r="B68" s="661" t="str" cm="1">
        <f t="array" ref="B68">"P"&amp;INDEX(X!$CL$2:$CL$12,'Scratch Sheet'!H67+1)+9</f>
        <v>P11</v>
      </c>
      <c r="C68" s="661">
        <v>1</v>
      </c>
      <c r="D68" s="755">
        <f t="shared" si="1"/>
        <v>11000</v>
      </c>
      <c r="E68" s="682" t="str">
        <f t="shared" si="2"/>
        <v>C2</v>
      </c>
      <c r="F68" s="683">
        <f t="shared" si="3"/>
        <v>11</v>
      </c>
      <c r="H68" s="13">
        <v>709</v>
      </c>
      <c r="I68" s="13">
        <f>VLOOKUP(VLOOKUP(H68,$A$24:$B$1023,2,FALSE),'Scratch Sheet'!$U$23:$X$32,3,FALSE)</f>
        <v>3</v>
      </c>
      <c r="K68" s="13">
        <f>39+X!CM7</f>
        <v>45</v>
      </c>
      <c r="L68" s="13">
        <f>IFERROR(VLOOKUP(VLOOKUP(K68,$A$24:$B$1023,2,FALSE),'Scratch Sheet'!$U$23:$Y$32,5,FALSE)*VLOOKUP(VLOOKUP(K68,$A$24:$E$1023,5,FALSE),'Scratch Sheet'!$L$22:$M$30,2,FALSE),"")</f>
        <v>11000</v>
      </c>
      <c r="N68" s="675">
        <v>155</v>
      </c>
      <c r="O68" s="675" t="str" cm="1">
        <f t="array" ref="O68">IF(OR(INDEX($B$24:$B$1023,N68)="P10",INDEX($B$24:$B$1023,N68)="P11",INDEX($B$24:$B$1023,N68)="P12",INDEX($B$24:$B$1023,N68)="P13"),"C",IF(OR(INDEX($B$24:$B$1023,N68)="P14",INDEX($B$24:$B$1023,N68)="P15",INDEX($B$24:$B$1023,N68)="P16"),"N","O"))&amp;IF(MOD(N68,100)&lt;20,1,IF(MOD(N68,100)&lt;70,2,3))</f>
        <v>C2</v>
      </c>
      <c r="AU68" s="576"/>
      <c r="AV68" s="576"/>
      <c r="AW68" s="17"/>
    </row>
    <row r="69" spans="1:49" ht="16.5" thickBot="1">
      <c r="A69" s="662">
        <v>46</v>
      </c>
      <c r="B69" s="661" t="str" cm="1">
        <f t="array" ref="B69">"P"&amp;INDEX(X!$CL$2:$CL$12,'Scratch Sheet'!H68+1)+9</f>
        <v>P17</v>
      </c>
      <c r="C69" s="661">
        <v>1</v>
      </c>
      <c r="D69" s="755">
        <f t="shared" si="1"/>
        <v>13200.000000000002</v>
      </c>
      <c r="E69" s="682" t="str">
        <f t="shared" si="2"/>
        <v>O2</v>
      </c>
      <c r="F69" s="683">
        <f t="shared" si="3"/>
        <v>12</v>
      </c>
      <c r="H69" s="13">
        <v>189</v>
      </c>
      <c r="I69" s="13">
        <f>VLOOKUP(VLOOKUP(H69,$A$24:$B$1023,2,FALSE),'Scratch Sheet'!$U$23:$X$32,3,FALSE)</f>
        <v>3</v>
      </c>
      <c r="K69" s="13">
        <f>39+X!CM8</f>
        <v>48</v>
      </c>
      <c r="L69" s="13">
        <f>IFERROR(VLOOKUP(VLOOKUP(K69,$A$24:$B$1023,2,FALSE),'Scratch Sheet'!$U$23:$Y$32,5,FALSE)*VLOOKUP(VLOOKUP(K69,$A$24:$E$1023,5,FALSE),'Scratch Sheet'!$L$22:$M$30,2,FALSE),"")</f>
        <v>6480</v>
      </c>
      <c r="N69" s="675">
        <v>164</v>
      </c>
      <c r="O69" s="675" t="str" cm="1">
        <f t="array" ref="O69">IF(OR(INDEX($B$24:$B$1023,N69)="P10",INDEX($B$24:$B$1023,N69)="P11",INDEX($B$24:$B$1023,N69)="P12",INDEX($B$24:$B$1023,N69)="P13"),"C",IF(OR(INDEX($B$24:$B$1023,N69)="P14",INDEX($B$24:$B$1023,N69)="P15",INDEX($B$24:$B$1023,N69)="P16"),"N","O"))&amp;IF(MOD(N69,100)&lt;20,1,IF(MOD(N69,100)&lt;70,2,3))</f>
        <v>C2</v>
      </c>
      <c r="AU69" s="576"/>
      <c r="AV69" s="576"/>
      <c r="AW69" s="17"/>
    </row>
    <row r="70" spans="1:49" ht="16.5" thickBot="1">
      <c r="A70" s="662">
        <v>47</v>
      </c>
      <c r="B70" s="661" t="str" cm="1">
        <f t="array" ref="B70">"P"&amp;INDEX(X!$CL$2:$CL$12,'Scratch Sheet'!H69+1)+9</f>
        <v>P14</v>
      </c>
      <c r="C70" s="661">
        <v>1</v>
      </c>
      <c r="D70" s="755">
        <f t="shared" si="1"/>
        <v>6480</v>
      </c>
      <c r="E70" s="682" t="str">
        <f t="shared" si="2"/>
        <v>N2</v>
      </c>
      <c r="F70" s="683">
        <f t="shared" si="3"/>
        <v>8</v>
      </c>
      <c r="H70" s="13">
        <v>542</v>
      </c>
      <c r="I70" s="13">
        <f>VLOOKUP(VLOOKUP(H70,$A$24:$B$1023,2,FALSE),'Scratch Sheet'!$U$23:$X$32,3,FALSE)</f>
        <v>8</v>
      </c>
      <c r="K70" s="13">
        <f>39+X!CM9</f>
        <v>43</v>
      </c>
      <c r="L70" s="13">
        <f>IFERROR(VLOOKUP(VLOOKUP(K70,$A$24:$B$1023,2,FALSE),'Scratch Sheet'!$U$23:$Y$32,5,FALSE)*VLOOKUP(VLOOKUP(K70,$A$24:$E$1023,5,FALSE),'Scratch Sheet'!$L$22:$M$30,2,FALSE),"")</f>
        <v>6480</v>
      </c>
      <c r="N70" s="675">
        <v>165</v>
      </c>
      <c r="O70" s="675" t="str" cm="1">
        <f t="array" ref="O70">IF(OR(INDEX($B$24:$B$1023,N70)="P10",INDEX($B$24:$B$1023,N70)="P11",INDEX($B$24:$B$1023,N70)="P12",INDEX($B$24:$B$1023,N70)="P13"),"C",IF(OR(INDEX($B$24:$B$1023,N70)="P14",INDEX($B$24:$B$1023,N70)="P15",INDEX($B$24:$B$1023,N70)="P16"),"N","O"))&amp;IF(MOD(N70,100)&lt;20,1,IF(MOD(N70,100)&lt;70,2,3))</f>
        <v>C2</v>
      </c>
      <c r="AU70" s="576"/>
      <c r="AV70" s="576"/>
      <c r="AW70" s="17"/>
    </row>
    <row r="71" spans="1:49" ht="16.5" thickBot="1">
      <c r="A71" s="662">
        <v>48</v>
      </c>
      <c r="B71" s="661" t="str" cm="1">
        <f t="array" ref="B71">"P"&amp;INDEX(X!$CL$2:$CL$12,'Scratch Sheet'!H70+1)+9</f>
        <v>P14</v>
      </c>
      <c r="C71" s="661">
        <v>1</v>
      </c>
      <c r="D71" s="755">
        <f t="shared" si="1"/>
        <v>6480</v>
      </c>
      <c r="E71" s="682" t="str">
        <f t="shared" si="2"/>
        <v>N2</v>
      </c>
      <c r="F71" s="683">
        <f t="shared" si="3"/>
        <v>8</v>
      </c>
      <c r="H71" s="13">
        <v>71</v>
      </c>
      <c r="I71" s="13">
        <f>VLOOKUP(VLOOKUP(H71,$A$24:$B$1023,2,FALSE),'Scratch Sheet'!$U$23:$X$32,3,FALSE)</f>
        <v>11</v>
      </c>
      <c r="K71" s="13">
        <f>39+X!CM10</f>
        <v>41</v>
      </c>
      <c r="L71" s="13">
        <f>IFERROR(VLOOKUP(VLOOKUP(K71,$A$24:$B$1023,2,FALSE),'Scratch Sheet'!$U$23:$Y$32,5,FALSE)*VLOOKUP(VLOOKUP(K71,$A$24:$E$1023,5,FALSE),'Scratch Sheet'!$L$22:$M$30,2,FALSE),"")</f>
        <v>4680</v>
      </c>
      <c r="N71" s="675">
        <v>169</v>
      </c>
      <c r="O71" s="675" t="str" cm="1">
        <f t="array" ref="O71">IF(OR(INDEX($B$24:$B$1023,N71)="P10",INDEX($B$24:$B$1023,N71)="P11",INDEX($B$24:$B$1023,N71)="P12",INDEX($B$24:$B$1023,N71)="P13"),"C",IF(OR(INDEX($B$24:$B$1023,N71)="P14",INDEX($B$24:$B$1023,N71)="P15",INDEX($B$24:$B$1023,N71)="P16"),"N","O"))&amp;IF(MOD(N71,100)&lt;20,1,IF(MOD(N71,100)&lt;70,2,3))</f>
        <v>C2</v>
      </c>
      <c r="AU71" s="576"/>
      <c r="AV71" s="576"/>
      <c r="AW71" s="17"/>
    </row>
    <row r="72" spans="1:49" ht="16.5" thickBot="1">
      <c r="A72" s="662">
        <v>49</v>
      </c>
      <c r="B72" s="661" t="str" cm="1">
        <f t="array" ref="B72">"P"&amp;INDEX(X!$CL$2:$CL$12,'Scratch Sheet'!H71+1)+9</f>
        <v>P10</v>
      </c>
      <c r="C72" s="661">
        <v>1</v>
      </c>
      <c r="D72" s="755">
        <f t="shared" si="1"/>
        <v>2400</v>
      </c>
      <c r="E72" s="682" t="str">
        <f t="shared" si="2"/>
        <v>C2</v>
      </c>
      <c r="F72" s="683">
        <f t="shared" si="3"/>
        <v>3</v>
      </c>
      <c r="H72" s="13">
        <v>670</v>
      </c>
      <c r="I72" s="13">
        <f>VLOOKUP(VLOOKUP(H72,$A$24:$B$1023,2,FALSE),'Scratch Sheet'!$U$23:$X$32,3,FALSE)</f>
        <v>5</v>
      </c>
      <c r="K72" s="13">
        <f>39+X!CM11</f>
        <v>42</v>
      </c>
      <c r="L72" s="13">
        <f>IFERROR(VLOOKUP(VLOOKUP(K72,$A$24:$B$1023,2,FALSE),'Scratch Sheet'!$U$23:$Y$32,5,FALSE)*VLOOKUP(VLOOKUP(K72,$A$24:$E$1023,5,FALSE),'Scratch Sheet'!$L$22:$M$30,2,FALSE),"")</f>
        <v>11000</v>
      </c>
      <c r="N72" s="675">
        <v>172</v>
      </c>
      <c r="O72" s="675" t="str" cm="1">
        <f t="array" ref="O72">IF(OR(INDEX($B$24:$B$1023,N72)="P10",INDEX($B$24:$B$1023,N72)="P11",INDEX($B$24:$B$1023,N72)="P12",INDEX($B$24:$B$1023,N72)="P13"),"C",IF(OR(INDEX($B$24:$B$1023,N72)="P14",INDEX($B$24:$B$1023,N72)="P15",INDEX($B$24:$B$1023,N72)="P16"),"N","O"))&amp;IF(MOD(N72,100)&lt;20,1,IF(MOD(N72,100)&lt;70,2,3))</f>
        <v>C3</v>
      </c>
      <c r="AU72" s="576"/>
      <c r="AV72" s="576"/>
      <c r="AW72" s="17"/>
    </row>
    <row r="73" spans="1:49" ht="16.5" thickBot="1">
      <c r="A73" s="662">
        <v>50</v>
      </c>
      <c r="B73" s="661" t="str" cm="1">
        <f t="array" ref="B73">"P"&amp;INDEX(X!$CL$2:$CL$12,'Scratch Sheet'!H72+1)+9</f>
        <v>P13</v>
      </c>
      <c r="C73" s="661">
        <v>1</v>
      </c>
      <c r="D73" s="755">
        <f t="shared" si="1"/>
        <v>4500</v>
      </c>
      <c r="E73" s="682" t="str">
        <f t="shared" si="2"/>
        <v>C2</v>
      </c>
      <c r="F73" s="683">
        <f t="shared" si="3"/>
        <v>5</v>
      </c>
      <c r="H73" s="13">
        <v>105</v>
      </c>
      <c r="I73" s="13">
        <f>VLOOKUP(VLOOKUP(H73,$A$24:$B$1023,2,FALSE),'Scratch Sheet'!$U$23:$X$32,3,FALSE)</f>
        <v>11</v>
      </c>
      <c r="K73" s="13">
        <f>39+X!CM12</f>
        <v>40</v>
      </c>
      <c r="L73" s="13">
        <f>IFERROR(VLOOKUP(VLOOKUP(K73,$A$24:$B$1023,2,FALSE),'Scratch Sheet'!$U$23:$Y$32,5,FALSE)*VLOOKUP(VLOOKUP(K73,$A$24:$E$1023,5,FALSE),'Scratch Sheet'!$L$22:$M$30,2,FALSE),"")</f>
        <v>11000</v>
      </c>
      <c r="N73" s="675">
        <v>181</v>
      </c>
      <c r="O73" s="675" t="str" cm="1">
        <f t="array" ref="O73">IF(OR(INDEX($B$24:$B$1023,N73)="P10",INDEX($B$24:$B$1023,N73)="P11",INDEX($B$24:$B$1023,N73)="P12",INDEX($B$24:$B$1023,N73)="P13"),"C",IF(OR(INDEX($B$24:$B$1023,N73)="P14",INDEX($B$24:$B$1023,N73)="P15",INDEX($B$24:$B$1023,N73)="P16"),"N","O"))&amp;IF(MOD(N73,100)&lt;20,1,IF(MOD(N73,100)&lt;70,2,3))</f>
        <v>C3</v>
      </c>
      <c r="AU73" s="576"/>
      <c r="AV73" s="576"/>
      <c r="AW73" s="17"/>
    </row>
    <row r="74" spans="1:49" ht="16.5" thickBot="1">
      <c r="A74" s="662">
        <v>51</v>
      </c>
      <c r="B74" s="661" t="str" cm="1">
        <f t="array" ref="B74">"P"&amp;INDEX(X!$CL$2:$CL$12,'Scratch Sheet'!H73+1)+9</f>
        <v>P17</v>
      </c>
      <c r="C74" s="661">
        <v>1</v>
      </c>
      <c r="D74" s="755">
        <f t="shared" si="1"/>
        <v>13200.000000000002</v>
      </c>
      <c r="E74" s="682" t="str">
        <f t="shared" si="2"/>
        <v>O2</v>
      </c>
      <c r="F74" s="683">
        <f t="shared" si="3"/>
        <v>12</v>
      </c>
      <c r="H74" s="13">
        <v>745</v>
      </c>
      <c r="I74" s="13">
        <f>VLOOKUP(VLOOKUP(H74,$A$24:$B$1023,2,FALSE),'Scratch Sheet'!$U$23:$X$32,3,FALSE)</f>
        <v>6</v>
      </c>
      <c r="K74" s="13">
        <f>51+X!CL2</f>
        <v>58</v>
      </c>
      <c r="L74" s="13">
        <f>IFERROR(VLOOKUP(VLOOKUP(K74,$A$24:$B$1023,2,FALSE),'Scratch Sheet'!$U$23:$Y$32,5,FALSE)*VLOOKUP(VLOOKUP(K74,$A$24:$E$1023,5,FALSE),'Scratch Sheet'!$L$22:$M$30,2,FALSE),"")</f>
        <v>6480</v>
      </c>
      <c r="N74" s="675">
        <v>182</v>
      </c>
      <c r="O74" s="675" t="str" cm="1">
        <f t="array" ref="O74">IF(OR(INDEX($B$24:$B$1023,N74)="P10",INDEX($B$24:$B$1023,N74)="P11",INDEX($B$24:$B$1023,N74)="P12",INDEX($B$24:$B$1023,N74)="P13"),"C",IF(OR(INDEX($B$24:$B$1023,N74)="P14",INDEX($B$24:$B$1023,N74)="P15",INDEX($B$24:$B$1023,N74)="P16"),"N","O"))&amp;IF(MOD(N74,100)&lt;20,1,IF(MOD(N74,100)&lt;70,2,3))</f>
        <v>C3</v>
      </c>
      <c r="AU74" s="576"/>
      <c r="AV74" s="576"/>
      <c r="AW74" s="17"/>
    </row>
    <row r="75" spans="1:49" ht="16.5" thickBot="1">
      <c r="A75" s="662">
        <v>52</v>
      </c>
      <c r="B75" s="661" t="str" cm="1">
        <f t="array" ref="B75">"P"&amp;INDEX(X!$CL$2:$CL$12,'Scratch Sheet'!H74+1)+9</f>
        <v>P10</v>
      </c>
      <c r="C75" s="661">
        <v>1</v>
      </c>
      <c r="D75" s="755">
        <f t="shared" si="1"/>
        <v>2400</v>
      </c>
      <c r="E75" s="682" t="str">
        <f t="shared" si="2"/>
        <v>C2</v>
      </c>
      <c r="F75" s="683">
        <f t="shared" si="3"/>
        <v>3</v>
      </c>
      <c r="H75" s="13">
        <v>946</v>
      </c>
      <c r="I75" s="13">
        <f>VLOOKUP(VLOOKUP(H75,$A$24:$B$1023,2,FALSE),'Scratch Sheet'!$U$23:$X$32,3,FALSE)</f>
        <v>3</v>
      </c>
      <c r="K75" s="13">
        <f>51+X!CL3</f>
        <v>61</v>
      </c>
      <c r="L75" s="13">
        <f>IFERROR(VLOOKUP(VLOOKUP(K75,$A$24:$B$1023,2,FALSE),'Scratch Sheet'!$U$23:$Y$32,5,FALSE)*VLOOKUP(VLOOKUP(K75,$A$24:$E$1023,5,FALSE),'Scratch Sheet'!$L$22:$M$30,2,FALSE),"")</f>
        <v>9680</v>
      </c>
      <c r="N75" s="675">
        <v>186</v>
      </c>
      <c r="O75" s="675" t="str" cm="1">
        <f t="array" ref="O75">IF(OR(INDEX($B$24:$B$1023,N75)="P10",INDEX($B$24:$B$1023,N75)="P11",INDEX($B$24:$B$1023,N75)="P12",INDEX($B$24:$B$1023,N75)="P13"),"C",IF(OR(INDEX($B$24:$B$1023,N75)="P14",INDEX($B$24:$B$1023,N75)="P15",INDEX($B$24:$B$1023,N75)="P16"),"N","O"))&amp;IF(MOD(N75,100)&lt;20,1,IF(MOD(N75,100)&lt;70,2,3))</f>
        <v>C3</v>
      </c>
      <c r="AU75" s="576"/>
      <c r="AV75" s="576"/>
      <c r="AW75" s="17"/>
    </row>
    <row r="76" spans="1:49" ht="16.5" thickBot="1">
      <c r="A76" s="662">
        <v>53</v>
      </c>
      <c r="B76" s="661" t="str" cm="1">
        <f t="array" ref="B76">"P"&amp;INDEX(X!$CL$2:$CL$12,'Scratch Sheet'!H75+1)+9</f>
        <v>P18</v>
      </c>
      <c r="C76" s="661">
        <v>1</v>
      </c>
      <c r="D76" s="755">
        <f t="shared" si="1"/>
        <v>11880.000000000002</v>
      </c>
      <c r="E76" s="682" t="str">
        <f t="shared" si="2"/>
        <v>O2</v>
      </c>
      <c r="F76" s="683">
        <f t="shared" si="3"/>
        <v>6</v>
      </c>
      <c r="H76" s="13">
        <v>632</v>
      </c>
      <c r="I76" s="13">
        <f>VLOOKUP(VLOOKUP(H76,$A$24:$B$1023,2,FALSE),'Scratch Sheet'!$U$23:$X$32,3,FALSE)</f>
        <v>11</v>
      </c>
      <c r="K76" s="13">
        <f>51+X!CL4</f>
        <v>60</v>
      </c>
      <c r="L76" s="13">
        <f>IFERROR(VLOOKUP(VLOOKUP(K76,$A$24:$B$1023,2,FALSE),'Scratch Sheet'!$U$23:$Y$32,5,FALSE)*VLOOKUP(VLOOKUP(K76,$A$24:$E$1023,5,FALSE),'Scratch Sheet'!$L$22:$M$30,2,FALSE),"")</f>
        <v>4500</v>
      </c>
      <c r="N76" s="675">
        <v>189</v>
      </c>
      <c r="O76" s="675" t="str" cm="1">
        <f t="array" ref="O76">IF(OR(INDEX($B$24:$B$1023,N76)="P10",INDEX($B$24:$B$1023,N76)="P11",INDEX($B$24:$B$1023,N76)="P12",INDEX($B$24:$B$1023,N76)="P13"),"C",IF(OR(INDEX($B$24:$B$1023,N76)="P14",INDEX($B$24:$B$1023,N76)="P15",INDEX($B$24:$B$1023,N76)="P16"),"N","O"))&amp;IF(MOD(N76,100)&lt;20,1,IF(MOD(N76,100)&lt;70,2,3))</f>
        <v>C3</v>
      </c>
      <c r="AU76" s="576"/>
      <c r="AV76" s="576"/>
      <c r="AW76" s="17"/>
    </row>
    <row r="77" spans="1:49" ht="16.5" thickBot="1">
      <c r="A77" s="662">
        <v>54</v>
      </c>
      <c r="B77" s="661" t="str" cm="1">
        <f t="array" ref="B77">"P"&amp;INDEX(X!$CL$2:$CL$12,'Scratch Sheet'!H76+1)+9</f>
        <v>P13</v>
      </c>
      <c r="C77" s="661">
        <v>1</v>
      </c>
      <c r="D77" s="755">
        <f t="shared" si="1"/>
        <v>4500</v>
      </c>
      <c r="E77" s="682" t="str">
        <f t="shared" si="2"/>
        <v>C2</v>
      </c>
      <c r="F77" s="683">
        <f t="shared" si="3"/>
        <v>5</v>
      </c>
      <c r="H77" s="13">
        <v>514</v>
      </c>
      <c r="I77" s="13">
        <f>VLOOKUP(VLOOKUP(H77,$A$24:$B$1023,2,FALSE),'Scratch Sheet'!$U$23:$X$32,3,FALSE)</f>
        <v>4</v>
      </c>
      <c r="K77" s="13">
        <f>51+X!CL5</f>
        <v>55</v>
      </c>
      <c r="L77" s="13">
        <f>IFERROR(VLOOKUP(VLOOKUP(K77,$A$24:$B$1023,2,FALSE),'Scratch Sheet'!$U$23:$Y$32,5,FALSE)*VLOOKUP(VLOOKUP(K77,$A$24:$E$1023,5,FALSE),'Scratch Sheet'!$L$22:$M$30,2,FALSE),"")</f>
        <v>2400</v>
      </c>
      <c r="N77" s="675">
        <v>198</v>
      </c>
      <c r="O77" s="675" t="str" cm="1">
        <f t="array" ref="O77">IF(OR(INDEX($B$24:$B$1023,N77)="P10",INDEX($B$24:$B$1023,N77)="P11",INDEX($B$24:$B$1023,N77)="P12",INDEX($B$24:$B$1023,N77)="P13"),"C",IF(OR(INDEX($B$24:$B$1023,N77)="P14",INDEX($B$24:$B$1023,N77)="P15",INDEX($B$24:$B$1023,N77)="P16"),"N","O"))&amp;IF(MOD(N77,100)&lt;20,1,IF(MOD(N77,100)&lt;70,2,3))</f>
        <v>C3</v>
      </c>
      <c r="AU77" s="576"/>
      <c r="AV77" s="576"/>
      <c r="AW77" s="17"/>
    </row>
    <row r="78" spans="1:49" ht="16.5" thickBot="1">
      <c r="A78" s="662">
        <v>55</v>
      </c>
      <c r="B78" s="661" t="str" cm="1">
        <f t="array" ref="B78">"P"&amp;INDEX(X!$CL$2:$CL$12,'Scratch Sheet'!H77+1)+9</f>
        <v>P10</v>
      </c>
      <c r="C78" s="661">
        <v>1</v>
      </c>
      <c r="D78" s="755">
        <f t="shared" si="1"/>
        <v>2400</v>
      </c>
      <c r="E78" s="682" t="str">
        <f t="shared" si="2"/>
        <v>C2</v>
      </c>
      <c r="F78" s="683">
        <f t="shared" si="3"/>
        <v>3</v>
      </c>
      <c r="H78" s="13">
        <v>358</v>
      </c>
      <c r="I78" s="13">
        <f>VLOOKUP(VLOOKUP(H78,$A$24:$B$1023,2,FALSE),'Scratch Sheet'!$U$23:$X$32,3,FALSE)</f>
        <v>5</v>
      </c>
      <c r="K78" s="13">
        <f>51+X!CL6</f>
        <v>57</v>
      </c>
      <c r="L78" s="13">
        <f>IFERROR(VLOOKUP(VLOOKUP(K78,$A$24:$B$1023,2,FALSE),'Scratch Sheet'!$U$23:$Y$32,5,FALSE)*VLOOKUP(VLOOKUP(K78,$A$24:$E$1023,5,FALSE),'Scratch Sheet'!$L$22:$M$30,2,FALSE),"")</f>
        <v>5400</v>
      </c>
      <c r="N78" s="675">
        <v>199</v>
      </c>
      <c r="O78" s="675" t="str" cm="1">
        <f t="array" ref="O78">IF(OR(INDEX($B$24:$B$1023,N78)="P10",INDEX($B$24:$B$1023,N78)="P11",INDEX($B$24:$B$1023,N78)="P12",INDEX($B$24:$B$1023,N78)="P13"),"C",IF(OR(INDEX($B$24:$B$1023,N78)="P14",INDEX($B$24:$B$1023,N78)="P15",INDEX($B$24:$B$1023,N78)="P16"),"N","O"))&amp;IF(MOD(N78,100)&lt;20,1,IF(MOD(N78,100)&lt;70,2,3))</f>
        <v>C3</v>
      </c>
      <c r="AU78" s="576"/>
      <c r="AV78" s="576"/>
      <c r="AW78" s="17"/>
    </row>
    <row r="79" spans="1:49" ht="16.5" thickBot="1">
      <c r="A79" s="662">
        <v>56</v>
      </c>
      <c r="B79" s="661" t="str" cm="1">
        <f t="array" ref="B79">"P"&amp;INDEX(X!$CL$2:$CL$12,'Scratch Sheet'!H78+1)+9</f>
        <v>P15</v>
      </c>
      <c r="C79" s="661">
        <v>1</v>
      </c>
      <c r="D79" s="755">
        <f t="shared" si="1"/>
        <v>5400</v>
      </c>
      <c r="E79" s="682" t="str">
        <f t="shared" si="2"/>
        <v>N2</v>
      </c>
      <c r="F79" s="683">
        <f t="shared" si="3"/>
        <v>5</v>
      </c>
      <c r="H79" s="13">
        <v>587</v>
      </c>
      <c r="I79" s="13">
        <f>VLOOKUP(VLOOKUP(H79,$A$24:$B$1023,2,FALSE),'Scratch Sheet'!$U$23:$X$32,3,FALSE)</f>
        <v>11</v>
      </c>
      <c r="K79" s="13">
        <f>51+X!CL7</f>
        <v>56</v>
      </c>
      <c r="L79" s="13">
        <f>IFERROR(VLOOKUP(VLOOKUP(K79,$A$24:$B$1023,2,FALSE),'Scratch Sheet'!$U$23:$Y$32,5,FALSE)*VLOOKUP(VLOOKUP(K79,$A$24:$E$1023,5,FALSE),'Scratch Sheet'!$L$22:$M$30,2,FALSE),"")</f>
        <v>5400</v>
      </c>
      <c r="N79" s="675">
        <v>203</v>
      </c>
      <c r="O79" s="675" t="str" cm="1">
        <f t="array" ref="O79">IF(OR(INDEX($B$24:$B$1023,N79)="P10",INDEX($B$24:$B$1023,N79)="P11",INDEX($B$24:$B$1023,N79)="P12",INDEX($B$24:$B$1023,N79)="P13"),"C",IF(OR(INDEX($B$24:$B$1023,N79)="P14",INDEX($B$24:$B$1023,N79)="P15",INDEX($B$24:$B$1023,N79)="P16"),"N","O"))&amp;IF(MOD(N79,100)&lt;20,1,IF(MOD(N79,100)&lt;70,2,3))</f>
        <v>C1</v>
      </c>
      <c r="AU79" s="576"/>
      <c r="AV79" s="576"/>
      <c r="AW79" s="17"/>
    </row>
    <row r="80" spans="1:49" ht="16.5" thickBot="1">
      <c r="A80" s="662">
        <v>57</v>
      </c>
      <c r="B80" s="661" t="str" cm="1">
        <f t="array" ref="B80">"P"&amp;INDEX(X!$CL$2:$CL$12,'Scratch Sheet'!H79+1)+9</f>
        <v>P15</v>
      </c>
      <c r="C80" s="661">
        <v>1</v>
      </c>
      <c r="D80" s="755">
        <f t="shared" si="1"/>
        <v>5400</v>
      </c>
      <c r="E80" s="682" t="str">
        <f t="shared" si="2"/>
        <v>N2</v>
      </c>
      <c r="F80" s="683">
        <f t="shared" si="3"/>
        <v>5</v>
      </c>
      <c r="H80" s="13">
        <v>633</v>
      </c>
      <c r="I80" s="13">
        <f>VLOOKUP(VLOOKUP(H80,$A$24:$B$1023,2,FALSE),'Scratch Sheet'!$U$23:$X$32,3,FALSE)</f>
        <v>4</v>
      </c>
      <c r="K80" s="13">
        <f>51+X!CL8</f>
        <v>59</v>
      </c>
      <c r="L80" s="13">
        <f>IFERROR(VLOOKUP(VLOOKUP(K80,$A$24:$B$1023,2,FALSE),'Scratch Sheet'!$U$23:$Y$32,5,FALSE)*VLOOKUP(VLOOKUP(K80,$A$24:$E$1023,5,FALSE),'Scratch Sheet'!$L$22:$M$30,2,FALSE),"")</f>
        <v>5400</v>
      </c>
      <c r="N80" s="675">
        <v>206</v>
      </c>
      <c r="O80" s="675" t="str" cm="1">
        <f t="array" ref="O80">IF(OR(INDEX($B$24:$B$1023,N80)="P10",INDEX($B$24:$B$1023,N80)="P11",INDEX($B$24:$B$1023,N80)="P12",INDEX($B$24:$B$1023,N80)="P13"),"C",IF(OR(INDEX($B$24:$B$1023,N80)="P14",INDEX($B$24:$B$1023,N80)="P15",INDEX($B$24:$B$1023,N80)="P16"),"N","O"))&amp;IF(MOD(N80,100)&lt;20,1,IF(MOD(N80,100)&lt;70,2,3))</f>
        <v>C1</v>
      </c>
      <c r="AU80" s="576"/>
      <c r="AV80" s="576"/>
      <c r="AW80" s="17"/>
    </row>
    <row r="81" spans="1:49" ht="16.5" thickBot="1">
      <c r="A81" s="662">
        <v>58</v>
      </c>
      <c r="B81" s="661" t="str" cm="1">
        <f t="array" ref="B81">"P"&amp;INDEX(X!$CL$2:$CL$12,'Scratch Sheet'!H80+1)+9</f>
        <v>P14</v>
      </c>
      <c r="C81" s="661">
        <v>1</v>
      </c>
      <c r="D81" s="755">
        <f t="shared" si="1"/>
        <v>6480</v>
      </c>
      <c r="E81" s="682" t="str">
        <f t="shared" si="2"/>
        <v>N2</v>
      </c>
      <c r="F81" s="683">
        <f t="shared" si="3"/>
        <v>8</v>
      </c>
      <c r="H81" s="13">
        <v>11</v>
      </c>
      <c r="I81" s="13">
        <f>VLOOKUP(VLOOKUP(H81,$A$24:$B$1023,2,FALSE),'Scratch Sheet'!$U$23:$X$32,3,FALSE)</f>
        <v>5</v>
      </c>
      <c r="K81" s="13">
        <f>51+X!CL9</f>
        <v>54</v>
      </c>
      <c r="L81" s="13">
        <f>IFERROR(VLOOKUP(VLOOKUP(K81,$A$24:$B$1023,2,FALSE),'Scratch Sheet'!$U$23:$Y$32,5,FALSE)*VLOOKUP(VLOOKUP(K81,$A$24:$E$1023,5,FALSE),'Scratch Sheet'!$L$22:$M$30,2,FALSE),"")</f>
        <v>4500</v>
      </c>
      <c r="N81" s="675">
        <v>215</v>
      </c>
      <c r="O81" s="675" t="str" cm="1">
        <f t="array" ref="O81">IF(OR(INDEX($B$24:$B$1023,N81)="P10",INDEX($B$24:$B$1023,N81)="P11",INDEX($B$24:$B$1023,N81)="P12",INDEX($B$24:$B$1023,N81)="P13"),"C",IF(OR(INDEX($B$24:$B$1023,N81)="P14",INDEX($B$24:$B$1023,N81)="P15",INDEX($B$24:$B$1023,N81)="P16"),"N","O"))&amp;IF(MOD(N81,100)&lt;20,1,IF(MOD(N81,100)&lt;70,2,3))</f>
        <v>C1</v>
      </c>
      <c r="AU81" s="576"/>
      <c r="AV81" s="576"/>
      <c r="AW81" s="17"/>
    </row>
    <row r="82" spans="1:49" ht="16.5" thickBot="1">
      <c r="A82" s="662">
        <v>59</v>
      </c>
      <c r="B82" s="661" t="str" cm="1">
        <f t="array" ref="B82">"P"&amp;INDEX(X!$CL$2:$CL$12,'Scratch Sheet'!H81+1)+9</f>
        <v>P15</v>
      </c>
      <c r="C82" s="661">
        <v>1</v>
      </c>
      <c r="D82" s="755">
        <f t="shared" si="1"/>
        <v>5400</v>
      </c>
      <c r="E82" s="682" t="str">
        <f t="shared" si="2"/>
        <v>N2</v>
      </c>
      <c r="F82" s="683">
        <f t="shared" si="3"/>
        <v>5</v>
      </c>
      <c r="H82" s="13">
        <v>647</v>
      </c>
      <c r="I82" s="13">
        <f>VLOOKUP(VLOOKUP(H82,$A$24:$B$1023,2,FALSE),'Scratch Sheet'!$U$23:$X$32,3,FALSE)</f>
        <v>5</v>
      </c>
      <c r="K82" s="13">
        <f>51+X!CL10</f>
        <v>52</v>
      </c>
      <c r="L82" s="13">
        <f>IFERROR(VLOOKUP(VLOOKUP(K82,$A$24:$B$1023,2,FALSE),'Scratch Sheet'!$U$23:$Y$32,5,FALSE)*VLOOKUP(VLOOKUP(K82,$A$24:$E$1023,5,FALSE),'Scratch Sheet'!$L$22:$M$30,2,FALSE),"")</f>
        <v>2400</v>
      </c>
      <c r="N82" s="675">
        <v>216</v>
      </c>
      <c r="O82" s="675" t="str" cm="1">
        <f t="array" ref="O82">IF(OR(INDEX($B$24:$B$1023,N82)="P10",INDEX($B$24:$B$1023,N82)="P11",INDEX($B$24:$B$1023,N82)="P12",INDEX($B$24:$B$1023,N82)="P13"),"C",IF(OR(INDEX($B$24:$B$1023,N82)="P14",INDEX($B$24:$B$1023,N82)="P15",INDEX($B$24:$B$1023,N82)="P16"),"N","O"))&amp;IF(MOD(N82,100)&lt;20,1,IF(MOD(N82,100)&lt;70,2,3))</f>
        <v>C1</v>
      </c>
      <c r="AU82" s="576"/>
      <c r="AV82" s="576"/>
      <c r="AW82" s="17"/>
    </row>
    <row r="83" spans="1:49" ht="16.5" thickBot="1">
      <c r="A83" s="662">
        <v>60</v>
      </c>
      <c r="B83" s="661" t="str" cm="1">
        <f t="array" ref="B83">"P"&amp;INDEX(X!$CL$2:$CL$12,'Scratch Sheet'!H82+1)+9</f>
        <v>P13</v>
      </c>
      <c r="C83" s="661">
        <v>1</v>
      </c>
      <c r="D83" s="755">
        <f t="shared" si="1"/>
        <v>4500</v>
      </c>
      <c r="E83" s="682" t="str">
        <f t="shared" si="2"/>
        <v>C2</v>
      </c>
      <c r="F83" s="683">
        <f t="shared" si="3"/>
        <v>5</v>
      </c>
      <c r="H83" s="13">
        <v>977</v>
      </c>
      <c r="I83" s="13">
        <f>VLOOKUP(VLOOKUP(H83,$A$24:$B$1023,2,FALSE),'Scratch Sheet'!$U$23:$X$32,3,FALSE)</f>
        <v>11</v>
      </c>
      <c r="K83" s="13">
        <f>51+X!CL11</f>
        <v>53</v>
      </c>
      <c r="L83" s="13">
        <f>IFERROR(VLOOKUP(VLOOKUP(K83,$A$24:$B$1023,2,FALSE),'Scratch Sheet'!$U$23:$Y$32,5,FALSE)*VLOOKUP(VLOOKUP(K83,$A$24:$E$1023,5,FALSE),'Scratch Sheet'!$L$22:$M$30,2,FALSE),"")</f>
        <v>5940.0000000000009</v>
      </c>
      <c r="N83" s="675">
        <v>220</v>
      </c>
      <c r="O83" s="675" t="str" cm="1">
        <f t="array" ref="O83">IF(OR(INDEX($B$24:$B$1023,N83)="P10",INDEX($B$24:$B$1023,N83)="P11",INDEX($B$24:$B$1023,N83)="P12",INDEX($B$24:$B$1023,N83)="P13"),"C",IF(OR(INDEX($B$24:$B$1023,N83)="P14",INDEX($B$24:$B$1023,N83)="P15",INDEX($B$24:$B$1023,N83)="P16"),"N","O"))&amp;IF(MOD(N83,100)&lt;20,1,IF(MOD(N83,100)&lt;70,2,3))</f>
        <v>C2</v>
      </c>
      <c r="AU83" s="576"/>
      <c r="AV83" s="576"/>
      <c r="AW83" s="17"/>
    </row>
    <row r="84" spans="1:49" ht="16.5" thickBot="1">
      <c r="A84" s="662">
        <v>61</v>
      </c>
      <c r="B84" s="661" t="str" cm="1">
        <f t="array" ref="B84">"P"&amp;INDEX(X!$CL$2:$CL$12,'Scratch Sheet'!H83+1)+9</f>
        <v>P19</v>
      </c>
      <c r="C84" s="661">
        <v>1</v>
      </c>
      <c r="D84" s="755">
        <f t="shared" si="1"/>
        <v>9680</v>
      </c>
      <c r="E84" s="682" t="str">
        <f t="shared" si="2"/>
        <v>O2</v>
      </c>
      <c r="F84" s="683">
        <f t="shared" si="3"/>
        <v>11</v>
      </c>
      <c r="H84" s="13">
        <v>832</v>
      </c>
      <c r="I84" s="13">
        <f>VLOOKUP(VLOOKUP(H84,$A$24:$B$1023,2,FALSE),'Scratch Sheet'!$U$23:$X$32,3,FALSE)</f>
        <v>3</v>
      </c>
      <c r="K84" s="13">
        <f>51+X!CL12</f>
        <v>51</v>
      </c>
      <c r="L84" s="13">
        <f>IFERROR(VLOOKUP(VLOOKUP(K84,$A$24:$B$1023,2,FALSE),'Scratch Sheet'!$U$23:$Y$32,5,FALSE)*VLOOKUP(VLOOKUP(K84,$A$24:$E$1023,5,FALSE),'Scratch Sheet'!$L$22:$M$30,2,FALSE),"")</f>
        <v>13200.000000000002</v>
      </c>
      <c r="N84" s="675">
        <v>223</v>
      </c>
      <c r="O84" s="675" t="str" cm="1">
        <f t="array" ref="O84">IF(OR(INDEX($B$24:$B$1023,N84)="P10",INDEX($B$24:$B$1023,N84)="P11",INDEX($B$24:$B$1023,N84)="P12",INDEX($B$24:$B$1023,N84)="P13"),"C",IF(OR(INDEX($B$24:$B$1023,N84)="P14",INDEX($B$24:$B$1023,N84)="P15",INDEX($B$24:$B$1023,N84)="P16"),"N","O"))&amp;IF(MOD(N84,100)&lt;20,1,IF(MOD(N84,100)&lt;70,2,3))</f>
        <v>C2</v>
      </c>
      <c r="AU84" s="576"/>
      <c r="AV84" s="576"/>
      <c r="AW84" s="17"/>
    </row>
    <row r="85" spans="1:49" ht="16.5" thickBot="1">
      <c r="A85" s="662">
        <v>62</v>
      </c>
      <c r="B85" s="661" t="str" cm="1">
        <f t="array" ref="B85">"P"&amp;INDEX(X!$CL$2:$CL$12,'Scratch Sheet'!H84+1)+9</f>
        <v>P12</v>
      </c>
      <c r="C85" s="661">
        <v>1</v>
      </c>
      <c r="D85" s="755">
        <f t="shared" si="1"/>
        <v>6825</v>
      </c>
      <c r="E85" s="682" t="str">
        <f t="shared" si="2"/>
        <v>C2</v>
      </c>
      <c r="F85" s="683">
        <f t="shared" si="3"/>
        <v>6.5</v>
      </c>
      <c r="H85" s="13">
        <v>941</v>
      </c>
      <c r="I85" s="13">
        <f>VLOOKUP(VLOOKUP(H85,$A$24:$B$1023,2,FALSE),'Scratch Sheet'!$U$23:$X$32,3,FALSE)</f>
        <v>12</v>
      </c>
      <c r="K85" s="13">
        <f>61+X!CK2</f>
        <v>67</v>
      </c>
      <c r="L85" s="13">
        <f>IFERROR(VLOOKUP(VLOOKUP(K85,$A$24:$B$1023,2,FALSE),'Scratch Sheet'!$U$23:$Y$32,5,FALSE)*VLOOKUP(VLOOKUP(K85,$A$24:$E$1023,5,FALSE),'Scratch Sheet'!$L$22:$M$30,2,FALSE),"")</f>
        <v>5940.0000000000009</v>
      </c>
      <c r="N85" s="675">
        <v>232</v>
      </c>
      <c r="O85" s="675" t="str" cm="1">
        <f t="array" ref="O85">IF(OR(INDEX($B$24:$B$1023,N85)="P10",INDEX($B$24:$B$1023,N85)="P11",INDEX($B$24:$B$1023,N85)="P12",INDEX($B$24:$B$1023,N85)="P13"),"C",IF(OR(INDEX($B$24:$B$1023,N85)="P14",INDEX($B$24:$B$1023,N85)="P15",INDEX($B$24:$B$1023,N85)="P16"),"N","O"))&amp;IF(MOD(N85,100)&lt;20,1,IF(MOD(N85,100)&lt;70,2,3))</f>
        <v>C2</v>
      </c>
      <c r="AU85" s="576"/>
      <c r="AV85" s="576"/>
      <c r="AW85" s="17"/>
    </row>
    <row r="86" spans="1:49" ht="16.5" thickBot="1">
      <c r="A86" s="662">
        <v>63</v>
      </c>
      <c r="B86" s="661" t="str" cm="1">
        <f t="array" ref="B86">"P"&amp;INDEX(X!$CL$2:$CL$12,'Scratch Sheet'!H85+1)+9</f>
        <v>P12</v>
      </c>
      <c r="C86" s="661">
        <v>1</v>
      </c>
      <c r="D86" s="755">
        <f t="shared" si="1"/>
        <v>6825</v>
      </c>
      <c r="E86" s="682" t="str">
        <f t="shared" si="2"/>
        <v>C2</v>
      </c>
      <c r="F86" s="683">
        <f t="shared" si="3"/>
        <v>6.5</v>
      </c>
      <c r="H86" s="13">
        <v>316</v>
      </c>
      <c r="I86" s="13">
        <f>VLOOKUP(VLOOKUP(H86,$A$24:$B$1023,2,FALSE),'Scratch Sheet'!$U$23:$X$32,3,FALSE)</f>
        <v>6.5</v>
      </c>
      <c r="K86" s="13">
        <f>61+X!CK3</f>
        <v>70</v>
      </c>
      <c r="L86" s="13">
        <f>IFERROR(VLOOKUP(VLOOKUP(K86,$A$24:$B$1023,2,FALSE),'Scratch Sheet'!$U$23:$Y$32,5,FALSE)*VLOOKUP(VLOOKUP(K86,$A$24:$E$1023,5,FALSE),'Scratch Sheet'!$L$22:$M$30,2,FALSE),"")</f>
        <v>8800</v>
      </c>
      <c r="N86" s="675">
        <v>233</v>
      </c>
      <c r="O86" s="675" t="str" cm="1">
        <f t="array" ref="O86">IF(OR(INDEX($B$24:$B$1023,N86)="P10",INDEX($B$24:$B$1023,N86)="P11",INDEX($B$24:$B$1023,N86)="P12",INDEX($B$24:$B$1023,N86)="P13"),"C",IF(OR(INDEX($B$24:$B$1023,N86)="P14",INDEX($B$24:$B$1023,N86)="P15",INDEX($B$24:$B$1023,N86)="P16"),"N","O"))&amp;IF(MOD(N86,100)&lt;20,1,IF(MOD(N86,100)&lt;70,2,3))</f>
        <v>C2</v>
      </c>
      <c r="AU86" s="576"/>
      <c r="AV86" s="576"/>
      <c r="AW86" s="17"/>
    </row>
    <row r="87" spans="1:49" ht="16.5" thickBot="1">
      <c r="A87" s="662">
        <v>64</v>
      </c>
      <c r="B87" s="661" t="str" cm="1">
        <f t="array" ref="B87">"P"&amp;INDEX(X!$CL$2:$CL$12,'Scratch Sheet'!H86+1)+9</f>
        <v>P17</v>
      </c>
      <c r="C87" s="661">
        <v>1</v>
      </c>
      <c r="D87" s="755">
        <f t="shared" si="1"/>
        <v>13200.000000000002</v>
      </c>
      <c r="E87" s="682" t="str">
        <f t="shared" si="2"/>
        <v>O2</v>
      </c>
      <c r="F87" s="683">
        <f t="shared" si="3"/>
        <v>12</v>
      </c>
      <c r="H87" s="13">
        <v>960</v>
      </c>
      <c r="I87" s="13">
        <f>VLOOKUP(VLOOKUP(H87,$A$24:$B$1023,2,FALSE),'Scratch Sheet'!$U$23:$X$32,3,FALSE)</f>
        <v>11</v>
      </c>
      <c r="K87" s="13">
        <f>61+X!CK4</f>
        <v>69</v>
      </c>
      <c r="L87" s="13">
        <f>IFERROR(VLOOKUP(VLOOKUP(K87,$A$24:$B$1023,2,FALSE),'Scratch Sheet'!$U$23:$Y$32,5,FALSE)*VLOOKUP(VLOOKUP(K87,$A$24:$E$1023,5,FALSE),'Scratch Sheet'!$L$22:$M$30,2,FALSE),"")</f>
        <v>5400</v>
      </c>
      <c r="N87" s="675">
        <v>237</v>
      </c>
      <c r="O87" s="675" t="str" cm="1">
        <f t="array" ref="O87">IF(OR(INDEX($B$24:$B$1023,N87)="P10",INDEX($B$24:$B$1023,N87)="P11",INDEX($B$24:$B$1023,N87)="P12",INDEX($B$24:$B$1023,N87)="P13"),"C",IF(OR(INDEX($B$24:$B$1023,N87)="P14",INDEX($B$24:$B$1023,N87)="P15",INDEX($B$24:$B$1023,N87)="P16"),"N","O"))&amp;IF(MOD(N87,100)&lt;20,1,IF(MOD(N87,100)&lt;70,2,3))</f>
        <v>C2</v>
      </c>
      <c r="AU87" s="576"/>
      <c r="AV87" s="576"/>
      <c r="AW87" s="17"/>
    </row>
    <row r="88" spans="1:49" ht="16.5" thickBot="1">
      <c r="A88" s="662">
        <v>65</v>
      </c>
      <c r="B88" s="661" t="str" cm="1">
        <f t="array" ref="B88">"P"&amp;INDEX(X!$CL$2:$CL$12,'Scratch Sheet'!H87+1)+9</f>
        <v>P12</v>
      </c>
      <c r="C88" s="661">
        <v>1</v>
      </c>
      <c r="D88" s="755">
        <f t="shared" si="1"/>
        <v>6825</v>
      </c>
      <c r="E88" s="682" t="str">
        <f t="shared" si="2"/>
        <v>C2</v>
      </c>
      <c r="F88" s="683">
        <f t="shared" si="3"/>
        <v>6.5</v>
      </c>
      <c r="H88" s="13">
        <v>294</v>
      </c>
      <c r="I88" s="13">
        <f>VLOOKUP(VLOOKUP(H88,$A$24:$B$1023,2,FALSE),'Scratch Sheet'!$U$23:$X$32,3,FALSE)</f>
        <v>12</v>
      </c>
      <c r="K88" s="13">
        <f>61+X!CK5</f>
        <v>64</v>
      </c>
      <c r="L88" s="13">
        <f>IFERROR(VLOOKUP(VLOOKUP(K88,$A$24:$B$1023,2,FALSE),'Scratch Sheet'!$U$23:$Y$32,5,FALSE)*VLOOKUP(VLOOKUP(K88,$A$24:$E$1023,5,FALSE),'Scratch Sheet'!$L$22:$M$30,2,FALSE),"")</f>
        <v>13200.000000000002</v>
      </c>
      <c r="N88" s="675">
        <v>240</v>
      </c>
      <c r="O88" s="675" t="str" cm="1">
        <f t="array" ref="O88">IF(OR(INDEX($B$24:$B$1023,N88)="P10",INDEX($B$24:$B$1023,N88)="P11",INDEX($B$24:$B$1023,N88)="P12",INDEX($B$24:$B$1023,N88)="P13"),"C",IF(OR(INDEX($B$24:$B$1023,N88)="P14",INDEX($B$24:$B$1023,N88)="P15",INDEX($B$24:$B$1023,N88)="P16"),"N","O"))&amp;IF(MOD(N88,100)&lt;20,1,IF(MOD(N88,100)&lt;70,2,3))</f>
        <v>C2</v>
      </c>
      <c r="AU88" s="576"/>
      <c r="AV88" s="576"/>
      <c r="AW88" s="17"/>
    </row>
    <row r="89" spans="1:49" ht="16.5" thickBot="1">
      <c r="A89" s="662">
        <v>66</v>
      </c>
      <c r="B89" s="661" t="str" cm="1">
        <f t="array" ref="B89">"P"&amp;INDEX(X!$CL$2:$CL$12,'Scratch Sheet'!H88+1)+9</f>
        <v>P15</v>
      </c>
      <c r="C89" s="661">
        <v>1</v>
      </c>
      <c r="D89" s="755">
        <f t="shared" ref="D89:D152" si="4">SUMIF($K$24:$K$1053, $A89, $L$24:$L$1053)</f>
        <v>5400</v>
      </c>
      <c r="E89" s="682" t="str">
        <f t="shared" ref="E89:E152" si="5">INDEX($O$24:$O$1023,MATCH($A89,$N$24:$N$1023,0))</f>
        <v>N2</v>
      </c>
      <c r="F89" s="683">
        <f t="shared" ref="F89:F152" si="6">VLOOKUP(A89, $H$24:$I$1023, 2, FALSE)</f>
        <v>5</v>
      </c>
      <c r="H89" s="13">
        <v>333</v>
      </c>
      <c r="I89" s="13">
        <f>VLOOKUP(VLOOKUP(H89,$A$24:$B$1023,2,FALSE),'Scratch Sheet'!$U$23:$X$32,3,FALSE)</f>
        <v>6.5</v>
      </c>
      <c r="K89" s="13">
        <f>61+X!CK6</f>
        <v>66</v>
      </c>
      <c r="L89" s="13">
        <f>IFERROR(VLOOKUP(VLOOKUP(K89,$A$24:$B$1023,2,FALSE),'Scratch Sheet'!$U$23:$Y$32,5,FALSE)*VLOOKUP(VLOOKUP(K89,$A$24:$E$1023,5,FALSE),'Scratch Sheet'!$L$22:$M$30,2,FALSE),"")</f>
        <v>5400</v>
      </c>
      <c r="N89" s="675">
        <v>249</v>
      </c>
      <c r="O89" s="675" t="str" cm="1">
        <f t="array" ref="O89">IF(OR(INDEX($B$24:$B$1023,N89)="P10",INDEX($B$24:$B$1023,N89)="P11",INDEX($B$24:$B$1023,N89)="P12",INDEX($B$24:$B$1023,N89)="P13"),"C",IF(OR(INDEX($B$24:$B$1023,N89)="P14",INDEX($B$24:$B$1023,N89)="P15",INDEX($B$24:$B$1023,N89)="P16"),"N","O"))&amp;IF(MOD(N89,100)&lt;20,1,IF(MOD(N89,100)&lt;70,2,3))</f>
        <v>C2</v>
      </c>
      <c r="AU89" s="576"/>
      <c r="AV89" s="576"/>
      <c r="AW89" s="17"/>
    </row>
    <row r="90" spans="1:49" ht="16.5" thickBot="1">
      <c r="A90" s="662">
        <v>67</v>
      </c>
      <c r="B90" s="661" t="str" cm="1">
        <f t="array" ref="B90">"P"&amp;INDEX(X!$CL$2:$CL$12,'Scratch Sheet'!H89+1)+9</f>
        <v>P18</v>
      </c>
      <c r="C90" s="661">
        <v>1</v>
      </c>
      <c r="D90" s="755">
        <f t="shared" si="4"/>
        <v>5940.0000000000009</v>
      </c>
      <c r="E90" s="682" t="str">
        <f t="shared" si="5"/>
        <v>O2</v>
      </c>
      <c r="F90" s="683">
        <f t="shared" si="6"/>
        <v>6</v>
      </c>
      <c r="H90" s="13">
        <v>936</v>
      </c>
      <c r="I90" s="13">
        <f>VLOOKUP(VLOOKUP(H90,$A$24:$B$1023,2,FALSE),'Scratch Sheet'!$U$23:$X$32,3,FALSE)</f>
        <v>5</v>
      </c>
      <c r="K90" s="13">
        <f>61+X!CK7</f>
        <v>65</v>
      </c>
      <c r="L90" s="13">
        <f>IFERROR(VLOOKUP(VLOOKUP(K90,$A$24:$B$1023,2,FALSE),'Scratch Sheet'!$U$23:$Y$32,5,FALSE)*VLOOKUP(VLOOKUP(K90,$A$24:$E$1023,5,FALSE),'Scratch Sheet'!$L$22:$M$30,2,FALSE),"")</f>
        <v>6825</v>
      </c>
      <c r="N90" s="675">
        <v>250</v>
      </c>
      <c r="O90" s="675" t="str" cm="1">
        <f t="array" ref="O90">IF(OR(INDEX($B$24:$B$1023,N90)="P10",INDEX($B$24:$B$1023,N90)="P11",INDEX($B$24:$B$1023,N90)="P12",INDEX($B$24:$B$1023,N90)="P13"),"C",IF(OR(INDEX($B$24:$B$1023,N90)="P14",INDEX($B$24:$B$1023,N90)="P15",INDEX($B$24:$B$1023,N90)="P16"),"N","O"))&amp;IF(MOD(N90,100)&lt;20,1,IF(MOD(N90,100)&lt;70,2,3))</f>
        <v>C2</v>
      </c>
      <c r="AU90" s="576"/>
      <c r="AV90" s="576"/>
      <c r="AW90" s="17"/>
    </row>
    <row r="91" spans="1:49" ht="16.5" thickBot="1">
      <c r="A91" s="662">
        <v>68</v>
      </c>
      <c r="B91" s="661" t="str" cm="1">
        <f t="array" ref="B91">"P"&amp;INDEX(X!$CL$2:$CL$12,'Scratch Sheet'!H90+1)+9</f>
        <v>P19</v>
      </c>
      <c r="C91" s="661">
        <v>1</v>
      </c>
      <c r="D91" s="755">
        <f t="shared" si="4"/>
        <v>9680</v>
      </c>
      <c r="E91" s="682" t="str">
        <f t="shared" si="5"/>
        <v>O2</v>
      </c>
      <c r="F91" s="683">
        <f t="shared" si="6"/>
        <v>11</v>
      </c>
      <c r="H91" s="13">
        <v>378</v>
      </c>
      <c r="I91" s="13">
        <f>VLOOKUP(VLOOKUP(H91,$A$24:$B$1023,2,FALSE),'Scratch Sheet'!$U$23:$X$32,3,FALSE)</f>
        <v>4</v>
      </c>
      <c r="K91" s="13">
        <f>61+X!CK8</f>
        <v>68</v>
      </c>
      <c r="L91" s="13">
        <f>IFERROR(VLOOKUP(VLOOKUP(K91,$A$24:$B$1023,2,FALSE),'Scratch Sheet'!$U$23:$Y$32,5,FALSE)*VLOOKUP(VLOOKUP(K91,$A$24:$E$1023,5,FALSE),'Scratch Sheet'!$L$22:$M$30,2,FALSE),"")</f>
        <v>9680</v>
      </c>
      <c r="N91" s="675">
        <v>254</v>
      </c>
      <c r="O91" s="675" t="str" cm="1">
        <f t="array" ref="O91">IF(OR(INDEX($B$24:$B$1023,N91)="P10",INDEX($B$24:$B$1023,N91)="P11",INDEX($B$24:$B$1023,N91)="P12",INDEX($B$24:$B$1023,N91)="P13"),"C",IF(OR(INDEX($B$24:$B$1023,N91)="P14",INDEX($B$24:$B$1023,N91)="P15",INDEX($B$24:$B$1023,N91)="P16"),"N","O"))&amp;IF(MOD(N91,100)&lt;20,1,IF(MOD(N91,100)&lt;70,2,3))</f>
        <v>C2</v>
      </c>
      <c r="AU91" s="576"/>
      <c r="AV91" s="576"/>
      <c r="AW91" s="17"/>
    </row>
    <row r="92" spans="1:49" ht="16.5" thickBot="1">
      <c r="A92" s="662">
        <v>69</v>
      </c>
      <c r="B92" s="661" t="str" cm="1">
        <f t="array" ref="B92">"P"&amp;INDEX(X!$CL$2:$CL$12,'Scratch Sheet'!H91+1)+9</f>
        <v>P15</v>
      </c>
      <c r="C92" s="661">
        <v>1</v>
      </c>
      <c r="D92" s="755">
        <f t="shared" si="4"/>
        <v>5400</v>
      </c>
      <c r="E92" s="682" t="str">
        <f t="shared" si="5"/>
        <v>N2</v>
      </c>
      <c r="F92" s="683">
        <f t="shared" si="6"/>
        <v>5</v>
      </c>
      <c r="H92" s="13">
        <v>367</v>
      </c>
      <c r="I92" s="13">
        <f>VLOOKUP(VLOOKUP(H92,$A$24:$B$1023,2,FALSE),'Scratch Sheet'!$U$23:$X$32,3,FALSE)</f>
        <v>6.5</v>
      </c>
      <c r="K92" s="13">
        <f>61+X!CK9</f>
        <v>63</v>
      </c>
      <c r="L92" s="13">
        <f>IFERROR(VLOOKUP(VLOOKUP(K92,$A$24:$B$1023,2,FALSE),'Scratch Sheet'!$U$23:$Y$32,5,FALSE)*VLOOKUP(VLOOKUP(K92,$A$24:$E$1023,5,FALSE),'Scratch Sheet'!$L$22:$M$30,2,FALSE),"")</f>
        <v>6825</v>
      </c>
      <c r="N92" s="675">
        <v>257</v>
      </c>
      <c r="O92" s="675" t="str" cm="1">
        <f t="array" ref="O92">IF(OR(INDEX($B$24:$B$1023,N92)="P10",INDEX($B$24:$B$1023,N92)="P11",INDEX($B$24:$B$1023,N92)="P12",INDEX($B$24:$B$1023,N92)="P13"),"C",IF(OR(INDEX($B$24:$B$1023,N92)="P14",INDEX($B$24:$B$1023,N92)="P15",INDEX($B$24:$B$1023,N92)="P16"),"N","O"))&amp;IF(MOD(N92,100)&lt;20,1,IF(MOD(N92,100)&lt;70,2,3))</f>
        <v>C2</v>
      </c>
      <c r="AU92" s="576"/>
      <c r="AV92" s="576"/>
      <c r="AW92" s="17"/>
    </row>
    <row r="93" spans="1:49" ht="16.5" thickBot="1">
      <c r="A93" s="662">
        <v>70</v>
      </c>
      <c r="B93" s="661" t="str" cm="1">
        <f t="array" ref="B93">"P"&amp;INDEX(X!$CL$2:$CL$12,'Scratch Sheet'!H92+1)+9</f>
        <v>P11</v>
      </c>
      <c r="C93" s="661">
        <v>1</v>
      </c>
      <c r="D93" s="755">
        <f t="shared" si="4"/>
        <v>8800</v>
      </c>
      <c r="E93" s="682" t="str">
        <f t="shared" si="5"/>
        <v>C3</v>
      </c>
      <c r="F93" s="683">
        <f t="shared" si="6"/>
        <v>11</v>
      </c>
      <c r="H93" s="13">
        <v>250</v>
      </c>
      <c r="I93" s="13">
        <f>VLOOKUP(VLOOKUP(H93,$A$24:$B$1023,2,FALSE),'Scratch Sheet'!$U$23:$X$32,3,FALSE)</f>
        <v>3</v>
      </c>
      <c r="K93" s="13">
        <f>61+X!CK10</f>
        <v>62</v>
      </c>
      <c r="L93" s="13">
        <f>IFERROR(VLOOKUP(VLOOKUP(K93,$A$24:$B$1023,2,FALSE),'Scratch Sheet'!$U$23:$Y$32,5,FALSE)*VLOOKUP(VLOOKUP(K93,$A$24:$E$1023,5,FALSE),'Scratch Sheet'!$L$22:$M$30,2,FALSE),"")</f>
        <v>6825</v>
      </c>
      <c r="N93" s="675">
        <v>266</v>
      </c>
      <c r="O93" s="675" t="str" cm="1">
        <f t="array" ref="O93">IF(OR(INDEX($B$24:$B$1023,N93)="P10",INDEX($B$24:$B$1023,N93)="P11",INDEX($B$24:$B$1023,N93)="P12",INDEX($B$24:$B$1023,N93)="P13"),"C",IF(OR(INDEX($B$24:$B$1023,N93)="P14",INDEX($B$24:$B$1023,N93)="P15",INDEX($B$24:$B$1023,N93)="P16"),"N","O"))&amp;IF(MOD(N93,100)&lt;20,1,IF(MOD(N93,100)&lt;70,2,3))</f>
        <v>C2</v>
      </c>
      <c r="AU93" s="576"/>
      <c r="AV93" s="576"/>
      <c r="AW93" s="17"/>
    </row>
    <row r="94" spans="1:49" ht="16.5" thickBot="1">
      <c r="A94" s="662">
        <v>71</v>
      </c>
      <c r="B94" s="661" t="str" cm="1">
        <f t="array" ref="B94">"P"&amp;INDEX(X!$CL$2:$CL$12,'Scratch Sheet'!H93+1)+9</f>
        <v>P19</v>
      </c>
      <c r="C94" s="661">
        <v>1</v>
      </c>
      <c r="D94" s="755">
        <f t="shared" si="4"/>
        <v>7040</v>
      </c>
      <c r="E94" s="682" t="str">
        <f t="shared" si="5"/>
        <v>O3</v>
      </c>
      <c r="F94" s="683">
        <f t="shared" si="6"/>
        <v>11</v>
      </c>
      <c r="H94" s="13">
        <v>386</v>
      </c>
      <c r="I94" s="13">
        <f>VLOOKUP(VLOOKUP(H94,$A$24:$B$1023,2,FALSE),'Scratch Sheet'!$U$23:$X$32,3,FALSE)</f>
        <v>3</v>
      </c>
      <c r="K94" s="13">
        <f>70+X!CJ2</f>
        <v>75</v>
      </c>
      <c r="L94" s="13">
        <f>IFERROR(VLOOKUP(VLOOKUP(K94,$A$24:$B$1023,2,FALSE),'Scratch Sheet'!$U$23:$Y$32,5,FALSE)*VLOOKUP(VLOOKUP(K94,$A$24:$E$1023,5,FALSE),'Scratch Sheet'!$L$22:$M$30,2,FALSE),"")</f>
        <v>9600</v>
      </c>
      <c r="N94" s="675">
        <v>267</v>
      </c>
      <c r="O94" s="675" t="str" cm="1">
        <f t="array" ref="O94">IF(OR(INDEX($B$24:$B$1023,N94)="P10",INDEX($B$24:$B$1023,N94)="P11",INDEX($B$24:$B$1023,N94)="P12",INDEX($B$24:$B$1023,N94)="P13"),"C",IF(OR(INDEX($B$24:$B$1023,N94)="P14",INDEX($B$24:$B$1023,N94)="P15",INDEX($B$24:$B$1023,N94)="P16"),"N","O"))&amp;IF(MOD(N94,100)&lt;20,1,IF(MOD(N94,100)&lt;70,2,3))</f>
        <v>C2</v>
      </c>
      <c r="AU94" s="576"/>
      <c r="AV94" s="576"/>
      <c r="AW94" s="17"/>
    </row>
    <row r="95" spans="1:49" ht="16.5" thickBot="1">
      <c r="A95" s="662">
        <v>72</v>
      </c>
      <c r="B95" s="661" t="str" cm="1">
        <f t="array" ref="B95">"P"&amp;INDEX(X!$CL$2:$CL$12,'Scratch Sheet'!H94+1)+9</f>
        <v>P11</v>
      </c>
      <c r="C95" s="661">
        <v>1</v>
      </c>
      <c r="D95" s="755">
        <f t="shared" si="4"/>
        <v>8800</v>
      </c>
      <c r="E95" s="682" t="str">
        <f t="shared" si="5"/>
        <v>C3</v>
      </c>
      <c r="F95" s="683">
        <f t="shared" si="6"/>
        <v>11</v>
      </c>
      <c r="H95" s="13">
        <v>210</v>
      </c>
      <c r="I95" s="13">
        <f>VLOOKUP(VLOOKUP(H95,$A$24:$B$1023,2,FALSE),'Scratch Sheet'!$U$23:$X$32,3,FALSE)</f>
        <v>12</v>
      </c>
      <c r="K95" s="13">
        <f>70+X!CJ3</f>
        <v>78</v>
      </c>
      <c r="L95" s="13">
        <f>IFERROR(VLOOKUP(VLOOKUP(K95,$A$24:$B$1023,2,FALSE),'Scratch Sheet'!$U$23:$Y$32,5,FALSE)*VLOOKUP(VLOOKUP(K95,$A$24:$E$1023,5,FALSE),'Scratch Sheet'!$L$22:$M$30,2,FALSE),"")</f>
        <v>7040</v>
      </c>
      <c r="N95" s="675">
        <v>271</v>
      </c>
      <c r="O95" s="675" t="str" cm="1">
        <f t="array" ref="O95">IF(OR(INDEX($B$24:$B$1023,N95)="P10",INDEX($B$24:$B$1023,N95)="P11",INDEX($B$24:$B$1023,N95)="P12",INDEX($B$24:$B$1023,N95)="P13"),"C",IF(OR(INDEX($B$24:$B$1023,N95)="P14",INDEX($B$24:$B$1023,N95)="P15",INDEX($B$24:$B$1023,N95)="P16"),"N","O"))&amp;IF(MOD(N95,100)&lt;20,1,IF(MOD(N95,100)&lt;70,2,3))</f>
        <v>C3</v>
      </c>
      <c r="AU95" s="576"/>
      <c r="AV95" s="576"/>
      <c r="AW95" s="17"/>
    </row>
    <row r="96" spans="1:49" ht="16.5" thickBot="1">
      <c r="A96" s="662">
        <v>73</v>
      </c>
      <c r="B96" s="661" t="str" cm="1">
        <f t="array" ref="B96">"P"&amp;INDEX(X!$CL$2:$CL$12,'Scratch Sheet'!H95+1)+9</f>
        <v>P12</v>
      </c>
      <c r="C96" s="661">
        <v>1</v>
      </c>
      <c r="D96" s="755">
        <f t="shared" si="4"/>
        <v>5460</v>
      </c>
      <c r="E96" s="682" t="str">
        <f t="shared" si="5"/>
        <v>C3</v>
      </c>
      <c r="F96" s="683">
        <f t="shared" si="6"/>
        <v>6.5</v>
      </c>
      <c r="H96" s="13">
        <v>775</v>
      </c>
      <c r="I96" s="13">
        <f>VLOOKUP(VLOOKUP(H96,$A$24:$B$1023,2,FALSE),'Scratch Sheet'!$U$23:$X$32,3,FALSE)</f>
        <v>6.5</v>
      </c>
      <c r="K96" s="13">
        <f>70+X!CJ4</f>
        <v>77</v>
      </c>
      <c r="L96" s="13">
        <f>IFERROR(VLOOKUP(VLOOKUP(K96,$A$24:$B$1023,2,FALSE),'Scratch Sheet'!$U$23:$Y$32,5,FALSE)*VLOOKUP(VLOOKUP(K96,$A$24:$E$1023,5,FALSE),'Scratch Sheet'!$L$22:$M$30,2,FALSE),"")</f>
        <v>7040</v>
      </c>
      <c r="N96" s="675">
        <v>274</v>
      </c>
      <c r="O96" s="675" t="str" cm="1">
        <f t="array" ref="O96">IF(OR(INDEX($B$24:$B$1023,N96)="P10",INDEX($B$24:$B$1023,N96)="P11",INDEX($B$24:$B$1023,N96)="P12",INDEX($B$24:$B$1023,N96)="P13"),"C",IF(OR(INDEX($B$24:$B$1023,N96)="P14",INDEX($B$24:$B$1023,N96)="P15",INDEX($B$24:$B$1023,N96)="P16"),"N","O"))&amp;IF(MOD(N96,100)&lt;20,1,IF(MOD(N96,100)&lt;70,2,3))</f>
        <v>C3</v>
      </c>
      <c r="AU96" s="576"/>
      <c r="AV96" s="576"/>
      <c r="AW96" s="17"/>
    </row>
    <row r="97" spans="1:49" ht="16.5" thickBot="1">
      <c r="A97" s="662">
        <v>74</v>
      </c>
      <c r="B97" s="661" t="str" cm="1">
        <f t="array" ref="B97">"P"&amp;INDEX(X!$CL$2:$CL$12,'Scratch Sheet'!H96+1)+9</f>
        <v>P15</v>
      </c>
      <c r="C97" s="661">
        <v>1</v>
      </c>
      <c r="D97" s="755">
        <f t="shared" si="4"/>
        <v>6000</v>
      </c>
      <c r="E97" s="682" t="str">
        <f t="shared" si="5"/>
        <v>N3</v>
      </c>
      <c r="F97" s="683">
        <f t="shared" si="6"/>
        <v>5</v>
      </c>
      <c r="H97" s="13">
        <v>872</v>
      </c>
      <c r="I97" s="13">
        <f>VLOOKUP(VLOOKUP(H97,$A$24:$B$1023,2,FALSE),'Scratch Sheet'!$U$23:$X$32,3,FALSE)</f>
        <v>12</v>
      </c>
      <c r="K97" s="13">
        <f>70+X!CJ5</f>
        <v>72</v>
      </c>
      <c r="L97" s="13">
        <f>IFERROR(VLOOKUP(VLOOKUP(K97,$A$24:$B$1023,2,FALSE),'Scratch Sheet'!$U$23:$Y$32,5,FALSE)*VLOOKUP(VLOOKUP(K97,$A$24:$E$1023,5,FALSE),'Scratch Sheet'!$L$22:$M$30,2,FALSE),"")</f>
        <v>8800</v>
      </c>
      <c r="N97" s="675">
        <v>283</v>
      </c>
      <c r="O97" s="675" t="str" cm="1">
        <f t="array" ref="O97">IF(OR(INDEX($B$24:$B$1023,N97)="P10",INDEX($B$24:$B$1023,N97)="P11",INDEX($B$24:$B$1023,N97)="P12",INDEX($B$24:$B$1023,N97)="P13"),"C",IF(OR(INDEX($B$24:$B$1023,N97)="P14",INDEX($B$24:$B$1023,N97)="P15",INDEX($B$24:$B$1023,N97)="P16"),"N","O"))&amp;IF(MOD(N97,100)&lt;20,1,IF(MOD(N97,100)&lt;70,2,3))</f>
        <v>C3</v>
      </c>
      <c r="AU97" s="576"/>
      <c r="AV97" s="576"/>
      <c r="AW97" s="17"/>
    </row>
    <row r="98" spans="1:49" ht="16.5" thickBot="1">
      <c r="A98" s="662">
        <v>75</v>
      </c>
      <c r="B98" s="661" t="str" cm="1">
        <f t="array" ref="B98">"P"&amp;INDEX(X!$CL$2:$CL$12,'Scratch Sheet'!H97+1)+9</f>
        <v>P17</v>
      </c>
      <c r="C98" s="661">
        <v>1</v>
      </c>
      <c r="D98" s="755">
        <f t="shared" si="4"/>
        <v>9600</v>
      </c>
      <c r="E98" s="682" t="str">
        <f t="shared" si="5"/>
        <v>O3</v>
      </c>
      <c r="F98" s="683">
        <f t="shared" si="6"/>
        <v>12</v>
      </c>
      <c r="H98" s="13">
        <v>422</v>
      </c>
      <c r="I98" s="13">
        <f>VLOOKUP(VLOOKUP(H98,$A$24:$B$1023,2,FALSE),'Scratch Sheet'!$U$23:$X$32,3,FALSE)</f>
        <v>6</v>
      </c>
      <c r="K98" s="13">
        <f>70+X!CJ6</f>
        <v>74</v>
      </c>
      <c r="L98" s="13">
        <f>IFERROR(VLOOKUP(VLOOKUP(K98,$A$24:$B$1023,2,FALSE),'Scratch Sheet'!$U$23:$Y$32,5,FALSE)*VLOOKUP(VLOOKUP(K98,$A$24:$E$1023,5,FALSE),'Scratch Sheet'!$L$22:$M$30,2,FALSE),"")</f>
        <v>6000</v>
      </c>
      <c r="N98" s="675">
        <v>284</v>
      </c>
      <c r="O98" s="675" t="str" cm="1">
        <f t="array" ref="O98">IF(OR(INDEX($B$24:$B$1023,N98)="P10",INDEX($B$24:$B$1023,N98)="P11",INDEX($B$24:$B$1023,N98)="P12",INDEX($B$24:$B$1023,N98)="P13"),"C",IF(OR(INDEX($B$24:$B$1023,N98)="P14",INDEX($B$24:$B$1023,N98)="P15",INDEX($B$24:$B$1023,N98)="P16"),"N","O"))&amp;IF(MOD(N98,100)&lt;20,1,IF(MOD(N98,100)&lt;70,2,3))</f>
        <v>C3</v>
      </c>
      <c r="AU98" s="576"/>
      <c r="AV98" s="576"/>
      <c r="AW98" s="17"/>
    </row>
    <row r="99" spans="1:49" ht="16.5" thickBot="1">
      <c r="A99" s="662">
        <v>76</v>
      </c>
      <c r="B99" s="661" t="str" cm="1">
        <f t="array" ref="B99">"P"&amp;INDEX(X!$CL$2:$CL$12,'Scratch Sheet'!H98+1)+9</f>
        <v>P11</v>
      </c>
      <c r="C99" s="661">
        <v>1</v>
      </c>
      <c r="D99" s="755">
        <f t="shared" si="4"/>
        <v>8800</v>
      </c>
      <c r="E99" s="682" t="str">
        <f t="shared" si="5"/>
        <v>C3</v>
      </c>
      <c r="F99" s="683">
        <f t="shared" si="6"/>
        <v>11</v>
      </c>
      <c r="H99" s="13">
        <v>627</v>
      </c>
      <c r="I99" s="13">
        <f>VLOOKUP(VLOOKUP(H99,$A$24:$B$1023,2,FALSE),'Scratch Sheet'!$U$23:$X$32,3,FALSE)</f>
        <v>8</v>
      </c>
      <c r="K99" s="13">
        <f>70+X!CJ7</f>
        <v>73</v>
      </c>
      <c r="L99" s="13">
        <f>IFERROR(VLOOKUP(VLOOKUP(K99,$A$24:$B$1023,2,FALSE),'Scratch Sheet'!$U$23:$Y$32,5,FALSE)*VLOOKUP(VLOOKUP(K99,$A$24:$E$1023,5,FALSE),'Scratch Sheet'!$L$22:$M$30,2,FALSE),"")</f>
        <v>5460</v>
      </c>
      <c r="N99" s="675">
        <v>288</v>
      </c>
      <c r="O99" s="675" t="str" cm="1">
        <f t="array" ref="O99">IF(OR(INDEX($B$24:$B$1023,N99)="P10",INDEX($B$24:$B$1023,N99)="P11",INDEX($B$24:$B$1023,N99)="P12",INDEX($B$24:$B$1023,N99)="P13"),"C",IF(OR(INDEX($B$24:$B$1023,N99)="P14",INDEX($B$24:$B$1023,N99)="P15",INDEX($B$24:$B$1023,N99)="P16"),"N","O"))&amp;IF(MOD(N99,100)&lt;20,1,IF(MOD(N99,100)&lt;70,2,3))</f>
        <v>C3</v>
      </c>
      <c r="AU99" s="576"/>
      <c r="AV99" s="576"/>
      <c r="AW99" s="17"/>
    </row>
    <row r="100" spans="1:49" ht="16.5" thickBot="1">
      <c r="A100" s="662">
        <v>77</v>
      </c>
      <c r="B100" s="661" t="str" cm="1">
        <f t="array" ref="B100">"P"&amp;INDEX(X!$CL$2:$CL$12,'Scratch Sheet'!H99+1)+9</f>
        <v>P19</v>
      </c>
      <c r="C100" s="661">
        <v>1</v>
      </c>
      <c r="D100" s="755">
        <f t="shared" si="4"/>
        <v>7040</v>
      </c>
      <c r="E100" s="682" t="str">
        <f t="shared" si="5"/>
        <v>O3</v>
      </c>
      <c r="F100" s="683">
        <f t="shared" si="6"/>
        <v>11</v>
      </c>
      <c r="H100" s="13">
        <v>121</v>
      </c>
      <c r="I100" s="13">
        <f>VLOOKUP(VLOOKUP(H100,$A$24:$B$1023,2,FALSE),'Scratch Sheet'!$U$23:$X$32,3,FALSE)</f>
        <v>3</v>
      </c>
      <c r="K100" s="13">
        <f>70+X!CJ8</f>
        <v>76</v>
      </c>
      <c r="L100" s="13">
        <f>IFERROR(VLOOKUP(VLOOKUP(K100,$A$24:$B$1023,2,FALSE),'Scratch Sheet'!$U$23:$Y$32,5,FALSE)*VLOOKUP(VLOOKUP(K100,$A$24:$E$1023,5,FALSE),'Scratch Sheet'!$L$22:$M$30,2,FALSE),"")</f>
        <v>8800</v>
      </c>
      <c r="N100" s="675">
        <v>291</v>
      </c>
      <c r="O100" s="675" t="str" cm="1">
        <f t="array" ref="O100">IF(OR(INDEX($B$24:$B$1023,N100)="P10",INDEX($B$24:$B$1023,N100)="P11",INDEX($B$24:$B$1023,N100)="P12",INDEX($B$24:$B$1023,N100)="P13"),"C",IF(OR(INDEX($B$24:$B$1023,N100)="P14",INDEX($B$24:$B$1023,N100)="P15",INDEX($B$24:$B$1023,N100)="P16"),"N","O"))&amp;IF(MOD(N100,100)&lt;20,1,IF(MOD(N100,100)&lt;70,2,3))</f>
        <v>C3</v>
      </c>
      <c r="AU100" s="576"/>
      <c r="AV100" s="576"/>
      <c r="AW100" s="17"/>
    </row>
    <row r="101" spans="1:49" ht="16.5" thickBot="1">
      <c r="A101" s="662">
        <v>78</v>
      </c>
      <c r="B101" s="661" t="str" cm="1">
        <f t="array" ref="B101">"P"&amp;INDEX(X!$CL$2:$CL$12,'Scratch Sheet'!H100+1)+9</f>
        <v>P19</v>
      </c>
      <c r="C101" s="661">
        <v>1</v>
      </c>
      <c r="D101" s="755">
        <f t="shared" si="4"/>
        <v>7040</v>
      </c>
      <c r="E101" s="682" t="str">
        <f t="shared" si="5"/>
        <v>O3</v>
      </c>
      <c r="F101" s="683">
        <f t="shared" si="6"/>
        <v>11</v>
      </c>
      <c r="H101" s="13">
        <v>527</v>
      </c>
      <c r="I101" s="13">
        <f>VLOOKUP(VLOOKUP(H101,$A$24:$B$1023,2,FALSE),'Scratch Sheet'!$U$23:$X$32,3,FALSE)</f>
        <v>5</v>
      </c>
      <c r="K101" s="13">
        <f>70+X!CJ9</f>
        <v>71</v>
      </c>
      <c r="L101" s="13">
        <f>IFERROR(VLOOKUP(VLOOKUP(K101,$A$24:$B$1023,2,FALSE),'Scratch Sheet'!$U$23:$Y$32,5,FALSE)*VLOOKUP(VLOOKUP(K101,$A$24:$E$1023,5,FALSE),'Scratch Sheet'!$L$22:$M$30,2,FALSE),"")</f>
        <v>7040</v>
      </c>
      <c r="N101" s="675">
        <v>300</v>
      </c>
      <c r="O101" s="675" t="str" cm="1">
        <f t="array" ref="O101">IF(OR(INDEX($B$24:$B$1023,N101)="P10",INDEX($B$24:$B$1023,N101)="P11",INDEX($B$24:$B$1023,N101)="P12",INDEX($B$24:$B$1023,N101)="P13"),"C",IF(OR(INDEX($B$24:$B$1023,N101)="P14",INDEX($B$24:$B$1023,N101)="P15",INDEX($B$24:$B$1023,N101)="P16"),"N","O"))&amp;IF(MOD(N101,100)&lt;20,1,IF(MOD(N101,100)&lt;70,2,3))</f>
        <v>C1</v>
      </c>
      <c r="AU101" s="576"/>
      <c r="AV101" s="576"/>
      <c r="AW101" s="17"/>
    </row>
    <row r="102" spans="1:49" ht="16.5" thickBot="1">
      <c r="A102" s="662">
        <v>79</v>
      </c>
      <c r="B102" s="661" t="str" cm="1">
        <f t="array" ref="B102">"P"&amp;INDEX(X!$CL$2:$CL$12,'Scratch Sheet'!H101+1)+9</f>
        <v>P11</v>
      </c>
      <c r="C102" s="661">
        <v>1</v>
      </c>
      <c r="D102" s="755">
        <f t="shared" si="4"/>
        <v>8800</v>
      </c>
      <c r="E102" s="682" t="str">
        <f t="shared" si="5"/>
        <v>C3</v>
      </c>
      <c r="F102" s="683">
        <f t="shared" si="6"/>
        <v>11</v>
      </c>
      <c r="H102" s="13">
        <v>576</v>
      </c>
      <c r="I102" s="13">
        <f>VLOOKUP(VLOOKUP(H102,$A$24:$B$1023,2,FALSE),'Scratch Sheet'!$U$23:$X$32,3,FALSE)</f>
        <v>8</v>
      </c>
      <c r="K102" s="13">
        <f>78+X!CI2</f>
        <v>82</v>
      </c>
      <c r="L102" s="13">
        <f>IFERROR(VLOOKUP(VLOOKUP(K102,$A$24:$B$1023,2,FALSE),'Scratch Sheet'!$U$23:$Y$32,5,FALSE)*VLOOKUP(VLOOKUP(K102,$A$24:$E$1023,5,FALSE),'Scratch Sheet'!$L$22:$M$30,2,FALSE),"")</f>
        <v>5460</v>
      </c>
      <c r="N102" s="675">
        <v>301</v>
      </c>
      <c r="O102" s="675" t="str" cm="1">
        <f t="array" ref="O102">IF(OR(INDEX($B$24:$B$1023,N102)="P10",INDEX($B$24:$B$1023,N102)="P11",INDEX($B$24:$B$1023,N102)="P12",INDEX($B$24:$B$1023,N102)="P13"),"C",IF(OR(INDEX($B$24:$B$1023,N102)="P14",INDEX($B$24:$B$1023,N102)="P15",INDEX($B$24:$B$1023,N102)="P16"),"N","O"))&amp;IF(MOD(N102,100)&lt;20,1,IF(MOD(N102,100)&lt;70,2,3))</f>
        <v>C1</v>
      </c>
      <c r="AU102" s="576"/>
      <c r="AV102" s="576"/>
      <c r="AW102" s="17"/>
    </row>
    <row r="103" spans="1:49" ht="16.5" thickBot="1">
      <c r="A103" s="662">
        <v>80</v>
      </c>
      <c r="B103" s="661" t="str" cm="1">
        <f t="array" ref="B103">"P"&amp;INDEX(X!$CL$2:$CL$12,'Scratch Sheet'!H102+1)+9</f>
        <v>P10</v>
      </c>
      <c r="C103" s="661">
        <v>1</v>
      </c>
      <c r="D103" s="755">
        <f t="shared" si="4"/>
        <v>1920</v>
      </c>
      <c r="E103" s="682" t="str">
        <f t="shared" si="5"/>
        <v>C3</v>
      </c>
      <c r="F103" s="683">
        <f t="shared" si="6"/>
        <v>3</v>
      </c>
      <c r="H103" s="13">
        <v>49</v>
      </c>
      <c r="I103" s="13">
        <f>VLOOKUP(VLOOKUP(H103,$A$24:$B$1023,2,FALSE),'Scratch Sheet'!$U$23:$X$32,3,FALSE)</f>
        <v>3</v>
      </c>
      <c r="K103" s="13">
        <f>78+X!CI3</f>
        <v>85</v>
      </c>
      <c r="L103" s="13">
        <f>IFERROR(VLOOKUP(VLOOKUP(K103,$A$24:$B$1023,2,FALSE),'Scratch Sheet'!$U$23:$Y$32,5,FALSE)*VLOOKUP(VLOOKUP(K103,$A$24:$E$1023,5,FALSE),'Scratch Sheet'!$L$22:$M$30,2,FALSE),"")</f>
        <v>3600</v>
      </c>
      <c r="N103" s="675">
        <v>305</v>
      </c>
      <c r="O103" s="675" t="str" cm="1">
        <f t="array" ref="O103">IF(OR(INDEX($B$24:$B$1023,N103)="P10",INDEX($B$24:$B$1023,N103)="P11",INDEX($B$24:$B$1023,N103)="P12",INDEX($B$24:$B$1023,N103)="P13"),"C",IF(OR(INDEX($B$24:$B$1023,N103)="P14",INDEX($B$24:$B$1023,N103)="P15",INDEX($B$24:$B$1023,N103)="P16"),"N","O"))&amp;IF(MOD(N103,100)&lt;20,1,IF(MOD(N103,100)&lt;70,2,3))</f>
        <v>C1</v>
      </c>
      <c r="AU103" s="576"/>
      <c r="AV103" s="576"/>
      <c r="AW103" s="17"/>
    </row>
    <row r="104" spans="1:49" ht="16.5" thickBot="1">
      <c r="A104" s="662">
        <v>81</v>
      </c>
      <c r="B104" s="661" t="str" cm="1">
        <f t="array" ref="B104">"P"&amp;INDEX(X!$CL$2:$CL$12,'Scratch Sheet'!H103+1)+9</f>
        <v>P18</v>
      </c>
      <c r="C104" s="661">
        <v>1</v>
      </c>
      <c r="D104" s="755">
        <f t="shared" si="4"/>
        <v>4320</v>
      </c>
      <c r="E104" s="682" t="str">
        <f t="shared" si="5"/>
        <v>O3</v>
      </c>
      <c r="F104" s="683">
        <f t="shared" si="6"/>
        <v>6</v>
      </c>
      <c r="H104" s="13">
        <v>154</v>
      </c>
      <c r="I104" s="13">
        <f>VLOOKUP(VLOOKUP(H104,$A$24:$B$1023,2,FALSE),'Scratch Sheet'!$U$23:$X$32,3,FALSE)</f>
        <v>5</v>
      </c>
      <c r="K104" s="13">
        <f>78+X!CI4</f>
        <v>84</v>
      </c>
      <c r="L104" s="13">
        <f>IFERROR(VLOOKUP(VLOOKUP(K104,$A$24:$B$1023,2,FALSE),'Scratch Sheet'!$U$23:$Y$32,5,FALSE)*VLOOKUP(VLOOKUP(K104,$A$24:$E$1023,5,FALSE),'Scratch Sheet'!$L$22:$M$30,2,FALSE),"")</f>
        <v>1920</v>
      </c>
      <c r="N104" s="675">
        <v>308</v>
      </c>
      <c r="O104" s="675" t="str" cm="1">
        <f t="array" ref="O104">IF(OR(INDEX($B$24:$B$1023,N104)="P10",INDEX($B$24:$B$1023,N104)="P11",INDEX($B$24:$B$1023,N104)="P12",INDEX($B$24:$B$1023,N104)="P13"),"C",IF(OR(INDEX($B$24:$B$1023,N104)="P14",INDEX($B$24:$B$1023,N104)="P15",INDEX($B$24:$B$1023,N104)="P16"),"N","O"))&amp;IF(MOD(N104,100)&lt;20,1,IF(MOD(N104,100)&lt;70,2,3))</f>
        <v>C1</v>
      </c>
      <c r="AU104" s="576"/>
      <c r="AV104" s="576"/>
      <c r="AW104" s="17"/>
    </row>
    <row r="105" spans="1:49" ht="16.5" thickBot="1">
      <c r="A105" s="662">
        <v>82</v>
      </c>
      <c r="B105" s="661" t="str" cm="1">
        <f t="array" ref="B105">"P"&amp;INDEX(X!$CL$2:$CL$12,'Scratch Sheet'!H104+1)+9</f>
        <v>P12</v>
      </c>
      <c r="C105" s="661">
        <v>1</v>
      </c>
      <c r="D105" s="755">
        <f t="shared" si="4"/>
        <v>5460</v>
      </c>
      <c r="E105" s="682" t="str">
        <f t="shared" si="5"/>
        <v>C3</v>
      </c>
      <c r="F105" s="683">
        <f t="shared" si="6"/>
        <v>6.5</v>
      </c>
      <c r="H105" s="13">
        <v>759</v>
      </c>
      <c r="I105" s="13">
        <f>VLOOKUP(VLOOKUP(H105,$A$24:$B$1023,2,FALSE),'Scratch Sheet'!$U$23:$X$32,3,FALSE)</f>
        <v>3</v>
      </c>
      <c r="K105" s="13">
        <f>78+X!CI5</f>
        <v>79</v>
      </c>
      <c r="L105" s="13">
        <f>IFERROR(VLOOKUP(VLOOKUP(K105,$A$24:$B$1023,2,FALSE),'Scratch Sheet'!$U$23:$Y$32,5,FALSE)*VLOOKUP(VLOOKUP(K105,$A$24:$E$1023,5,FALSE),'Scratch Sheet'!$L$22:$M$30,2,FALSE),"")</f>
        <v>8800</v>
      </c>
      <c r="N105" s="675">
        <v>317</v>
      </c>
      <c r="O105" s="675" t="str" cm="1">
        <f t="array" ref="O105">IF(OR(INDEX($B$24:$B$1023,N105)="P10",INDEX($B$24:$B$1023,N105)="P11",INDEX($B$24:$B$1023,N105)="P12",INDEX($B$24:$B$1023,N105)="P13"),"C",IF(OR(INDEX($B$24:$B$1023,N105)="P14",INDEX($B$24:$B$1023,N105)="P15",INDEX($B$24:$B$1023,N105)="P16"),"N","O"))&amp;IF(MOD(N105,100)&lt;20,1,IF(MOD(N105,100)&lt;70,2,3))</f>
        <v>C1</v>
      </c>
      <c r="AU105" s="576"/>
      <c r="AV105" s="576"/>
      <c r="AW105" s="17"/>
    </row>
    <row r="106" spans="1:49" ht="16.5" thickBot="1">
      <c r="A106" s="662">
        <v>83</v>
      </c>
      <c r="B106" s="661" t="str" cm="1">
        <f t="array" ref="B106">"P"&amp;INDEX(X!$CL$2:$CL$12,'Scratch Sheet'!H105+1)+9</f>
        <v>P16</v>
      </c>
      <c r="C106" s="661">
        <v>1</v>
      </c>
      <c r="D106" s="755">
        <f t="shared" si="4"/>
        <v>5200</v>
      </c>
      <c r="E106" s="682" t="str">
        <f t="shared" si="5"/>
        <v>N3</v>
      </c>
      <c r="F106" s="683">
        <f t="shared" si="6"/>
        <v>4</v>
      </c>
      <c r="H106" s="13">
        <v>142</v>
      </c>
      <c r="I106" s="13">
        <f>VLOOKUP(VLOOKUP(H106,$A$24:$B$1023,2,FALSE),'Scratch Sheet'!$U$23:$X$32,3,FALSE)</f>
        <v>12</v>
      </c>
      <c r="K106" s="13">
        <f>78+X!CI6</f>
        <v>81</v>
      </c>
      <c r="L106" s="13">
        <f>IFERROR(VLOOKUP(VLOOKUP(K106,$A$24:$B$1023,2,FALSE),'Scratch Sheet'!$U$23:$Y$32,5,FALSE)*VLOOKUP(VLOOKUP(K106,$A$24:$E$1023,5,FALSE),'Scratch Sheet'!$L$22:$M$30,2,FALSE),"")</f>
        <v>4320</v>
      </c>
      <c r="N106" s="675">
        <v>318</v>
      </c>
      <c r="O106" s="675" t="str" cm="1">
        <f t="array" ref="O106">IF(OR(INDEX($B$24:$B$1023,N106)="P10",INDEX($B$24:$B$1023,N106)="P11",INDEX($B$24:$B$1023,N106)="P12",INDEX($B$24:$B$1023,N106)="P13"),"C",IF(OR(INDEX($B$24:$B$1023,N106)="P14",INDEX($B$24:$B$1023,N106)="P15",INDEX($B$24:$B$1023,N106)="P16"),"N","O"))&amp;IF(MOD(N106,100)&lt;20,1,IF(MOD(N106,100)&lt;70,2,3))</f>
        <v>C1</v>
      </c>
      <c r="AU106" s="576"/>
      <c r="AV106" s="576"/>
      <c r="AW106" s="17"/>
    </row>
    <row r="107" spans="1:49" ht="16.5" thickBot="1">
      <c r="A107" s="662">
        <v>84</v>
      </c>
      <c r="B107" s="661" t="str" cm="1">
        <f t="array" ref="B107">"P"&amp;INDEX(X!$CL$2:$CL$12,'Scratch Sheet'!H106+1)+9</f>
        <v>P10</v>
      </c>
      <c r="C107" s="661">
        <v>1</v>
      </c>
      <c r="D107" s="755">
        <f t="shared" si="4"/>
        <v>1920</v>
      </c>
      <c r="E107" s="682" t="str">
        <f t="shared" si="5"/>
        <v>C3</v>
      </c>
      <c r="F107" s="683">
        <f t="shared" si="6"/>
        <v>3</v>
      </c>
      <c r="H107" s="13">
        <v>259</v>
      </c>
      <c r="I107" s="13">
        <f>VLOOKUP(VLOOKUP(H107,$A$24:$B$1023,2,FALSE),'Scratch Sheet'!$U$23:$X$32,3,FALSE)</f>
        <v>4</v>
      </c>
      <c r="K107" s="13">
        <f>78+X!CI7</f>
        <v>80</v>
      </c>
      <c r="L107" s="13">
        <f>IFERROR(VLOOKUP(VLOOKUP(K107,$A$24:$B$1023,2,FALSE),'Scratch Sheet'!$U$23:$Y$32,5,FALSE)*VLOOKUP(VLOOKUP(K107,$A$24:$E$1023,5,FALSE),'Scratch Sheet'!$L$22:$M$30,2,FALSE),"")</f>
        <v>1920</v>
      </c>
      <c r="N107" s="675">
        <v>322</v>
      </c>
      <c r="O107" s="675" t="str" cm="1">
        <f t="array" ref="O107">IF(OR(INDEX($B$24:$B$1023,N107)="P10",INDEX($B$24:$B$1023,N107)="P11",INDEX($B$24:$B$1023,N107)="P12",INDEX($B$24:$B$1023,N107)="P13"),"C",IF(OR(INDEX($B$24:$B$1023,N107)="P14",INDEX($B$24:$B$1023,N107)="P15",INDEX($B$24:$B$1023,N107)="P16"),"N","O"))&amp;IF(MOD(N107,100)&lt;20,1,IF(MOD(N107,100)&lt;70,2,3))</f>
        <v>C2</v>
      </c>
      <c r="AU107" s="576"/>
      <c r="AV107" s="576"/>
      <c r="AW107" s="17"/>
    </row>
    <row r="108" spans="1:49" ht="16.5" thickBot="1">
      <c r="A108" s="662">
        <v>85</v>
      </c>
      <c r="B108" s="661" t="str" cm="1">
        <f t="array" ref="B108">"P"&amp;INDEX(X!$CL$2:$CL$12,'Scratch Sheet'!H107+1)+9</f>
        <v>P13</v>
      </c>
      <c r="C108" s="661">
        <v>1</v>
      </c>
      <c r="D108" s="755">
        <f t="shared" si="4"/>
        <v>3600</v>
      </c>
      <c r="E108" s="682" t="str">
        <f t="shared" si="5"/>
        <v>C3</v>
      </c>
      <c r="F108" s="683">
        <f t="shared" si="6"/>
        <v>5</v>
      </c>
      <c r="H108" s="13">
        <v>885</v>
      </c>
      <c r="I108" s="13">
        <f>VLOOKUP(VLOOKUP(H108,$A$24:$B$1023,2,FALSE),'Scratch Sheet'!$U$23:$X$32,3,FALSE)</f>
        <v>5</v>
      </c>
      <c r="K108" s="13">
        <f>78+X!CI8</f>
        <v>83</v>
      </c>
      <c r="L108" s="13">
        <f>IFERROR(VLOOKUP(VLOOKUP(K108,$A$24:$B$1023,2,FALSE),'Scratch Sheet'!$U$23:$Y$32,5,FALSE)*VLOOKUP(VLOOKUP(K108,$A$24:$E$1023,5,FALSE),'Scratch Sheet'!$L$22:$M$30,2,FALSE),"")</f>
        <v>5200</v>
      </c>
      <c r="N108" s="675">
        <v>325</v>
      </c>
      <c r="O108" s="675" t="str" cm="1">
        <f t="array" ref="O108">IF(OR(INDEX($B$24:$B$1023,N108)="P10",INDEX($B$24:$B$1023,N108)="P11",INDEX($B$24:$B$1023,N108)="P12",INDEX($B$24:$B$1023,N108)="P13"),"C",IF(OR(INDEX($B$24:$B$1023,N108)="P14",INDEX($B$24:$B$1023,N108)="P15",INDEX($B$24:$B$1023,N108)="P16"),"N","O"))&amp;IF(MOD(N108,100)&lt;20,1,IF(MOD(N108,100)&lt;70,2,3))</f>
        <v>C2</v>
      </c>
      <c r="AU108" s="576"/>
      <c r="AV108" s="576"/>
      <c r="AW108" s="17"/>
    </row>
    <row r="109" spans="1:49" ht="16.5" thickBot="1">
      <c r="A109" s="662">
        <v>86</v>
      </c>
      <c r="B109" s="661" t="str" cm="1">
        <f t="array" ref="B109">"P"&amp;INDEX(X!$CL$2:$CL$12,'Scratch Sheet'!H108+1)+9</f>
        <v>P13</v>
      </c>
      <c r="C109" s="661">
        <v>1</v>
      </c>
      <c r="D109" s="755">
        <f t="shared" si="4"/>
        <v>3600</v>
      </c>
      <c r="E109" s="682" t="str">
        <f t="shared" si="5"/>
        <v>C3</v>
      </c>
      <c r="F109" s="683">
        <f t="shared" si="6"/>
        <v>5</v>
      </c>
      <c r="H109" s="13">
        <v>874</v>
      </c>
      <c r="I109" s="13">
        <f>VLOOKUP(VLOOKUP(H109,$A$24:$B$1023,2,FALSE),'Scratch Sheet'!$U$23:$X$32,3,FALSE)</f>
        <v>5</v>
      </c>
      <c r="K109" s="13">
        <f>85+X!CH2</f>
        <v>89</v>
      </c>
      <c r="L109" s="13">
        <f>IFERROR(VLOOKUP(VLOOKUP(K109,$A$24:$B$1023,2,FALSE),'Scratch Sheet'!$U$23:$Y$32,5,FALSE)*VLOOKUP(VLOOKUP(K109,$A$24:$E$1023,5,FALSE),'Scratch Sheet'!$L$22:$M$30,2,FALSE),"")</f>
        <v>5200</v>
      </c>
      <c r="N109" s="675">
        <v>334</v>
      </c>
      <c r="O109" s="675" t="str" cm="1">
        <f t="array" ref="O109">IF(OR(INDEX($B$24:$B$1023,N109)="P10",INDEX($B$24:$B$1023,N109)="P11",INDEX($B$24:$B$1023,N109)="P12",INDEX($B$24:$B$1023,N109)="P13"),"C",IF(OR(INDEX($B$24:$B$1023,N109)="P14",INDEX($B$24:$B$1023,N109)="P15",INDEX($B$24:$B$1023,N109)="P16"),"N","O"))&amp;IF(MOD(N109,100)&lt;20,1,IF(MOD(N109,100)&lt;70,2,3))</f>
        <v>C2</v>
      </c>
      <c r="AU109" s="576"/>
      <c r="AV109" s="576"/>
      <c r="AW109" s="17"/>
    </row>
    <row r="110" spans="1:49" ht="16.5" thickBot="1">
      <c r="A110" s="662">
        <v>87</v>
      </c>
      <c r="B110" s="661" t="str" cm="1">
        <f t="array" ref="B110">"P"&amp;INDEX(X!$CL$2:$CL$12,'Scratch Sheet'!H109+1)+9</f>
        <v>P10</v>
      </c>
      <c r="C110" s="661">
        <v>1</v>
      </c>
      <c r="D110" s="755">
        <f t="shared" si="4"/>
        <v>1920</v>
      </c>
      <c r="E110" s="682" t="str">
        <f t="shared" si="5"/>
        <v>C3</v>
      </c>
      <c r="F110" s="683">
        <f t="shared" si="6"/>
        <v>3</v>
      </c>
      <c r="H110" s="13">
        <v>301</v>
      </c>
      <c r="I110" s="13">
        <f>VLOOKUP(VLOOKUP(H110,$A$24:$B$1023,2,FALSE),'Scratch Sheet'!$U$23:$X$32,3,FALSE)</f>
        <v>3</v>
      </c>
      <c r="K110" s="13">
        <f>85+X!CH3</f>
        <v>91</v>
      </c>
      <c r="L110" s="13">
        <f>IFERROR(VLOOKUP(VLOOKUP(K110,$A$24:$B$1023,2,FALSE),'Scratch Sheet'!$U$23:$Y$32,5,FALSE)*VLOOKUP(VLOOKUP(K110,$A$24:$E$1023,5,FALSE),'Scratch Sheet'!$L$22:$M$30,2,FALSE),"")</f>
        <v>9600</v>
      </c>
      <c r="N110" s="675">
        <v>335</v>
      </c>
      <c r="O110" s="675" t="str" cm="1">
        <f t="array" ref="O110">IF(OR(INDEX($B$24:$B$1023,N110)="P10",INDEX($B$24:$B$1023,N110)="P11",INDEX($B$24:$B$1023,N110)="P12",INDEX($B$24:$B$1023,N110)="P13"),"C",IF(OR(INDEX($B$24:$B$1023,N110)="P14",INDEX($B$24:$B$1023,N110)="P15",INDEX($B$24:$B$1023,N110)="P16"),"N","O"))&amp;IF(MOD(N110,100)&lt;20,1,IF(MOD(N110,100)&lt;70,2,3))</f>
        <v>C2</v>
      </c>
      <c r="AU110" s="576"/>
      <c r="AV110" s="576"/>
      <c r="AW110" s="17"/>
    </row>
    <row r="111" spans="1:49" ht="16.5" thickBot="1">
      <c r="A111" s="662">
        <v>88</v>
      </c>
      <c r="B111" s="661" t="str" cm="1">
        <f t="array" ref="B111">"P"&amp;INDEX(X!$CL$2:$CL$12,'Scratch Sheet'!H110+1)+9</f>
        <v>P11</v>
      </c>
      <c r="C111" s="661">
        <v>1</v>
      </c>
      <c r="D111" s="755">
        <f t="shared" si="4"/>
        <v>8800</v>
      </c>
      <c r="E111" s="682" t="str">
        <f t="shared" si="5"/>
        <v>C3</v>
      </c>
      <c r="F111" s="683">
        <f t="shared" si="6"/>
        <v>11</v>
      </c>
      <c r="H111" s="13">
        <v>241</v>
      </c>
      <c r="I111" s="13">
        <f>VLOOKUP(VLOOKUP(H111,$A$24:$B$1023,2,FALSE),'Scratch Sheet'!$U$23:$X$32,3,FALSE)</f>
        <v>11</v>
      </c>
      <c r="K111" s="13">
        <f>85+X!CH4</f>
        <v>90</v>
      </c>
      <c r="L111" s="13">
        <f>IFERROR(VLOOKUP(VLOOKUP(K111,$A$24:$B$1023,2,FALSE),'Scratch Sheet'!$U$23:$Y$32,5,FALSE)*VLOOKUP(VLOOKUP(K111,$A$24:$E$1023,5,FALSE),'Scratch Sheet'!$L$22:$M$30,2,FALSE),"")</f>
        <v>9600</v>
      </c>
      <c r="N111" s="675">
        <v>339</v>
      </c>
      <c r="O111" s="675" t="str" cm="1">
        <f t="array" ref="O111">IF(OR(INDEX($B$24:$B$1023,N111)="P10",INDEX($B$24:$B$1023,N111)="P11",INDEX($B$24:$B$1023,N111)="P12",INDEX($B$24:$B$1023,N111)="P13"),"C",IF(OR(INDEX($B$24:$B$1023,N111)="P14",INDEX($B$24:$B$1023,N111)="P15",INDEX($B$24:$B$1023,N111)="P16"),"N","O"))&amp;IF(MOD(N111,100)&lt;20,1,IF(MOD(N111,100)&lt;70,2,3))</f>
        <v>C2</v>
      </c>
      <c r="AU111" s="576"/>
      <c r="AV111" s="576"/>
      <c r="AW111" s="17"/>
    </row>
    <row r="112" spans="1:49" ht="16.5" thickBot="1">
      <c r="A112" s="662">
        <v>89</v>
      </c>
      <c r="B112" s="661" t="str" cm="1">
        <f t="array" ref="B112">"P"&amp;INDEX(X!$CL$2:$CL$12,'Scratch Sheet'!H111+1)+9</f>
        <v>P16</v>
      </c>
      <c r="C112" s="661">
        <v>1</v>
      </c>
      <c r="D112" s="755">
        <f t="shared" si="4"/>
        <v>5200</v>
      </c>
      <c r="E112" s="682" t="str">
        <f t="shared" si="5"/>
        <v>N3</v>
      </c>
      <c r="F112" s="683">
        <f t="shared" si="6"/>
        <v>4</v>
      </c>
      <c r="H112" s="13">
        <v>555</v>
      </c>
      <c r="I112" s="13">
        <f>VLOOKUP(VLOOKUP(H112,$A$24:$B$1023,2,FALSE),'Scratch Sheet'!$U$23:$X$32,3,FALSE)</f>
        <v>3</v>
      </c>
      <c r="K112" s="13">
        <f>85+X!CH5</f>
        <v>86</v>
      </c>
      <c r="L112" s="13">
        <f>IFERROR(VLOOKUP(VLOOKUP(K112,$A$24:$B$1023,2,FALSE),'Scratch Sheet'!$U$23:$Y$32,5,FALSE)*VLOOKUP(VLOOKUP(K112,$A$24:$E$1023,5,FALSE),'Scratch Sheet'!$L$22:$M$30,2,FALSE),"")</f>
        <v>3600</v>
      </c>
      <c r="N112" s="675">
        <v>342</v>
      </c>
      <c r="O112" s="675" t="str" cm="1">
        <f t="array" ref="O112">IF(OR(INDEX($B$24:$B$1023,N112)="P10",INDEX($B$24:$B$1023,N112)="P11",INDEX($B$24:$B$1023,N112)="P12",INDEX($B$24:$B$1023,N112)="P13"),"C",IF(OR(INDEX($B$24:$B$1023,N112)="P14",INDEX($B$24:$B$1023,N112)="P15",INDEX($B$24:$B$1023,N112)="P16"),"N","O"))&amp;IF(MOD(N112,100)&lt;20,1,IF(MOD(N112,100)&lt;70,2,3))</f>
        <v>C2</v>
      </c>
      <c r="AU112" s="576"/>
      <c r="AV112" s="576"/>
      <c r="AW112" s="17"/>
    </row>
    <row r="113" spans="1:49" ht="16.5" thickBot="1">
      <c r="A113" s="662">
        <v>90</v>
      </c>
      <c r="B113" s="661" t="str" cm="1">
        <f t="array" ref="B113">"P"&amp;INDEX(X!$CL$2:$CL$12,'Scratch Sheet'!H112+1)+9</f>
        <v>P17</v>
      </c>
      <c r="C113" s="661">
        <v>1</v>
      </c>
      <c r="D113" s="755">
        <f t="shared" si="4"/>
        <v>9600</v>
      </c>
      <c r="E113" s="682" t="str">
        <f t="shared" si="5"/>
        <v>O3</v>
      </c>
      <c r="F113" s="683">
        <f t="shared" si="6"/>
        <v>12</v>
      </c>
      <c r="H113" s="13">
        <v>430</v>
      </c>
      <c r="I113" s="13">
        <f>VLOOKUP(VLOOKUP(H113,$A$24:$B$1023,2,FALSE),'Scratch Sheet'!$U$23:$X$32,3,FALSE)</f>
        <v>12</v>
      </c>
      <c r="K113" s="13">
        <f>85+X!CH6</f>
        <v>88</v>
      </c>
      <c r="L113" s="13">
        <f>IFERROR(VLOOKUP(VLOOKUP(K113,$A$24:$B$1023,2,FALSE),'Scratch Sheet'!$U$23:$Y$32,5,FALSE)*VLOOKUP(VLOOKUP(K113,$A$24:$E$1023,5,FALSE),'Scratch Sheet'!$L$22:$M$30,2,FALSE),"")</f>
        <v>8800</v>
      </c>
      <c r="N113" s="675">
        <v>351</v>
      </c>
      <c r="O113" s="675" t="str" cm="1">
        <f t="array" ref="O113">IF(OR(INDEX($B$24:$B$1023,N113)="P10",INDEX($B$24:$B$1023,N113)="P11",INDEX($B$24:$B$1023,N113)="P12",INDEX($B$24:$B$1023,N113)="P13"),"C",IF(OR(INDEX($B$24:$B$1023,N113)="P14",INDEX($B$24:$B$1023,N113)="P15",INDEX($B$24:$B$1023,N113)="P16"),"N","O"))&amp;IF(MOD(N113,100)&lt;20,1,IF(MOD(N113,100)&lt;70,2,3))</f>
        <v>C2</v>
      </c>
      <c r="AU113" s="576"/>
      <c r="AV113" s="576"/>
      <c r="AW113" s="17"/>
    </row>
    <row r="114" spans="1:49" ht="16.5" thickBot="1">
      <c r="A114" s="662">
        <v>91</v>
      </c>
      <c r="B114" s="661" t="str" cm="1">
        <f t="array" ref="B114">"P"&amp;INDEX(X!$CL$2:$CL$12,'Scratch Sheet'!H113+1)+9</f>
        <v>P17</v>
      </c>
      <c r="C114" s="661">
        <v>1</v>
      </c>
      <c r="D114" s="755">
        <f t="shared" si="4"/>
        <v>9600</v>
      </c>
      <c r="E114" s="682" t="str">
        <f t="shared" si="5"/>
        <v>O3</v>
      </c>
      <c r="F114" s="683">
        <f t="shared" si="6"/>
        <v>12</v>
      </c>
      <c r="H114" s="13">
        <v>802</v>
      </c>
      <c r="I114" s="13">
        <f>VLOOKUP(VLOOKUP(H114,$A$24:$B$1023,2,FALSE),'Scratch Sheet'!$U$23:$X$32,3,FALSE)</f>
        <v>11</v>
      </c>
      <c r="K114" s="13">
        <f>85+X!CH7</f>
        <v>87</v>
      </c>
      <c r="L114" s="13">
        <f>IFERROR(VLOOKUP(VLOOKUP(K114,$A$24:$B$1023,2,FALSE),'Scratch Sheet'!$U$23:$Y$32,5,FALSE)*VLOOKUP(VLOOKUP(K114,$A$24:$E$1023,5,FALSE),'Scratch Sheet'!$L$22:$M$30,2,FALSE),"")</f>
        <v>1920</v>
      </c>
      <c r="N114" s="675">
        <v>352</v>
      </c>
      <c r="O114" s="675" t="str" cm="1">
        <f t="array" ref="O114">IF(OR(INDEX($B$24:$B$1023,N114)="P10",INDEX($B$24:$B$1023,N114)="P11",INDEX($B$24:$B$1023,N114)="P12",INDEX($B$24:$B$1023,N114)="P13"),"C",IF(OR(INDEX($B$24:$B$1023,N114)="P14",INDEX($B$24:$B$1023,N114)="P15",INDEX($B$24:$B$1023,N114)="P16"),"N","O"))&amp;IF(MOD(N114,100)&lt;20,1,IF(MOD(N114,100)&lt;70,2,3))</f>
        <v>C2</v>
      </c>
      <c r="AU114" s="576"/>
      <c r="AV114" s="576"/>
      <c r="AW114" s="17"/>
    </row>
    <row r="115" spans="1:49" ht="16.5" thickBot="1">
      <c r="A115" s="662">
        <v>92</v>
      </c>
      <c r="B115" s="661" t="str" cm="1">
        <f t="array" ref="B115">"P"&amp;INDEX(X!$CL$2:$CL$12,'Scratch Sheet'!H114+1)+9</f>
        <v>P13</v>
      </c>
      <c r="C115" s="661">
        <v>1</v>
      </c>
      <c r="D115" s="755">
        <f t="shared" si="4"/>
        <v>3600</v>
      </c>
      <c r="E115" s="682" t="str">
        <f t="shared" si="5"/>
        <v>C3</v>
      </c>
      <c r="F115" s="683">
        <f t="shared" si="6"/>
        <v>5</v>
      </c>
      <c r="H115" s="13">
        <v>387</v>
      </c>
      <c r="I115" s="13">
        <f>VLOOKUP(VLOOKUP(H115,$A$24:$B$1023,2,FALSE),'Scratch Sheet'!$U$23:$X$32,3,FALSE)</f>
        <v>11</v>
      </c>
      <c r="K115" s="13">
        <f>91+X!CG2</f>
        <v>94</v>
      </c>
      <c r="L115" s="13">
        <f>IFERROR(VLOOKUP(VLOOKUP(K115,$A$24:$B$1023,2,FALSE),'Scratch Sheet'!$U$23:$Y$32,5,FALSE)*VLOOKUP(VLOOKUP(K115,$A$24:$E$1023,5,FALSE),'Scratch Sheet'!$L$22:$M$30,2,FALSE),"")</f>
        <v>8800</v>
      </c>
      <c r="N115" s="675">
        <v>356</v>
      </c>
      <c r="O115" s="675" t="str" cm="1">
        <f t="array" ref="O115">IF(OR(INDEX($B$24:$B$1023,N115)="P10",INDEX($B$24:$B$1023,N115)="P11",INDEX($B$24:$B$1023,N115)="P12",INDEX($B$24:$B$1023,N115)="P13"),"C",IF(OR(INDEX($B$24:$B$1023,N115)="P14",INDEX($B$24:$B$1023,N115)="P15",INDEX($B$24:$B$1023,N115)="P16"),"N","O"))&amp;IF(MOD(N115,100)&lt;20,1,IF(MOD(N115,100)&lt;70,2,3))</f>
        <v>C2</v>
      </c>
      <c r="AU115" s="576"/>
      <c r="AV115" s="576"/>
      <c r="AW115" s="17"/>
    </row>
    <row r="116" spans="1:49" ht="16.5" thickBot="1">
      <c r="A116" s="662">
        <v>93</v>
      </c>
      <c r="B116" s="661" t="str" cm="1">
        <f t="array" ref="B116">"P"&amp;INDEX(X!$CL$2:$CL$12,'Scratch Sheet'!H115+1)+9</f>
        <v>P11</v>
      </c>
      <c r="C116" s="661">
        <v>1</v>
      </c>
      <c r="D116" s="755">
        <f t="shared" si="4"/>
        <v>8800</v>
      </c>
      <c r="E116" s="682" t="str">
        <f t="shared" si="5"/>
        <v>C3</v>
      </c>
      <c r="F116" s="683">
        <f t="shared" si="6"/>
        <v>11</v>
      </c>
      <c r="H116" s="13">
        <v>79</v>
      </c>
      <c r="I116" s="13">
        <f>VLOOKUP(VLOOKUP(H116,$A$24:$B$1023,2,FALSE),'Scratch Sheet'!$U$23:$X$32,3,FALSE)</f>
        <v>11</v>
      </c>
      <c r="K116" s="13">
        <f>91+X!CG3</f>
        <v>96</v>
      </c>
      <c r="L116" s="13">
        <f>IFERROR(VLOOKUP(VLOOKUP(K116,$A$24:$B$1023,2,FALSE),'Scratch Sheet'!$U$23:$Y$32,5,FALSE)*VLOOKUP(VLOOKUP(K116,$A$24:$E$1023,5,FALSE),'Scratch Sheet'!$L$22:$M$30,2,FALSE),"")</f>
        <v>1920</v>
      </c>
      <c r="N116" s="675">
        <v>359</v>
      </c>
      <c r="O116" s="675" t="str" cm="1">
        <f t="array" ref="O116">IF(OR(INDEX($B$24:$B$1023,N116)="P10",INDEX($B$24:$B$1023,N116)="P11",INDEX($B$24:$B$1023,N116)="P12",INDEX($B$24:$B$1023,N116)="P13"),"C",IF(OR(INDEX($B$24:$B$1023,N116)="P14",INDEX($B$24:$B$1023,N116)="P15",INDEX($B$24:$B$1023,N116)="P16"),"N","O"))&amp;IF(MOD(N116,100)&lt;20,1,IF(MOD(N116,100)&lt;70,2,3))</f>
        <v>C2</v>
      </c>
      <c r="AU116" s="576"/>
      <c r="AV116" s="576"/>
      <c r="AW116" s="17"/>
    </row>
    <row r="117" spans="1:49" ht="16.5" thickBot="1">
      <c r="A117" s="662">
        <v>94</v>
      </c>
      <c r="B117" s="661" t="str" cm="1">
        <f t="array" ref="B117">"P"&amp;INDEX(X!$CL$2:$CL$12,'Scratch Sheet'!H116+1)+9</f>
        <v>P11</v>
      </c>
      <c r="C117" s="661">
        <v>1</v>
      </c>
      <c r="D117" s="755">
        <f t="shared" si="4"/>
        <v>17600</v>
      </c>
      <c r="E117" s="682" t="str">
        <f t="shared" si="5"/>
        <v>C3</v>
      </c>
      <c r="F117" s="683">
        <f t="shared" si="6"/>
        <v>11</v>
      </c>
      <c r="H117" s="13">
        <v>538</v>
      </c>
      <c r="I117" s="13">
        <f>VLOOKUP(VLOOKUP(H117,$A$24:$B$1023,2,FALSE),'Scratch Sheet'!$U$23:$X$32,3,FALSE)</f>
        <v>3</v>
      </c>
      <c r="K117" s="13">
        <f>91+X!CG4</f>
        <v>95</v>
      </c>
      <c r="L117" s="13">
        <f>IFERROR(VLOOKUP(VLOOKUP(K117,$A$24:$B$1023,2,FALSE),'Scratch Sheet'!$U$23:$Y$32,5,FALSE)*VLOOKUP(VLOOKUP(K117,$A$24:$E$1023,5,FALSE),'Scratch Sheet'!$L$22:$M$30,2,FALSE),"")</f>
        <v>5460</v>
      </c>
      <c r="N117" s="675">
        <v>368</v>
      </c>
      <c r="O117" s="675" t="str" cm="1">
        <f t="array" ref="O117">IF(OR(INDEX($B$24:$B$1023,N117)="P10",INDEX($B$24:$B$1023,N117)="P11",INDEX($B$24:$B$1023,N117)="P12",INDEX($B$24:$B$1023,N117)="P13"),"C",IF(OR(INDEX($B$24:$B$1023,N117)="P14",INDEX($B$24:$B$1023,N117)="P15",INDEX($B$24:$B$1023,N117)="P16"),"N","O"))&amp;IF(MOD(N117,100)&lt;20,1,IF(MOD(N117,100)&lt;70,2,3))</f>
        <v>C2</v>
      </c>
      <c r="AU117" s="576"/>
      <c r="AV117" s="576"/>
      <c r="AW117" s="17"/>
    </row>
    <row r="118" spans="1:49" ht="16.5" thickBot="1">
      <c r="A118" s="662">
        <v>95</v>
      </c>
      <c r="B118" s="661" t="str" cm="1">
        <f t="array" ref="B118">"P"&amp;INDEX(X!$CL$2:$CL$12,'Scratch Sheet'!H117+1)+9</f>
        <v>P12</v>
      </c>
      <c r="C118" s="661">
        <v>1</v>
      </c>
      <c r="D118" s="755">
        <f t="shared" si="4"/>
        <v>5460</v>
      </c>
      <c r="E118" s="682" t="str">
        <f t="shared" si="5"/>
        <v>C3</v>
      </c>
      <c r="F118" s="683">
        <f t="shared" si="6"/>
        <v>6.5</v>
      </c>
      <c r="H118" s="13">
        <v>257</v>
      </c>
      <c r="I118" s="13">
        <f>VLOOKUP(VLOOKUP(H118,$A$24:$B$1023,2,FALSE),'Scratch Sheet'!$U$23:$X$32,3,FALSE)</f>
        <v>3</v>
      </c>
      <c r="K118" s="13">
        <f>91+X!CG5</f>
        <v>92</v>
      </c>
      <c r="L118" s="13">
        <f>IFERROR(VLOOKUP(VLOOKUP(K118,$A$24:$B$1023,2,FALSE),'Scratch Sheet'!$U$23:$Y$32,5,FALSE)*VLOOKUP(VLOOKUP(K118,$A$24:$E$1023,5,FALSE),'Scratch Sheet'!$L$22:$M$30,2,FALSE),"")</f>
        <v>3600</v>
      </c>
      <c r="N118" s="675">
        <v>369</v>
      </c>
      <c r="O118" s="675" t="str" cm="1">
        <f t="array" ref="O118">IF(OR(INDEX($B$24:$B$1023,N118)="P10",INDEX($B$24:$B$1023,N118)="P11",INDEX($B$24:$B$1023,N118)="P12",INDEX($B$24:$B$1023,N118)="P13"),"C",IF(OR(INDEX($B$24:$B$1023,N118)="P14",INDEX($B$24:$B$1023,N118)="P15",INDEX($B$24:$B$1023,N118)="P16"),"N","O"))&amp;IF(MOD(N118,100)&lt;20,1,IF(MOD(N118,100)&lt;70,2,3))</f>
        <v>C2</v>
      </c>
      <c r="AU118" s="576"/>
      <c r="AV118" s="576"/>
      <c r="AW118" s="17"/>
    </row>
    <row r="119" spans="1:49" ht="16.5" thickBot="1">
      <c r="A119" s="662">
        <v>96</v>
      </c>
      <c r="B119" s="661" t="str" cm="1">
        <f t="array" ref="B119">"P"&amp;INDEX(X!$CL$2:$CL$12,'Scratch Sheet'!H118+1)+9</f>
        <v>P10</v>
      </c>
      <c r="C119" s="661">
        <v>1</v>
      </c>
      <c r="D119" s="755">
        <f t="shared" si="4"/>
        <v>1920</v>
      </c>
      <c r="E119" s="682" t="str">
        <f t="shared" si="5"/>
        <v>C3</v>
      </c>
      <c r="F119" s="683">
        <f t="shared" si="6"/>
        <v>3</v>
      </c>
      <c r="H119" s="13">
        <v>585</v>
      </c>
      <c r="I119" s="13">
        <f>VLOOKUP(VLOOKUP(H119,$A$24:$B$1023,2,FALSE),'Scratch Sheet'!$U$23:$X$32,3,FALSE)</f>
        <v>5</v>
      </c>
      <c r="K119" s="13">
        <f>91+X!CG6</f>
        <v>93</v>
      </c>
      <c r="L119" s="13">
        <f>IFERROR(VLOOKUP(VLOOKUP(K119,$A$24:$B$1023,2,FALSE),'Scratch Sheet'!$U$23:$Y$32,5,FALSE)*VLOOKUP(VLOOKUP(K119,$A$24:$E$1023,5,FALSE),'Scratch Sheet'!$L$22:$M$30,2,FALSE),"")</f>
        <v>8800</v>
      </c>
      <c r="N119" s="675">
        <v>373</v>
      </c>
      <c r="O119" s="675" t="str" cm="1">
        <f t="array" ref="O119">IF(OR(INDEX($B$24:$B$1023,N119)="P10",INDEX($B$24:$B$1023,N119)="P11",INDEX($B$24:$B$1023,N119)="P12",INDEX($B$24:$B$1023,N119)="P13"),"C",IF(OR(INDEX($B$24:$B$1023,N119)="P14",INDEX($B$24:$B$1023,N119)="P15",INDEX($B$24:$B$1023,N119)="P16"),"N","O"))&amp;IF(MOD(N119,100)&lt;20,1,IF(MOD(N119,100)&lt;70,2,3))</f>
        <v>C3</v>
      </c>
      <c r="AU119" s="576"/>
      <c r="AV119" s="576"/>
      <c r="AW119" s="17"/>
    </row>
    <row r="120" spans="1:49" ht="16.5" thickBot="1">
      <c r="A120" s="662">
        <v>97</v>
      </c>
      <c r="B120" s="661" t="str" cm="1">
        <f t="array" ref="B120">"P"&amp;INDEX(X!$CL$2:$CL$12,'Scratch Sheet'!H119+1)+9</f>
        <v>P10</v>
      </c>
      <c r="C120" s="661">
        <v>1</v>
      </c>
      <c r="D120" s="755">
        <f t="shared" si="4"/>
        <v>1920</v>
      </c>
      <c r="E120" s="682" t="str">
        <f t="shared" si="5"/>
        <v>C3</v>
      </c>
      <c r="F120" s="683">
        <f t="shared" si="6"/>
        <v>3</v>
      </c>
      <c r="H120" s="13">
        <v>337</v>
      </c>
      <c r="I120" s="13">
        <f>VLOOKUP(VLOOKUP(H120,$A$24:$B$1023,2,FALSE),'Scratch Sheet'!$U$23:$X$32,3,FALSE)</f>
        <v>6</v>
      </c>
      <c r="K120" s="13">
        <f>96+X!CF2</f>
        <v>98</v>
      </c>
      <c r="L120" s="13">
        <f>IFERROR(VLOOKUP(VLOOKUP(K120,$A$24:$B$1023,2,FALSE),'Scratch Sheet'!$U$23:$Y$32,5,FALSE)*VLOOKUP(VLOOKUP(K120,$A$24:$E$1023,5,FALSE),'Scratch Sheet'!$L$22:$M$30,2,FALSE),"")</f>
        <v>8800</v>
      </c>
      <c r="N120" s="675">
        <v>376</v>
      </c>
      <c r="O120" s="675" t="str" cm="1">
        <f t="array" ref="O120">IF(OR(INDEX($B$24:$B$1023,N120)="P10",INDEX($B$24:$B$1023,N120)="P11",INDEX($B$24:$B$1023,N120)="P12",INDEX($B$24:$B$1023,N120)="P13"),"C",IF(OR(INDEX($B$24:$B$1023,N120)="P14",INDEX($B$24:$B$1023,N120)="P15",INDEX($B$24:$B$1023,N120)="P16"),"N","O"))&amp;IF(MOD(N120,100)&lt;20,1,IF(MOD(N120,100)&lt;70,2,3))</f>
        <v>C3</v>
      </c>
      <c r="AU120" s="576"/>
      <c r="AV120" s="576"/>
      <c r="AW120" s="17"/>
    </row>
    <row r="121" spans="1:49" ht="16.5" thickBot="1">
      <c r="A121" s="662">
        <v>98</v>
      </c>
      <c r="B121" s="661" t="str" cm="1">
        <f t="array" ref="B121">"P"&amp;INDEX(X!$CL$2:$CL$12,'Scratch Sheet'!H120+1)+9</f>
        <v>P11</v>
      </c>
      <c r="C121" s="661">
        <v>1</v>
      </c>
      <c r="D121" s="755">
        <f t="shared" si="4"/>
        <v>8800</v>
      </c>
      <c r="E121" s="682" t="str">
        <f t="shared" si="5"/>
        <v>C3</v>
      </c>
      <c r="F121" s="683">
        <f t="shared" si="6"/>
        <v>11</v>
      </c>
      <c r="H121" s="13">
        <v>450</v>
      </c>
      <c r="I121" s="13">
        <f>VLOOKUP(VLOOKUP(H121,$A$24:$B$1023,2,FALSE),'Scratch Sheet'!$U$23:$X$32,3,FALSE)</f>
        <v>11</v>
      </c>
      <c r="K121" s="13">
        <f>96+X!CF3</f>
        <v>100</v>
      </c>
      <c r="L121" s="13">
        <f>IFERROR(VLOOKUP(VLOOKUP(K121,$A$24:$B$1023,2,FALSE),'Scratch Sheet'!$U$23:$Y$32,5,FALSE)*VLOOKUP(VLOOKUP(K121,$A$24:$E$1023,5,FALSE),'Scratch Sheet'!$L$22:$M$30,2,FALSE),"")</f>
        <v>10080</v>
      </c>
      <c r="N121" s="675">
        <v>385</v>
      </c>
      <c r="O121" s="675" t="str" cm="1">
        <f t="array" ref="O121">IF(OR(INDEX($B$24:$B$1023,N121)="P10",INDEX($B$24:$B$1023,N121)="P11",INDEX($B$24:$B$1023,N121)="P12",INDEX($B$24:$B$1023,N121)="P13"),"C",IF(OR(INDEX($B$24:$B$1023,N121)="P14",INDEX($B$24:$B$1023,N121)="P15",INDEX($B$24:$B$1023,N121)="P16"),"N","O"))&amp;IF(MOD(N121,100)&lt;20,1,IF(MOD(N121,100)&lt;70,2,3))</f>
        <v>C3</v>
      </c>
      <c r="AU121" s="576"/>
      <c r="AV121" s="576"/>
      <c r="AW121" s="17"/>
    </row>
    <row r="122" spans="1:49" ht="16.5" thickBot="1">
      <c r="A122" s="662">
        <v>99</v>
      </c>
      <c r="B122" s="661" t="str" cm="1">
        <f t="array" ref="B122">"P"&amp;INDEX(X!$CL$2:$CL$12,'Scratch Sheet'!H121+1)+9</f>
        <v>P18</v>
      </c>
      <c r="C122" s="661">
        <v>1</v>
      </c>
      <c r="D122" s="755">
        <f t="shared" si="4"/>
        <v>4320</v>
      </c>
      <c r="E122" s="682" t="str">
        <f t="shared" si="5"/>
        <v>O3</v>
      </c>
      <c r="F122" s="683">
        <f t="shared" si="6"/>
        <v>6</v>
      </c>
      <c r="H122" s="13">
        <v>513</v>
      </c>
      <c r="I122" s="13">
        <f>VLOOKUP(VLOOKUP(H122,$A$24:$B$1023,2,FALSE),'Scratch Sheet'!$U$23:$X$32,3,FALSE)</f>
        <v>11</v>
      </c>
      <c r="K122" s="13">
        <f>96+X!CF4</f>
        <v>99</v>
      </c>
      <c r="L122" s="13">
        <f>IFERROR(VLOOKUP(VLOOKUP(K122,$A$24:$B$1023,2,FALSE),'Scratch Sheet'!$U$23:$Y$32,5,FALSE)*VLOOKUP(VLOOKUP(K122,$A$24:$E$1023,5,FALSE),'Scratch Sheet'!$L$22:$M$30,2,FALSE),"")</f>
        <v>4320</v>
      </c>
      <c r="N122" s="675">
        <v>386</v>
      </c>
      <c r="O122" s="675" t="str" cm="1">
        <f t="array" ref="O122">IF(OR(INDEX($B$24:$B$1023,N122)="P10",INDEX($B$24:$B$1023,N122)="P11",INDEX($B$24:$B$1023,N122)="P12",INDEX($B$24:$B$1023,N122)="P13"),"C",IF(OR(INDEX($B$24:$B$1023,N122)="P14",INDEX($B$24:$B$1023,N122)="P15",INDEX($B$24:$B$1023,N122)="P16"),"N","O"))&amp;IF(MOD(N122,100)&lt;20,1,IF(MOD(N122,100)&lt;70,2,3))</f>
        <v>C3</v>
      </c>
      <c r="AU122" s="576"/>
      <c r="AV122" s="576"/>
      <c r="AW122" s="17"/>
    </row>
    <row r="123" spans="1:49" ht="16.5" thickBot="1">
      <c r="A123" s="662">
        <v>100</v>
      </c>
      <c r="B123" s="661" t="str" cm="1">
        <f t="array" ref="B123">"P"&amp;INDEX(X!$CL$2:$CL$12,'Scratch Sheet'!H122+1)+9</f>
        <v>P14</v>
      </c>
      <c r="C123" s="661">
        <v>1</v>
      </c>
      <c r="D123" s="755">
        <f t="shared" si="4"/>
        <v>10080</v>
      </c>
      <c r="E123" s="682" t="str">
        <f t="shared" si="5"/>
        <v>N1</v>
      </c>
      <c r="F123" s="683">
        <f t="shared" si="6"/>
        <v>8</v>
      </c>
      <c r="H123" s="13">
        <v>381</v>
      </c>
      <c r="I123" s="13">
        <f>VLOOKUP(VLOOKUP(H123,$A$24:$B$1023,2,FALSE),'Scratch Sheet'!$U$23:$X$32,3,FALSE)</f>
        <v>5</v>
      </c>
      <c r="K123" s="13">
        <f>96+X!CF5</f>
        <v>97</v>
      </c>
      <c r="L123" s="13">
        <f>IFERROR(VLOOKUP(VLOOKUP(K123,$A$24:$B$1023,2,FALSE),'Scratch Sheet'!$U$23:$Y$32,5,FALSE)*VLOOKUP(VLOOKUP(K123,$A$24:$E$1023,5,FALSE),'Scratch Sheet'!$L$22:$M$30,2,FALSE),"")</f>
        <v>1920</v>
      </c>
      <c r="N123" s="675">
        <v>390</v>
      </c>
      <c r="O123" s="675" t="str" cm="1">
        <f t="array" ref="O123">IF(OR(INDEX($B$24:$B$1023,N123)="P10",INDEX($B$24:$B$1023,N123)="P11",INDEX($B$24:$B$1023,N123)="P12",INDEX($B$24:$B$1023,N123)="P13"),"C",IF(OR(INDEX($B$24:$B$1023,N123)="P14",INDEX($B$24:$B$1023,N123)="P15",INDEX($B$24:$B$1023,N123)="P16"),"N","O"))&amp;IF(MOD(N123,100)&lt;20,1,IF(MOD(N123,100)&lt;70,2,3))</f>
        <v>C3</v>
      </c>
      <c r="AU123" s="576"/>
      <c r="AV123" s="576"/>
      <c r="AW123" s="17"/>
    </row>
    <row r="124" spans="1:49" ht="16.5" thickBot="1">
      <c r="A124" s="662">
        <v>101</v>
      </c>
      <c r="B124" s="661" t="str" cm="1">
        <f t="array" ref="B124">"P"&amp;INDEX(X!$CL$2:$CL$12,'Scratch Sheet'!H123+1)+9</f>
        <v>P10</v>
      </c>
      <c r="C124" s="661">
        <v>1</v>
      </c>
      <c r="D124" s="755">
        <f t="shared" si="4"/>
        <v>2880</v>
      </c>
      <c r="E124" s="682" t="str">
        <f t="shared" si="5"/>
        <v>C1</v>
      </c>
      <c r="F124" s="683">
        <f t="shared" si="6"/>
        <v>3</v>
      </c>
      <c r="H124" s="13">
        <v>503</v>
      </c>
      <c r="I124" s="13">
        <f>VLOOKUP(VLOOKUP(H124,$A$24:$B$1023,2,FALSE),'Scratch Sheet'!$U$23:$X$32,3,FALSE)</f>
        <v>6.5</v>
      </c>
      <c r="K124" s="13">
        <f>K53</f>
        <v>38</v>
      </c>
      <c r="L124" s="13">
        <f>IFERROR(VLOOKUP(VLOOKUP(K124,$A$24:$B$1023,2,FALSE),'Scratch Sheet'!$U$23:$Y$32,5,FALSE)*VLOOKUP(VLOOKUP(K124,$A$24:$E$1023,5,FALSE),'Scratch Sheet'!$L$22:$M$30,2,FALSE),"")</f>
        <v>6825</v>
      </c>
      <c r="N124" s="675">
        <v>393</v>
      </c>
      <c r="O124" s="675" t="str" cm="1">
        <f t="array" ref="O124">IF(OR(INDEX($B$24:$B$1023,N124)="P10",INDEX($B$24:$B$1023,N124)="P11",INDEX($B$24:$B$1023,N124)="P12",INDEX($B$24:$B$1023,N124)="P13"),"C",IF(OR(INDEX($B$24:$B$1023,N124)="P14",INDEX($B$24:$B$1023,N124)="P15",INDEX($B$24:$B$1023,N124)="P16"),"N","O"))&amp;IF(MOD(N124,100)&lt;20,1,IF(MOD(N124,100)&lt;70,2,3))</f>
        <v>C3</v>
      </c>
      <c r="AU124" s="576"/>
      <c r="AV124" s="576"/>
      <c r="AW124" s="17"/>
    </row>
    <row r="125" spans="1:49" ht="16.5" thickBot="1">
      <c r="A125" s="662">
        <v>102</v>
      </c>
      <c r="B125" s="661" t="str" cm="1">
        <f t="array" ref="B125">"P"&amp;INDEX(X!$CL$2:$CL$12,'Scratch Sheet'!H124+1)+9</f>
        <v>P13</v>
      </c>
      <c r="C125" s="661">
        <v>1</v>
      </c>
      <c r="D125" s="755">
        <f t="shared" si="4"/>
        <v>5400</v>
      </c>
      <c r="E125" s="682" t="str">
        <f t="shared" si="5"/>
        <v>C1</v>
      </c>
      <c r="F125" s="683">
        <f t="shared" si="6"/>
        <v>5</v>
      </c>
      <c r="H125" s="13">
        <v>728</v>
      </c>
      <c r="I125" s="13">
        <f>VLOOKUP(VLOOKUP(H125,$A$24:$B$1023,2,FALSE),'Scratch Sheet'!$U$23:$X$32,3,FALSE)</f>
        <v>6</v>
      </c>
      <c r="K125" s="13">
        <f>K83</f>
        <v>53</v>
      </c>
      <c r="L125" s="13">
        <f>IFERROR(VLOOKUP(VLOOKUP(K125,$A$24:$B$1023,2,FALSE),'Scratch Sheet'!$U$23:$Y$32,5,FALSE)*VLOOKUP(VLOOKUP(K125,$A$24:$E$1023,5,FALSE),'Scratch Sheet'!$L$22:$M$30,2,FALSE),"")</f>
        <v>5940.0000000000009</v>
      </c>
      <c r="N125" s="675">
        <v>402</v>
      </c>
      <c r="O125" s="675" t="str" cm="1">
        <f t="array" ref="O125">IF(OR(INDEX($B$24:$B$1023,N125)="P10",INDEX($B$24:$B$1023,N125)="P11",INDEX($B$24:$B$1023,N125)="P12",INDEX($B$24:$B$1023,N125)="P13"),"C",IF(OR(INDEX($B$24:$B$1023,N125)="P14",INDEX($B$24:$B$1023,N125)="P15",INDEX($B$24:$B$1023,N125)="P16"),"N","O"))&amp;IF(MOD(N125,100)&lt;20,1,IF(MOD(N125,100)&lt;70,2,3))</f>
        <v>C1</v>
      </c>
      <c r="AU125" s="576"/>
      <c r="AV125" s="576"/>
      <c r="AW125" s="17"/>
    </row>
    <row r="126" spans="1:49" ht="16.5" thickBot="1">
      <c r="A126" s="662">
        <v>103</v>
      </c>
      <c r="B126" s="661" t="str" cm="1">
        <f t="array" ref="B126">"P"&amp;INDEX(X!$CL$2:$CL$12,'Scratch Sheet'!H125+1)+9</f>
        <v>P13</v>
      </c>
      <c r="C126" s="661">
        <v>1</v>
      </c>
      <c r="D126" s="755">
        <f t="shared" si="4"/>
        <v>5400</v>
      </c>
      <c r="E126" s="682" t="str">
        <f t="shared" si="5"/>
        <v>C1</v>
      </c>
      <c r="F126" s="683">
        <f t="shared" si="6"/>
        <v>5</v>
      </c>
      <c r="H126" s="13">
        <v>479</v>
      </c>
      <c r="I126" s="13">
        <f>VLOOKUP(VLOOKUP(H126,$A$24:$B$1023,2,FALSE),'Scratch Sheet'!$U$23:$X$32,3,FALSE)</f>
        <v>11</v>
      </c>
      <c r="K126" s="13">
        <f>K115</f>
        <v>94</v>
      </c>
      <c r="L126" s="13">
        <f>IFERROR(VLOOKUP(VLOOKUP(K126,$A$24:$B$1023,2,FALSE),'Scratch Sheet'!$U$23:$Y$32,5,FALSE)*VLOOKUP(VLOOKUP(K126,$A$24:$E$1023,5,FALSE),'Scratch Sheet'!$L$22:$M$30,2,FALSE),"")</f>
        <v>8800</v>
      </c>
      <c r="N126" s="675">
        <v>403</v>
      </c>
      <c r="O126" s="675" t="str" cm="1">
        <f t="array" ref="O126">IF(OR(INDEX($B$24:$B$1023,N126)="P10",INDEX($B$24:$B$1023,N126)="P11",INDEX($B$24:$B$1023,N126)="P12",INDEX($B$24:$B$1023,N126)="P13"),"C",IF(OR(INDEX($B$24:$B$1023,N126)="P14",INDEX($B$24:$B$1023,N126)="P15",INDEX($B$24:$B$1023,N126)="P16"),"N","O"))&amp;IF(MOD(N126,100)&lt;20,1,IF(MOD(N126,100)&lt;70,2,3))</f>
        <v>C1</v>
      </c>
      <c r="AU126" s="576"/>
      <c r="AV126" s="576"/>
      <c r="AW126" s="17"/>
    </row>
    <row r="127" spans="1:49" ht="16.5" thickBot="1">
      <c r="A127" s="662">
        <v>104</v>
      </c>
      <c r="B127" s="661" t="str" cm="1">
        <f t="array" ref="B127">"P"&amp;INDEX(X!$CL$2:$CL$12,'Scratch Sheet'!H126+1)+9</f>
        <v>P10</v>
      </c>
      <c r="C127" s="661">
        <v>1</v>
      </c>
      <c r="D127" s="755">
        <f t="shared" si="4"/>
        <v>2880</v>
      </c>
      <c r="E127" s="682" t="str">
        <f t="shared" si="5"/>
        <v>C1</v>
      </c>
      <c r="F127" s="683">
        <f t="shared" si="6"/>
        <v>3</v>
      </c>
      <c r="H127" s="13">
        <v>306</v>
      </c>
      <c r="I127" s="13">
        <f>VLOOKUP(VLOOKUP(H127,$A$24:$B$1023,2,FALSE),'Scratch Sheet'!$U$23:$X$32,3,FALSE)</f>
        <v>5</v>
      </c>
      <c r="K127" s="13">
        <f t="shared" ref="K127:K190" si="7">K24+100</f>
        <v>110</v>
      </c>
      <c r="L127" s="13">
        <f>IFERROR(VLOOKUP(VLOOKUP(K127,$A$24:$B$1023,2,FALSE),'Scratch Sheet'!$U$23:$Y$32,5,FALSE)*VLOOKUP(VLOOKUP(K127,$A$24:$E$1023,5,FALSE),'Scratch Sheet'!$L$22:$M$30,2,FALSE),"")</f>
        <v>13200</v>
      </c>
      <c r="N127" s="675">
        <v>407</v>
      </c>
      <c r="O127" s="675" t="str" cm="1">
        <f t="array" ref="O127">IF(OR(INDEX($B$24:$B$1023,N127)="P10",INDEX($B$24:$B$1023,N127)="P11",INDEX($B$24:$B$1023,N127)="P12",INDEX($B$24:$B$1023,N127)="P13"),"C",IF(OR(INDEX($B$24:$B$1023,N127)="P14",INDEX($B$24:$B$1023,N127)="P15",INDEX($B$24:$B$1023,N127)="P16"),"N","O"))&amp;IF(MOD(N127,100)&lt;20,1,IF(MOD(N127,100)&lt;70,2,3))</f>
        <v>C1</v>
      </c>
      <c r="AU127" s="576"/>
      <c r="AV127" s="576"/>
      <c r="AW127" s="17"/>
    </row>
    <row r="128" spans="1:49" ht="16.5" thickBot="1">
      <c r="A128" s="662">
        <v>105</v>
      </c>
      <c r="B128" s="661" t="str" cm="1">
        <f t="array" ref="B128">"P"&amp;INDEX(X!$CL$2:$CL$12,'Scratch Sheet'!H127+1)+9</f>
        <v>P11</v>
      </c>
      <c r="C128" s="661">
        <v>1</v>
      </c>
      <c r="D128" s="755">
        <f t="shared" si="4"/>
        <v>13200</v>
      </c>
      <c r="E128" s="682" t="str">
        <f t="shared" si="5"/>
        <v>C1</v>
      </c>
      <c r="F128" s="683">
        <f t="shared" si="6"/>
        <v>11</v>
      </c>
      <c r="H128" s="13">
        <v>629</v>
      </c>
      <c r="I128" s="13">
        <f>VLOOKUP(VLOOKUP(H128,$A$24:$B$1023,2,FALSE),'Scratch Sheet'!$U$23:$X$32,3,FALSE)</f>
        <v>5</v>
      </c>
      <c r="K128" s="13">
        <f t="shared" si="7"/>
        <v>113</v>
      </c>
      <c r="L128" s="13">
        <f>IFERROR(VLOOKUP(VLOOKUP(K128,$A$24:$B$1023,2,FALSE),'Scratch Sheet'!$U$23:$Y$32,5,FALSE)*VLOOKUP(VLOOKUP(K128,$A$24:$E$1023,5,FALSE),'Scratch Sheet'!$L$22:$M$30,2,FALSE),"")</f>
        <v>2880</v>
      </c>
      <c r="N128" s="675">
        <v>410</v>
      </c>
      <c r="O128" s="675" t="str" cm="1">
        <f t="array" ref="O128">IF(OR(INDEX($B$24:$B$1023,N128)="P10",INDEX($B$24:$B$1023,N128)="P11",INDEX($B$24:$B$1023,N128)="P12",INDEX($B$24:$B$1023,N128)="P13"),"C",IF(OR(INDEX($B$24:$B$1023,N128)="P14",INDEX($B$24:$B$1023,N128)="P15",INDEX($B$24:$B$1023,N128)="P16"),"N","O"))&amp;IF(MOD(N128,100)&lt;20,1,IF(MOD(N128,100)&lt;70,2,3))</f>
        <v>C1</v>
      </c>
      <c r="AU128" s="576"/>
      <c r="AV128" s="576"/>
      <c r="AW128" s="17"/>
    </row>
    <row r="129" spans="1:49" ht="16.5" thickBot="1">
      <c r="A129" s="662">
        <v>106</v>
      </c>
      <c r="B129" s="661" t="str" cm="1">
        <f t="array" ref="B129">"P"&amp;INDEX(X!$CL$2:$CL$12,'Scratch Sheet'!H128+1)+9</f>
        <v>P16</v>
      </c>
      <c r="C129" s="661">
        <v>1</v>
      </c>
      <c r="D129" s="755">
        <f t="shared" si="4"/>
        <v>7279.9999999999991</v>
      </c>
      <c r="E129" s="682" t="str">
        <f t="shared" si="5"/>
        <v>N1</v>
      </c>
      <c r="F129" s="683">
        <f t="shared" si="6"/>
        <v>4</v>
      </c>
      <c r="H129" s="13">
        <v>731</v>
      </c>
      <c r="I129" s="13">
        <f>VLOOKUP(VLOOKUP(H129,$A$24:$B$1023,2,FALSE),'Scratch Sheet'!$U$23:$X$32,3,FALSE)</f>
        <v>5</v>
      </c>
      <c r="K129" s="13">
        <f t="shared" si="7"/>
        <v>112</v>
      </c>
      <c r="L129" s="13">
        <f>IFERROR(VLOOKUP(VLOOKUP(K129,$A$24:$B$1023,2,FALSE),'Scratch Sheet'!$U$23:$Y$32,5,FALSE)*VLOOKUP(VLOOKUP(K129,$A$24:$E$1023,5,FALSE),'Scratch Sheet'!$L$22:$M$30,2,FALSE),"")</f>
        <v>8190</v>
      </c>
      <c r="N129" s="675">
        <v>419</v>
      </c>
      <c r="O129" s="675" t="str" cm="1">
        <f t="array" ref="O129">IF(OR(INDEX($B$24:$B$1023,N129)="P10",INDEX($B$24:$B$1023,N129)="P11",INDEX($B$24:$B$1023,N129)="P12",INDEX($B$24:$B$1023,N129)="P13"),"C",IF(OR(INDEX($B$24:$B$1023,N129)="P14",INDEX($B$24:$B$1023,N129)="P15",INDEX($B$24:$B$1023,N129)="P16"),"N","O"))&amp;IF(MOD(N129,100)&lt;20,1,IF(MOD(N129,100)&lt;70,2,3))</f>
        <v>C1</v>
      </c>
      <c r="AU129" s="576"/>
      <c r="AV129" s="576"/>
      <c r="AW129" s="17"/>
    </row>
    <row r="130" spans="1:49" ht="16.5" thickBot="1">
      <c r="A130" s="662">
        <v>107</v>
      </c>
      <c r="B130" s="661" t="str" cm="1">
        <f t="array" ref="B130">"P"&amp;INDEX(X!$CL$2:$CL$12,'Scratch Sheet'!H129+1)+9</f>
        <v>P17</v>
      </c>
      <c r="C130" s="661">
        <v>1</v>
      </c>
      <c r="D130" s="755">
        <f t="shared" si="4"/>
        <v>10800</v>
      </c>
      <c r="E130" s="682" t="str">
        <f t="shared" si="5"/>
        <v>O1</v>
      </c>
      <c r="F130" s="683">
        <f t="shared" si="6"/>
        <v>12</v>
      </c>
      <c r="H130" s="13">
        <v>859</v>
      </c>
      <c r="I130" s="13">
        <f>VLOOKUP(VLOOKUP(H130,$A$24:$B$1023,2,FALSE),'Scratch Sheet'!$U$23:$X$32,3,FALSE)</f>
        <v>11</v>
      </c>
      <c r="K130" s="13">
        <f t="shared" si="7"/>
        <v>106</v>
      </c>
      <c r="L130" s="13">
        <f>IFERROR(VLOOKUP(VLOOKUP(K130,$A$24:$B$1023,2,FALSE),'Scratch Sheet'!$U$23:$Y$32,5,FALSE)*VLOOKUP(VLOOKUP(K130,$A$24:$E$1023,5,FALSE),'Scratch Sheet'!$L$22:$M$30,2,FALSE),"")</f>
        <v>7279.9999999999991</v>
      </c>
      <c r="N130" s="675">
        <v>420</v>
      </c>
      <c r="O130" s="675" t="str" cm="1">
        <f t="array" ref="O130">IF(OR(INDEX($B$24:$B$1023,N130)="P10",INDEX($B$24:$B$1023,N130)="P11",INDEX($B$24:$B$1023,N130)="P12",INDEX($B$24:$B$1023,N130)="P13"),"C",IF(OR(INDEX($B$24:$B$1023,N130)="P14",INDEX($B$24:$B$1023,N130)="P15",INDEX($B$24:$B$1023,N130)="P16"),"N","O"))&amp;IF(MOD(N130,100)&lt;20,1,IF(MOD(N130,100)&lt;70,2,3))</f>
        <v>C2</v>
      </c>
      <c r="AU130" s="576"/>
      <c r="AV130" s="576"/>
      <c r="AW130" s="17"/>
    </row>
    <row r="131" spans="1:49" ht="16.5" thickBot="1">
      <c r="A131" s="662">
        <v>108</v>
      </c>
      <c r="B131" s="661" t="str" cm="1">
        <f t="array" ref="B131">"P"&amp;INDEX(X!$CL$2:$CL$12,'Scratch Sheet'!H130+1)+9</f>
        <v>P17</v>
      </c>
      <c r="C131" s="661">
        <v>1</v>
      </c>
      <c r="D131" s="755">
        <f t="shared" si="4"/>
        <v>10800</v>
      </c>
      <c r="E131" s="682" t="str">
        <f t="shared" si="5"/>
        <v>O1</v>
      </c>
      <c r="F131" s="683">
        <f t="shared" si="6"/>
        <v>12</v>
      </c>
      <c r="H131" s="13">
        <v>188</v>
      </c>
      <c r="I131" s="13">
        <f>VLOOKUP(VLOOKUP(H131,$A$24:$B$1023,2,FALSE),'Scratch Sheet'!$U$23:$X$32,3,FALSE)</f>
        <v>5</v>
      </c>
      <c r="K131" s="13">
        <f t="shared" si="7"/>
        <v>109</v>
      </c>
      <c r="L131" s="13">
        <f>IFERROR(VLOOKUP(VLOOKUP(K131,$A$24:$B$1023,2,FALSE),'Scratch Sheet'!$U$23:$Y$32,5,FALSE)*VLOOKUP(VLOOKUP(K131,$A$24:$E$1023,5,FALSE),'Scratch Sheet'!$L$22:$M$30,2,FALSE),"")</f>
        <v>5400</v>
      </c>
      <c r="N131" s="675">
        <v>424</v>
      </c>
      <c r="O131" s="675" t="str" cm="1">
        <f t="array" ref="O131">IF(OR(INDEX($B$24:$B$1023,N131)="P10",INDEX($B$24:$B$1023,N131)="P11",INDEX($B$24:$B$1023,N131)="P12",INDEX($B$24:$B$1023,N131)="P13"),"C",IF(OR(INDEX($B$24:$B$1023,N131)="P14",INDEX($B$24:$B$1023,N131)="P15",INDEX($B$24:$B$1023,N131)="P16"),"N","O"))&amp;IF(MOD(N131,100)&lt;20,1,IF(MOD(N131,100)&lt;70,2,3))</f>
        <v>C2</v>
      </c>
      <c r="AU131" s="576"/>
      <c r="AV131" s="576"/>
      <c r="AW131" s="17"/>
    </row>
    <row r="132" spans="1:49" ht="16.5" thickBot="1">
      <c r="A132" s="662">
        <v>109</v>
      </c>
      <c r="B132" s="661" t="str" cm="1">
        <f t="array" ref="B132">"P"&amp;INDEX(X!$CL$2:$CL$12,'Scratch Sheet'!H131+1)+9</f>
        <v>P13</v>
      </c>
      <c r="C132" s="661">
        <v>1</v>
      </c>
      <c r="D132" s="755">
        <f t="shared" si="4"/>
        <v>5400</v>
      </c>
      <c r="E132" s="682" t="str">
        <f t="shared" si="5"/>
        <v>C1</v>
      </c>
      <c r="F132" s="683">
        <f t="shared" si="6"/>
        <v>5</v>
      </c>
      <c r="H132" s="13">
        <v>470</v>
      </c>
      <c r="I132" s="13">
        <f>VLOOKUP(VLOOKUP(H132,$A$24:$B$1023,2,FALSE),'Scratch Sheet'!$U$23:$X$32,3,FALSE)</f>
        <v>3</v>
      </c>
      <c r="K132" s="13">
        <f t="shared" si="7"/>
        <v>108</v>
      </c>
      <c r="L132" s="13">
        <f>IFERROR(VLOOKUP(VLOOKUP(K132,$A$24:$B$1023,2,FALSE),'Scratch Sheet'!$U$23:$Y$32,5,FALSE)*VLOOKUP(VLOOKUP(K132,$A$24:$E$1023,5,FALSE),'Scratch Sheet'!$L$22:$M$30,2,FALSE),"")</f>
        <v>10800</v>
      </c>
      <c r="N132" s="675">
        <v>427</v>
      </c>
      <c r="O132" s="675" t="str" cm="1">
        <f t="array" ref="O132">IF(OR(INDEX($B$24:$B$1023,N132)="P10",INDEX($B$24:$B$1023,N132)="P11",INDEX($B$24:$B$1023,N132)="P12",INDEX($B$24:$B$1023,N132)="P13"),"C",IF(OR(INDEX($B$24:$B$1023,N132)="P14",INDEX($B$24:$B$1023,N132)="P15",INDEX($B$24:$B$1023,N132)="P16"),"N","O"))&amp;IF(MOD(N132,100)&lt;20,1,IF(MOD(N132,100)&lt;70,2,3))</f>
        <v>C2</v>
      </c>
      <c r="AU132" s="576"/>
      <c r="AV132" s="576"/>
      <c r="AW132" s="17"/>
    </row>
    <row r="133" spans="1:49" ht="16.5" thickBot="1">
      <c r="A133" s="662">
        <v>110</v>
      </c>
      <c r="B133" s="661" t="str" cm="1">
        <f t="array" ref="B133">"P"&amp;INDEX(X!$CL$2:$CL$12,'Scratch Sheet'!H132+1)+9</f>
        <v>P11</v>
      </c>
      <c r="C133" s="661">
        <v>1</v>
      </c>
      <c r="D133" s="755">
        <f t="shared" si="4"/>
        <v>13200</v>
      </c>
      <c r="E133" s="682" t="str">
        <f t="shared" si="5"/>
        <v>C1</v>
      </c>
      <c r="F133" s="683">
        <f t="shared" si="6"/>
        <v>11</v>
      </c>
      <c r="H133" s="13">
        <v>498</v>
      </c>
      <c r="I133" s="13">
        <f>VLOOKUP(VLOOKUP(H133,$A$24:$B$1023,2,FALSE),'Scratch Sheet'!$U$23:$X$32,3,FALSE)</f>
        <v>12</v>
      </c>
      <c r="K133" s="13">
        <f t="shared" si="7"/>
        <v>111</v>
      </c>
      <c r="L133" s="13">
        <f>IFERROR(VLOOKUP(VLOOKUP(K133,$A$24:$B$1023,2,FALSE),'Scratch Sheet'!$U$23:$Y$32,5,FALSE)*VLOOKUP(VLOOKUP(K133,$A$24:$E$1023,5,FALSE),'Scratch Sheet'!$L$22:$M$30,2,FALSE),"")</f>
        <v>13200</v>
      </c>
      <c r="N133" s="675">
        <v>436</v>
      </c>
      <c r="O133" s="675" t="str" cm="1">
        <f t="array" ref="O133">IF(OR(INDEX($B$24:$B$1023,N133)="P10",INDEX($B$24:$B$1023,N133)="P11",INDEX($B$24:$B$1023,N133)="P12",INDEX($B$24:$B$1023,N133)="P13"),"C",IF(OR(INDEX($B$24:$B$1023,N133)="P14",INDEX($B$24:$B$1023,N133)="P15",INDEX($B$24:$B$1023,N133)="P16"),"N","O"))&amp;IF(MOD(N133,100)&lt;20,1,IF(MOD(N133,100)&lt;70,2,3))</f>
        <v>C2</v>
      </c>
      <c r="AU133" s="576"/>
      <c r="AV133" s="576"/>
      <c r="AW133" s="17"/>
    </row>
    <row r="134" spans="1:49" ht="16.5" thickBot="1">
      <c r="A134" s="662">
        <v>111</v>
      </c>
      <c r="B134" s="661" t="str" cm="1">
        <f t="array" ref="B134">"P"&amp;INDEX(X!$CL$2:$CL$12,'Scratch Sheet'!H133+1)+9</f>
        <v>P11</v>
      </c>
      <c r="C134" s="661">
        <v>1</v>
      </c>
      <c r="D134" s="755">
        <f t="shared" si="4"/>
        <v>13200</v>
      </c>
      <c r="E134" s="682" t="str">
        <f t="shared" si="5"/>
        <v>C1</v>
      </c>
      <c r="F134" s="683">
        <f t="shared" si="6"/>
        <v>11</v>
      </c>
      <c r="H134" s="13">
        <v>126</v>
      </c>
      <c r="I134" s="13">
        <f>VLOOKUP(VLOOKUP(H134,$A$24:$B$1023,2,FALSE),'Scratch Sheet'!$U$23:$X$32,3,FALSE)</f>
        <v>5</v>
      </c>
      <c r="K134" s="13">
        <f t="shared" si="7"/>
        <v>105</v>
      </c>
      <c r="L134" s="13">
        <f>IFERROR(VLOOKUP(VLOOKUP(K134,$A$24:$B$1023,2,FALSE),'Scratch Sheet'!$U$23:$Y$32,5,FALSE)*VLOOKUP(VLOOKUP(K134,$A$24:$E$1023,5,FALSE),'Scratch Sheet'!$L$22:$M$30,2,FALSE),"")</f>
        <v>13200</v>
      </c>
      <c r="N134" s="675">
        <v>437</v>
      </c>
      <c r="O134" s="675" t="str" cm="1">
        <f t="array" ref="O134">IF(OR(INDEX($B$24:$B$1023,N134)="P10",INDEX($B$24:$B$1023,N134)="P11",INDEX($B$24:$B$1023,N134)="P12",INDEX($B$24:$B$1023,N134)="P13"),"C",IF(OR(INDEX($B$24:$B$1023,N134)="P14",INDEX($B$24:$B$1023,N134)="P15",INDEX($B$24:$B$1023,N134)="P16"),"N","O"))&amp;IF(MOD(N134,100)&lt;20,1,IF(MOD(N134,100)&lt;70,2,3))</f>
        <v>C2</v>
      </c>
      <c r="AU134" s="576"/>
      <c r="AV134" s="576"/>
      <c r="AW134" s="17"/>
    </row>
    <row r="135" spans="1:49" ht="16.5" thickBot="1">
      <c r="A135" s="662">
        <v>112</v>
      </c>
      <c r="B135" s="661" t="str" cm="1">
        <f t="array" ref="B135">"P"&amp;INDEX(X!$CL$2:$CL$12,'Scratch Sheet'!H134+1)+9</f>
        <v>P12</v>
      </c>
      <c r="C135" s="661">
        <v>1</v>
      </c>
      <c r="D135" s="755">
        <f t="shared" si="4"/>
        <v>8190</v>
      </c>
      <c r="E135" s="682" t="str">
        <f t="shared" si="5"/>
        <v>C1</v>
      </c>
      <c r="F135" s="683">
        <f t="shared" si="6"/>
        <v>6.5</v>
      </c>
      <c r="H135" s="13">
        <v>533</v>
      </c>
      <c r="I135" s="13">
        <f>VLOOKUP(VLOOKUP(H135,$A$24:$B$1023,2,FALSE),'Scratch Sheet'!$U$23:$X$32,3,FALSE)</f>
        <v>12</v>
      </c>
      <c r="K135" s="13">
        <f t="shared" si="7"/>
        <v>103</v>
      </c>
      <c r="L135" s="13">
        <f>IFERROR(VLOOKUP(VLOOKUP(K135,$A$24:$B$1023,2,FALSE),'Scratch Sheet'!$U$23:$Y$32,5,FALSE)*VLOOKUP(VLOOKUP(K135,$A$24:$E$1023,5,FALSE),'Scratch Sheet'!$L$22:$M$30,2,FALSE),"")</f>
        <v>5400</v>
      </c>
      <c r="N135" s="675">
        <v>441</v>
      </c>
      <c r="O135" s="675" t="str" cm="1">
        <f t="array" ref="O135">IF(OR(INDEX($B$24:$B$1023,N135)="P10",INDEX($B$24:$B$1023,N135)="P11",INDEX($B$24:$B$1023,N135)="P12",INDEX($B$24:$B$1023,N135)="P13"),"C",IF(OR(INDEX($B$24:$B$1023,N135)="P14",INDEX($B$24:$B$1023,N135)="P15",INDEX($B$24:$B$1023,N135)="P16"),"N","O"))&amp;IF(MOD(N135,100)&lt;20,1,IF(MOD(N135,100)&lt;70,2,3))</f>
        <v>C2</v>
      </c>
    </row>
    <row r="136" spans="1:49" ht="16.5" thickBot="1">
      <c r="A136" s="662">
        <v>113</v>
      </c>
      <c r="B136" s="661" t="str" cm="1">
        <f t="array" ref="B136">"P"&amp;INDEX(X!$CL$2:$CL$12,'Scratch Sheet'!H135+1)+9</f>
        <v>P10</v>
      </c>
      <c r="C136" s="661">
        <v>1</v>
      </c>
      <c r="D136" s="755">
        <f t="shared" si="4"/>
        <v>2880</v>
      </c>
      <c r="E136" s="682" t="str">
        <f t="shared" si="5"/>
        <v>C1</v>
      </c>
      <c r="F136" s="683">
        <f t="shared" si="6"/>
        <v>3</v>
      </c>
      <c r="H136" s="13">
        <v>342</v>
      </c>
      <c r="I136" s="13">
        <f>VLOOKUP(VLOOKUP(H136,$A$24:$B$1023,2,FALSE),'Scratch Sheet'!$U$23:$X$32,3,FALSE)</f>
        <v>3</v>
      </c>
      <c r="K136" s="13">
        <f t="shared" si="7"/>
        <v>104</v>
      </c>
      <c r="L136" s="13">
        <f>IFERROR(VLOOKUP(VLOOKUP(K136,$A$24:$B$1023,2,FALSE),'Scratch Sheet'!$U$23:$Y$32,5,FALSE)*VLOOKUP(VLOOKUP(K136,$A$24:$E$1023,5,FALSE),'Scratch Sheet'!$L$22:$M$30,2,FALSE),"")</f>
        <v>2880</v>
      </c>
      <c r="N136" s="675">
        <v>444</v>
      </c>
      <c r="O136" s="675" t="str" cm="1">
        <f t="array" ref="O136">IF(OR(INDEX($B$24:$B$1023,N136)="P10",INDEX($B$24:$B$1023,N136)="P11",INDEX($B$24:$B$1023,N136)="P12",INDEX($B$24:$B$1023,N136)="P13"),"C",IF(OR(INDEX($B$24:$B$1023,N136)="P14",INDEX($B$24:$B$1023,N136)="P15",INDEX($B$24:$B$1023,N136)="P16"),"N","O"))&amp;IF(MOD(N136,100)&lt;20,1,IF(MOD(N136,100)&lt;70,2,3))</f>
        <v>C2</v>
      </c>
    </row>
    <row r="137" spans="1:49" ht="16.5" thickBot="1">
      <c r="A137" s="662">
        <v>114</v>
      </c>
      <c r="B137" s="661" t="str" cm="1">
        <f t="array" ref="B137">"P"&amp;INDEX(X!$CL$2:$CL$12,'Scratch Sheet'!H136+1)+9</f>
        <v>P10</v>
      </c>
      <c r="C137" s="661">
        <v>1</v>
      </c>
      <c r="D137" s="755">
        <f t="shared" si="4"/>
        <v>2880</v>
      </c>
      <c r="E137" s="682" t="str">
        <f t="shared" si="5"/>
        <v>C1</v>
      </c>
      <c r="F137" s="683">
        <f t="shared" si="6"/>
        <v>3</v>
      </c>
      <c r="H137" s="13">
        <v>865</v>
      </c>
      <c r="I137" s="13">
        <f>VLOOKUP(VLOOKUP(H137,$A$24:$B$1023,2,FALSE),'Scratch Sheet'!$U$23:$X$32,3,FALSE)</f>
        <v>8</v>
      </c>
      <c r="K137" s="13">
        <f t="shared" si="7"/>
        <v>102</v>
      </c>
      <c r="L137" s="13">
        <f>IFERROR(VLOOKUP(VLOOKUP(K137,$A$24:$B$1023,2,FALSE),'Scratch Sheet'!$U$23:$Y$32,5,FALSE)*VLOOKUP(VLOOKUP(K137,$A$24:$E$1023,5,FALSE),'Scratch Sheet'!$L$22:$M$30,2,FALSE),"")</f>
        <v>5400</v>
      </c>
      <c r="N137" s="675">
        <v>453</v>
      </c>
      <c r="O137" s="675" t="str" cm="1">
        <f t="array" ref="O137">IF(OR(INDEX($B$24:$B$1023,N137)="P10",INDEX($B$24:$B$1023,N137)="P11",INDEX($B$24:$B$1023,N137)="P12",INDEX($B$24:$B$1023,N137)="P13"),"C",IF(OR(INDEX($B$24:$B$1023,N137)="P14",INDEX($B$24:$B$1023,N137)="P15",INDEX($B$24:$B$1023,N137)="P16"),"N","O"))&amp;IF(MOD(N137,100)&lt;20,1,IF(MOD(N137,100)&lt;70,2,3))</f>
        <v>C2</v>
      </c>
    </row>
    <row r="138" spans="1:49" ht="16.5" thickBot="1">
      <c r="A138" s="662">
        <v>115</v>
      </c>
      <c r="B138" s="661" t="str" cm="1">
        <f t="array" ref="B138">"P"&amp;INDEX(X!$CL$2:$CL$12,'Scratch Sheet'!H137+1)+9</f>
        <v>P11</v>
      </c>
      <c r="C138" s="661">
        <v>1</v>
      </c>
      <c r="D138" s="755">
        <f t="shared" si="4"/>
        <v>13200</v>
      </c>
      <c r="E138" s="682" t="str">
        <f t="shared" si="5"/>
        <v>C1</v>
      </c>
      <c r="F138" s="683">
        <f t="shared" si="6"/>
        <v>11</v>
      </c>
      <c r="H138" s="13">
        <v>75</v>
      </c>
      <c r="I138" s="13">
        <f>VLOOKUP(VLOOKUP(H138,$A$24:$B$1023,2,FALSE),'Scratch Sheet'!$U$23:$X$32,3,FALSE)</f>
        <v>12</v>
      </c>
      <c r="K138" s="13">
        <f t="shared" si="7"/>
        <v>101</v>
      </c>
      <c r="L138" s="13">
        <f>IFERROR(VLOOKUP(VLOOKUP(K138,$A$24:$B$1023,2,FALSE),'Scratch Sheet'!$U$23:$Y$32,5,FALSE)*VLOOKUP(VLOOKUP(K138,$A$24:$E$1023,5,FALSE),'Scratch Sheet'!$L$22:$M$30,2,FALSE),"")</f>
        <v>2880</v>
      </c>
      <c r="N138" s="675">
        <v>454</v>
      </c>
      <c r="O138" s="675" t="str" cm="1">
        <f t="array" ref="O138">IF(OR(INDEX($B$24:$B$1023,N138)="P10",INDEX($B$24:$B$1023,N138)="P11",INDEX($B$24:$B$1023,N138)="P12",INDEX($B$24:$B$1023,N138)="P13"),"C",IF(OR(INDEX($B$24:$B$1023,N138)="P14",INDEX($B$24:$B$1023,N138)="P15",INDEX($B$24:$B$1023,N138)="P16"),"N","O"))&amp;IF(MOD(N138,100)&lt;20,1,IF(MOD(N138,100)&lt;70,2,3))</f>
        <v>C2</v>
      </c>
    </row>
    <row r="139" spans="1:49" ht="16.5" thickBot="1">
      <c r="A139" s="662">
        <v>116</v>
      </c>
      <c r="B139" s="661" t="str" cm="1">
        <f t="array" ref="B139">"P"&amp;INDEX(X!$CL$2:$CL$12,'Scratch Sheet'!H138+1)+9</f>
        <v>P18</v>
      </c>
      <c r="C139" s="661">
        <v>1</v>
      </c>
      <c r="D139" s="755">
        <f t="shared" si="4"/>
        <v>4860</v>
      </c>
      <c r="E139" s="682" t="str">
        <f t="shared" si="5"/>
        <v>O1</v>
      </c>
      <c r="F139" s="683">
        <f t="shared" si="6"/>
        <v>6</v>
      </c>
      <c r="H139" s="13">
        <v>262</v>
      </c>
      <c r="I139" s="13">
        <f>VLOOKUP(VLOOKUP(H139,$A$24:$B$1023,2,FALSE),'Scratch Sheet'!$U$23:$X$32,3,FALSE)</f>
        <v>5</v>
      </c>
      <c r="K139" s="13">
        <f t="shared" si="7"/>
        <v>114</v>
      </c>
      <c r="L139" s="13">
        <f>IFERROR(VLOOKUP(VLOOKUP(K139,$A$24:$B$1023,2,FALSE),'Scratch Sheet'!$U$23:$Y$32,5,FALSE)*VLOOKUP(VLOOKUP(K139,$A$24:$E$1023,5,FALSE),'Scratch Sheet'!$L$22:$M$30,2,FALSE),"")</f>
        <v>2880</v>
      </c>
      <c r="N139" s="675">
        <v>458</v>
      </c>
      <c r="O139" s="675" t="str" cm="1">
        <f t="array" ref="O139">IF(OR(INDEX($B$24:$B$1023,N139)="P10",INDEX($B$24:$B$1023,N139)="P11",INDEX($B$24:$B$1023,N139)="P12",INDEX($B$24:$B$1023,N139)="P13"),"C",IF(OR(INDEX($B$24:$B$1023,N139)="P14",INDEX($B$24:$B$1023,N139)="P15",INDEX($B$24:$B$1023,N139)="P16"),"N","O"))&amp;IF(MOD(N139,100)&lt;20,1,IF(MOD(N139,100)&lt;70,2,3))</f>
        <v>C2</v>
      </c>
    </row>
    <row r="140" spans="1:49" ht="16.5" thickBot="1">
      <c r="A140" s="662">
        <v>117</v>
      </c>
      <c r="B140" s="661" t="str" cm="1">
        <f t="array" ref="B140">"P"&amp;INDEX(X!$CL$2:$CL$12,'Scratch Sheet'!H139+1)+9</f>
        <v>P14</v>
      </c>
      <c r="C140" s="661">
        <v>1</v>
      </c>
      <c r="D140" s="755">
        <f t="shared" si="4"/>
        <v>10080</v>
      </c>
      <c r="E140" s="682" t="str">
        <f t="shared" si="5"/>
        <v>N1</v>
      </c>
      <c r="F140" s="683">
        <f t="shared" si="6"/>
        <v>8</v>
      </c>
      <c r="H140" s="13">
        <v>993</v>
      </c>
      <c r="I140" s="13">
        <f>VLOOKUP(VLOOKUP(H140,$A$24:$B$1023,2,FALSE),'Scratch Sheet'!$U$23:$X$32,3,FALSE)</f>
        <v>5</v>
      </c>
      <c r="K140" s="13">
        <f t="shared" si="7"/>
        <v>107</v>
      </c>
      <c r="L140" s="13">
        <f>IFERROR(VLOOKUP(VLOOKUP(K140,$A$24:$B$1023,2,FALSE),'Scratch Sheet'!$U$23:$Y$32,5,FALSE)*VLOOKUP(VLOOKUP(K140,$A$24:$E$1023,5,FALSE),'Scratch Sheet'!$L$22:$M$30,2,FALSE),"")</f>
        <v>10800</v>
      </c>
      <c r="N140" s="675">
        <v>461</v>
      </c>
      <c r="O140" s="675" t="str" cm="1">
        <f t="array" ref="O140">IF(OR(INDEX($B$24:$B$1023,N140)="P10",INDEX($B$24:$B$1023,N140)="P11",INDEX($B$24:$B$1023,N140)="P12",INDEX($B$24:$B$1023,N140)="P13"),"C",IF(OR(INDEX($B$24:$B$1023,N140)="P14",INDEX($B$24:$B$1023,N140)="P15",INDEX($B$24:$B$1023,N140)="P16"),"N","O"))&amp;IF(MOD(N140,100)&lt;20,1,IF(MOD(N140,100)&lt;70,2,3))</f>
        <v>C2</v>
      </c>
    </row>
    <row r="141" spans="1:49" ht="16.5" thickBot="1">
      <c r="A141" s="662">
        <v>118</v>
      </c>
      <c r="B141" s="661" t="str" cm="1">
        <f t="array" ref="B141">"P"&amp;INDEX(X!$CL$2:$CL$12,'Scratch Sheet'!H140+1)+9</f>
        <v>P10</v>
      </c>
      <c r="C141" s="661">
        <v>1</v>
      </c>
      <c r="D141" s="755">
        <f t="shared" si="4"/>
        <v>2880</v>
      </c>
      <c r="E141" s="682" t="str">
        <f t="shared" si="5"/>
        <v>C1</v>
      </c>
      <c r="F141" s="683">
        <f t="shared" si="6"/>
        <v>3</v>
      </c>
      <c r="H141" s="13">
        <v>82</v>
      </c>
      <c r="I141" s="13">
        <f>VLOOKUP(VLOOKUP(H141,$A$24:$B$1023,2,FALSE),'Scratch Sheet'!$U$23:$X$32,3,FALSE)</f>
        <v>6.5</v>
      </c>
      <c r="K141" s="13">
        <f t="shared" si="7"/>
        <v>123</v>
      </c>
      <c r="L141" s="13">
        <f>IFERROR(VLOOKUP(VLOOKUP(K141,$A$24:$B$1023,2,FALSE),'Scratch Sheet'!$U$23:$Y$32,5,FALSE)*VLOOKUP(VLOOKUP(K141,$A$24:$E$1023,5,FALSE),'Scratch Sheet'!$L$22:$M$30,2,FALSE),"")</f>
        <v>4680</v>
      </c>
      <c r="N141" s="675">
        <v>470</v>
      </c>
      <c r="O141" s="675" t="str" cm="1">
        <f t="array" ref="O141">IF(OR(INDEX($B$24:$B$1023,N141)="P10",INDEX($B$24:$B$1023,N141)="P11",INDEX($B$24:$B$1023,N141)="P12",INDEX($B$24:$B$1023,N141)="P13"),"C",IF(OR(INDEX($B$24:$B$1023,N141)="P14",INDEX($B$24:$B$1023,N141)="P15",INDEX($B$24:$B$1023,N141)="P16"),"N","O"))&amp;IF(MOD(N141,100)&lt;20,1,IF(MOD(N141,100)&lt;70,2,3))</f>
        <v>C3</v>
      </c>
    </row>
    <row r="142" spans="1:49" ht="16.5" thickBot="1">
      <c r="A142" s="662">
        <v>119</v>
      </c>
      <c r="B142" s="661" t="str" cm="1">
        <f t="array" ref="B142">"P"&amp;INDEX(X!$CL$2:$CL$12,'Scratch Sheet'!H141+1)+9</f>
        <v>P13</v>
      </c>
      <c r="C142" s="661">
        <v>1</v>
      </c>
      <c r="D142" s="755">
        <f t="shared" si="4"/>
        <v>5400</v>
      </c>
      <c r="E142" s="682" t="str">
        <f t="shared" si="5"/>
        <v>C1</v>
      </c>
      <c r="F142" s="683">
        <f t="shared" si="6"/>
        <v>5</v>
      </c>
      <c r="H142" s="13">
        <v>20</v>
      </c>
      <c r="I142" s="13">
        <f>VLOOKUP(VLOOKUP(H142,$A$24:$B$1023,2,FALSE),'Scratch Sheet'!$U$23:$X$32,3,FALSE)</f>
        <v>12</v>
      </c>
      <c r="K142" s="13">
        <f t="shared" si="7"/>
        <v>126</v>
      </c>
      <c r="L142" s="13">
        <f>IFERROR(VLOOKUP(VLOOKUP(K142,$A$24:$B$1023,2,FALSE),'Scratch Sheet'!$U$23:$Y$32,5,FALSE)*VLOOKUP(VLOOKUP(K142,$A$24:$E$1023,5,FALSE),'Scratch Sheet'!$L$22:$M$30,2,FALSE),"")</f>
        <v>4500</v>
      </c>
      <c r="N142" s="675">
        <v>471</v>
      </c>
      <c r="O142" s="675" t="str" cm="1">
        <f t="array" ref="O142">IF(OR(INDEX($B$24:$B$1023,N142)="P10",INDEX($B$24:$B$1023,N142)="P11",INDEX($B$24:$B$1023,N142)="P12",INDEX($B$24:$B$1023,N142)="P13"),"C",IF(OR(INDEX($B$24:$B$1023,N142)="P14",INDEX($B$24:$B$1023,N142)="P15",INDEX($B$24:$B$1023,N142)="P16"),"N","O"))&amp;IF(MOD(N142,100)&lt;20,1,IF(MOD(N142,100)&lt;70,2,3))</f>
        <v>C3</v>
      </c>
    </row>
    <row r="143" spans="1:49" ht="16.5" thickBot="1">
      <c r="A143" s="662">
        <v>120</v>
      </c>
      <c r="B143" s="661" t="str" cm="1">
        <f t="array" ref="B143">"P"&amp;INDEX(X!$CL$2:$CL$12,'Scratch Sheet'!H142+1)+9</f>
        <v>P13</v>
      </c>
      <c r="C143" s="661">
        <v>1</v>
      </c>
      <c r="D143" s="755">
        <f t="shared" si="4"/>
        <v>4500</v>
      </c>
      <c r="E143" s="682" t="str">
        <f t="shared" si="5"/>
        <v>C2</v>
      </c>
      <c r="F143" s="683">
        <f t="shared" si="6"/>
        <v>5</v>
      </c>
      <c r="H143" s="13">
        <v>336</v>
      </c>
      <c r="I143" s="13">
        <f>VLOOKUP(VLOOKUP(H143,$A$24:$B$1023,2,FALSE),'Scratch Sheet'!$U$23:$X$32,3,FALSE)</f>
        <v>11</v>
      </c>
      <c r="K143" s="13">
        <f t="shared" si="7"/>
        <v>125</v>
      </c>
      <c r="L143" s="13">
        <f>IFERROR(VLOOKUP(VLOOKUP(K143,$A$24:$B$1023,2,FALSE),'Scratch Sheet'!$U$23:$Y$32,5,FALSE)*VLOOKUP(VLOOKUP(K143,$A$24:$E$1023,5,FALSE),'Scratch Sheet'!$L$22:$M$30,2,FALSE),"")</f>
        <v>13200.000000000002</v>
      </c>
      <c r="N143" s="675">
        <v>475</v>
      </c>
      <c r="O143" s="675" t="str" cm="1">
        <f t="array" ref="O143">IF(OR(INDEX($B$24:$B$1023,N143)="P10",INDEX($B$24:$B$1023,N143)="P11",INDEX($B$24:$B$1023,N143)="P12",INDEX($B$24:$B$1023,N143)="P13"),"C",IF(OR(INDEX($B$24:$B$1023,N143)="P14",INDEX($B$24:$B$1023,N143)="P15",INDEX($B$24:$B$1023,N143)="P16"),"N","O"))&amp;IF(MOD(N143,100)&lt;20,1,IF(MOD(N143,100)&lt;70,2,3))</f>
        <v>C3</v>
      </c>
    </row>
    <row r="144" spans="1:49" ht="16.5" thickBot="1">
      <c r="A144" s="662">
        <v>121</v>
      </c>
      <c r="B144" s="661" t="str" cm="1">
        <f t="array" ref="B144">"P"&amp;INDEX(X!$CL$2:$CL$12,'Scratch Sheet'!H143+1)+9</f>
        <v>P10</v>
      </c>
      <c r="C144" s="661">
        <v>1</v>
      </c>
      <c r="D144" s="755">
        <f t="shared" si="4"/>
        <v>2400</v>
      </c>
      <c r="E144" s="682" t="str">
        <f t="shared" si="5"/>
        <v>C2</v>
      </c>
      <c r="F144" s="683">
        <f t="shared" si="6"/>
        <v>3</v>
      </c>
      <c r="H144" s="13">
        <v>787</v>
      </c>
      <c r="I144" s="13">
        <f>VLOOKUP(VLOOKUP(H144,$A$24:$B$1023,2,FALSE),'Scratch Sheet'!$U$23:$X$32,3,FALSE)</f>
        <v>12</v>
      </c>
      <c r="K144" s="13">
        <f t="shared" si="7"/>
        <v>120</v>
      </c>
      <c r="L144" s="13">
        <f>IFERROR(VLOOKUP(VLOOKUP(K144,$A$24:$B$1023,2,FALSE),'Scratch Sheet'!$U$23:$Y$32,5,FALSE)*VLOOKUP(VLOOKUP(K144,$A$24:$E$1023,5,FALSE),'Scratch Sheet'!$L$22:$M$30,2,FALSE),"")</f>
        <v>4500</v>
      </c>
      <c r="N144" s="675">
        <v>478</v>
      </c>
      <c r="O144" s="675" t="str" cm="1">
        <f t="array" ref="O144">IF(OR(INDEX($B$24:$B$1023,N144)="P10",INDEX($B$24:$B$1023,N144)="P11",INDEX($B$24:$B$1023,N144)="P12",INDEX($B$24:$B$1023,N144)="P13"),"C",IF(OR(INDEX($B$24:$B$1023,N144)="P14",INDEX($B$24:$B$1023,N144)="P15",INDEX($B$24:$B$1023,N144)="P16"),"N","O"))&amp;IF(MOD(N144,100)&lt;20,1,IF(MOD(N144,100)&lt;70,2,3))</f>
        <v>C3</v>
      </c>
    </row>
    <row r="145" spans="1:15" ht="16.5" thickBot="1">
      <c r="A145" s="662">
        <v>122</v>
      </c>
      <c r="B145" s="661" t="str" cm="1">
        <f t="array" ref="B145">"P"&amp;INDEX(X!$CL$2:$CL$12,'Scratch Sheet'!H144+1)+9</f>
        <v>P11</v>
      </c>
      <c r="C145" s="661">
        <v>1</v>
      </c>
      <c r="D145" s="755">
        <f t="shared" si="4"/>
        <v>11000</v>
      </c>
      <c r="E145" s="682" t="str">
        <f t="shared" si="5"/>
        <v>C2</v>
      </c>
      <c r="F145" s="683">
        <f t="shared" si="6"/>
        <v>11</v>
      </c>
      <c r="H145" s="13">
        <v>345</v>
      </c>
      <c r="I145" s="13">
        <f>VLOOKUP(VLOOKUP(H145,$A$24:$B$1023,2,FALSE),'Scratch Sheet'!$U$23:$X$32,3,FALSE)</f>
        <v>12</v>
      </c>
      <c r="K145" s="13">
        <f t="shared" si="7"/>
        <v>122</v>
      </c>
      <c r="L145" s="13">
        <f>IFERROR(VLOOKUP(VLOOKUP(K145,$A$24:$B$1023,2,FALSE),'Scratch Sheet'!$U$23:$Y$32,5,FALSE)*VLOOKUP(VLOOKUP(K145,$A$24:$E$1023,5,FALSE),'Scratch Sheet'!$L$22:$M$30,2,FALSE),"")</f>
        <v>11000</v>
      </c>
      <c r="N145" s="675">
        <v>487</v>
      </c>
      <c r="O145" s="675" t="str" cm="1">
        <f t="array" ref="O145">IF(OR(INDEX($B$24:$B$1023,N145)="P10",INDEX($B$24:$B$1023,N145)="P11",INDEX($B$24:$B$1023,N145)="P12",INDEX($B$24:$B$1023,N145)="P13"),"C",IF(OR(INDEX($B$24:$B$1023,N145)="P14",INDEX($B$24:$B$1023,N145)="P15",INDEX($B$24:$B$1023,N145)="P16"),"N","O"))&amp;IF(MOD(N145,100)&lt;20,1,IF(MOD(N145,100)&lt;70,2,3))</f>
        <v>C3</v>
      </c>
    </row>
    <row r="146" spans="1:15" ht="16.5" thickBot="1">
      <c r="A146" s="662">
        <v>123</v>
      </c>
      <c r="B146" s="661" t="str" cm="1">
        <f t="array" ref="B146">"P"&amp;INDEX(X!$CL$2:$CL$12,'Scratch Sheet'!H145+1)+9</f>
        <v>P16</v>
      </c>
      <c r="C146" s="661">
        <v>1</v>
      </c>
      <c r="D146" s="755">
        <f t="shared" si="4"/>
        <v>4680</v>
      </c>
      <c r="E146" s="682" t="str">
        <f t="shared" si="5"/>
        <v>N2</v>
      </c>
      <c r="F146" s="683">
        <f t="shared" si="6"/>
        <v>4</v>
      </c>
      <c r="H146" s="13">
        <v>102</v>
      </c>
      <c r="I146" s="13">
        <f>VLOOKUP(VLOOKUP(H146,$A$24:$B$1023,2,FALSE),'Scratch Sheet'!$U$23:$X$32,3,FALSE)</f>
        <v>5</v>
      </c>
      <c r="K146" s="13">
        <f t="shared" si="7"/>
        <v>121</v>
      </c>
      <c r="L146" s="13">
        <f>IFERROR(VLOOKUP(VLOOKUP(K146,$A$24:$B$1023,2,FALSE),'Scratch Sheet'!$U$23:$Y$32,5,FALSE)*VLOOKUP(VLOOKUP(K146,$A$24:$E$1023,5,FALSE),'Scratch Sheet'!$L$22:$M$30,2,FALSE),"")</f>
        <v>2400</v>
      </c>
      <c r="N146" s="675">
        <v>488</v>
      </c>
      <c r="O146" s="675" t="str" cm="1">
        <f t="array" ref="O146">IF(OR(INDEX($B$24:$B$1023,N146)="P10",INDEX($B$24:$B$1023,N146)="P11",INDEX($B$24:$B$1023,N146)="P12",INDEX($B$24:$B$1023,N146)="P13"),"C",IF(OR(INDEX($B$24:$B$1023,N146)="P14",INDEX($B$24:$B$1023,N146)="P15",INDEX($B$24:$B$1023,N146)="P16"),"N","O"))&amp;IF(MOD(N146,100)&lt;20,1,IF(MOD(N146,100)&lt;70,2,3))</f>
        <v>C3</v>
      </c>
    </row>
    <row r="147" spans="1:15" ht="16.5" thickBot="1">
      <c r="A147" s="662">
        <v>124</v>
      </c>
      <c r="B147" s="661" t="str" cm="1">
        <f t="array" ref="B147">"P"&amp;INDEX(X!$CL$2:$CL$12,'Scratch Sheet'!H146+1)+9</f>
        <v>P17</v>
      </c>
      <c r="C147" s="661">
        <v>1</v>
      </c>
      <c r="D147" s="755">
        <f t="shared" si="4"/>
        <v>13200.000000000002</v>
      </c>
      <c r="E147" s="682" t="str">
        <f t="shared" si="5"/>
        <v>O2</v>
      </c>
      <c r="F147" s="683">
        <f t="shared" si="6"/>
        <v>12</v>
      </c>
      <c r="H147" s="13">
        <v>544</v>
      </c>
      <c r="I147" s="13">
        <f>VLOOKUP(VLOOKUP(H147,$A$24:$B$1023,2,FALSE),'Scratch Sheet'!$U$23:$X$32,3,FALSE)</f>
        <v>5</v>
      </c>
      <c r="K147" s="13">
        <f t="shared" si="7"/>
        <v>124</v>
      </c>
      <c r="L147" s="13">
        <f>IFERROR(VLOOKUP(VLOOKUP(K147,$A$24:$B$1023,2,FALSE),'Scratch Sheet'!$U$23:$Y$32,5,FALSE)*VLOOKUP(VLOOKUP(K147,$A$24:$E$1023,5,FALSE),'Scratch Sheet'!$L$22:$M$30,2,FALSE),"")</f>
        <v>13200.000000000002</v>
      </c>
      <c r="N147" s="675">
        <v>492</v>
      </c>
      <c r="O147" s="675" t="str" cm="1">
        <f t="array" ref="O147">IF(OR(INDEX($B$24:$B$1023,N147)="P10",INDEX($B$24:$B$1023,N147)="P11",INDEX($B$24:$B$1023,N147)="P12",INDEX($B$24:$B$1023,N147)="P13"),"C",IF(OR(INDEX($B$24:$B$1023,N147)="P14",INDEX($B$24:$B$1023,N147)="P15",INDEX($B$24:$B$1023,N147)="P16"),"N","O"))&amp;IF(MOD(N147,100)&lt;20,1,IF(MOD(N147,100)&lt;70,2,3))</f>
        <v>C3</v>
      </c>
    </row>
    <row r="148" spans="1:15" ht="16.5" thickBot="1">
      <c r="A148" s="662">
        <v>125</v>
      </c>
      <c r="B148" s="661" t="str" cm="1">
        <f t="array" ref="B148">"P"&amp;INDEX(X!$CL$2:$CL$12,'Scratch Sheet'!H147+1)+9</f>
        <v>P17</v>
      </c>
      <c r="C148" s="661">
        <v>1</v>
      </c>
      <c r="D148" s="755">
        <f t="shared" si="4"/>
        <v>13200.000000000002</v>
      </c>
      <c r="E148" s="682" t="str">
        <f t="shared" si="5"/>
        <v>O2</v>
      </c>
      <c r="F148" s="683">
        <f t="shared" si="6"/>
        <v>12</v>
      </c>
      <c r="H148" s="13">
        <v>976</v>
      </c>
      <c r="I148" s="13">
        <f>VLOOKUP(VLOOKUP(H148,$A$24:$B$1023,2,FALSE),'Scratch Sheet'!$U$23:$X$32,3,FALSE)</f>
        <v>5</v>
      </c>
      <c r="K148" s="13">
        <f t="shared" si="7"/>
        <v>119</v>
      </c>
      <c r="L148" s="13">
        <f>IFERROR(VLOOKUP(VLOOKUP(K148,$A$24:$B$1023,2,FALSE),'Scratch Sheet'!$U$23:$Y$32,5,FALSE)*VLOOKUP(VLOOKUP(K148,$A$24:$E$1023,5,FALSE),'Scratch Sheet'!$L$22:$M$30,2,FALSE),"")</f>
        <v>5400</v>
      </c>
      <c r="N148" s="675">
        <v>495</v>
      </c>
      <c r="O148" s="675" t="str" cm="1">
        <f t="array" ref="O148">IF(OR(INDEX($B$24:$B$1023,N148)="P10",INDEX($B$24:$B$1023,N148)="P11",INDEX($B$24:$B$1023,N148)="P12",INDEX($B$24:$B$1023,N148)="P13"),"C",IF(OR(INDEX($B$24:$B$1023,N148)="P14",INDEX($B$24:$B$1023,N148)="P15",INDEX($B$24:$B$1023,N148)="P16"),"N","O"))&amp;IF(MOD(N148,100)&lt;20,1,IF(MOD(N148,100)&lt;70,2,3))</f>
        <v>C3</v>
      </c>
    </row>
    <row r="149" spans="1:15" ht="16.5" thickBot="1">
      <c r="A149" s="662">
        <v>126</v>
      </c>
      <c r="B149" s="661" t="str" cm="1">
        <f t="array" ref="B149">"P"&amp;INDEX(X!$CL$2:$CL$12,'Scratch Sheet'!H148+1)+9</f>
        <v>P13</v>
      </c>
      <c r="C149" s="661">
        <v>1</v>
      </c>
      <c r="D149" s="755">
        <f t="shared" si="4"/>
        <v>4500</v>
      </c>
      <c r="E149" s="682" t="str">
        <f t="shared" si="5"/>
        <v>C2</v>
      </c>
      <c r="F149" s="683">
        <f t="shared" si="6"/>
        <v>5</v>
      </c>
      <c r="H149" s="13">
        <v>590</v>
      </c>
      <c r="I149" s="13">
        <f>VLOOKUP(VLOOKUP(H149,$A$24:$B$1023,2,FALSE),'Scratch Sheet'!$U$23:$X$32,3,FALSE)</f>
        <v>3</v>
      </c>
      <c r="K149" s="13">
        <f t="shared" si="7"/>
        <v>117</v>
      </c>
      <c r="L149" s="13">
        <f>IFERROR(VLOOKUP(VLOOKUP(K149,$A$24:$B$1023,2,FALSE),'Scratch Sheet'!$U$23:$Y$32,5,FALSE)*VLOOKUP(VLOOKUP(K149,$A$24:$E$1023,5,FALSE),'Scratch Sheet'!$L$22:$M$30,2,FALSE),"")</f>
        <v>10080</v>
      </c>
      <c r="N149" s="675">
        <v>504</v>
      </c>
      <c r="O149" s="675" t="str" cm="1">
        <f t="array" ref="O149">IF(OR(INDEX($B$24:$B$1023,N149)="P10",INDEX($B$24:$B$1023,N149)="P11",INDEX($B$24:$B$1023,N149)="P12",INDEX($B$24:$B$1023,N149)="P13"),"C",IF(OR(INDEX($B$24:$B$1023,N149)="P14",INDEX($B$24:$B$1023,N149)="P15",INDEX($B$24:$B$1023,N149)="P16"),"N","O"))&amp;IF(MOD(N149,100)&lt;20,1,IF(MOD(N149,100)&lt;70,2,3))</f>
        <v>C1</v>
      </c>
    </row>
    <row r="150" spans="1:15" ht="16.5" thickBot="1">
      <c r="A150" s="662">
        <v>127</v>
      </c>
      <c r="B150" s="661" t="str" cm="1">
        <f t="array" ref="B150">"P"&amp;INDEX(X!$CL$2:$CL$12,'Scratch Sheet'!H149+1)+9</f>
        <v>P11</v>
      </c>
      <c r="C150" s="661">
        <v>1</v>
      </c>
      <c r="D150" s="755">
        <f t="shared" si="4"/>
        <v>11000</v>
      </c>
      <c r="E150" s="682" t="str">
        <f t="shared" si="5"/>
        <v>C2</v>
      </c>
      <c r="F150" s="683">
        <f t="shared" si="6"/>
        <v>11</v>
      </c>
      <c r="H150" s="13">
        <v>263</v>
      </c>
      <c r="I150" s="13">
        <f>VLOOKUP(VLOOKUP(H150,$A$24:$B$1023,2,FALSE),'Scratch Sheet'!$U$23:$X$32,3,FALSE)</f>
        <v>11</v>
      </c>
      <c r="K150" s="13">
        <f t="shared" si="7"/>
        <v>118</v>
      </c>
      <c r="L150" s="13">
        <f>IFERROR(VLOOKUP(VLOOKUP(K150,$A$24:$B$1023,2,FALSE),'Scratch Sheet'!$U$23:$Y$32,5,FALSE)*VLOOKUP(VLOOKUP(K150,$A$24:$E$1023,5,FALSE),'Scratch Sheet'!$L$22:$M$30,2,FALSE),"")</f>
        <v>2880</v>
      </c>
      <c r="N150" s="675">
        <v>505</v>
      </c>
      <c r="O150" s="675" t="str" cm="1">
        <f t="array" ref="O150">IF(OR(INDEX($B$24:$B$1023,N150)="P10",INDEX($B$24:$B$1023,N150)="P11",INDEX($B$24:$B$1023,N150)="P12",INDEX($B$24:$B$1023,N150)="P13"),"C",IF(OR(INDEX($B$24:$B$1023,N150)="P14",INDEX($B$24:$B$1023,N150)="P15",INDEX($B$24:$B$1023,N150)="P16"),"N","O"))&amp;IF(MOD(N150,100)&lt;20,1,IF(MOD(N150,100)&lt;70,2,3))</f>
        <v>C1</v>
      </c>
    </row>
    <row r="151" spans="1:15" ht="16.5" thickBot="1">
      <c r="A151" s="662">
        <v>128</v>
      </c>
      <c r="B151" s="661" t="str" cm="1">
        <f t="array" ref="B151">"P"&amp;INDEX(X!$CL$2:$CL$12,'Scratch Sheet'!H150+1)+9</f>
        <v>P11</v>
      </c>
      <c r="C151" s="661">
        <v>1</v>
      </c>
      <c r="D151" s="755">
        <f t="shared" si="4"/>
        <v>11000</v>
      </c>
      <c r="E151" s="682" t="str">
        <f t="shared" si="5"/>
        <v>C2</v>
      </c>
      <c r="F151" s="683">
        <f t="shared" si="6"/>
        <v>11</v>
      </c>
      <c r="H151" s="13">
        <v>850</v>
      </c>
      <c r="I151" s="13">
        <f>VLOOKUP(VLOOKUP(H151,$A$24:$B$1023,2,FALSE),'Scratch Sheet'!$U$23:$X$32,3,FALSE)</f>
        <v>5</v>
      </c>
      <c r="K151" s="13">
        <f t="shared" si="7"/>
        <v>116</v>
      </c>
      <c r="L151" s="13">
        <f>IFERROR(VLOOKUP(VLOOKUP(K151,$A$24:$B$1023,2,FALSE),'Scratch Sheet'!$U$23:$Y$32,5,FALSE)*VLOOKUP(VLOOKUP(K151,$A$24:$E$1023,5,FALSE),'Scratch Sheet'!$L$22:$M$30,2,FALSE),"")</f>
        <v>4860</v>
      </c>
      <c r="N151" s="675">
        <v>509</v>
      </c>
      <c r="O151" s="675" t="str" cm="1">
        <f t="array" ref="O151">IF(OR(INDEX($B$24:$B$1023,N151)="P10",INDEX($B$24:$B$1023,N151)="P11",INDEX($B$24:$B$1023,N151)="P12",INDEX($B$24:$B$1023,N151)="P13"),"C",IF(OR(INDEX($B$24:$B$1023,N151)="P14",INDEX($B$24:$B$1023,N151)="P15",INDEX($B$24:$B$1023,N151)="P16"),"N","O"))&amp;IF(MOD(N151,100)&lt;20,1,IF(MOD(N151,100)&lt;70,2,3))</f>
        <v>C1</v>
      </c>
    </row>
    <row r="152" spans="1:15" ht="16.5" thickBot="1">
      <c r="A152" s="662">
        <v>129</v>
      </c>
      <c r="B152" s="661" t="str" cm="1">
        <f t="array" ref="B152">"P"&amp;INDEX(X!$CL$2:$CL$12,'Scratch Sheet'!H151+1)+9</f>
        <v>P12</v>
      </c>
      <c r="C152" s="661">
        <v>1</v>
      </c>
      <c r="D152" s="755">
        <f t="shared" si="4"/>
        <v>6825</v>
      </c>
      <c r="E152" s="682" t="str">
        <f t="shared" si="5"/>
        <v>C2</v>
      </c>
      <c r="F152" s="683">
        <f t="shared" si="6"/>
        <v>6.5</v>
      </c>
      <c r="H152" s="13">
        <v>751</v>
      </c>
      <c r="I152" s="13">
        <f>VLOOKUP(VLOOKUP(H152,$A$24:$B$1023,2,FALSE),'Scratch Sheet'!$U$23:$X$32,3,FALSE)</f>
        <v>11</v>
      </c>
      <c r="K152" s="13">
        <f t="shared" si="7"/>
        <v>115</v>
      </c>
      <c r="L152" s="13">
        <f>IFERROR(VLOOKUP(VLOOKUP(K152,$A$24:$B$1023,2,FALSE),'Scratch Sheet'!$U$23:$Y$32,5,FALSE)*VLOOKUP(VLOOKUP(K152,$A$24:$E$1023,5,FALSE),'Scratch Sheet'!$L$22:$M$30,2,FALSE),"")</f>
        <v>13200</v>
      </c>
      <c r="N152" s="675">
        <v>512</v>
      </c>
      <c r="O152" s="675" t="str" cm="1">
        <f t="array" ref="O152">IF(OR(INDEX($B$24:$B$1023,N152)="P10",INDEX($B$24:$B$1023,N152)="P11",INDEX($B$24:$B$1023,N152)="P12",INDEX($B$24:$B$1023,N152)="P13"),"C",IF(OR(INDEX($B$24:$B$1023,N152)="P14",INDEX($B$24:$B$1023,N152)="P15",INDEX($B$24:$B$1023,N152)="P16"),"N","O"))&amp;IF(MOD(N152,100)&lt;20,1,IF(MOD(N152,100)&lt;70,2,3))</f>
        <v>C1</v>
      </c>
    </row>
    <row r="153" spans="1:15" ht="16.5" thickBot="1">
      <c r="A153" s="662">
        <v>130</v>
      </c>
      <c r="B153" s="661" t="str" cm="1">
        <f t="array" ref="B153">"P"&amp;INDEX(X!$CL$2:$CL$12,'Scratch Sheet'!H152+1)+9</f>
        <v>P10</v>
      </c>
      <c r="C153" s="661">
        <v>1</v>
      </c>
      <c r="D153" s="755">
        <f t="shared" ref="D153:D216" si="8">SUMIF($K$24:$K$1053, $A153, $L$24:$L$1053)</f>
        <v>2400</v>
      </c>
      <c r="E153" s="682" t="str">
        <f t="shared" ref="E153:E216" si="9">INDEX($O$24:$O$1023,MATCH($A153,$N$24:$N$1023,0))</f>
        <v>C2</v>
      </c>
      <c r="F153" s="683">
        <f t="shared" ref="F153:F216" si="10">VLOOKUP(A153, $H$24:$I$1023, 2, FALSE)</f>
        <v>3</v>
      </c>
      <c r="H153" s="13">
        <v>118</v>
      </c>
      <c r="I153" s="13">
        <f>VLOOKUP(VLOOKUP(H153,$A$24:$B$1023,2,FALSE),'Scratch Sheet'!$U$23:$X$32,3,FALSE)</f>
        <v>3</v>
      </c>
      <c r="K153" s="13">
        <f t="shared" si="7"/>
        <v>127</v>
      </c>
      <c r="L153" s="13">
        <f>IFERROR(VLOOKUP(VLOOKUP(K153,$A$24:$B$1023,2,FALSE),'Scratch Sheet'!$U$23:$Y$32,5,FALSE)*VLOOKUP(VLOOKUP(K153,$A$24:$E$1023,5,FALSE),'Scratch Sheet'!$L$22:$M$30,2,FALSE),"")</f>
        <v>11000</v>
      </c>
      <c r="N153" s="675">
        <v>521</v>
      </c>
      <c r="O153" s="675" t="str" cm="1">
        <f t="array" ref="O153">IF(OR(INDEX($B$24:$B$1023,N153)="P10",INDEX($B$24:$B$1023,N153)="P11",INDEX($B$24:$B$1023,N153)="P12",INDEX($B$24:$B$1023,N153)="P13"),"C",IF(OR(INDEX($B$24:$B$1023,N153)="P14",INDEX($B$24:$B$1023,N153)="P15",INDEX($B$24:$B$1023,N153)="P16"),"N","O"))&amp;IF(MOD(N153,100)&lt;20,1,IF(MOD(N153,100)&lt;70,2,3))</f>
        <v>C2</v>
      </c>
    </row>
    <row r="154" spans="1:15" ht="16.5" thickBot="1">
      <c r="A154" s="662">
        <v>131</v>
      </c>
      <c r="B154" s="661" t="str" cm="1">
        <f t="array" ref="B154">"P"&amp;INDEX(X!$CL$2:$CL$12,'Scratch Sheet'!H153+1)+9</f>
        <v>P10</v>
      </c>
      <c r="C154" s="661">
        <v>1</v>
      </c>
      <c r="D154" s="755">
        <f t="shared" si="8"/>
        <v>2400</v>
      </c>
      <c r="E154" s="682" t="str">
        <f t="shared" si="9"/>
        <v>C2</v>
      </c>
      <c r="F154" s="683">
        <f t="shared" si="10"/>
        <v>3</v>
      </c>
      <c r="H154" s="13">
        <v>509</v>
      </c>
      <c r="I154" s="13">
        <f>VLOOKUP(VLOOKUP(H154,$A$24:$B$1023,2,FALSE),'Scratch Sheet'!$U$23:$X$32,3,FALSE)</f>
        <v>3</v>
      </c>
      <c r="K154" s="13">
        <f t="shared" si="7"/>
        <v>136</v>
      </c>
      <c r="L154" s="13">
        <f>IFERROR(VLOOKUP(VLOOKUP(K154,$A$24:$B$1023,2,FALSE),'Scratch Sheet'!$U$23:$Y$32,5,FALSE)*VLOOKUP(VLOOKUP(K154,$A$24:$E$1023,5,FALSE),'Scratch Sheet'!$L$22:$M$30,2,FALSE),"")</f>
        <v>4500</v>
      </c>
      <c r="N154" s="675">
        <v>522</v>
      </c>
      <c r="O154" s="675" t="str" cm="1">
        <f t="array" ref="O154">IF(OR(INDEX($B$24:$B$1023,N154)="P10",INDEX($B$24:$B$1023,N154)="P11",INDEX($B$24:$B$1023,N154)="P12",INDEX($B$24:$B$1023,N154)="P13"),"C",IF(OR(INDEX($B$24:$B$1023,N154)="P14",INDEX($B$24:$B$1023,N154)="P15",INDEX($B$24:$B$1023,N154)="P16"),"N","O"))&amp;IF(MOD(N154,100)&lt;20,1,IF(MOD(N154,100)&lt;70,2,3))</f>
        <v>C2</v>
      </c>
    </row>
    <row r="155" spans="1:15" ht="16.5" thickBot="1">
      <c r="A155" s="662">
        <v>132</v>
      </c>
      <c r="B155" s="661" t="str" cm="1">
        <f t="array" ref="B155">"P"&amp;INDEX(X!$CL$2:$CL$12,'Scratch Sheet'!H154+1)+9</f>
        <v>P11</v>
      </c>
      <c r="C155" s="661">
        <v>1</v>
      </c>
      <c r="D155" s="755">
        <f t="shared" si="8"/>
        <v>11000</v>
      </c>
      <c r="E155" s="682" t="str">
        <f t="shared" si="9"/>
        <v>C2</v>
      </c>
      <c r="F155" s="683">
        <f t="shared" si="10"/>
        <v>11</v>
      </c>
      <c r="H155" s="13">
        <v>488</v>
      </c>
      <c r="I155" s="13">
        <f>VLOOKUP(VLOOKUP(H155,$A$24:$B$1023,2,FALSE),'Scratch Sheet'!$U$23:$X$32,3,FALSE)</f>
        <v>3</v>
      </c>
      <c r="K155" s="13">
        <f t="shared" si="7"/>
        <v>139</v>
      </c>
      <c r="L155" s="13">
        <f>IFERROR(VLOOKUP(VLOOKUP(K155,$A$24:$B$1023,2,FALSE),'Scratch Sheet'!$U$23:$Y$32,5,FALSE)*VLOOKUP(VLOOKUP(K155,$A$24:$E$1023,5,FALSE),'Scratch Sheet'!$L$22:$M$30,2,FALSE),"")</f>
        <v>11000</v>
      </c>
      <c r="N155" s="675">
        <v>526</v>
      </c>
      <c r="O155" s="675" t="str" cm="1">
        <f t="array" ref="O155">IF(OR(INDEX($B$24:$B$1023,N155)="P10",INDEX($B$24:$B$1023,N155)="P11",INDEX($B$24:$B$1023,N155)="P12",INDEX($B$24:$B$1023,N155)="P13"),"C",IF(OR(INDEX($B$24:$B$1023,N155)="P14",INDEX($B$24:$B$1023,N155)="P15",INDEX($B$24:$B$1023,N155)="P16"),"N","O"))&amp;IF(MOD(N155,100)&lt;20,1,IF(MOD(N155,100)&lt;70,2,3))</f>
        <v>C2</v>
      </c>
    </row>
    <row r="156" spans="1:15" ht="16.5" thickBot="1">
      <c r="A156" s="662">
        <v>133</v>
      </c>
      <c r="B156" s="661" t="str" cm="1">
        <f t="array" ref="B156">"P"&amp;INDEX(X!$CL$2:$CL$12,'Scratch Sheet'!H155+1)+9</f>
        <v>P18</v>
      </c>
      <c r="C156" s="661">
        <v>1</v>
      </c>
      <c r="D156" s="755">
        <f t="shared" si="8"/>
        <v>5940.0000000000009</v>
      </c>
      <c r="E156" s="682" t="str">
        <f t="shared" si="9"/>
        <v>O2</v>
      </c>
      <c r="F156" s="683">
        <f t="shared" si="10"/>
        <v>6</v>
      </c>
      <c r="H156" s="13">
        <v>297</v>
      </c>
      <c r="I156" s="13">
        <f>VLOOKUP(VLOOKUP(H156,$A$24:$B$1023,2,FALSE),'Scratch Sheet'!$U$23:$X$32,3,FALSE)</f>
        <v>11</v>
      </c>
      <c r="K156" s="13">
        <f t="shared" si="7"/>
        <v>138</v>
      </c>
      <c r="L156" s="13">
        <f>IFERROR(VLOOKUP(VLOOKUP(K156,$A$24:$B$1023,2,FALSE),'Scratch Sheet'!$U$23:$Y$32,5,FALSE)*VLOOKUP(VLOOKUP(K156,$A$24:$E$1023,5,FALSE),'Scratch Sheet'!$L$22:$M$30,2,FALSE),"")</f>
        <v>2400</v>
      </c>
      <c r="N156" s="675">
        <v>529</v>
      </c>
      <c r="O156" s="675" t="str" cm="1">
        <f t="array" ref="O156">IF(OR(INDEX($B$24:$B$1023,N156)="P10",INDEX($B$24:$B$1023,N156)="P11",INDEX($B$24:$B$1023,N156)="P12",INDEX($B$24:$B$1023,N156)="P13"),"C",IF(OR(INDEX($B$24:$B$1023,N156)="P14",INDEX($B$24:$B$1023,N156)="P15",INDEX($B$24:$B$1023,N156)="P16"),"N","O"))&amp;IF(MOD(N156,100)&lt;20,1,IF(MOD(N156,100)&lt;70,2,3))</f>
        <v>C2</v>
      </c>
    </row>
    <row r="157" spans="1:15" ht="16.5" thickBot="1">
      <c r="A157" s="662">
        <v>134</v>
      </c>
      <c r="B157" s="661" t="str" cm="1">
        <f t="array" ref="B157">"P"&amp;INDEX(X!$CL$2:$CL$12,'Scratch Sheet'!H156+1)+9</f>
        <v>P14</v>
      </c>
      <c r="C157" s="661">
        <v>1</v>
      </c>
      <c r="D157" s="755">
        <f t="shared" si="8"/>
        <v>6480</v>
      </c>
      <c r="E157" s="682" t="str">
        <f t="shared" si="9"/>
        <v>N2</v>
      </c>
      <c r="F157" s="683">
        <f t="shared" si="10"/>
        <v>8</v>
      </c>
      <c r="H157" s="13">
        <v>107</v>
      </c>
      <c r="I157" s="13">
        <f>VLOOKUP(VLOOKUP(H157,$A$24:$B$1023,2,FALSE),'Scratch Sheet'!$U$23:$X$32,3,FALSE)</f>
        <v>12</v>
      </c>
      <c r="K157" s="13">
        <f t="shared" si="7"/>
        <v>133</v>
      </c>
      <c r="L157" s="13">
        <f>IFERROR(VLOOKUP(VLOOKUP(K157,$A$24:$B$1023,2,FALSE),'Scratch Sheet'!$U$23:$Y$32,5,FALSE)*VLOOKUP(VLOOKUP(K157,$A$24:$E$1023,5,FALSE),'Scratch Sheet'!$L$22:$M$30,2,FALSE),"")</f>
        <v>5940.0000000000009</v>
      </c>
      <c r="N157" s="675">
        <v>538</v>
      </c>
      <c r="O157" s="675" t="str" cm="1">
        <f t="array" ref="O157">IF(OR(INDEX($B$24:$B$1023,N157)="P10",INDEX($B$24:$B$1023,N157)="P11",INDEX($B$24:$B$1023,N157)="P12",INDEX($B$24:$B$1023,N157)="P13"),"C",IF(OR(INDEX($B$24:$B$1023,N157)="P14",INDEX($B$24:$B$1023,N157)="P15",INDEX($B$24:$B$1023,N157)="P16"),"N","O"))&amp;IF(MOD(N157,100)&lt;20,1,IF(MOD(N157,100)&lt;70,2,3))</f>
        <v>C2</v>
      </c>
    </row>
    <row r="158" spans="1:15" ht="16.5" thickBot="1">
      <c r="A158" s="662">
        <v>135</v>
      </c>
      <c r="B158" s="661" t="str" cm="1">
        <f t="array" ref="B158">"P"&amp;INDEX(X!$CL$2:$CL$12,'Scratch Sheet'!H157+1)+9</f>
        <v>P10</v>
      </c>
      <c r="C158" s="661">
        <v>1</v>
      </c>
      <c r="D158" s="755">
        <f t="shared" si="8"/>
        <v>2400</v>
      </c>
      <c r="E158" s="682" t="str">
        <f t="shared" si="9"/>
        <v>C2</v>
      </c>
      <c r="F158" s="683">
        <f t="shared" si="10"/>
        <v>3</v>
      </c>
      <c r="H158" s="13">
        <v>201</v>
      </c>
      <c r="I158" s="13">
        <f>VLOOKUP(VLOOKUP(H158,$A$24:$B$1023,2,FALSE),'Scratch Sheet'!$U$23:$X$32,3,FALSE)</f>
        <v>6</v>
      </c>
      <c r="K158" s="13">
        <f t="shared" si="7"/>
        <v>135</v>
      </c>
      <c r="L158" s="13">
        <f>IFERROR(VLOOKUP(VLOOKUP(K158,$A$24:$B$1023,2,FALSE),'Scratch Sheet'!$U$23:$Y$32,5,FALSE)*VLOOKUP(VLOOKUP(K158,$A$24:$E$1023,5,FALSE),'Scratch Sheet'!$L$22:$M$30,2,FALSE),"")</f>
        <v>2400</v>
      </c>
      <c r="N158" s="675">
        <v>539</v>
      </c>
      <c r="O158" s="675" t="str" cm="1">
        <f t="array" ref="O158">IF(OR(INDEX($B$24:$B$1023,N158)="P10",INDEX($B$24:$B$1023,N158)="P11",INDEX($B$24:$B$1023,N158)="P12",INDEX($B$24:$B$1023,N158)="P13"),"C",IF(OR(INDEX($B$24:$B$1023,N158)="P14",INDEX($B$24:$B$1023,N158)="P15",INDEX($B$24:$B$1023,N158)="P16"),"N","O"))&amp;IF(MOD(N158,100)&lt;20,1,IF(MOD(N158,100)&lt;70,2,3))</f>
        <v>C2</v>
      </c>
    </row>
    <row r="159" spans="1:15" ht="16.5" thickBot="1">
      <c r="A159" s="662">
        <v>136</v>
      </c>
      <c r="B159" s="661" t="str" cm="1">
        <f t="array" ref="B159">"P"&amp;INDEX(X!$CL$2:$CL$12,'Scratch Sheet'!H158+1)+9</f>
        <v>P13</v>
      </c>
      <c r="C159" s="661">
        <v>1</v>
      </c>
      <c r="D159" s="755">
        <f t="shared" si="8"/>
        <v>4500</v>
      </c>
      <c r="E159" s="682" t="str">
        <f t="shared" si="9"/>
        <v>C2</v>
      </c>
      <c r="F159" s="683">
        <f t="shared" si="10"/>
        <v>5</v>
      </c>
      <c r="H159" s="13">
        <v>694</v>
      </c>
      <c r="I159" s="13">
        <f>VLOOKUP(VLOOKUP(H159,$A$24:$B$1023,2,FALSE),'Scratch Sheet'!$U$23:$X$32,3,FALSE)</f>
        <v>6</v>
      </c>
      <c r="K159" s="13">
        <f t="shared" si="7"/>
        <v>134</v>
      </c>
      <c r="L159" s="13">
        <f>IFERROR(VLOOKUP(VLOOKUP(K159,$A$24:$B$1023,2,FALSE),'Scratch Sheet'!$U$23:$Y$32,5,FALSE)*VLOOKUP(VLOOKUP(K159,$A$24:$E$1023,5,FALSE),'Scratch Sheet'!$L$22:$M$30,2,FALSE),"")</f>
        <v>6480</v>
      </c>
      <c r="N159" s="675">
        <v>543</v>
      </c>
      <c r="O159" s="675" t="str" cm="1">
        <f t="array" ref="O159">IF(OR(INDEX($B$24:$B$1023,N159)="P10",INDEX($B$24:$B$1023,N159)="P11",INDEX($B$24:$B$1023,N159)="P12",INDEX($B$24:$B$1023,N159)="P13"),"C",IF(OR(INDEX($B$24:$B$1023,N159)="P14",INDEX($B$24:$B$1023,N159)="P15",INDEX($B$24:$B$1023,N159)="P16"),"N","O"))&amp;IF(MOD(N159,100)&lt;20,1,IF(MOD(N159,100)&lt;70,2,3))</f>
        <v>C2</v>
      </c>
    </row>
    <row r="160" spans="1:15" ht="16.5" thickBot="1">
      <c r="A160" s="662">
        <v>137</v>
      </c>
      <c r="B160" s="661" t="str" cm="1">
        <f t="array" ref="B160">"P"&amp;INDEX(X!$CL$2:$CL$12,'Scratch Sheet'!H159+1)+9</f>
        <v>P13</v>
      </c>
      <c r="C160" s="661">
        <v>1</v>
      </c>
      <c r="D160" s="755">
        <f t="shared" si="8"/>
        <v>4500</v>
      </c>
      <c r="E160" s="682" t="str">
        <f t="shared" si="9"/>
        <v>C2</v>
      </c>
      <c r="F160" s="683">
        <f t="shared" si="10"/>
        <v>5</v>
      </c>
      <c r="H160" s="13">
        <v>746</v>
      </c>
      <c r="I160" s="13">
        <f>VLOOKUP(VLOOKUP(H160,$A$24:$B$1023,2,FALSE),'Scratch Sheet'!$U$23:$X$32,3,FALSE)</f>
        <v>8</v>
      </c>
      <c r="K160" s="13">
        <f t="shared" si="7"/>
        <v>137</v>
      </c>
      <c r="L160" s="13">
        <f>IFERROR(VLOOKUP(VLOOKUP(K160,$A$24:$B$1023,2,FALSE),'Scratch Sheet'!$U$23:$Y$32,5,FALSE)*VLOOKUP(VLOOKUP(K160,$A$24:$E$1023,5,FALSE),'Scratch Sheet'!$L$22:$M$30,2,FALSE),"")</f>
        <v>4500</v>
      </c>
      <c r="N160" s="675">
        <v>546</v>
      </c>
      <c r="O160" s="675" t="str" cm="1">
        <f t="array" ref="O160">IF(OR(INDEX($B$24:$B$1023,N160)="P10",INDEX($B$24:$B$1023,N160)="P11",INDEX($B$24:$B$1023,N160)="P12",INDEX($B$24:$B$1023,N160)="P13"),"C",IF(OR(INDEX($B$24:$B$1023,N160)="P14",INDEX($B$24:$B$1023,N160)="P15",INDEX($B$24:$B$1023,N160)="P16"),"N","O"))&amp;IF(MOD(N160,100)&lt;20,1,IF(MOD(N160,100)&lt;70,2,3))</f>
        <v>C2</v>
      </c>
    </row>
    <row r="161" spans="1:15" ht="16.5" thickBot="1">
      <c r="A161" s="662">
        <v>138</v>
      </c>
      <c r="B161" s="661" t="str" cm="1">
        <f t="array" ref="B161">"P"&amp;INDEX(X!$CL$2:$CL$12,'Scratch Sheet'!H160+1)+9</f>
        <v>P10</v>
      </c>
      <c r="C161" s="661">
        <v>1</v>
      </c>
      <c r="D161" s="755">
        <f t="shared" si="8"/>
        <v>4800</v>
      </c>
      <c r="E161" s="682" t="str">
        <f t="shared" si="9"/>
        <v>C2</v>
      </c>
      <c r="F161" s="683">
        <f t="shared" si="10"/>
        <v>3</v>
      </c>
      <c r="H161" s="13">
        <v>115</v>
      </c>
      <c r="I161" s="13">
        <f>VLOOKUP(VLOOKUP(H161,$A$24:$B$1023,2,FALSE),'Scratch Sheet'!$U$23:$X$32,3,FALSE)</f>
        <v>11</v>
      </c>
      <c r="K161" s="13">
        <f t="shared" si="7"/>
        <v>132</v>
      </c>
      <c r="L161" s="13">
        <f>IFERROR(VLOOKUP(VLOOKUP(K161,$A$24:$B$1023,2,FALSE),'Scratch Sheet'!$U$23:$Y$32,5,FALSE)*VLOOKUP(VLOOKUP(K161,$A$24:$E$1023,5,FALSE),'Scratch Sheet'!$L$22:$M$30,2,FALSE),"")</f>
        <v>11000</v>
      </c>
      <c r="N161" s="675">
        <v>555</v>
      </c>
      <c r="O161" s="675" t="str" cm="1">
        <f t="array" ref="O161">IF(OR(INDEX($B$24:$B$1023,N161)="P10",INDEX($B$24:$B$1023,N161)="P11",INDEX($B$24:$B$1023,N161)="P12",INDEX($B$24:$B$1023,N161)="P13"),"C",IF(OR(INDEX($B$24:$B$1023,N161)="P14",INDEX($B$24:$B$1023,N161)="P15",INDEX($B$24:$B$1023,N161)="P16"),"N","O"))&amp;IF(MOD(N161,100)&lt;20,1,IF(MOD(N161,100)&lt;70,2,3))</f>
        <v>C2</v>
      </c>
    </row>
    <row r="162" spans="1:15" ht="16.5" thickBot="1">
      <c r="A162" s="662">
        <v>139</v>
      </c>
      <c r="B162" s="661" t="str" cm="1">
        <f t="array" ref="B162">"P"&amp;INDEX(X!$CL$2:$CL$12,'Scratch Sheet'!H161+1)+9</f>
        <v>P11</v>
      </c>
      <c r="C162" s="661">
        <v>1</v>
      </c>
      <c r="D162" s="755">
        <f t="shared" si="8"/>
        <v>11000</v>
      </c>
      <c r="E162" s="682" t="str">
        <f t="shared" si="9"/>
        <v>C2</v>
      </c>
      <c r="F162" s="683">
        <f t="shared" si="10"/>
        <v>11</v>
      </c>
      <c r="H162" s="13">
        <v>485</v>
      </c>
      <c r="I162" s="13">
        <f>VLOOKUP(VLOOKUP(H162,$A$24:$B$1023,2,FALSE),'Scratch Sheet'!$U$23:$X$32,3,FALSE)</f>
        <v>11</v>
      </c>
      <c r="K162" s="13">
        <f t="shared" si="7"/>
        <v>130</v>
      </c>
      <c r="L162" s="13">
        <f>IFERROR(VLOOKUP(VLOOKUP(K162,$A$24:$B$1023,2,FALSE),'Scratch Sheet'!$U$23:$Y$32,5,FALSE)*VLOOKUP(VLOOKUP(K162,$A$24:$E$1023,5,FALSE),'Scratch Sheet'!$L$22:$M$30,2,FALSE),"")</f>
        <v>2400</v>
      </c>
      <c r="N162" s="675">
        <v>556</v>
      </c>
      <c r="O162" s="675" t="str" cm="1">
        <f t="array" ref="O162">IF(OR(INDEX($B$24:$B$1023,N162)="P10",INDEX($B$24:$B$1023,N162)="P11",INDEX($B$24:$B$1023,N162)="P12",INDEX($B$24:$B$1023,N162)="P13"),"C",IF(OR(INDEX($B$24:$B$1023,N162)="P14",INDEX($B$24:$B$1023,N162)="P15",INDEX($B$24:$B$1023,N162)="P16"),"N","O"))&amp;IF(MOD(N162,100)&lt;20,1,IF(MOD(N162,100)&lt;70,2,3))</f>
        <v>C2</v>
      </c>
    </row>
    <row r="163" spans="1:15" ht="16.5" thickBot="1">
      <c r="A163" s="662">
        <v>140</v>
      </c>
      <c r="B163" s="661" t="str" cm="1">
        <f t="array" ref="B163">"P"&amp;INDEX(X!$CL$2:$CL$12,'Scratch Sheet'!H162+1)+9</f>
        <v>P16</v>
      </c>
      <c r="C163" s="661">
        <v>1</v>
      </c>
      <c r="D163" s="755">
        <f t="shared" si="8"/>
        <v>4680</v>
      </c>
      <c r="E163" s="682" t="str">
        <f t="shared" si="9"/>
        <v>N2</v>
      </c>
      <c r="F163" s="683">
        <f t="shared" si="10"/>
        <v>4</v>
      </c>
      <c r="H163" s="13">
        <v>899</v>
      </c>
      <c r="I163" s="13">
        <f>VLOOKUP(VLOOKUP(H163,$A$24:$B$1023,2,FALSE),'Scratch Sheet'!$U$23:$X$32,3,FALSE)</f>
        <v>8</v>
      </c>
      <c r="K163" s="13">
        <f t="shared" si="7"/>
        <v>131</v>
      </c>
      <c r="L163" s="13">
        <f>IFERROR(VLOOKUP(VLOOKUP(K163,$A$24:$B$1023,2,FALSE),'Scratch Sheet'!$U$23:$Y$32,5,FALSE)*VLOOKUP(VLOOKUP(K163,$A$24:$E$1023,5,FALSE),'Scratch Sheet'!$L$22:$M$30,2,FALSE),"")</f>
        <v>2400</v>
      </c>
      <c r="N163" s="675">
        <v>560</v>
      </c>
      <c r="O163" s="675" t="str" cm="1">
        <f t="array" ref="O163">IF(OR(INDEX($B$24:$B$1023,N163)="P10",INDEX($B$24:$B$1023,N163)="P11",INDEX($B$24:$B$1023,N163)="P12",INDEX($B$24:$B$1023,N163)="P13"),"C",IF(OR(INDEX($B$24:$B$1023,N163)="P14",INDEX($B$24:$B$1023,N163)="P15",INDEX($B$24:$B$1023,N163)="P16"),"N","O"))&amp;IF(MOD(N163,100)&lt;20,1,IF(MOD(N163,100)&lt;70,2,3))</f>
        <v>C2</v>
      </c>
    </row>
    <row r="164" spans="1:15" ht="16.5" thickBot="1">
      <c r="A164" s="662">
        <v>141</v>
      </c>
      <c r="B164" s="661" t="str" cm="1">
        <f t="array" ref="B164">"P"&amp;INDEX(X!$CL$2:$CL$12,'Scratch Sheet'!H163+1)+9</f>
        <v>P17</v>
      </c>
      <c r="C164" s="661">
        <v>1</v>
      </c>
      <c r="D164" s="755">
        <f t="shared" si="8"/>
        <v>13200.000000000002</v>
      </c>
      <c r="E164" s="682" t="str">
        <f t="shared" si="9"/>
        <v>O2</v>
      </c>
      <c r="F164" s="683">
        <f t="shared" si="10"/>
        <v>12</v>
      </c>
      <c r="H164" s="13">
        <v>466</v>
      </c>
      <c r="I164" s="13">
        <f>VLOOKUP(VLOOKUP(H164,$A$24:$B$1023,2,FALSE),'Scratch Sheet'!$U$23:$X$32,3,FALSE)</f>
        <v>5</v>
      </c>
      <c r="K164" s="13">
        <f t="shared" si="7"/>
        <v>129</v>
      </c>
      <c r="L164" s="13">
        <f>IFERROR(VLOOKUP(VLOOKUP(K164,$A$24:$B$1023,2,FALSE),'Scratch Sheet'!$U$23:$Y$32,5,FALSE)*VLOOKUP(VLOOKUP(K164,$A$24:$E$1023,5,FALSE),'Scratch Sheet'!$L$22:$M$30,2,FALSE),"")</f>
        <v>6825</v>
      </c>
      <c r="N164" s="675">
        <v>563</v>
      </c>
      <c r="O164" s="675" t="str" cm="1">
        <f t="array" ref="O164">IF(OR(INDEX($B$24:$B$1023,N164)="P10",INDEX($B$24:$B$1023,N164)="P11",INDEX($B$24:$B$1023,N164)="P12",INDEX($B$24:$B$1023,N164)="P13"),"C",IF(OR(INDEX($B$24:$B$1023,N164)="P14",INDEX($B$24:$B$1023,N164)="P15",INDEX($B$24:$B$1023,N164)="P16"),"N","O"))&amp;IF(MOD(N164,100)&lt;20,1,IF(MOD(N164,100)&lt;70,2,3))</f>
        <v>C2</v>
      </c>
    </row>
    <row r="165" spans="1:15" ht="16.5" thickBot="1">
      <c r="A165" s="662">
        <v>142</v>
      </c>
      <c r="B165" s="661" t="str" cm="1">
        <f t="array" ref="B165">"P"&amp;INDEX(X!$CL$2:$CL$12,'Scratch Sheet'!H164+1)+9</f>
        <v>P17</v>
      </c>
      <c r="C165" s="661">
        <v>1</v>
      </c>
      <c r="D165" s="755">
        <f t="shared" si="8"/>
        <v>13200.000000000002</v>
      </c>
      <c r="E165" s="682" t="str">
        <f t="shared" si="9"/>
        <v>O2</v>
      </c>
      <c r="F165" s="683">
        <f t="shared" si="10"/>
        <v>12</v>
      </c>
      <c r="H165" s="13">
        <v>223</v>
      </c>
      <c r="I165" s="13">
        <f>VLOOKUP(VLOOKUP(H165,$A$24:$B$1023,2,FALSE),'Scratch Sheet'!$U$23:$X$32,3,FALSE)</f>
        <v>3</v>
      </c>
      <c r="K165" s="13">
        <f t="shared" si="7"/>
        <v>128</v>
      </c>
      <c r="L165" s="13">
        <f>IFERROR(VLOOKUP(VLOOKUP(K165,$A$24:$B$1023,2,FALSE),'Scratch Sheet'!$U$23:$Y$32,5,FALSE)*VLOOKUP(VLOOKUP(K165,$A$24:$E$1023,5,FALSE),'Scratch Sheet'!$L$22:$M$30,2,FALSE),"")</f>
        <v>11000</v>
      </c>
      <c r="N165" s="675">
        <v>572</v>
      </c>
      <c r="O165" s="675" t="str" cm="1">
        <f t="array" ref="O165">IF(OR(INDEX($B$24:$B$1023,N165)="P10",INDEX($B$24:$B$1023,N165)="P11",INDEX($B$24:$B$1023,N165)="P12",INDEX($B$24:$B$1023,N165)="P13"),"C",IF(OR(INDEX($B$24:$B$1023,N165)="P14",INDEX($B$24:$B$1023,N165)="P15",INDEX($B$24:$B$1023,N165)="P16"),"N","O"))&amp;IF(MOD(N165,100)&lt;20,1,IF(MOD(N165,100)&lt;70,2,3))</f>
        <v>C3</v>
      </c>
    </row>
    <row r="166" spans="1:15" ht="16.5" thickBot="1">
      <c r="A166" s="662">
        <v>143</v>
      </c>
      <c r="B166" s="661" t="str" cm="1">
        <f t="array" ref="B166">"P"&amp;INDEX(X!$CL$2:$CL$12,'Scratch Sheet'!H165+1)+9</f>
        <v>P13</v>
      </c>
      <c r="C166" s="661">
        <v>1</v>
      </c>
      <c r="D166" s="755">
        <f t="shared" si="8"/>
        <v>4500</v>
      </c>
      <c r="E166" s="682" t="str">
        <f t="shared" si="9"/>
        <v>C2</v>
      </c>
      <c r="F166" s="683">
        <f t="shared" si="10"/>
        <v>5</v>
      </c>
      <c r="H166" s="13">
        <v>776</v>
      </c>
      <c r="I166" s="13">
        <f>VLOOKUP(VLOOKUP(H166,$A$24:$B$1023,2,FALSE),'Scratch Sheet'!$U$23:$X$32,3,FALSE)</f>
        <v>3</v>
      </c>
      <c r="K166" s="13">
        <f t="shared" si="7"/>
        <v>147</v>
      </c>
      <c r="L166" s="13">
        <f>IFERROR(VLOOKUP(VLOOKUP(K166,$A$24:$B$1023,2,FALSE),'Scratch Sheet'!$U$23:$Y$32,5,FALSE)*VLOOKUP(VLOOKUP(K166,$A$24:$E$1023,5,FALSE),'Scratch Sheet'!$L$22:$M$30,2,FALSE),"")</f>
        <v>2400</v>
      </c>
      <c r="N166" s="675">
        <v>573</v>
      </c>
      <c r="O166" s="675" t="str" cm="1">
        <f t="array" ref="O166">IF(OR(INDEX($B$24:$B$1023,N166)="P10",INDEX($B$24:$B$1023,N166)="P11",INDEX($B$24:$B$1023,N166)="P12",INDEX($B$24:$B$1023,N166)="P13"),"C",IF(OR(INDEX($B$24:$B$1023,N166)="P14",INDEX($B$24:$B$1023,N166)="P15",INDEX($B$24:$B$1023,N166)="P16"),"N","O"))&amp;IF(MOD(N166,100)&lt;20,1,IF(MOD(N166,100)&lt;70,2,3))</f>
        <v>C3</v>
      </c>
    </row>
    <row r="167" spans="1:15" ht="16.5" thickBot="1">
      <c r="A167" s="662">
        <v>144</v>
      </c>
      <c r="B167" s="661" t="str" cm="1">
        <f t="array" ref="B167">"P"&amp;INDEX(X!$CL$2:$CL$12,'Scratch Sheet'!H166+1)+9</f>
        <v>P11</v>
      </c>
      <c r="C167" s="661">
        <v>1</v>
      </c>
      <c r="D167" s="755">
        <f t="shared" si="8"/>
        <v>11000</v>
      </c>
      <c r="E167" s="682" t="str">
        <f t="shared" si="9"/>
        <v>C2</v>
      </c>
      <c r="F167" s="683">
        <f t="shared" si="10"/>
        <v>11</v>
      </c>
      <c r="H167" s="13">
        <v>841</v>
      </c>
      <c r="I167" s="13">
        <f>VLOOKUP(VLOOKUP(H167,$A$24:$B$1023,2,FALSE),'Scratch Sheet'!$U$23:$X$32,3,FALSE)</f>
        <v>11</v>
      </c>
      <c r="K167" s="13">
        <f t="shared" si="7"/>
        <v>150</v>
      </c>
      <c r="L167" s="13">
        <f>IFERROR(VLOOKUP(VLOOKUP(K167,$A$24:$B$1023,2,FALSE),'Scratch Sheet'!$U$23:$Y$32,5,FALSE)*VLOOKUP(VLOOKUP(K167,$A$24:$E$1023,5,FALSE),'Scratch Sheet'!$L$22:$M$30,2,FALSE),"")</f>
        <v>5940.0000000000009</v>
      </c>
      <c r="N167" s="675">
        <v>577</v>
      </c>
      <c r="O167" s="675" t="str" cm="1">
        <f t="array" ref="O167">IF(OR(INDEX($B$24:$B$1023,N167)="P10",INDEX($B$24:$B$1023,N167)="P11",INDEX($B$24:$B$1023,N167)="P12",INDEX($B$24:$B$1023,N167)="P13"),"C",IF(OR(INDEX($B$24:$B$1023,N167)="P14",INDEX($B$24:$B$1023,N167)="P15",INDEX($B$24:$B$1023,N167)="P16"),"N","O"))&amp;IF(MOD(N167,100)&lt;20,1,IF(MOD(N167,100)&lt;70,2,3))</f>
        <v>C3</v>
      </c>
    </row>
    <row r="168" spans="1:15" ht="16.5" thickBot="1">
      <c r="A168" s="662">
        <v>145</v>
      </c>
      <c r="B168" s="661" t="str" cm="1">
        <f t="array" ref="B168">"P"&amp;INDEX(X!$CL$2:$CL$12,'Scratch Sheet'!H167+1)+9</f>
        <v>P11</v>
      </c>
      <c r="C168" s="661">
        <v>1</v>
      </c>
      <c r="D168" s="755">
        <f t="shared" si="8"/>
        <v>11000</v>
      </c>
      <c r="E168" s="682" t="str">
        <f t="shared" si="9"/>
        <v>C2</v>
      </c>
      <c r="F168" s="683">
        <f t="shared" si="10"/>
        <v>11</v>
      </c>
      <c r="H168" s="13">
        <v>326</v>
      </c>
      <c r="I168" s="13">
        <f>VLOOKUP(VLOOKUP(H168,$A$24:$B$1023,2,FALSE),'Scratch Sheet'!$U$23:$X$32,3,FALSE)</f>
        <v>11</v>
      </c>
      <c r="K168" s="13">
        <f t="shared" si="7"/>
        <v>149</v>
      </c>
      <c r="L168" s="13">
        <f>IFERROR(VLOOKUP(VLOOKUP(K168,$A$24:$B$1023,2,FALSE),'Scratch Sheet'!$U$23:$Y$32,5,FALSE)*VLOOKUP(VLOOKUP(K168,$A$24:$E$1023,5,FALSE),'Scratch Sheet'!$L$22:$M$30,2,FALSE),"")</f>
        <v>11000</v>
      </c>
      <c r="N168" s="675">
        <v>580</v>
      </c>
      <c r="O168" s="675" t="str" cm="1">
        <f t="array" ref="O168">IF(OR(INDEX($B$24:$B$1023,N168)="P10",INDEX($B$24:$B$1023,N168)="P11",INDEX($B$24:$B$1023,N168)="P12",INDEX($B$24:$B$1023,N168)="P13"),"C",IF(OR(INDEX($B$24:$B$1023,N168)="P14",INDEX($B$24:$B$1023,N168)="P15",INDEX($B$24:$B$1023,N168)="P16"),"N","O"))&amp;IF(MOD(N168,100)&lt;20,1,IF(MOD(N168,100)&lt;70,2,3))</f>
        <v>C3</v>
      </c>
    </row>
    <row r="169" spans="1:15" ht="16.5" thickBot="1">
      <c r="A169" s="662">
        <v>146</v>
      </c>
      <c r="B169" s="661" t="str" cm="1">
        <f t="array" ref="B169">"P"&amp;INDEX(X!$CL$2:$CL$12,'Scratch Sheet'!H168+1)+9</f>
        <v>P12</v>
      </c>
      <c r="C169" s="661">
        <v>1</v>
      </c>
      <c r="D169" s="755">
        <f t="shared" si="8"/>
        <v>6825</v>
      </c>
      <c r="E169" s="682" t="str">
        <f t="shared" si="9"/>
        <v>C2</v>
      </c>
      <c r="F169" s="683">
        <f t="shared" si="10"/>
        <v>6.5</v>
      </c>
      <c r="H169" s="13">
        <v>785</v>
      </c>
      <c r="I169" s="13">
        <f>VLOOKUP(VLOOKUP(H169,$A$24:$B$1023,2,FALSE),'Scratch Sheet'!$U$23:$X$32,3,FALSE)</f>
        <v>11</v>
      </c>
      <c r="K169" s="13">
        <f t="shared" si="7"/>
        <v>144</v>
      </c>
      <c r="L169" s="13">
        <f>IFERROR(VLOOKUP(VLOOKUP(K169,$A$24:$B$1023,2,FALSE),'Scratch Sheet'!$U$23:$Y$32,5,FALSE)*VLOOKUP(VLOOKUP(K169,$A$24:$E$1023,5,FALSE),'Scratch Sheet'!$L$22:$M$30,2,FALSE),"")</f>
        <v>11000</v>
      </c>
      <c r="N169" s="675">
        <v>589</v>
      </c>
      <c r="O169" s="675" t="str" cm="1">
        <f t="array" ref="O169">IF(OR(INDEX($B$24:$B$1023,N169)="P10",INDEX($B$24:$B$1023,N169)="P11",INDEX($B$24:$B$1023,N169)="P12",INDEX($B$24:$B$1023,N169)="P13"),"C",IF(OR(INDEX($B$24:$B$1023,N169)="P14",INDEX($B$24:$B$1023,N169)="P15",INDEX($B$24:$B$1023,N169)="P16"),"N","O"))&amp;IF(MOD(N169,100)&lt;20,1,IF(MOD(N169,100)&lt;70,2,3))</f>
        <v>C3</v>
      </c>
    </row>
    <row r="170" spans="1:15" ht="16.5" thickBot="1">
      <c r="A170" s="662">
        <v>147</v>
      </c>
      <c r="B170" s="661" t="str" cm="1">
        <f t="array" ref="B170">"P"&amp;INDEX(X!$CL$2:$CL$12,'Scratch Sheet'!H169+1)+9</f>
        <v>P10</v>
      </c>
      <c r="C170" s="661">
        <v>1</v>
      </c>
      <c r="D170" s="755">
        <f t="shared" si="8"/>
        <v>2400</v>
      </c>
      <c r="E170" s="682" t="str">
        <f t="shared" si="9"/>
        <v>C2</v>
      </c>
      <c r="F170" s="683">
        <f t="shared" si="10"/>
        <v>3</v>
      </c>
      <c r="H170" s="13">
        <v>716</v>
      </c>
      <c r="I170" s="13">
        <f>VLOOKUP(VLOOKUP(H170,$A$24:$B$1023,2,FALSE),'Scratch Sheet'!$U$23:$X$32,3,FALSE)</f>
        <v>3</v>
      </c>
      <c r="K170" s="13">
        <f t="shared" si="7"/>
        <v>146</v>
      </c>
      <c r="L170" s="13">
        <f>IFERROR(VLOOKUP(VLOOKUP(K170,$A$24:$B$1023,2,FALSE),'Scratch Sheet'!$U$23:$Y$32,5,FALSE)*VLOOKUP(VLOOKUP(K170,$A$24:$E$1023,5,FALSE),'Scratch Sheet'!$L$22:$M$30,2,FALSE),"")</f>
        <v>6825</v>
      </c>
      <c r="N170" s="675">
        <v>590</v>
      </c>
      <c r="O170" s="675" t="str" cm="1">
        <f t="array" ref="O170">IF(OR(INDEX($B$24:$B$1023,N170)="P10",INDEX($B$24:$B$1023,N170)="P11",INDEX($B$24:$B$1023,N170)="P12",INDEX($B$24:$B$1023,N170)="P13"),"C",IF(OR(INDEX($B$24:$B$1023,N170)="P14",INDEX($B$24:$B$1023,N170)="P15",INDEX($B$24:$B$1023,N170)="P16"),"N","O"))&amp;IF(MOD(N170,100)&lt;20,1,IF(MOD(N170,100)&lt;70,2,3))</f>
        <v>C3</v>
      </c>
    </row>
    <row r="171" spans="1:15" ht="16.5" thickBot="1">
      <c r="A171" s="662">
        <v>148</v>
      </c>
      <c r="B171" s="661" t="str" cm="1">
        <f t="array" ref="B171">"P"&amp;INDEX(X!$CL$2:$CL$12,'Scratch Sheet'!H170+1)+9</f>
        <v>P10</v>
      </c>
      <c r="C171" s="661">
        <v>1</v>
      </c>
      <c r="D171" s="755">
        <f t="shared" si="8"/>
        <v>2400</v>
      </c>
      <c r="E171" s="682" t="str">
        <f t="shared" si="9"/>
        <v>C2</v>
      </c>
      <c r="F171" s="683">
        <f t="shared" si="10"/>
        <v>3</v>
      </c>
      <c r="H171" s="13">
        <v>574</v>
      </c>
      <c r="I171" s="13">
        <f>VLOOKUP(VLOOKUP(H171,$A$24:$B$1023,2,FALSE),'Scratch Sheet'!$U$23:$X$32,3,FALSE)</f>
        <v>11</v>
      </c>
      <c r="K171" s="13">
        <f t="shared" si="7"/>
        <v>145</v>
      </c>
      <c r="L171" s="13">
        <f>IFERROR(VLOOKUP(VLOOKUP(K171,$A$24:$B$1023,2,FALSE),'Scratch Sheet'!$U$23:$Y$32,5,FALSE)*VLOOKUP(VLOOKUP(K171,$A$24:$E$1023,5,FALSE),'Scratch Sheet'!$L$22:$M$30,2,FALSE),"")</f>
        <v>11000</v>
      </c>
      <c r="N171" s="675">
        <v>594</v>
      </c>
      <c r="O171" s="675" t="str" cm="1">
        <f t="array" ref="O171">IF(OR(INDEX($B$24:$B$1023,N171)="P10",INDEX($B$24:$B$1023,N171)="P11",INDEX($B$24:$B$1023,N171)="P12",INDEX($B$24:$B$1023,N171)="P13"),"C",IF(OR(INDEX($B$24:$B$1023,N171)="P14",INDEX($B$24:$B$1023,N171)="P15",INDEX($B$24:$B$1023,N171)="P16"),"N","O"))&amp;IF(MOD(N171,100)&lt;20,1,IF(MOD(N171,100)&lt;70,2,3))</f>
        <v>C3</v>
      </c>
    </row>
    <row r="172" spans="1:15" ht="16.5" thickBot="1">
      <c r="A172" s="662">
        <v>149</v>
      </c>
      <c r="B172" s="661" t="str" cm="1">
        <f t="array" ref="B172">"P"&amp;INDEX(X!$CL$2:$CL$12,'Scratch Sheet'!H171+1)+9</f>
        <v>P11</v>
      </c>
      <c r="C172" s="661">
        <v>1</v>
      </c>
      <c r="D172" s="755">
        <f t="shared" si="8"/>
        <v>11000</v>
      </c>
      <c r="E172" s="682" t="str">
        <f t="shared" si="9"/>
        <v>C2</v>
      </c>
      <c r="F172" s="683">
        <f t="shared" si="10"/>
        <v>11</v>
      </c>
      <c r="H172" s="13">
        <v>24</v>
      </c>
      <c r="I172" s="13">
        <f>VLOOKUP(VLOOKUP(H172,$A$24:$B$1023,2,FALSE),'Scratch Sheet'!$U$23:$X$32,3,FALSE)</f>
        <v>6.5</v>
      </c>
      <c r="K172" s="13">
        <f t="shared" si="7"/>
        <v>148</v>
      </c>
      <c r="L172" s="13">
        <f>IFERROR(VLOOKUP(VLOOKUP(K172,$A$24:$B$1023,2,FALSE),'Scratch Sheet'!$U$23:$Y$32,5,FALSE)*VLOOKUP(VLOOKUP(K172,$A$24:$E$1023,5,FALSE),'Scratch Sheet'!$L$22:$M$30,2,FALSE),"")</f>
        <v>2400</v>
      </c>
      <c r="N172" s="675">
        <v>597</v>
      </c>
      <c r="O172" s="675" t="str" cm="1">
        <f t="array" ref="O172">IF(OR(INDEX($B$24:$B$1023,N172)="P10",INDEX($B$24:$B$1023,N172)="P11",INDEX($B$24:$B$1023,N172)="P12",INDEX($B$24:$B$1023,N172)="P13"),"C",IF(OR(INDEX($B$24:$B$1023,N172)="P14",INDEX($B$24:$B$1023,N172)="P15",INDEX($B$24:$B$1023,N172)="P16"),"N","O"))&amp;IF(MOD(N172,100)&lt;20,1,IF(MOD(N172,100)&lt;70,2,3))</f>
        <v>C3</v>
      </c>
    </row>
    <row r="173" spans="1:15" ht="16.5" thickBot="1">
      <c r="A173" s="662">
        <v>150</v>
      </c>
      <c r="B173" s="661" t="str" cm="1">
        <f t="array" ref="B173">"P"&amp;INDEX(X!$CL$2:$CL$12,'Scratch Sheet'!H172+1)+9</f>
        <v>P18</v>
      </c>
      <c r="C173" s="661">
        <v>1</v>
      </c>
      <c r="D173" s="755">
        <f t="shared" si="8"/>
        <v>5940.0000000000009</v>
      </c>
      <c r="E173" s="682" t="str">
        <f t="shared" si="9"/>
        <v>O2</v>
      </c>
      <c r="F173" s="683">
        <f t="shared" si="10"/>
        <v>6</v>
      </c>
      <c r="H173" s="13">
        <v>83</v>
      </c>
      <c r="I173" s="13">
        <f>VLOOKUP(VLOOKUP(H173,$A$24:$B$1023,2,FALSE),'Scratch Sheet'!$U$23:$X$32,3,FALSE)</f>
        <v>4</v>
      </c>
      <c r="K173" s="13">
        <f t="shared" si="7"/>
        <v>143</v>
      </c>
      <c r="L173" s="13">
        <f>IFERROR(VLOOKUP(VLOOKUP(K173,$A$24:$B$1023,2,FALSE),'Scratch Sheet'!$U$23:$Y$32,5,FALSE)*VLOOKUP(VLOOKUP(K173,$A$24:$E$1023,5,FALSE),'Scratch Sheet'!$L$22:$M$30,2,FALSE),"")</f>
        <v>4500</v>
      </c>
      <c r="N173" s="675">
        <v>606</v>
      </c>
      <c r="O173" s="675" t="str" cm="1">
        <f t="array" ref="O173">IF(OR(INDEX($B$24:$B$1023,N173)="P10",INDEX($B$24:$B$1023,N173)="P11",INDEX($B$24:$B$1023,N173)="P12",INDEX($B$24:$B$1023,N173)="P13"),"C",IF(OR(INDEX($B$24:$B$1023,N173)="P14",INDEX($B$24:$B$1023,N173)="P15",INDEX($B$24:$B$1023,N173)="P16"),"N","O"))&amp;IF(MOD(N173,100)&lt;20,1,IF(MOD(N173,100)&lt;70,2,3))</f>
        <v>C1</v>
      </c>
    </row>
    <row r="174" spans="1:15" ht="16.5" thickBot="1">
      <c r="A174" s="662">
        <v>151</v>
      </c>
      <c r="B174" s="661" t="str" cm="1">
        <f t="array" ref="B174">"P"&amp;INDEX(X!$CL$2:$CL$12,'Scratch Sheet'!H173+1)+9</f>
        <v>P14</v>
      </c>
      <c r="C174" s="661">
        <v>1</v>
      </c>
      <c r="D174" s="755">
        <f t="shared" si="8"/>
        <v>6480</v>
      </c>
      <c r="E174" s="682" t="str">
        <f t="shared" si="9"/>
        <v>N2</v>
      </c>
      <c r="F174" s="683">
        <f t="shared" si="10"/>
        <v>8</v>
      </c>
      <c r="H174" s="13">
        <v>686</v>
      </c>
      <c r="I174" s="13">
        <f>VLOOKUP(VLOOKUP(H174,$A$24:$B$1023,2,FALSE),'Scratch Sheet'!$U$23:$X$32,3,FALSE)</f>
        <v>12</v>
      </c>
      <c r="K174" s="13">
        <f t="shared" si="7"/>
        <v>141</v>
      </c>
      <c r="L174" s="13">
        <f>IFERROR(VLOOKUP(VLOOKUP(K174,$A$24:$B$1023,2,FALSE),'Scratch Sheet'!$U$23:$Y$32,5,FALSE)*VLOOKUP(VLOOKUP(K174,$A$24:$E$1023,5,FALSE),'Scratch Sheet'!$L$22:$M$30,2,FALSE),"")</f>
        <v>13200.000000000002</v>
      </c>
      <c r="N174" s="675">
        <v>607</v>
      </c>
      <c r="O174" s="675" t="str" cm="1">
        <f t="array" ref="O174">IF(OR(INDEX($B$24:$B$1023,N174)="P10",INDEX($B$24:$B$1023,N174)="P11",INDEX($B$24:$B$1023,N174)="P12",INDEX($B$24:$B$1023,N174)="P13"),"C",IF(OR(INDEX($B$24:$B$1023,N174)="P14",INDEX($B$24:$B$1023,N174)="P15",INDEX($B$24:$B$1023,N174)="P16"),"N","O"))&amp;IF(MOD(N174,100)&lt;20,1,IF(MOD(N174,100)&lt;70,2,3))</f>
        <v>C1</v>
      </c>
    </row>
    <row r="175" spans="1:15" ht="16.5" thickBot="1">
      <c r="A175" s="662">
        <v>152</v>
      </c>
      <c r="B175" s="661" t="str" cm="1">
        <f t="array" ref="B175">"P"&amp;INDEX(X!$CL$2:$CL$12,'Scratch Sheet'!H174+1)+9</f>
        <v>P10</v>
      </c>
      <c r="C175" s="661">
        <v>1</v>
      </c>
      <c r="D175" s="755">
        <f t="shared" si="8"/>
        <v>2400</v>
      </c>
      <c r="E175" s="682" t="str">
        <f t="shared" si="9"/>
        <v>C2</v>
      </c>
      <c r="F175" s="683">
        <f t="shared" si="10"/>
        <v>3</v>
      </c>
      <c r="H175" s="13">
        <v>558</v>
      </c>
      <c r="I175" s="13">
        <f>VLOOKUP(VLOOKUP(H175,$A$24:$B$1023,2,FALSE),'Scratch Sheet'!$U$23:$X$32,3,FALSE)</f>
        <v>6</v>
      </c>
      <c r="K175" s="13">
        <f t="shared" si="7"/>
        <v>142</v>
      </c>
      <c r="L175" s="13">
        <f>IFERROR(VLOOKUP(VLOOKUP(K175,$A$24:$B$1023,2,FALSE),'Scratch Sheet'!$U$23:$Y$32,5,FALSE)*VLOOKUP(VLOOKUP(K175,$A$24:$E$1023,5,FALSE),'Scratch Sheet'!$L$22:$M$30,2,FALSE),"")</f>
        <v>13200.000000000002</v>
      </c>
      <c r="N175" s="675">
        <v>611</v>
      </c>
      <c r="O175" s="675" t="str" cm="1">
        <f t="array" ref="O175">IF(OR(INDEX($B$24:$B$1023,N175)="P10",INDEX($B$24:$B$1023,N175)="P11",INDEX($B$24:$B$1023,N175)="P12",INDEX($B$24:$B$1023,N175)="P13"),"C",IF(OR(INDEX($B$24:$B$1023,N175)="P14",INDEX($B$24:$B$1023,N175)="P15",INDEX($B$24:$B$1023,N175)="P16"),"N","O"))&amp;IF(MOD(N175,100)&lt;20,1,IF(MOD(N175,100)&lt;70,2,3))</f>
        <v>C1</v>
      </c>
    </row>
    <row r="176" spans="1:15" ht="16.5" thickBot="1">
      <c r="A176" s="662">
        <v>153</v>
      </c>
      <c r="B176" s="661" t="str" cm="1">
        <f t="array" ref="B176">"P"&amp;INDEX(X!$CL$2:$CL$12,'Scratch Sheet'!H175+1)+9</f>
        <v>P13</v>
      </c>
      <c r="C176" s="661">
        <v>1</v>
      </c>
      <c r="D176" s="755">
        <f t="shared" si="8"/>
        <v>9000</v>
      </c>
      <c r="E176" s="682" t="str">
        <f t="shared" si="9"/>
        <v>C2</v>
      </c>
      <c r="F176" s="683">
        <f t="shared" si="10"/>
        <v>5</v>
      </c>
      <c r="H176" s="13">
        <v>193</v>
      </c>
      <c r="I176" s="13">
        <f>VLOOKUP(VLOOKUP(H176,$A$24:$B$1023,2,FALSE),'Scratch Sheet'!$U$23:$X$32,3,FALSE)</f>
        <v>12</v>
      </c>
      <c r="K176" s="13">
        <f t="shared" si="7"/>
        <v>140</v>
      </c>
      <c r="L176" s="13">
        <f>IFERROR(VLOOKUP(VLOOKUP(K176,$A$24:$B$1023,2,FALSE),'Scratch Sheet'!$U$23:$Y$32,5,FALSE)*VLOOKUP(VLOOKUP(K176,$A$24:$E$1023,5,FALSE),'Scratch Sheet'!$L$22:$M$30,2,FALSE),"")</f>
        <v>4680</v>
      </c>
      <c r="N176" s="675">
        <v>614</v>
      </c>
      <c r="O176" s="675" t="str" cm="1">
        <f t="array" ref="O176">IF(OR(INDEX($B$24:$B$1023,N176)="P10",INDEX($B$24:$B$1023,N176)="P11",INDEX($B$24:$B$1023,N176)="P12",INDEX($B$24:$B$1023,N176)="P13"),"C",IF(OR(INDEX($B$24:$B$1023,N176)="P14",INDEX($B$24:$B$1023,N176)="P15",INDEX($B$24:$B$1023,N176)="P16"),"N","O"))&amp;IF(MOD(N176,100)&lt;20,1,IF(MOD(N176,100)&lt;70,2,3))</f>
        <v>C1</v>
      </c>
    </row>
    <row r="177" spans="1:15" ht="16.5" thickBot="1">
      <c r="A177" s="662">
        <v>154</v>
      </c>
      <c r="B177" s="661" t="str" cm="1">
        <f t="array" ref="B177">"P"&amp;INDEX(X!$CL$2:$CL$12,'Scratch Sheet'!H176+1)+9</f>
        <v>P13</v>
      </c>
      <c r="C177" s="661">
        <v>1</v>
      </c>
      <c r="D177" s="755">
        <f t="shared" si="8"/>
        <v>4500</v>
      </c>
      <c r="E177" s="682" t="str">
        <f t="shared" si="9"/>
        <v>C2</v>
      </c>
      <c r="F177" s="683">
        <f t="shared" si="10"/>
        <v>5</v>
      </c>
      <c r="H177" s="13">
        <v>52</v>
      </c>
      <c r="I177" s="13">
        <f>VLOOKUP(VLOOKUP(H177,$A$24:$B$1023,2,FALSE),'Scratch Sheet'!$U$23:$X$32,3,FALSE)</f>
        <v>3</v>
      </c>
      <c r="K177" s="13">
        <f t="shared" si="7"/>
        <v>158</v>
      </c>
      <c r="L177" s="13">
        <f>IFERROR(VLOOKUP(VLOOKUP(K177,$A$24:$B$1023,2,FALSE),'Scratch Sheet'!$U$23:$Y$32,5,FALSE)*VLOOKUP(VLOOKUP(K177,$A$24:$E$1023,5,FALSE),'Scratch Sheet'!$L$22:$M$30,2,FALSE),"")</f>
        <v>13200.000000000002</v>
      </c>
      <c r="N177" s="675">
        <v>623</v>
      </c>
      <c r="O177" s="675" t="str" cm="1">
        <f t="array" ref="O177">IF(OR(INDEX($B$24:$B$1023,N177)="P10",INDEX($B$24:$B$1023,N177)="P11",INDEX($B$24:$B$1023,N177)="P12",INDEX($B$24:$B$1023,N177)="P13"),"C",IF(OR(INDEX($B$24:$B$1023,N177)="P14",INDEX($B$24:$B$1023,N177)="P15",INDEX($B$24:$B$1023,N177)="P16"),"N","O"))&amp;IF(MOD(N177,100)&lt;20,1,IF(MOD(N177,100)&lt;70,2,3))</f>
        <v>C2</v>
      </c>
    </row>
    <row r="178" spans="1:15" ht="16.5" thickBot="1">
      <c r="A178" s="662">
        <v>155</v>
      </c>
      <c r="B178" s="661" t="str" cm="1">
        <f t="array" ref="B178">"P"&amp;INDEX(X!$CL$2:$CL$12,'Scratch Sheet'!H177+1)+9</f>
        <v>P10</v>
      </c>
      <c r="C178" s="661">
        <v>1</v>
      </c>
      <c r="D178" s="755">
        <f t="shared" si="8"/>
        <v>2400</v>
      </c>
      <c r="E178" s="682" t="str">
        <f t="shared" si="9"/>
        <v>C2</v>
      </c>
      <c r="F178" s="683">
        <f t="shared" si="10"/>
        <v>3</v>
      </c>
      <c r="H178" s="13">
        <v>216</v>
      </c>
      <c r="I178" s="13">
        <f>VLOOKUP(VLOOKUP(H178,$A$24:$B$1023,2,FALSE),'Scratch Sheet'!$U$23:$X$32,3,FALSE)</f>
        <v>3</v>
      </c>
      <c r="K178" s="13">
        <f t="shared" si="7"/>
        <v>161</v>
      </c>
      <c r="L178" s="13">
        <f>IFERROR(VLOOKUP(VLOOKUP(K178,$A$24:$B$1023,2,FALSE),'Scratch Sheet'!$U$23:$Y$32,5,FALSE)*VLOOKUP(VLOOKUP(K178,$A$24:$E$1023,5,FALSE),'Scratch Sheet'!$L$22:$M$30,2,FALSE),"")</f>
        <v>11000</v>
      </c>
      <c r="N178" s="675">
        <v>624</v>
      </c>
      <c r="O178" s="675" t="str" cm="1">
        <f t="array" ref="O178">IF(OR(INDEX($B$24:$B$1023,N178)="P10",INDEX($B$24:$B$1023,N178)="P11",INDEX($B$24:$B$1023,N178)="P12",INDEX($B$24:$B$1023,N178)="P13"),"C",IF(OR(INDEX($B$24:$B$1023,N178)="P14",INDEX($B$24:$B$1023,N178)="P15",INDEX($B$24:$B$1023,N178)="P16"),"N","O"))&amp;IF(MOD(N178,100)&lt;20,1,IF(MOD(N178,100)&lt;70,2,3))</f>
        <v>C2</v>
      </c>
    </row>
    <row r="179" spans="1:15" ht="16.5" thickBot="1">
      <c r="A179" s="662">
        <v>156</v>
      </c>
      <c r="B179" s="661" t="str" cm="1">
        <f t="array" ref="B179">"P"&amp;INDEX(X!$CL$2:$CL$12,'Scratch Sheet'!H178+1)+9</f>
        <v>P11</v>
      </c>
      <c r="C179" s="661">
        <v>1</v>
      </c>
      <c r="D179" s="755">
        <f t="shared" si="8"/>
        <v>11000</v>
      </c>
      <c r="E179" s="682" t="str">
        <f t="shared" si="9"/>
        <v>C2</v>
      </c>
      <c r="F179" s="683">
        <f t="shared" si="10"/>
        <v>11</v>
      </c>
      <c r="H179" s="13">
        <v>397</v>
      </c>
      <c r="I179" s="13">
        <f>VLOOKUP(VLOOKUP(H179,$A$24:$B$1023,2,FALSE),'Scratch Sheet'!$U$23:$X$32,3,FALSE)</f>
        <v>12</v>
      </c>
      <c r="K179" s="13">
        <f t="shared" si="7"/>
        <v>160</v>
      </c>
      <c r="L179" s="13">
        <f>IFERROR(VLOOKUP(VLOOKUP(K179,$A$24:$B$1023,2,FALSE),'Scratch Sheet'!$U$23:$Y$32,5,FALSE)*VLOOKUP(VLOOKUP(K179,$A$24:$E$1023,5,FALSE),'Scratch Sheet'!$L$22:$M$30,2,FALSE),"")</f>
        <v>4500</v>
      </c>
      <c r="N179" s="675">
        <v>628</v>
      </c>
      <c r="O179" s="675" t="str" cm="1">
        <f t="array" ref="O179">IF(OR(INDEX($B$24:$B$1023,N179)="P10",INDEX($B$24:$B$1023,N179)="P11",INDEX($B$24:$B$1023,N179)="P12",INDEX($B$24:$B$1023,N179)="P13"),"C",IF(OR(INDEX($B$24:$B$1023,N179)="P14",INDEX($B$24:$B$1023,N179)="P15",INDEX($B$24:$B$1023,N179)="P16"),"N","O"))&amp;IF(MOD(N179,100)&lt;20,1,IF(MOD(N179,100)&lt;70,2,3))</f>
        <v>C2</v>
      </c>
    </row>
    <row r="180" spans="1:15" ht="16.5" thickBot="1">
      <c r="A180" s="662">
        <v>157</v>
      </c>
      <c r="B180" s="661" t="str" cm="1">
        <f t="array" ref="B180">"P"&amp;INDEX(X!$CL$2:$CL$12,'Scratch Sheet'!H179+1)+9</f>
        <v>P16</v>
      </c>
      <c r="C180" s="661">
        <v>1</v>
      </c>
      <c r="D180" s="755">
        <f t="shared" si="8"/>
        <v>4680</v>
      </c>
      <c r="E180" s="682" t="str">
        <f t="shared" si="9"/>
        <v>N2</v>
      </c>
      <c r="F180" s="683">
        <f t="shared" si="10"/>
        <v>4</v>
      </c>
      <c r="H180" s="13">
        <v>60</v>
      </c>
      <c r="I180" s="13">
        <f>VLOOKUP(VLOOKUP(H180,$A$24:$B$1023,2,FALSE),'Scratch Sheet'!$U$23:$X$32,3,FALSE)</f>
        <v>5</v>
      </c>
      <c r="K180" s="13">
        <f t="shared" si="7"/>
        <v>155</v>
      </c>
      <c r="L180" s="13">
        <f>IFERROR(VLOOKUP(VLOOKUP(K180,$A$24:$B$1023,2,FALSE),'Scratch Sheet'!$U$23:$Y$32,5,FALSE)*VLOOKUP(VLOOKUP(K180,$A$24:$E$1023,5,FALSE),'Scratch Sheet'!$L$22:$M$30,2,FALSE),"")</f>
        <v>2400</v>
      </c>
      <c r="N180" s="675">
        <v>631</v>
      </c>
      <c r="O180" s="675" t="str" cm="1">
        <f t="array" ref="O180">IF(OR(INDEX($B$24:$B$1023,N180)="P10",INDEX($B$24:$B$1023,N180)="P11",INDEX($B$24:$B$1023,N180)="P12",INDEX($B$24:$B$1023,N180)="P13"),"C",IF(OR(INDEX($B$24:$B$1023,N180)="P14",INDEX($B$24:$B$1023,N180)="P15",INDEX($B$24:$B$1023,N180)="P16"),"N","O"))&amp;IF(MOD(N180,100)&lt;20,1,IF(MOD(N180,100)&lt;70,2,3))</f>
        <v>C2</v>
      </c>
    </row>
    <row r="181" spans="1:15" ht="16.5" thickBot="1">
      <c r="A181" s="662">
        <v>158</v>
      </c>
      <c r="B181" s="661" t="str" cm="1">
        <f t="array" ref="B181">"P"&amp;INDEX(X!$CL$2:$CL$12,'Scratch Sheet'!H180+1)+9</f>
        <v>P17</v>
      </c>
      <c r="C181" s="661">
        <v>1</v>
      </c>
      <c r="D181" s="755">
        <f t="shared" si="8"/>
        <v>13200.000000000002</v>
      </c>
      <c r="E181" s="682" t="str">
        <f t="shared" si="9"/>
        <v>O2</v>
      </c>
      <c r="F181" s="683">
        <f t="shared" si="10"/>
        <v>12</v>
      </c>
      <c r="H181" s="13">
        <v>310</v>
      </c>
      <c r="I181" s="13">
        <f>VLOOKUP(VLOOKUP(H181,$A$24:$B$1023,2,FALSE),'Scratch Sheet'!$U$23:$X$32,3,FALSE)</f>
        <v>4</v>
      </c>
      <c r="K181" s="13">
        <f t="shared" si="7"/>
        <v>157</v>
      </c>
      <c r="L181" s="13">
        <f>IFERROR(VLOOKUP(VLOOKUP(K181,$A$24:$B$1023,2,FALSE),'Scratch Sheet'!$U$23:$Y$32,5,FALSE)*VLOOKUP(VLOOKUP(K181,$A$24:$E$1023,5,FALSE),'Scratch Sheet'!$L$22:$M$30,2,FALSE),"")</f>
        <v>4680</v>
      </c>
      <c r="N181" s="675">
        <v>640</v>
      </c>
      <c r="O181" s="675" t="str" cm="1">
        <f t="array" ref="O181">IF(OR(INDEX($B$24:$B$1023,N181)="P10",INDEX($B$24:$B$1023,N181)="P11",INDEX($B$24:$B$1023,N181)="P12",INDEX($B$24:$B$1023,N181)="P13"),"C",IF(OR(INDEX($B$24:$B$1023,N181)="P14",INDEX($B$24:$B$1023,N181)="P15",INDEX($B$24:$B$1023,N181)="P16"),"N","O"))&amp;IF(MOD(N181,100)&lt;20,1,IF(MOD(N181,100)&lt;70,2,3))</f>
        <v>C2</v>
      </c>
    </row>
    <row r="182" spans="1:15" ht="16.5" thickBot="1">
      <c r="A182" s="662">
        <v>159</v>
      </c>
      <c r="B182" s="661" t="str" cm="1">
        <f t="array" ref="B182">"P"&amp;INDEX(X!$CL$2:$CL$12,'Scratch Sheet'!H181+1)+9</f>
        <v>P17</v>
      </c>
      <c r="C182" s="661">
        <v>1</v>
      </c>
      <c r="D182" s="755">
        <f t="shared" si="8"/>
        <v>13200.000000000002</v>
      </c>
      <c r="E182" s="682" t="str">
        <f t="shared" si="9"/>
        <v>O2</v>
      </c>
      <c r="F182" s="683">
        <f t="shared" si="10"/>
        <v>12</v>
      </c>
      <c r="H182" s="13">
        <v>714</v>
      </c>
      <c r="I182" s="13">
        <f>VLOOKUP(VLOOKUP(H182,$A$24:$B$1023,2,FALSE),'Scratch Sheet'!$U$23:$X$32,3,FALSE)</f>
        <v>5</v>
      </c>
      <c r="K182" s="13">
        <f t="shared" si="7"/>
        <v>156</v>
      </c>
      <c r="L182" s="13">
        <f>IFERROR(VLOOKUP(VLOOKUP(K182,$A$24:$B$1023,2,FALSE),'Scratch Sheet'!$U$23:$Y$32,5,FALSE)*VLOOKUP(VLOOKUP(K182,$A$24:$E$1023,5,FALSE),'Scratch Sheet'!$L$22:$M$30,2,FALSE),"")</f>
        <v>11000</v>
      </c>
      <c r="N182" s="675">
        <v>641</v>
      </c>
      <c r="O182" s="675" t="str" cm="1">
        <f t="array" ref="O182">IF(OR(INDEX($B$24:$B$1023,N182)="P10",INDEX($B$24:$B$1023,N182)="P11",INDEX($B$24:$B$1023,N182)="P12",INDEX($B$24:$B$1023,N182)="P13"),"C",IF(OR(INDEX($B$24:$B$1023,N182)="P14",INDEX($B$24:$B$1023,N182)="P15",INDEX($B$24:$B$1023,N182)="P16"),"N","O"))&amp;IF(MOD(N182,100)&lt;20,1,IF(MOD(N182,100)&lt;70,2,3))</f>
        <v>C2</v>
      </c>
    </row>
    <row r="183" spans="1:15" ht="16.5" thickBot="1">
      <c r="A183" s="662">
        <v>160</v>
      </c>
      <c r="B183" s="661" t="str" cm="1">
        <f t="array" ref="B183">"P"&amp;INDEX(X!$CL$2:$CL$12,'Scratch Sheet'!H182+1)+9</f>
        <v>P13</v>
      </c>
      <c r="C183" s="661">
        <v>1</v>
      </c>
      <c r="D183" s="755">
        <f t="shared" si="8"/>
        <v>4500</v>
      </c>
      <c r="E183" s="682" t="str">
        <f t="shared" si="9"/>
        <v>C2</v>
      </c>
      <c r="F183" s="683">
        <f t="shared" si="10"/>
        <v>5</v>
      </c>
      <c r="H183" s="13">
        <v>9</v>
      </c>
      <c r="I183" s="13">
        <f>VLOOKUP(VLOOKUP(H183,$A$24:$B$1023,2,FALSE),'Scratch Sheet'!$U$23:$X$32,3,FALSE)</f>
        <v>5</v>
      </c>
      <c r="K183" s="13">
        <f t="shared" si="7"/>
        <v>159</v>
      </c>
      <c r="L183" s="13">
        <f>IFERROR(VLOOKUP(VLOOKUP(K183,$A$24:$B$1023,2,FALSE),'Scratch Sheet'!$U$23:$Y$32,5,FALSE)*VLOOKUP(VLOOKUP(K183,$A$24:$E$1023,5,FALSE),'Scratch Sheet'!$L$22:$M$30,2,FALSE),"")</f>
        <v>13200.000000000002</v>
      </c>
      <c r="N183" s="675">
        <v>645</v>
      </c>
      <c r="O183" s="675" t="str" cm="1">
        <f t="array" ref="O183">IF(OR(INDEX($B$24:$B$1023,N183)="P10",INDEX($B$24:$B$1023,N183)="P11",INDEX($B$24:$B$1023,N183)="P12",INDEX($B$24:$B$1023,N183)="P13"),"C",IF(OR(INDEX($B$24:$B$1023,N183)="P14",INDEX($B$24:$B$1023,N183)="P15",INDEX($B$24:$B$1023,N183)="P16"),"N","O"))&amp;IF(MOD(N183,100)&lt;20,1,IF(MOD(N183,100)&lt;70,2,3))</f>
        <v>C2</v>
      </c>
    </row>
    <row r="184" spans="1:15" ht="16.5" thickBot="1">
      <c r="A184" s="662">
        <v>161</v>
      </c>
      <c r="B184" s="661" t="str" cm="1">
        <f t="array" ref="B184">"P"&amp;INDEX(X!$CL$2:$CL$12,'Scratch Sheet'!H183+1)+9</f>
        <v>P11</v>
      </c>
      <c r="C184" s="661">
        <v>1</v>
      </c>
      <c r="D184" s="755">
        <f t="shared" si="8"/>
        <v>11000</v>
      </c>
      <c r="E184" s="682" t="str">
        <f t="shared" si="9"/>
        <v>C2</v>
      </c>
      <c r="F184" s="683">
        <f t="shared" si="10"/>
        <v>11</v>
      </c>
      <c r="H184" s="13">
        <v>687</v>
      </c>
      <c r="I184" s="13">
        <f>VLOOKUP(VLOOKUP(H184,$A$24:$B$1023,2,FALSE),'Scratch Sheet'!$U$23:$X$32,3,FALSE)</f>
        <v>5</v>
      </c>
      <c r="K184" s="13">
        <f t="shared" si="7"/>
        <v>154</v>
      </c>
      <c r="L184" s="13">
        <f>IFERROR(VLOOKUP(VLOOKUP(K184,$A$24:$B$1023,2,FALSE),'Scratch Sheet'!$U$23:$Y$32,5,FALSE)*VLOOKUP(VLOOKUP(K184,$A$24:$E$1023,5,FALSE),'Scratch Sheet'!$L$22:$M$30,2,FALSE),"")</f>
        <v>4500</v>
      </c>
      <c r="N184" s="675">
        <v>648</v>
      </c>
      <c r="O184" s="675" t="str" cm="1">
        <f t="array" ref="O184">IF(OR(INDEX($B$24:$B$1023,N184)="P10",INDEX($B$24:$B$1023,N184)="P11",INDEX($B$24:$B$1023,N184)="P12",INDEX($B$24:$B$1023,N184)="P13"),"C",IF(OR(INDEX($B$24:$B$1023,N184)="P14",INDEX($B$24:$B$1023,N184)="P15",INDEX($B$24:$B$1023,N184)="P16"),"N","O"))&amp;IF(MOD(N184,100)&lt;20,1,IF(MOD(N184,100)&lt;70,2,3))</f>
        <v>C2</v>
      </c>
    </row>
    <row r="185" spans="1:15" ht="16.5" thickBot="1">
      <c r="A185" s="662">
        <v>162</v>
      </c>
      <c r="B185" s="661" t="str" cm="1">
        <f t="array" ref="B185">"P"&amp;INDEX(X!$CL$2:$CL$12,'Scratch Sheet'!H184+1)+9</f>
        <v>P11</v>
      </c>
      <c r="C185" s="661">
        <v>1</v>
      </c>
      <c r="D185" s="755">
        <f t="shared" si="8"/>
        <v>11000</v>
      </c>
      <c r="E185" s="682" t="str">
        <f t="shared" si="9"/>
        <v>C2</v>
      </c>
      <c r="F185" s="683">
        <f t="shared" si="10"/>
        <v>11</v>
      </c>
      <c r="H185" s="13">
        <v>733</v>
      </c>
      <c r="I185" s="13">
        <f>VLOOKUP(VLOOKUP(H185,$A$24:$B$1023,2,FALSE),'Scratch Sheet'!$U$23:$X$32,3,FALSE)</f>
        <v>3</v>
      </c>
      <c r="K185" s="13">
        <f t="shared" si="7"/>
        <v>152</v>
      </c>
      <c r="L185" s="13">
        <f>IFERROR(VLOOKUP(VLOOKUP(K185,$A$24:$B$1023,2,FALSE),'Scratch Sheet'!$U$23:$Y$32,5,FALSE)*VLOOKUP(VLOOKUP(K185,$A$24:$E$1023,5,FALSE),'Scratch Sheet'!$L$22:$M$30,2,FALSE),"")</f>
        <v>2400</v>
      </c>
      <c r="N185" s="675">
        <v>657</v>
      </c>
      <c r="O185" s="675" t="str" cm="1">
        <f t="array" ref="O185">IF(OR(INDEX($B$24:$B$1023,N185)="P10",INDEX($B$24:$B$1023,N185)="P11",INDEX($B$24:$B$1023,N185)="P12",INDEX($B$24:$B$1023,N185)="P13"),"C",IF(OR(INDEX($B$24:$B$1023,N185)="P14",INDEX($B$24:$B$1023,N185)="P15",INDEX($B$24:$B$1023,N185)="P16"),"N","O"))&amp;IF(MOD(N185,100)&lt;20,1,IF(MOD(N185,100)&lt;70,2,3))</f>
        <v>C2</v>
      </c>
    </row>
    <row r="186" spans="1:15" ht="16.5" thickBot="1">
      <c r="A186" s="662">
        <v>163</v>
      </c>
      <c r="B186" s="661" t="str" cm="1">
        <f t="array" ref="B186">"P"&amp;INDEX(X!$CL$2:$CL$12,'Scratch Sheet'!H185+1)+9</f>
        <v>P12</v>
      </c>
      <c r="C186" s="661">
        <v>1</v>
      </c>
      <c r="D186" s="755">
        <f t="shared" si="8"/>
        <v>6825</v>
      </c>
      <c r="E186" s="682" t="str">
        <f t="shared" si="9"/>
        <v>C2</v>
      </c>
      <c r="F186" s="683">
        <f t="shared" si="10"/>
        <v>6.5</v>
      </c>
      <c r="H186" s="13">
        <v>578</v>
      </c>
      <c r="I186" s="13">
        <f>VLOOKUP(VLOOKUP(H186,$A$24:$B$1023,2,FALSE),'Scratch Sheet'!$U$23:$X$32,3,FALSE)</f>
        <v>5</v>
      </c>
      <c r="K186" s="13">
        <f t="shared" si="7"/>
        <v>153</v>
      </c>
      <c r="L186" s="13">
        <f>IFERROR(VLOOKUP(VLOOKUP(K186,$A$24:$B$1023,2,FALSE),'Scratch Sheet'!$U$23:$Y$32,5,FALSE)*VLOOKUP(VLOOKUP(K186,$A$24:$E$1023,5,FALSE),'Scratch Sheet'!$L$22:$M$30,2,FALSE),"")</f>
        <v>4500</v>
      </c>
      <c r="N186" s="675">
        <v>658</v>
      </c>
      <c r="O186" s="675" t="str" cm="1">
        <f t="array" ref="O186">IF(OR(INDEX($B$24:$B$1023,N186)="P10",INDEX($B$24:$B$1023,N186)="P11",INDEX($B$24:$B$1023,N186)="P12",INDEX($B$24:$B$1023,N186)="P13"),"C",IF(OR(INDEX($B$24:$B$1023,N186)="P14",INDEX($B$24:$B$1023,N186)="P15",INDEX($B$24:$B$1023,N186)="P16"),"N","O"))&amp;IF(MOD(N186,100)&lt;20,1,IF(MOD(N186,100)&lt;70,2,3))</f>
        <v>C2</v>
      </c>
    </row>
    <row r="187" spans="1:15" ht="16.5" thickBot="1">
      <c r="A187" s="662">
        <v>164</v>
      </c>
      <c r="B187" s="661" t="str" cm="1">
        <f t="array" ref="B187">"P"&amp;INDEX(X!$CL$2:$CL$12,'Scratch Sheet'!H186+1)+9</f>
        <v>P10</v>
      </c>
      <c r="C187" s="661">
        <v>1</v>
      </c>
      <c r="D187" s="755">
        <f t="shared" si="8"/>
        <v>2400</v>
      </c>
      <c r="E187" s="682" t="str">
        <f t="shared" si="9"/>
        <v>C2</v>
      </c>
      <c r="F187" s="683">
        <f t="shared" si="10"/>
        <v>3</v>
      </c>
      <c r="H187" s="13">
        <v>53</v>
      </c>
      <c r="I187" s="13">
        <f>VLOOKUP(VLOOKUP(H187,$A$24:$B$1023,2,FALSE),'Scratch Sheet'!$U$23:$X$32,3,FALSE)</f>
        <v>6</v>
      </c>
      <c r="K187" s="13">
        <f t="shared" si="7"/>
        <v>151</v>
      </c>
      <c r="L187" s="13">
        <f>IFERROR(VLOOKUP(VLOOKUP(K187,$A$24:$B$1023,2,FALSE),'Scratch Sheet'!$U$23:$Y$32,5,FALSE)*VLOOKUP(VLOOKUP(K187,$A$24:$E$1023,5,FALSE),'Scratch Sheet'!$L$22:$M$30,2,FALSE),"")</f>
        <v>6480</v>
      </c>
      <c r="N187" s="675">
        <v>662</v>
      </c>
      <c r="O187" s="675" t="str" cm="1">
        <f t="array" ref="O187">IF(OR(INDEX($B$24:$B$1023,N187)="P10",INDEX($B$24:$B$1023,N187)="P11",INDEX($B$24:$B$1023,N187)="P12",INDEX($B$24:$B$1023,N187)="P13"),"C",IF(OR(INDEX($B$24:$B$1023,N187)="P14",INDEX($B$24:$B$1023,N187)="P15",INDEX($B$24:$B$1023,N187)="P16"),"N","O"))&amp;IF(MOD(N187,100)&lt;20,1,IF(MOD(N187,100)&lt;70,2,3))</f>
        <v>C2</v>
      </c>
    </row>
    <row r="188" spans="1:15" ht="16.5" thickBot="1">
      <c r="A188" s="662">
        <v>165</v>
      </c>
      <c r="B188" s="661" t="str" cm="1">
        <f t="array" ref="B188">"P"&amp;INDEX(X!$CL$2:$CL$12,'Scratch Sheet'!H187+1)+9</f>
        <v>P10</v>
      </c>
      <c r="C188" s="661">
        <v>1</v>
      </c>
      <c r="D188" s="755">
        <f t="shared" si="8"/>
        <v>2400</v>
      </c>
      <c r="E188" s="682" t="str">
        <f t="shared" si="9"/>
        <v>C2</v>
      </c>
      <c r="F188" s="683">
        <f t="shared" si="10"/>
        <v>3</v>
      </c>
      <c r="H188" s="13">
        <v>269</v>
      </c>
      <c r="I188" s="13">
        <f>VLOOKUP(VLOOKUP(H188,$A$24:$B$1023,2,FALSE),'Scratch Sheet'!$U$23:$X$32,3,FALSE)</f>
        <v>6</v>
      </c>
      <c r="K188" s="13">
        <f t="shared" si="7"/>
        <v>167</v>
      </c>
      <c r="L188" s="13">
        <f>IFERROR(VLOOKUP(VLOOKUP(K188,$A$24:$B$1023,2,FALSE),'Scratch Sheet'!$U$23:$Y$32,5,FALSE)*VLOOKUP(VLOOKUP(K188,$A$24:$E$1023,5,FALSE),'Scratch Sheet'!$L$22:$M$30,2,FALSE),"")</f>
        <v>5940.0000000000009</v>
      </c>
      <c r="N188" s="675">
        <v>665</v>
      </c>
      <c r="O188" s="675" t="str" cm="1">
        <f t="array" ref="O188">IF(OR(INDEX($B$24:$B$1023,N188)="P10",INDEX($B$24:$B$1023,N188)="P11",INDEX($B$24:$B$1023,N188)="P12",INDEX($B$24:$B$1023,N188)="P13"),"C",IF(OR(INDEX($B$24:$B$1023,N188)="P14",INDEX($B$24:$B$1023,N188)="P15",INDEX($B$24:$B$1023,N188)="P16"),"N","O"))&amp;IF(MOD(N188,100)&lt;20,1,IF(MOD(N188,100)&lt;70,2,3))</f>
        <v>C2</v>
      </c>
    </row>
    <row r="189" spans="1:15" ht="16.5" thickBot="1">
      <c r="A189" s="662">
        <v>166</v>
      </c>
      <c r="B189" s="661" t="str" cm="1">
        <f t="array" ref="B189">"P"&amp;INDEX(X!$CL$2:$CL$12,'Scratch Sheet'!H188+1)+9</f>
        <v>P11</v>
      </c>
      <c r="C189" s="661">
        <v>1</v>
      </c>
      <c r="D189" s="755">
        <f t="shared" si="8"/>
        <v>11000</v>
      </c>
      <c r="E189" s="682" t="str">
        <f t="shared" si="9"/>
        <v>C2</v>
      </c>
      <c r="F189" s="683">
        <f t="shared" si="10"/>
        <v>11</v>
      </c>
      <c r="H189" s="13">
        <v>354</v>
      </c>
      <c r="I189" s="13">
        <f>VLOOKUP(VLOOKUP(H189,$A$24:$B$1023,2,FALSE),'Scratch Sheet'!$U$23:$X$32,3,FALSE)</f>
        <v>6</v>
      </c>
      <c r="K189" s="13">
        <f t="shared" si="7"/>
        <v>170</v>
      </c>
      <c r="L189" s="13">
        <f>IFERROR(VLOOKUP(VLOOKUP(K189,$A$24:$B$1023,2,FALSE),'Scratch Sheet'!$U$23:$Y$32,5,FALSE)*VLOOKUP(VLOOKUP(K189,$A$24:$E$1023,5,FALSE),'Scratch Sheet'!$L$22:$M$30,2,FALSE),"")</f>
        <v>3600</v>
      </c>
      <c r="N189" s="675">
        <v>674</v>
      </c>
      <c r="O189" s="675" t="str" cm="1">
        <f t="array" ref="O189">IF(OR(INDEX($B$24:$B$1023,N189)="P10",INDEX($B$24:$B$1023,N189)="P11",INDEX($B$24:$B$1023,N189)="P12",INDEX($B$24:$B$1023,N189)="P13"),"C",IF(OR(INDEX($B$24:$B$1023,N189)="P14",INDEX($B$24:$B$1023,N189)="P15",INDEX($B$24:$B$1023,N189)="P16"),"N","O"))&amp;IF(MOD(N189,100)&lt;20,1,IF(MOD(N189,100)&lt;70,2,3))</f>
        <v>C3</v>
      </c>
    </row>
    <row r="190" spans="1:15" ht="16.5" thickBot="1">
      <c r="A190" s="662">
        <v>167</v>
      </c>
      <c r="B190" s="661" t="str" cm="1">
        <f t="array" ref="B190">"P"&amp;INDEX(X!$CL$2:$CL$12,'Scratch Sheet'!H189+1)+9</f>
        <v>P18</v>
      </c>
      <c r="C190" s="661">
        <v>1</v>
      </c>
      <c r="D190" s="755">
        <f t="shared" si="8"/>
        <v>5940.0000000000009</v>
      </c>
      <c r="E190" s="682" t="str">
        <f t="shared" si="9"/>
        <v>O2</v>
      </c>
      <c r="F190" s="683">
        <f t="shared" si="10"/>
        <v>6</v>
      </c>
      <c r="H190" s="13">
        <v>770</v>
      </c>
      <c r="I190" s="13">
        <f>VLOOKUP(VLOOKUP(H190,$A$24:$B$1023,2,FALSE),'Scratch Sheet'!$U$23:$X$32,3,FALSE)</f>
        <v>12</v>
      </c>
      <c r="K190" s="13">
        <f t="shared" si="7"/>
        <v>169</v>
      </c>
      <c r="L190" s="13">
        <f>IFERROR(VLOOKUP(VLOOKUP(K190,$A$24:$B$1023,2,FALSE),'Scratch Sheet'!$U$23:$Y$32,5,FALSE)*VLOOKUP(VLOOKUP(K190,$A$24:$E$1023,5,FALSE),'Scratch Sheet'!$L$22:$M$30,2,FALSE),"")</f>
        <v>2400</v>
      </c>
      <c r="N190" s="675">
        <v>675</v>
      </c>
      <c r="O190" s="675" t="str" cm="1">
        <f t="array" ref="O190">IF(OR(INDEX($B$24:$B$1023,N190)="P10",INDEX($B$24:$B$1023,N190)="P11",INDEX($B$24:$B$1023,N190)="P12",INDEX($B$24:$B$1023,N190)="P13"),"C",IF(OR(INDEX($B$24:$B$1023,N190)="P14",INDEX($B$24:$B$1023,N190)="P15",INDEX($B$24:$B$1023,N190)="P16"),"N","O"))&amp;IF(MOD(N190,100)&lt;20,1,IF(MOD(N190,100)&lt;70,2,3))</f>
        <v>C3</v>
      </c>
    </row>
    <row r="191" spans="1:15" ht="16.5" thickBot="1">
      <c r="A191" s="662">
        <v>168</v>
      </c>
      <c r="B191" s="661" t="str" cm="1">
        <f t="array" ref="B191">"P"&amp;INDEX(X!$CL$2:$CL$12,'Scratch Sheet'!H190+1)+9</f>
        <v>P14</v>
      </c>
      <c r="C191" s="661">
        <v>1</v>
      </c>
      <c r="D191" s="755">
        <f t="shared" si="8"/>
        <v>6480</v>
      </c>
      <c r="E191" s="682" t="str">
        <f t="shared" si="9"/>
        <v>N2</v>
      </c>
      <c r="F191" s="683">
        <f t="shared" si="10"/>
        <v>8</v>
      </c>
      <c r="H191" s="13">
        <v>974</v>
      </c>
      <c r="I191" s="13">
        <f>VLOOKUP(VLOOKUP(H191,$A$24:$B$1023,2,FALSE),'Scratch Sheet'!$U$23:$X$32,3,FALSE)</f>
        <v>12</v>
      </c>
      <c r="K191" s="13">
        <f t="shared" ref="K191:K254" si="11">K88+100</f>
        <v>164</v>
      </c>
      <c r="L191" s="13">
        <f>IFERROR(VLOOKUP(VLOOKUP(K191,$A$24:$B$1023,2,FALSE),'Scratch Sheet'!$U$23:$Y$32,5,FALSE)*VLOOKUP(VLOOKUP(K191,$A$24:$E$1023,5,FALSE),'Scratch Sheet'!$L$22:$M$30,2,FALSE),"")</f>
        <v>2400</v>
      </c>
      <c r="N191" s="675">
        <v>679</v>
      </c>
      <c r="O191" s="675" t="str" cm="1">
        <f t="array" ref="O191">IF(OR(INDEX($B$24:$B$1023,N191)="P10",INDEX($B$24:$B$1023,N191)="P11",INDEX($B$24:$B$1023,N191)="P12",INDEX($B$24:$B$1023,N191)="P13"),"C",IF(OR(INDEX($B$24:$B$1023,N191)="P14",INDEX($B$24:$B$1023,N191)="P15",INDEX($B$24:$B$1023,N191)="P16"),"N","O"))&amp;IF(MOD(N191,100)&lt;20,1,IF(MOD(N191,100)&lt;70,2,3))</f>
        <v>C3</v>
      </c>
    </row>
    <row r="192" spans="1:15" ht="16.5" thickBot="1">
      <c r="A192" s="662">
        <v>169</v>
      </c>
      <c r="B192" s="661" t="str" cm="1">
        <f t="array" ref="B192">"P"&amp;INDEX(X!$CL$2:$CL$12,'Scratch Sheet'!H191+1)+9</f>
        <v>P10</v>
      </c>
      <c r="C192" s="661">
        <v>1</v>
      </c>
      <c r="D192" s="755">
        <f t="shared" si="8"/>
        <v>2400</v>
      </c>
      <c r="E192" s="682" t="str">
        <f t="shared" si="9"/>
        <v>C2</v>
      </c>
      <c r="F192" s="683">
        <f t="shared" si="10"/>
        <v>3</v>
      </c>
      <c r="H192" s="13">
        <v>910</v>
      </c>
      <c r="I192" s="13">
        <f>VLOOKUP(VLOOKUP(H192,$A$24:$B$1023,2,FALSE),'Scratch Sheet'!$U$23:$X$32,3,FALSE)</f>
        <v>11</v>
      </c>
      <c r="K192" s="13">
        <f t="shared" si="11"/>
        <v>166</v>
      </c>
      <c r="L192" s="13">
        <f>IFERROR(VLOOKUP(VLOOKUP(K192,$A$24:$B$1023,2,FALSE),'Scratch Sheet'!$U$23:$Y$32,5,FALSE)*VLOOKUP(VLOOKUP(K192,$A$24:$E$1023,5,FALSE),'Scratch Sheet'!$L$22:$M$30,2,FALSE),"")</f>
        <v>11000</v>
      </c>
      <c r="N192" s="675">
        <v>682</v>
      </c>
      <c r="O192" s="675" t="str" cm="1">
        <f t="array" ref="O192">IF(OR(INDEX($B$24:$B$1023,N192)="P10",INDEX($B$24:$B$1023,N192)="P11",INDEX($B$24:$B$1023,N192)="P12",INDEX($B$24:$B$1023,N192)="P13"),"C",IF(OR(INDEX($B$24:$B$1023,N192)="P14",INDEX($B$24:$B$1023,N192)="P15",INDEX($B$24:$B$1023,N192)="P16"),"N","O"))&amp;IF(MOD(N192,100)&lt;20,1,IF(MOD(N192,100)&lt;70,2,3))</f>
        <v>C3</v>
      </c>
    </row>
    <row r="193" spans="1:15" ht="16.5" thickBot="1">
      <c r="A193" s="662">
        <v>170</v>
      </c>
      <c r="B193" s="661" t="str" cm="1">
        <f t="array" ref="B193">"P"&amp;INDEX(X!$CL$2:$CL$12,'Scratch Sheet'!H192+1)+9</f>
        <v>P13</v>
      </c>
      <c r="C193" s="661">
        <v>1</v>
      </c>
      <c r="D193" s="755">
        <f t="shared" si="8"/>
        <v>3600</v>
      </c>
      <c r="E193" s="682" t="str">
        <f t="shared" si="9"/>
        <v>C3</v>
      </c>
      <c r="F193" s="683">
        <f t="shared" si="10"/>
        <v>5</v>
      </c>
      <c r="H193" s="13">
        <v>258</v>
      </c>
      <c r="I193" s="13">
        <f>VLOOKUP(VLOOKUP(H193,$A$24:$B$1023,2,FALSE),'Scratch Sheet'!$U$23:$X$32,3,FALSE)</f>
        <v>11</v>
      </c>
      <c r="K193" s="13">
        <f t="shared" si="11"/>
        <v>165</v>
      </c>
      <c r="L193" s="13">
        <f>IFERROR(VLOOKUP(VLOOKUP(K193,$A$24:$B$1023,2,FALSE),'Scratch Sheet'!$U$23:$Y$32,5,FALSE)*VLOOKUP(VLOOKUP(K193,$A$24:$E$1023,5,FALSE),'Scratch Sheet'!$L$22:$M$30,2,FALSE),"")</f>
        <v>2400</v>
      </c>
      <c r="N193" s="675">
        <v>691</v>
      </c>
      <c r="O193" s="675" t="str" cm="1">
        <f t="array" ref="O193">IF(OR(INDEX($B$24:$B$1023,N193)="P10",INDEX($B$24:$B$1023,N193)="P11",INDEX($B$24:$B$1023,N193)="P12",INDEX($B$24:$B$1023,N193)="P13"),"C",IF(OR(INDEX($B$24:$B$1023,N193)="P14",INDEX($B$24:$B$1023,N193)="P15",INDEX($B$24:$B$1023,N193)="P16"),"N","O"))&amp;IF(MOD(N193,100)&lt;20,1,IF(MOD(N193,100)&lt;70,2,3))</f>
        <v>C3</v>
      </c>
    </row>
    <row r="194" spans="1:15" ht="16.5" thickBot="1">
      <c r="A194" s="662">
        <v>171</v>
      </c>
      <c r="B194" s="661" t="str" cm="1">
        <f t="array" ref="B194">"P"&amp;INDEX(X!$CL$2:$CL$12,'Scratch Sheet'!H193+1)+9</f>
        <v>P13</v>
      </c>
      <c r="C194" s="661">
        <v>1</v>
      </c>
      <c r="D194" s="755">
        <f t="shared" si="8"/>
        <v>3600</v>
      </c>
      <c r="E194" s="682" t="str">
        <f t="shared" si="9"/>
        <v>C3</v>
      </c>
      <c r="F194" s="683">
        <f t="shared" si="10"/>
        <v>5</v>
      </c>
      <c r="H194" s="13">
        <v>231</v>
      </c>
      <c r="I194" s="13">
        <f>VLOOKUP(VLOOKUP(H194,$A$24:$B$1023,2,FALSE),'Scratch Sheet'!$U$23:$X$32,3,FALSE)</f>
        <v>6.5</v>
      </c>
      <c r="K194" s="13">
        <f t="shared" si="11"/>
        <v>168</v>
      </c>
      <c r="L194" s="13">
        <f>IFERROR(VLOOKUP(VLOOKUP(K194,$A$24:$B$1023,2,FALSE),'Scratch Sheet'!$U$23:$Y$32,5,FALSE)*VLOOKUP(VLOOKUP(K194,$A$24:$E$1023,5,FALSE),'Scratch Sheet'!$L$22:$M$30,2,FALSE),"")</f>
        <v>6480</v>
      </c>
      <c r="N194" s="675">
        <v>692</v>
      </c>
      <c r="O194" s="675" t="str" cm="1">
        <f t="array" ref="O194">IF(OR(INDEX($B$24:$B$1023,N194)="P10",INDEX($B$24:$B$1023,N194)="P11",INDEX($B$24:$B$1023,N194)="P12",INDEX($B$24:$B$1023,N194)="P13"),"C",IF(OR(INDEX($B$24:$B$1023,N194)="P14",INDEX($B$24:$B$1023,N194)="P15",INDEX($B$24:$B$1023,N194)="P16"),"N","O"))&amp;IF(MOD(N194,100)&lt;20,1,IF(MOD(N194,100)&lt;70,2,3))</f>
        <v>C3</v>
      </c>
    </row>
    <row r="195" spans="1:15" ht="16.5" thickBot="1">
      <c r="A195" s="662">
        <v>172</v>
      </c>
      <c r="B195" s="661" t="str" cm="1">
        <f t="array" ref="B195">"P"&amp;INDEX(X!$CL$2:$CL$12,'Scratch Sheet'!H194+1)+9</f>
        <v>P10</v>
      </c>
      <c r="C195" s="661">
        <v>1</v>
      </c>
      <c r="D195" s="755">
        <f t="shared" si="8"/>
        <v>1920</v>
      </c>
      <c r="E195" s="682" t="str">
        <f t="shared" si="9"/>
        <v>C3</v>
      </c>
      <c r="F195" s="683">
        <f t="shared" si="10"/>
        <v>3</v>
      </c>
      <c r="H195" s="13">
        <v>246</v>
      </c>
      <c r="I195" s="13">
        <f>VLOOKUP(VLOOKUP(H195,$A$24:$B$1023,2,FALSE),'Scratch Sheet'!$U$23:$X$32,3,FALSE)</f>
        <v>11</v>
      </c>
      <c r="K195" s="13">
        <f t="shared" si="11"/>
        <v>163</v>
      </c>
      <c r="L195" s="13">
        <f>IFERROR(VLOOKUP(VLOOKUP(K195,$A$24:$B$1023,2,FALSE),'Scratch Sheet'!$U$23:$Y$32,5,FALSE)*VLOOKUP(VLOOKUP(K195,$A$24:$E$1023,5,FALSE),'Scratch Sheet'!$L$22:$M$30,2,FALSE),"")</f>
        <v>6825</v>
      </c>
      <c r="N195" s="675">
        <v>696</v>
      </c>
      <c r="O195" s="675" t="str" cm="1">
        <f t="array" ref="O195">IF(OR(INDEX($B$24:$B$1023,N195)="P10",INDEX($B$24:$B$1023,N195)="P11",INDEX($B$24:$B$1023,N195)="P12",INDEX($B$24:$B$1023,N195)="P13"),"C",IF(OR(INDEX($B$24:$B$1023,N195)="P14",INDEX($B$24:$B$1023,N195)="P15",INDEX($B$24:$B$1023,N195)="P16"),"N","O"))&amp;IF(MOD(N195,100)&lt;20,1,IF(MOD(N195,100)&lt;70,2,3))</f>
        <v>C3</v>
      </c>
    </row>
    <row r="196" spans="1:15" ht="16.5" thickBot="1">
      <c r="A196" s="662">
        <v>173</v>
      </c>
      <c r="B196" s="661" t="str" cm="1">
        <f t="array" ref="B196">"P"&amp;INDEX(X!$CL$2:$CL$12,'Scratch Sheet'!H195+1)+9</f>
        <v>P11</v>
      </c>
      <c r="C196" s="661">
        <v>1</v>
      </c>
      <c r="D196" s="755">
        <f t="shared" si="8"/>
        <v>8800</v>
      </c>
      <c r="E196" s="682" t="str">
        <f t="shared" si="9"/>
        <v>C3</v>
      </c>
      <c r="F196" s="683">
        <f t="shared" si="10"/>
        <v>11</v>
      </c>
      <c r="H196" s="13">
        <v>853</v>
      </c>
      <c r="I196" s="13">
        <f>VLOOKUP(VLOOKUP(H196,$A$24:$B$1023,2,FALSE),'Scratch Sheet'!$U$23:$X$32,3,FALSE)</f>
        <v>11</v>
      </c>
      <c r="K196" s="13">
        <f t="shared" si="11"/>
        <v>162</v>
      </c>
      <c r="L196" s="13">
        <f>IFERROR(VLOOKUP(VLOOKUP(K196,$A$24:$B$1023,2,FALSE),'Scratch Sheet'!$U$23:$Y$32,5,FALSE)*VLOOKUP(VLOOKUP(K196,$A$24:$E$1023,5,FALSE),'Scratch Sheet'!$L$22:$M$30,2,FALSE),"")</f>
        <v>11000</v>
      </c>
      <c r="N196" s="675">
        <v>699</v>
      </c>
      <c r="O196" s="675" t="str" cm="1">
        <f t="array" ref="O196">IF(OR(INDEX($B$24:$B$1023,N196)="P10",INDEX($B$24:$B$1023,N196)="P11",INDEX($B$24:$B$1023,N196)="P12",INDEX($B$24:$B$1023,N196)="P13"),"C",IF(OR(INDEX($B$24:$B$1023,N196)="P14",INDEX($B$24:$B$1023,N196)="P15",INDEX($B$24:$B$1023,N196)="P16"),"N","O"))&amp;IF(MOD(N196,100)&lt;20,1,IF(MOD(N196,100)&lt;70,2,3))</f>
        <v>C3</v>
      </c>
    </row>
    <row r="197" spans="1:15" ht="16.5" thickBot="1">
      <c r="A197" s="662">
        <v>174</v>
      </c>
      <c r="B197" s="661" t="str" cm="1">
        <f t="array" ref="B197">"P"&amp;INDEX(X!$CL$2:$CL$12,'Scratch Sheet'!H196+1)+9</f>
        <v>P16</v>
      </c>
      <c r="C197" s="661">
        <v>1</v>
      </c>
      <c r="D197" s="755">
        <f t="shared" si="8"/>
        <v>5200</v>
      </c>
      <c r="E197" s="682" t="str">
        <f t="shared" si="9"/>
        <v>N3</v>
      </c>
      <c r="F197" s="683">
        <f t="shared" si="10"/>
        <v>4</v>
      </c>
      <c r="H197" s="13">
        <v>950</v>
      </c>
      <c r="I197" s="13">
        <f>VLOOKUP(VLOOKUP(H197,$A$24:$B$1023,2,FALSE),'Scratch Sheet'!$U$23:$X$32,3,FALSE)</f>
        <v>8</v>
      </c>
      <c r="K197" s="13">
        <f t="shared" si="11"/>
        <v>175</v>
      </c>
      <c r="L197" s="13">
        <f>IFERROR(VLOOKUP(VLOOKUP(K197,$A$24:$B$1023,2,FALSE),'Scratch Sheet'!$U$23:$Y$32,5,FALSE)*VLOOKUP(VLOOKUP(K197,$A$24:$E$1023,5,FALSE),'Scratch Sheet'!$L$22:$M$30,2,FALSE),"")</f>
        <v>9600</v>
      </c>
      <c r="N197" s="675">
        <v>708</v>
      </c>
      <c r="O197" s="675" t="str" cm="1">
        <f t="array" ref="O197">IF(OR(INDEX($B$24:$B$1023,N197)="P10",INDEX($B$24:$B$1023,N197)="P11",INDEX($B$24:$B$1023,N197)="P12",INDEX($B$24:$B$1023,N197)="P13"),"C",IF(OR(INDEX($B$24:$B$1023,N197)="P14",INDEX($B$24:$B$1023,N197)="P15",INDEX($B$24:$B$1023,N197)="P16"),"N","O"))&amp;IF(MOD(N197,100)&lt;20,1,IF(MOD(N197,100)&lt;70,2,3))</f>
        <v>C1</v>
      </c>
    </row>
    <row r="198" spans="1:15" ht="16.5" thickBot="1">
      <c r="A198" s="662">
        <v>175</v>
      </c>
      <c r="B198" s="661" t="str" cm="1">
        <f t="array" ref="B198">"P"&amp;INDEX(X!$CL$2:$CL$12,'Scratch Sheet'!H197+1)+9</f>
        <v>P17</v>
      </c>
      <c r="C198" s="661">
        <v>1</v>
      </c>
      <c r="D198" s="755">
        <f t="shared" si="8"/>
        <v>9600</v>
      </c>
      <c r="E198" s="682" t="str">
        <f t="shared" si="9"/>
        <v>O3</v>
      </c>
      <c r="F198" s="683">
        <f t="shared" si="10"/>
        <v>12</v>
      </c>
      <c r="H198" s="13">
        <v>886</v>
      </c>
      <c r="I198" s="13">
        <f>VLOOKUP(VLOOKUP(H198,$A$24:$B$1023,2,FALSE),'Scratch Sheet'!$U$23:$X$32,3,FALSE)</f>
        <v>3</v>
      </c>
      <c r="K198" s="13">
        <f t="shared" si="11"/>
        <v>178</v>
      </c>
      <c r="L198" s="13">
        <f>IFERROR(VLOOKUP(VLOOKUP(K198,$A$24:$B$1023,2,FALSE),'Scratch Sheet'!$U$23:$Y$32,5,FALSE)*VLOOKUP(VLOOKUP(K198,$A$24:$E$1023,5,FALSE),'Scratch Sheet'!$L$22:$M$30,2,FALSE),"")</f>
        <v>8800</v>
      </c>
      <c r="N198" s="675">
        <v>709</v>
      </c>
      <c r="O198" s="675" t="str" cm="1">
        <f t="array" ref="O198">IF(OR(INDEX($B$24:$B$1023,N198)="P10",INDEX($B$24:$B$1023,N198)="P11",INDEX($B$24:$B$1023,N198)="P12",INDEX($B$24:$B$1023,N198)="P13"),"C",IF(OR(INDEX($B$24:$B$1023,N198)="P14",INDEX($B$24:$B$1023,N198)="P15",INDEX($B$24:$B$1023,N198)="P16"),"N","O"))&amp;IF(MOD(N198,100)&lt;20,1,IF(MOD(N198,100)&lt;70,2,3))</f>
        <v>C1</v>
      </c>
    </row>
    <row r="199" spans="1:15" ht="16.5" thickBot="1">
      <c r="A199" s="662">
        <v>176</v>
      </c>
      <c r="B199" s="661" t="str" cm="1">
        <f t="array" ref="B199">"P"&amp;INDEX(X!$CL$2:$CL$12,'Scratch Sheet'!H198+1)+9</f>
        <v>P17</v>
      </c>
      <c r="C199" s="661">
        <v>1</v>
      </c>
      <c r="D199" s="755">
        <f t="shared" si="8"/>
        <v>9600</v>
      </c>
      <c r="E199" s="682" t="str">
        <f t="shared" si="9"/>
        <v>O3</v>
      </c>
      <c r="F199" s="683">
        <f t="shared" si="10"/>
        <v>12</v>
      </c>
      <c r="H199" s="13">
        <v>235</v>
      </c>
      <c r="I199" s="13">
        <f>VLOOKUP(VLOOKUP(H199,$A$24:$B$1023,2,FALSE),'Scratch Sheet'!$U$23:$X$32,3,FALSE)</f>
        <v>6</v>
      </c>
      <c r="K199" s="13">
        <f t="shared" si="11"/>
        <v>177</v>
      </c>
      <c r="L199" s="13">
        <f>IFERROR(VLOOKUP(VLOOKUP(K199,$A$24:$B$1023,2,FALSE),'Scratch Sheet'!$U$23:$Y$32,5,FALSE)*VLOOKUP(VLOOKUP(K199,$A$24:$E$1023,5,FALSE),'Scratch Sheet'!$L$22:$M$30,2,FALSE),"")</f>
        <v>3600</v>
      </c>
      <c r="N199" s="675">
        <v>713</v>
      </c>
      <c r="O199" s="675" t="str" cm="1">
        <f t="array" ref="O199">IF(OR(INDEX($B$24:$B$1023,N199)="P10",INDEX($B$24:$B$1023,N199)="P11",INDEX($B$24:$B$1023,N199)="P12",INDEX($B$24:$B$1023,N199)="P13"),"C",IF(OR(INDEX($B$24:$B$1023,N199)="P14",INDEX($B$24:$B$1023,N199)="P15",INDEX($B$24:$B$1023,N199)="P16"),"N","O"))&amp;IF(MOD(N199,100)&lt;20,1,IF(MOD(N199,100)&lt;70,2,3))</f>
        <v>C1</v>
      </c>
    </row>
    <row r="200" spans="1:15" ht="16.5" thickBot="1">
      <c r="A200" s="662">
        <v>177</v>
      </c>
      <c r="B200" s="661" t="str" cm="1">
        <f t="array" ref="B200">"P"&amp;INDEX(X!$CL$2:$CL$12,'Scratch Sheet'!H199+1)+9</f>
        <v>P13</v>
      </c>
      <c r="C200" s="661">
        <v>1</v>
      </c>
      <c r="D200" s="755">
        <f t="shared" si="8"/>
        <v>3600</v>
      </c>
      <c r="E200" s="682" t="str">
        <f t="shared" si="9"/>
        <v>C3</v>
      </c>
      <c r="F200" s="683">
        <f t="shared" si="10"/>
        <v>5</v>
      </c>
      <c r="H200" s="13">
        <v>36</v>
      </c>
      <c r="I200" s="13">
        <f>VLOOKUP(VLOOKUP(H200,$A$24:$B$1023,2,FALSE),'Scratch Sheet'!$U$23:$X$32,3,FALSE)</f>
        <v>11</v>
      </c>
      <c r="K200" s="13">
        <f t="shared" si="11"/>
        <v>172</v>
      </c>
      <c r="L200" s="13">
        <f>IFERROR(VLOOKUP(VLOOKUP(K200,$A$24:$B$1023,2,FALSE),'Scratch Sheet'!$U$23:$Y$32,5,FALSE)*VLOOKUP(VLOOKUP(K200,$A$24:$E$1023,5,FALSE),'Scratch Sheet'!$L$22:$M$30,2,FALSE),"")</f>
        <v>1920</v>
      </c>
      <c r="N200" s="675">
        <v>716</v>
      </c>
      <c r="O200" s="675" t="str" cm="1">
        <f t="array" ref="O200">IF(OR(INDEX($B$24:$B$1023,N200)="P10",INDEX($B$24:$B$1023,N200)="P11",INDEX($B$24:$B$1023,N200)="P12",INDEX($B$24:$B$1023,N200)="P13"),"C",IF(OR(INDEX($B$24:$B$1023,N200)="P14",INDEX($B$24:$B$1023,N200)="P15",INDEX($B$24:$B$1023,N200)="P16"),"N","O"))&amp;IF(MOD(N200,100)&lt;20,1,IF(MOD(N200,100)&lt;70,2,3))</f>
        <v>C1</v>
      </c>
    </row>
    <row r="201" spans="1:15" ht="16.5" thickBot="1">
      <c r="A201" s="662">
        <v>178</v>
      </c>
      <c r="B201" s="661" t="str" cm="1">
        <f t="array" ref="B201">"P"&amp;INDEX(X!$CL$2:$CL$12,'Scratch Sheet'!H200+1)+9</f>
        <v>P11</v>
      </c>
      <c r="C201" s="661">
        <v>1</v>
      </c>
      <c r="D201" s="755">
        <f t="shared" si="8"/>
        <v>8800</v>
      </c>
      <c r="E201" s="682" t="str">
        <f t="shared" si="9"/>
        <v>C3</v>
      </c>
      <c r="F201" s="683">
        <f t="shared" si="10"/>
        <v>11</v>
      </c>
      <c r="H201" s="13">
        <v>109</v>
      </c>
      <c r="I201" s="13">
        <f>VLOOKUP(VLOOKUP(H201,$A$24:$B$1023,2,FALSE),'Scratch Sheet'!$U$23:$X$32,3,FALSE)</f>
        <v>5</v>
      </c>
      <c r="K201" s="13">
        <f t="shared" si="11"/>
        <v>174</v>
      </c>
      <c r="L201" s="13">
        <f>IFERROR(VLOOKUP(VLOOKUP(K201,$A$24:$B$1023,2,FALSE),'Scratch Sheet'!$U$23:$Y$32,5,FALSE)*VLOOKUP(VLOOKUP(K201,$A$24:$E$1023,5,FALSE),'Scratch Sheet'!$L$22:$M$30,2,FALSE),"")</f>
        <v>5200</v>
      </c>
      <c r="N201" s="675">
        <v>725</v>
      </c>
      <c r="O201" s="675" t="str" cm="1">
        <f t="array" ref="O201">IF(OR(INDEX($B$24:$B$1023,N201)="P10",INDEX($B$24:$B$1023,N201)="P11",INDEX($B$24:$B$1023,N201)="P12",INDEX($B$24:$B$1023,N201)="P13"),"C",IF(OR(INDEX($B$24:$B$1023,N201)="P14",INDEX($B$24:$B$1023,N201)="P15",INDEX($B$24:$B$1023,N201)="P16"),"N","O"))&amp;IF(MOD(N201,100)&lt;20,1,IF(MOD(N201,100)&lt;70,2,3))</f>
        <v>C2</v>
      </c>
    </row>
    <row r="202" spans="1:15" ht="16.5" thickBot="1">
      <c r="A202" s="662">
        <v>179</v>
      </c>
      <c r="B202" s="661" t="str" cm="1">
        <f t="array" ref="B202">"P"&amp;INDEX(X!$CL$2:$CL$12,'Scratch Sheet'!H201+1)+9</f>
        <v>P11</v>
      </c>
      <c r="C202" s="661">
        <v>1</v>
      </c>
      <c r="D202" s="755">
        <f t="shared" si="8"/>
        <v>8800</v>
      </c>
      <c r="E202" s="682" t="str">
        <f t="shared" si="9"/>
        <v>C3</v>
      </c>
      <c r="F202" s="683">
        <f t="shared" si="10"/>
        <v>11</v>
      </c>
      <c r="H202" s="13">
        <v>501</v>
      </c>
      <c r="I202" s="13">
        <f>VLOOKUP(VLOOKUP(H202,$A$24:$B$1023,2,FALSE),'Scratch Sheet'!$U$23:$X$32,3,FALSE)</f>
        <v>11</v>
      </c>
      <c r="K202" s="13">
        <f t="shared" si="11"/>
        <v>173</v>
      </c>
      <c r="L202" s="13">
        <f>IFERROR(VLOOKUP(VLOOKUP(K202,$A$24:$B$1023,2,FALSE),'Scratch Sheet'!$U$23:$Y$32,5,FALSE)*VLOOKUP(VLOOKUP(K202,$A$24:$E$1023,5,FALSE),'Scratch Sheet'!$L$22:$M$30,2,FALSE),"")</f>
        <v>8800</v>
      </c>
      <c r="N202" s="675">
        <v>726</v>
      </c>
      <c r="O202" s="675" t="str" cm="1">
        <f t="array" ref="O202">IF(OR(INDEX($B$24:$B$1023,N202)="P10",INDEX($B$24:$B$1023,N202)="P11",INDEX($B$24:$B$1023,N202)="P12",INDEX($B$24:$B$1023,N202)="P13"),"C",IF(OR(INDEX($B$24:$B$1023,N202)="P14",INDEX($B$24:$B$1023,N202)="P15",INDEX($B$24:$B$1023,N202)="P16"),"N","O"))&amp;IF(MOD(N202,100)&lt;20,1,IF(MOD(N202,100)&lt;70,2,3))</f>
        <v>C2</v>
      </c>
    </row>
    <row r="203" spans="1:15" ht="16.5" thickBot="1">
      <c r="A203" s="662">
        <v>180</v>
      </c>
      <c r="B203" s="661" t="str" cm="1">
        <f t="array" ref="B203">"P"&amp;INDEX(X!$CL$2:$CL$12,'Scratch Sheet'!H202+1)+9</f>
        <v>P12</v>
      </c>
      <c r="C203" s="661">
        <v>1</v>
      </c>
      <c r="D203" s="755">
        <f t="shared" si="8"/>
        <v>5460</v>
      </c>
      <c r="E203" s="682" t="str">
        <f t="shared" si="9"/>
        <v>C3</v>
      </c>
      <c r="F203" s="683">
        <f t="shared" si="10"/>
        <v>6.5</v>
      </c>
      <c r="H203" s="13">
        <v>970</v>
      </c>
      <c r="I203" s="13">
        <f>VLOOKUP(VLOOKUP(H203,$A$24:$B$1023,2,FALSE),'Scratch Sheet'!$U$23:$X$32,3,FALSE)</f>
        <v>5</v>
      </c>
      <c r="K203" s="13">
        <f t="shared" si="11"/>
        <v>176</v>
      </c>
      <c r="L203" s="13">
        <f>IFERROR(VLOOKUP(VLOOKUP(K203,$A$24:$B$1023,2,FALSE),'Scratch Sheet'!$U$23:$Y$32,5,FALSE)*VLOOKUP(VLOOKUP(K203,$A$24:$E$1023,5,FALSE),'Scratch Sheet'!$L$22:$M$30,2,FALSE),"")</f>
        <v>9600</v>
      </c>
      <c r="N203" s="675">
        <v>730</v>
      </c>
      <c r="O203" s="675" t="str" cm="1">
        <f t="array" ref="O203">IF(OR(INDEX($B$24:$B$1023,N203)="P10",INDEX($B$24:$B$1023,N203)="P11",INDEX($B$24:$B$1023,N203)="P12",INDEX($B$24:$B$1023,N203)="P13"),"C",IF(OR(INDEX($B$24:$B$1023,N203)="P14",INDEX($B$24:$B$1023,N203)="P15",INDEX($B$24:$B$1023,N203)="P16"),"N","O"))&amp;IF(MOD(N203,100)&lt;20,1,IF(MOD(N203,100)&lt;70,2,3))</f>
        <v>C2</v>
      </c>
    </row>
    <row r="204" spans="1:15" ht="16.5" thickBot="1">
      <c r="A204" s="662">
        <v>181</v>
      </c>
      <c r="B204" s="661" t="str" cm="1">
        <f t="array" ref="B204">"P"&amp;INDEX(X!$CL$2:$CL$12,'Scratch Sheet'!H203+1)+9</f>
        <v>P10</v>
      </c>
      <c r="C204" s="661">
        <v>1</v>
      </c>
      <c r="D204" s="755">
        <f t="shared" si="8"/>
        <v>1920</v>
      </c>
      <c r="E204" s="682" t="str">
        <f t="shared" si="9"/>
        <v>C3</v>
      </c>
      <c r="F204" s="683">
        <f t="shared" si="10"/>
        <v>3</v>
      </c>
      <c r="H204" s="13">
        <v>429</v>
      </c>
      <c r="I204" s="13">
        <f>VLOOKUP(VLOOKUP(H204,$A$24:$B$1023,2,FALSE),'Scratch Sheet'!$U$23:$X$32,3,FALSE)</f>
        <v>4</v>
      </c>
      <c r="K204" s="13">
        <f t="shared" si="11"/>
        <v>171</v>
      </c>
      <c r="L204" s="13">
        <f>IFERROR(VLOOKUP(VLOOKUP(K204,$A$24:$B$1023,2,FALSE),'Scratch Sheet'!$U$23:$Y$32,5,FALSE)*VLOOKUP(VLOOKUP(K204,$A$24:$E$1023,5,FALSE),'Scratch Sheet'!$L$22:$M$30,2,FALSE),"")</f>
        <v>3600</v>
      </c>
      <c r="N204" s="675">
        <v>733</v>
      </c>
      <c r="O204" s="675" t="str" cm="1">
        <f t="array" ref="O204">IF(OR(INDEX($B$24:$B$1023,N204)="P10",INDEX($B$24:$B$1023,N204)="P11",INDEX($B$24:$B$1023,N204)="P12",INDEX($B$24:$B$1023,N204)="P13"),"C",IF(OR(INDEX($B$24:$B$1023,N204)="P14",INDEX($B$24:$B$1023,N204)="P15",INDEX($B$24:$B$1023,N204)="P16"),"N","O"))&amp;IF(MOD(N204,100)&lt;20,1,IF(MOD(N204,100)&lt;70,2,3))</f>
        <v>C2</v>
      </c>
    </row>
    <row r="205" spans="1:15" ht="16.5" thickBot="1">
      <c r="A205" s="662">
        <v>182</v>
      </c>
      <c r="B205" s="661" t="str" cm="1">
        <f t="array" ref="B205">"P"&amp;INDEX(X!$CL$2:$CL$12,'Scratch Sheet'!H204+1)+9</f>
        <v>P10</v>
      </c>
      <c r="C205" s="661">
        <v>1</v>
      </c>
      <c r="D205" s="755">
        <f t="shared" si="8"/>
        <v>1920</v>
      </c>
      <c r="E205" s="682" t="str">
        <f t="shared" si="9"/>
        <v>C3</v>
      </c>
      <c r="F205" s="683">
        <f t="shared" si="10"/>
        <v>3</v>
      </c>
      <c r="H205" s="13">
        <v>302</v>
      </c>
      <c r="I205" s="13">
        <f>VLOOKUP(VLOOKUP(H205,$A$24:$B$1023,2,FALSE),'Scratch Sheet'!$U$23:$X$32,3,FALSE)</f>
        <v>11</v>
      </c>
      <c r="K205" s="13">
        <f t="shared" si="11"/>
        <v>182</v>
      </c>
      <c r="L205" s="13">
        <f>IFERROR(VLOOKUP(VLOOKUP(K205,$A$24:$B$1023,2,FALSE),'Scratch Sheet'!$U$23:$Y$32,5,FALSE)*VLOOKUP(VLOOKUP(K205,$A$24:$E$1023,5,FALSE),'Scratch Sheet'!$L$22:$M$30,2,FALSE),"")</f>
        <v>1920</v>
      </c>
      <c r="N205" s="675">
        <v>742</v>
      </c>
      <c r="O205" s="675" t="str" cm="1">
        <f t="array" ref="O205">IF(OR(INDEX($B$24:$B$1023,N205)="P10",INDEX($B$24:$B$1023,N205)="P11",INDEX($B$24:$B$1023,N205)="P12",INDEX($B$24:$B$1023,N205)="P13"),"C",IF(OR(INDEX($B$24:$B$1023,N205)="P14",INDEX($B$24:$B$1023,N205)="P15",INDEX($B$24:$B$1023,N205)="P16"),"N","O"))&amp;IF(MOD(N205,100)&lt;20,1,IF(MOD(N205,100)&lt;70,2,3))</f>
        <v>C2</v>
      </c>
    </row>
    <row r="206" spans="1:15" ht="16.5" thickBot="1">
      <c r="A206" s="662">
        <v>183</v>
      </c>
      <c r="B206" s="661" t="str" cm="1">
        <f t="array" ref="B206">"P"&amp;INDEX(X!$CL$2:$CL$12,'Scratch Sheet'!H205+1)+9</f>
        <v>P11</v>
      </c>
      <c r="C206" s="661">
        <v>1</v>
      </c>
      <c r="D206" s="755">
        <f t="shared" si="8"/>
        <v>8800</v>
      </c>
      <c r="E206" s="682" t="str">
        <f t="shared" si="9"/>
        <v>C3</v>
      </c>
      <c r="F206" s="683">
        <f t="shared" si="10"/>
        <v>11</v>
      </c>
      <c r="H206" s="13">
        <v>662</v>
      </c>
      <c r="I206" s="13">
        <f>VLOOKUP(VLOOKUP(H206,$A$24:$B$1023,2,FALSE),'Scratch Sheet'!$U$23:$X$32,3,FALSE)</f>
        <v>3</v>
      </c>
      <c r="K206" s="13">
        <f t="shared" si="11"/>
        <v>185</v>
      </c>
      <c r="L206" s="13">
        <f>IFERROR(VLOOKUP(VLOOKUP(K206,$A$24:$B$1023,2,FALSE),'Scratch Sheet'!$U$23:$Y$32,5,FALSE)*VLOOKUP(VLOOKUP(K206,$A$24:$E$1023,5,FALSE),'Scratch Sheet'!$L$22:$M$30,2,FALSE),"")</f>
        <v>7200</v>
      </c>
      <c r="N206" s="675">
        <v>743</v>
      </c>
      <c r="O206" s="675" t="str" cm="1">
        <f t="array" ref="O206">IF(OR(INDEX($B$24:$B$1023,N206)="P10",INDEX($B$24:$B$1023,N206)="P11",INDEX($B$24:$B$1023,N206)="P12",INDEX($B$24:$B$1023,N206)="P13"),"C",IF(OR(INDEX($B$24:$B$1023,N206)="P14",INDEX($B$24:$B$1023,N206)="P15",INDEX($B$24:$B$1023,N206)="P16"),"N","O"))&amp;IF(MOD(N206,100)&lt;20,1,IF(MOD(N206,100)&lt;70,2,3))</f>
        <v>C2</v>
      </c>
    </row>
    <row r="207" spans="1:15" ht="16.5" thickBot="1">
      <c r="A207" s="662">
        <v>184</v>
      </c>
      <c r="B207" s="661" t="str" cm="1">
        <f t="array" ref="B207">"P"&amp;INDEX(X!$CL$2:$CL$12,'Scratch Sheet'!H206+1)+9</f>
        <v>P18</v>
      </c>
      <c r="C207" s="661">
        <v>1</v>
      </c>
      <c r="D207" s="755">
        <f t="shared" si="8"/>
        <v>4320</v>
      </c>
      <c r="E207" s="682" t="str">
        <f t="shared" si="9"/>
        <v>O3</v>
      </c>
      <c r="F207" s="683">
        <f t="shared" si="10"/>
        <v>6</v>
      </c>
      <c r="H207" s="13">
        <v>911</v>
      </c>
      <c r="I207" s="13">
        <f>VLOOKUP(VLOOKUP(H207,$A$24:$B$1023,2,FALSE),'Scratch Sheet'!$U$23:$X$32,3,FALSE)</f>
        <v>6.5</v>
      </c>
      <c r="K207" s="13">
        <f t="shared" si="11"/>
        <v>184</v>
      </c>
      <c r="L207" s="13">
        <f>IFERROR(VLOOKUP(VLOOKUP(K207,$A$24:$B$1023,2,FALSE),'Scratch Sheet'!$U$23:$Y$32,5,FALSE)*VLOOKUP(VLOOKUP(K207,$A$24:$E$1023,5,FALSE),'Scratch Sheet'!$L$22:$M$30,2,FALSE),"")</f>
        <v>4320</v>
      </c>
      <c r="N207" s="675">
        <v>747</v>
      </c>
      <c r="O207" s="675" t="str" cm="1">
        <f t="array" ref="O207">IF(OR(INDEX($B$24:$B$1023,N207)="P10",INDEX($B$24:$B$1023,N207)="P11",INDEX($B$24:$B$1023,N207)="P12",INDEX($B$24:$B$1023,N207)="P13"),"C",IF(OR(INDEX($B$24:$B$1023,N207)="P14",INDEX($B$24:$B$1023,N207)="P15",INDEX($B$24:$B$1023,N207)="P16"),"N","O"))&amp;IF(MOD(N207,100)&lt;20,1,IF(MOD(N207,100)&lt;70,2,3))</f>
        <v>C2</v>
      </c>
    </row>
    <row r="208" spans="1:15" ht="16.5" thickBot="1">
      <c r="A208" s="662">
        <v>185</v>
      </c>
      <c r="B208" s="661" t="str" cm="1">
        <f t="array" ref="B208">"P"&amp;INDEX(X!$CL$2:$CL$12,'Scratch Sheet'!H207+1)+9</f>
        <v>P14</v>
      </c>
      <c r="C208" s="661">
        <v>1</v>
      </c>
      <c r="D208" s="755">
        <f t="shared" si="8"/>
        <v>7200</v>
      </c>
      <c r="E208" s="682" t="str">
        <f t="shared" si="9"/>
        <v>N3</v>
      </c>
      <c r="F208" s="683">
        <f t="shared" si="10"/>
        <v>8</v>
      </c>
      <c r="H208" s="13">
        <v>603</v>
      </c>
      <c r="I208" s="13">
        <f>VLOOKUP(VLOOKUP(H208,$A$24:$B$1023,2,FALSE),'Scratch Sheet'!$U$23:$X$32,3,FALSE)</f>
        <v>11</v>
      </c>
      <c r="K208" s="13">
        <f t="shared" si="11"/>
        <v>179</v>
      </c>
      <c r="L208" s="13">
        <f>IFERROR(VLOOKUP(VLOOKUP(K208,$A$24:$B$1023,2,FALSE),'Scratch Sheet'!$U$23:$Y$32,5,FALSE)*VLOOKUP(VLOOKUP(K208,$A$24:$E$1023,5,FALSE),'Scratch Sheet'!$L$22:$M$30,2,FALSE),"")</f>
        <v>8800</v>
      </c>
      <c r="N208" s="675">
        <v>750</v>
      </c>
      <c r="O208" s="675" t="str" cm="1">
        <f t="array" ref="O208">IF(OR(INDEX($B$24:$B$1023,N208)="P10",INDEX($B$24:$B$1023,N208)="P11",INDEX($B$24:$B$1023,N208)="P12",INDEX($B$24:$B$1023,N208)="P13"),"C",IF(OR(INDEX($B$24:$B$1023,N208)="P14",INDEX($B$24:$B$1023,N208)="P15",INDEX($B$24:$B$1023,N208)="P16"),"N","O"))&amp;IF(MOD(N208,100)&lt;20,1,IF(MOD(N208,100)&lt;70,2,3))</f>
        <v>C2</v>
      </c>
    </row>
    <row r="209" spans="1:15" ht="16.5" thickBot="1">
      <c r="A209" s="662">
        <v>186</v>
      </c>
      <c r="B209" s="661" t="str" cm="1">
        <f t="array" ref="B209">"P"&amp;INDEX(X!$CL$2:$CL$12,'Scratch Sheet'!H208+1)+9</f>
        <v>P10</v>
      </c>
      <c r="C209" s="661">
        <v>1</v>
      </c>
      <c r="D209" s="755">
        <f t="shared" si="8"/>
        <v>1920</v>
      </c>
      <c r="E209" s="682" t="str">
        <f t="shared" si="9"/>
        <v>C3</v>
      </c>
      <c r="F209" s="683">
        <f t="shared" si="10"/>
        <v>3</v>
      </c>
      <c r="H209" s="13">
        <v>653</v>
      </c>
      <c r="I209" s="13">
        <f>VLOOKUP(VLOOKUP(H209,$A$24:$B$1023,2,FALSE),'Scratch Sheet'!$U$23:$X$32,3,FALSE)</f>
        <v>5</v>
      </c>
      <c r="K209" s="13">
        <f t="shared" si="11"/>
        <v>181</v>
      </c>
      <c r="L209" s="13">
        <f>IFERROR(VLOOKUP(VLOOKUP(K209,$A$24:$B$1023,2,FALSE),'Scratch Sheet'!$U$23:$Y$32,5,FALSE)*VLOOKUP(VLOOKUP(K209,$A$24:$E$1023,5,FALSE),'Scratch Sheet'!$L$22:$M$30,2,FALSE),"")</f>
        <v>1920</v>
      </c>
      <c r="N209" s="675">
        <v>759</v>
      </c>
      <c r="O209" s="675" t="str" cm="1">
        <f t="array" ref="O209">IF(OR(INDEX($B$24:$B$1023,N209)="P10",INDEX($B$24:$B$1023,N209)="P11",INDEX($B$24:$B$1023,N209)="P12",INDEX($B$24:$B$1023,N209)="P13"),"C",IF(OR(INDEX($B$24:$B$1023,N209)="P14",INDEX($B$24:$B$1023,N209)="P15",INDEX($B$24:$B$1023,N209)="P16"),"N","O"))&amp;IF(MOD(N209,100)&lt;20,1,IF(MOD(N209,100)&lt;70,2,3))</f>
        <v>C2</v>
      </c>
    </row>
    <row r="210" spans="1:15" ht="16.5" thickBot="1">
      <c r="A210" s="662">
        <v>187</v>
      </c>
      <c r="B210" s="661" t="str" cm="1">
        <f t="array" ref="B210">"P"&amp;INDEX(X!$CL$2:$CL$12,'Scratch Sheet'!H209+1)+9</f>
        <v>P13</v>
      </c>
      <c r="C210" s="661">
        <v>1</v>
      </c>
      <c r="D210" s="755">
        <f t="shared" si="8"/>
        <v>3600</v>
      </c>
      <c r="E210" s="682" t="str">
        <f t="shared" si="9"/>
        <v>C3</v>
      </c>
      <c r="F210" s="683">
        <f t="shared" si="10"/>
        <v>5</v>
      </c>
      <c r="H210" s="13">
        <v>682</v>
      </c>
      <c r="I210" s="13">
        <f>VLOOKUP(VLOOKUP(H210,$A$24:$B$1023,2,FALSE),'Scratch Sheet'!$U$23:$X$32,3,FALSE)</f>
        <v>3</v>
      </c>
      <c r="K210" s="13">
        <f t="shared" si="11"/>
        <v>180</v>
      </c>
      <c r="L210" s="13">
        <f>IFERROR(VLOOKUP(VLOOKUP(K210,$A$24:$B$1023,2,FALSE),'Scratch Sheet'!$U$23:$Y$32,5,FALSE)*VLOOKUP(VLOOKUP(K210,$A$24:$E$1023,5,FALSE),'Scratch Sheet'!$L$22:$M$30,2,FALSE),"")</f>
        <v>5460</v>
      </c>
      <c r="N210" s="675">
        <v>760</v>
      </c>
      <c r="O210" s="675" t="str" cm="1">
        <f t="array" ref="O210">IF(OR(INDEX($B$24:$B$1023,N210)="P10",INDEX($B$24:$B$1023,N210)="P11",INDEX($B$24:$B$1023,N210)="P12",INDEX($B$24:$B$1023,N210)="P13"),"C",IF(OR(INDEX($B$24:$B$1023,N210)="P14",INDEX($B$24:$B$1023,N210)="P15",INDEX($B$24:$B$1023,N210)="P16"),"N","O"))&amp;IF(MOD(N210,100)&lt;20,1,IF(MOD(N210,100)&lt;70,2,3))</f>
        <v>C2</v>
      </c>
    </row>
    <row r="211" spans="1:15" ht="16.5" thickBot="1">
      <c r="A211" s="662">
        <v>188</v>
      </c>
      <c r="B211" s="661" t="str" cm="1">
        <f t="array" ref="B211">"P"&amp;INDEX(X!$CL$2:$CL$12,'Scratch Sheet'!H210+1)+9</f>
        <v>P13</v>
      </c>
      <c r="C211" s="661">
        <v>1</v>
      </c>
      <c r="D211" s="755">
        <f t="shared" si="8"/>
        <v>3600</v>
      </c>
      <c r="E211" s="682" t="str">
        <f t="shared" si="9"/>
        <v>C3</v>
      </c>
      <c r="F211" s="683">
        <f t="shared" si="10"/>
        <v>5</v>
      </c>
      <c r="H211" s="13">
        <v>839</v>
      </c>
      <c r="I211" s="13">
        <f>VLOOKUP(VLOOKUP(H211,$A$24:$B$1023,2,FALSE),'Scratch Sheet'!$U$23:$X$32,3,FALSE)</f>
        <v>12</v>
      </c>
      <c r="K211" s="13">
        <f t="shared" si="11"/>
        <v>183</v>
      </c>
      <c r="L211" s="13">
        <f>IFERROR(VLOOKUP(VLOOKUP(K211,$A$24:$B$1023,2,FALSE),'Scratch Sheet'!$U$23:$Y$32,5,FALSE)*VLOOKUP(VLOOKUP(K211,$A$24:$E$1023,5,FALSE),'Scratch Sheet'!$L$22:$M$30,2,FALSE),"")</f>
        <v>8800</v>
      </c>
      <c r="N211" s="675">
        <v>764</v>
      </c>
      <c r="O211" s="675" t="str" cm="1">
        <f t="array" ref="O211">IF(OR(INDEX($B$24:$B$1023,N211)="P10",INDEX($B$24:$B$1023,N211)="P11",INDEX($B$24:$B$1023,N211)="P12",INDEX($B$24:$B$1023,N211)="P13"),"C",IF(OR(INDEX($B$24:$B$1023,N211)="P14",INDEX($B$24:$B$1023,N211)="P15",INDEX($B$24:$B$1023,N211)="P16"),"N","O"))&amp;IF(MOD(N211,100)&lt;20,1,IF(MOD(N211,100)&lt;70,2,3))</f>
        <v>C2</v>
      </c>
    </row>
    <row r="212" spans="1:15" ht="16.5" thickBot="1">
      <c r="A212" s="662">
        <v>189</v>
      </c>
      <c r="B212" s="661" t="str" cm="1">
        <f t="array" ref="B212">"P"&amp;INDEX(X!$CL$2:$CL$12,'Scratch Sheet'!H211+1)+9</f>
        <v>P10</v>
      </c>
      <c r="C212" s="661">
        <v>1</v>
      </c>
      <c r="D212" s="755">
        <f t="shared" si="8"/>
        <v>1920</v>
      </c>
      <c r="E212" s="682" t="str">
        <f t="shared" si="9"/>
        <v>C3</v>
      </c>
      <c r="F212" s="683">
        <f t="shared" si="10"/>
        <v>3</v>
      </c>
      <c r="H212" s="13">
        <v>579</v>
      </c>
      <c r="I212" s="13">
        <f>VLOOKUP(VLOOKUP(H212,$A$24:$B$1023,2,FALSE),'Scratch Sheet'!$U$23:$X$32,3,FALSE)</f>
        <v>5</v>
      </c>
      <c r="K212" s="13">
        <f t="shared" si="11"/>
        <v>189</v>
      </c>
      <c r="L212" s="13">
        <f>IFERROR(VLOOKUP(VLOOKUP(K212,$A$24:$B$1023,2,FALSE),'Scratch Sheet'!$U$23:$Y$32,5,FALSE)*VLOOKUP(VLOOKUP(K212,$A$24:$E$1023,5,FALSE),'Scratch Sheet'!$L$22:$M$30,2,FALSE),"")</f>
        <v>1920</v>
      </c>
      <c r="N212" s="675">
        <v>767</v>
      </c>
      <c r="O212" s="675" t="str" cm="1">
        <f t="array" ref="O212">IF(OR(INDEX($B$24:$B$1023,N212)="P10",INDEX($B$24:$B$1023,N212)="P11",INDEX($B$24:$B$1023,N212)="P12",INDEX($B$24:$B$1023,N212)="P13"),"C",IF(OR(INDEX($B$24:$B$1023,N212)="P14",INDEX($B$24:$B$1023,N212)="P15",INDEX($B$24:$B$1023,N212)="P16"),"N","O"))&amp;IF(MOD(N212,100)&lt;20,1,IF(MOD(N212,100)&lt;70,2,3))</f>
        <v>C2</v>
      </c>
    </row>
    <row r="213" spans="1:15" ht="16.5" thickBot="1">
      <c r="A213" s="662">
        <v>190</v>
      </c>
      <c r="B213" s="661" t="str" cm="1">
        <f t="array" ref="B213">"P"&amp;INDEX(X!$CL$2:$CL$12,'Scratch Sheet'!H212+1)+9</f>
        <v>P11</v>
      </c>
      <c r="C213" s="661">
        <v>1</v>
      </c>
      <c r="D213" s="755">
        <f t="shared" si="8"/>
        <v>8800</v>
      </c>
      <c r="E213" s="682" t="str">
        <f t="shared" si="9"/>
        <v>C3</v>
      </c>
      <c r="F213" s="683">
        <f t="shared" si="10"/>
        <v>11</v>
      </c>
      <c r="H213" s="13">
        <v>879</v>
      </c>
      <c r="I213" s="13">
        <f>VLOOKUP(VLOOKUP(H213,$A$24:$B$1023,2,FALSE),'Scratch Sheet'!$U$23:$X$32,3,FALSE)</f>
        <v>3</v>
      </c>
      <c r="K213" s="13">
        <f t="shared" si="11"/>
        <v>191</v>
      </c>
      <c r="L213" s="13">
        <f>IFERROR(VLOOKUP(VLOOKUP(K213,$A$24:$B$1023,2,FALSE),'Scratch Sheet'!$U$23:$Y$32,5,FALSE)*VLOOKUP(VLOOKUP(K213,$A$24:$E$1023,5,FALSE),'Scratch Sheet'!$L$22:$M$30,2,FALSE),"")</f>
        <v>5200</v>
      </c>
      <c r="N213" s="675">
        <v>776</v>
      </c>
      <c r="O213" s="675" t="str" cm="1">
        <f t="array" ref="O213">IF(OR(INDEX($B$24:$B$1023,N213)="P10",INDEX($B$24:$B$1023,N213)="P11",INDEX($B$24:$B$1023,N213)="P12",INDEX($B$24:$B$1023,N213)="P13"),"C",IF(OR(INDEX($B$24:$B$1023,N213)="P14",INDEX($B$24:$B$1023,N213)="P15",INDEX($B$24:$B$1023,N213)="P16"),"N","O"))&amp;IF(MOD(N213,100)&lt;20,1,IF(MOD(N213,100)&lt;70,2,3))</f>
        <v>C3</v>
      </c>
    </row>
    <row r="214" spans="1:15" ht="16.5" thickBot="1">
      <c r="A214" s="662">
        <v>191</v>
      </c>
      <c r="B214" s="661" t="str" cm="1">
        <f t="array" ref="B214">"P"&amp;INDEX(X!$CL$2:$CL$12,'Scratch Sheet'!H213+1)+9</f>
        <v>P16</v>
      </c>
      <c r="C214" s="661">
        <v>1</v>
      </c>
      <c r="D214" s="755">
        <f t="shared" si="8"/>
        <v>5200</v>
      </c>
      <c r="E214" s="682" t="str">
        <f t="shared" si="9"/>
        <v>N3</v>
      </c>
      <c r="F214" s="683">
        <f t="shared" si="10"/>
        <v>4</v>
      </c>
      <c r="H214" s="13">
        <v>773</v>
      </c>
      <c r="I214" s="13">
        <f>VLOOKUP(VLOOKUP(H214,$A$24:$B$1023,2,FALSE),'Scratch Sheet'!$U$23:$X$32,3,FALSE)</f>
        <v>11</v>
      </c>
      <c r="K214" s="13">
        <f t="shared" si="11"/>
        <v>190</v>
      </c>
      <c r="L214" s="13">
        <f>IFERROR(VLOOKUP(VLOOKUP(K214,$A$24:$B$1023,2,FALSE),'Scratch Sheet'!$U$23:$Y$32,5,FALSE)*VLOOKUP(VLOOKUP(K214,$A$24:$E$1023,5,FALSE),'Scratch Sheet'!$L$22:$M$30,2,FALSE),"")</f>
        <v>8800</v>
      </c>
      <c r="N214" s="675">
        <v>777</v>
      </c>
      <c r="O214" s="675" t="str" cm="1">
        <f t="array" ref="O214">IF(OR(INDEX($B$24:$B$1023,N214)="P10",INDEX($B$24:$B$1023,N214)="P11",INDEX($B$24:$B$1023,N214)="P12",INDEX($B$24:$B$1023,N214)="P13"),"C",IF(OR(INDEX($B$24:$B$1023,N214)="P14",INDEX($B$24:$B$1023,N214)="P15",INDEX($B$24:$B$1023,N214)="P16"),"N","O"))&amp;IF(MOD(N214,100)&lt;20,1,IF(MOD(N214,100)&lt;70,2,3))</f>
        <v>C3</v>
      </c>
    </row>
    <row r="215" spans="1:15" ht="16.5" thickBot="1">
      <c r="A215" s="662">
        <v>192</v>
      </c>
      <c r="B215" s="661" t="str" cm="1">
        <f t="array" ref="B215">"P"&amp;INDEX(X!$CL$2:$CL$12,'Scratch Sheet'!H214+1)+9</f>
        <v>P17</v>
      </c>
      <c r="C215" s="661">
        <v>1</v>
      </c>
      <c r="D215" s="755">
        <f t="shared" si="8"/>
        <v>9600</v>
      </c>
      <c r="E215" s="682" t="str">
        <f t="shared" si="9"/>
        <v>O3</v>
      </c>
      <c r="F215" s="683">
        <f t="shared" si="10"/>
        <v>12</v>
      </c>
      <c r="H215" s="13">
        <v>128</v>
      </c>
      <c r="I215" s="13">
        <f>VLOOKUP(VLOOKUP(H215,$A$24:$B$1023,2,FALSE),'Scratch Sheet'!$U$23:$X$32,3,FALSE)</f>
        <v>11</v>
      </c>
      <c r="K215" s="13">
        <f t="shared" si="11"/>
        <v>186</v>
      </c>
      <c r="L215" s="13">
        <f>IFERROR(VLOOKUP(VLOOKUP(K215,$A$24:$B$1023,2,FALSE),'Scratch Sheet'!$U$23:$Y$32,5,FALSE)*VLOOKUP(VLOOKUP(K215,$A$24:$E$1023,5,FALSE),'Scratch Sheet'!$L$22:$M$30,2,FALSE),"")</f>
        <v>1920</v>
      </c>
      <c r="N215" s="675">
        <v>19</v>
      </c>
      <c r="O215" s="675" t="str" cm="1">
        <f t="array" ref="O215">IF(OR(INDEX($B$24:$B$1023,N215)="P10",INDEX($B$24:$B$1023,N215)="P11",INDEX($B$24:$B$1023,N215)="P12",INDEX($B$24:$B$1023,N215)="P13"),"C",IF(OR(INDEX($B$24:$B$1023,N215)="P14",INDEX($B$24:$B$1023,N215)="P15",INDEX($B$24:$B$1023,N215)="P16"),"N","O"))&amp;IF(MOD(N215,100)&lt;20,1,IF(MOD(N215,100)&lt;70,2,3))</f>
        <v>O1</v>
      </c>
    </row>
    <row r="216" spans="1:15" ht="16.5" thickBot="1">
      <c r="A216" s="662">
        <v>193</v>
      </c>
      <c r="B216" s="661" t="str" cm="1">
        <f t="array" ref="B216">"P"&amp;INDEX(X!$CL$2:$CL$12,'Scratch Sheet'!H215+1)+9</f>
        <v>P17</v>
      </c>
      <c r="C216" s="661">
        <v>1</v>
      </c>
      <c r="D216" s="755">
        <f t="shared" si="8"/>
        <v>9600</v>
      </c>
      <c r="E216" s="682" t="str">
        <f t="shared" si="9"/>
        <v>O3</v>
      </c>
      <c r="F216" s="683">
        <f t="shared" si="10"/>
        <v>12</v>
      </c>
      <c r="H216" s="13">
        <v>33</v>
      </c>
      <c r="I216" s="13">
        <f>VLOOKUP(VLOOKUP(H216,$A$24:$B$1023,2,FALSE),'Scratch Sheet'!$U$23:$X$32,3,FALSE)</f>
        <v>12</v>
      </c>
      <c r="K216" s="13">
        <f t="shared" si="11"/>
        <v>188</v>
      </c>
      <c r="L216" s="13">
        <f>IFERROR(VLOOKUP(VLOOKUP(K216,$A$24:$B$1023,2,FALSE),'Scratch Sheet'!$U$23:$Y$32,5,FALSE)*VLOOKUP(VLOOKUP(K216,$A$24:$E$1023,5,FALSE),'Scratch Sheet'!$L$22:$M$30,2,FALSE),"")</f>
        <v>3600</v>
      </c>
      <c r="N216" s="675">
        <v>36</v>
      </c>
      <c r="O216" s="675" t="str" cm="1">
        <f t="array" ref="O216">IF(OR(INDEX($B$24:$B$1023,N216)="P10",INDEX($B$24:$B$1023,N216)="P11",INDEX($B$24:$B$1023,N216)="P12",INDEX($B$24:$B$1023,N216)="P13"),"C",IF(OR(INDEX($B$24:$B$1023,N216)="P14",INDEX($B$24:$B$1023,N216)="P15",INDEX($B$24:$B$1023,N216)="P16"),"N","O"))&amp;IF(MOD(N216,100)&lt;20,1,IF(MOD(N216,100)&lt;70,2,3))</f>
        <v>O2</v>
      </c>
    </row>
    <row r="217" spans="1:15" ht="16.5" thickBot="1">
      <c r="A217" s="662">
        <v>194</v>
      </c>
      <c r="B217" s="661" t="str" cm="1">
        <f t="array" ref="B217">"P"&amp;INDEX(X!$CL$2:$CL$12,'Scratch Sheet'!H216+1)+9</f>
        <v>P13</v>
      </c>
      <c r="C217" s="661">
        <v>1</v>
      </c>
      <c r="D217" s="755">
        <f t="shared" ref="D217:D280" si="12">SUMIF($K$24:$K$1053, $A217, $L$24:$L$1053)</f>
        <v>7200</v>
      </c>
      <c r="E217" s="682" t="str">
        <f t="shared" ref="E217:E280" si="13">INDEX($O$24:$O$1023,MATCH($A217,$N$24:$N$1023,0))</f>
        <v>C3</v>
      </c>
      <c r="F217" s="683">
        <f t="shared" ref="F217:F280" si="14">VLOOKUP(A217, $H$24:$I$1023, 2, FALSE)</f>
        <v>5</v>
      </c>
      <c r="H217" s="13">
        <v>898</v>
      </c>
      <c r="I217" s="13">
        <f>VLOOKUP(VLOOKUP(H217,$A$24:$B$1023,2,FALSE),'Scratch Sheet'!$U$23:$X$32,3,FALSE)</f>
        <v>6</v>
      </c>
      <c r="K217" s="13">
        <f t="shared" si="11"/>
        <v>187</v>
      </c>
      <c r="L217" s="13">
        <f>IFERROR(VLOOKUP(VLOOKUP(K217,$A$24:$B$1023,2,FALSE),'Scratch Sheet'!$U$23:$Y$32,5,FALSE)*VLOOKUP(VLOOKUP(K217,$A$24:$E$1023,5,FALSE),'Scratch Sheet'!$L$22:$M$30,2,FALSE),"")</f>
        <v>3600</v>
      </c>
      <c r="N217" s="675">
        <v>61</v>
      </c>
      <c r="O217" s="675" t="str" cm="1">
        <f t="array" ref="O217">IF(OR(INDEX($B$24:$B$1023,N217)="P10",INDEX($B$24:$B$1023,N217)="P11",INDEX($B$24:$B$1023,N217)="P12",INDEX($B$24:$B$1023,N217)="P13"),"C",IF(OR(INDEX($B$24:$B$1023,N217)="P14",INDEX($B$24:$B$1023,N217)="P15",INDEX($B$24:$B$1023,N217)="P16"),"N","O"))&amp;IF(MOD(N217,100)&lt;20,1,IF(MOD(N217,100)&lt;70,2,3))</f>
        <v>O2</v>
      </c>
    </row>
    <row r="218" spans="1:15" ht="16.5" thickBot="1">
      <c r="A218" s="662">
        <v>195</v>
      </c>
      <c r="B218" s="661" t="str" cm="1">
        <f t="array" ref="B218">"P"&amp;INDEX(X!$CL$2:$CL$12,'Scratch Sheet'!H217+1)+9</f>
        <v>P11</v>
      </c>
      <c r="C218" s="661">
        <v>1</v>
      </c>
      <c r="D218" s="755">
        <f t="shared" si="12"/>
        <v>8800</v>
      </c>
      <c r="E218" s="682" t="str">
        <f t="shared" si="13"/>
        <v>C3</v>
      </c>
      <c r="F218" s="683">
        <f t="shared" si="14"/>
        <v>11</v>
      </c>
      <c r="H218" s="13">
        <v>270</v>
      </c>
      <c r="I218" s="13">
        <f>VLOOKUP(VLOOKUP(H218,$A$24:$B$1023,2,FALSE),'Scratch Sheet'!$U$23:$X$32,3,FALSE)</f>
        <v>8</v>
      </c>
      <c r="K218" s="13">
        <f t="shared" si="11"/>
        <v>194</v>
      </c>
      <c r="L218" s="13">
        <f>IFERROR(VLOOKUP(VLOOKUP(K218,$A$24:$B$1023,2,FALSE),'Scratch Sheet'!$U$23:$Y$32,5,FALSE)*VLOOKUP(VLOOKUP(K218,$A$24:$E$1023,5,FALSE),'Scratch Sheet'!$L$22:$M$30,2,FALSE),"")</f>
        <v>3600</v>
      </c>
      <c r="N218" s="675">
        <v>68</v>
      </c>
      <c r="O218" s="675" t="str" cm="1">
        <f t="array" ref="O218">IF(OR(INDEX($B$24:$B$1023,N218)="P10",INDEX($B$24:$B$1023,N218)="P11",INDEX($B$24:$B$1023,N218)="P12",INDEX($B$24:$B$1023,N218)="P13"),"C",IF(OR(INDEX($B$24:$B$1023,N218)="P14",INDEX($B$24:$B$1023,N218)="P15",INDEX($B$24:$B$1023,N218)="P16"),"N","O"))&amp;IF(MOD(N218,100)&lt;20,1,IF(MOD(N218,100)&lt;70,2,3))</f>
        <v>O2</v>
      </c>
    </row>
    <row r="219" spans="1:15" ht="16.5" thickBot="1">
      <c r="A219" s="662">
        <v>196</v>
      </c>
      <c r="B219" s="661" t="str" cm="1">
        <f t="array" ref="B219">"P"&amp;INDEX(X!$CL$2:$CL$12,'Scratch Sheet'!H218+1)+9</f>
        <v>P11</v>
      </c>
      <c r="C219" s="661">
        <v>1</v>
      </c>
      <c r="D219" s="755">
        <f t="shared" si="12"/>
        <v>8800</v>
      </c>
      <c r="E219" s="682" t="str">
        <f t="shared" si="13"/>
        <v>C3</v>
      </c>
      <c r="F219" s="683">
        <f t="shared" si="14"/>
        <v>11</v>
      </c>
      <c r="H219" s="13">
        <v>861</v>
      </c>
      <c r="I219" s="13">
        <f>VLOOKUP(VLOOKUP(H219,$A$24:$B$1023,2,FALSE),'Scratch Sheet'!$U$23:$X$32,3,FALSE)</f>
        <v>3</v>
      </c>
      <c r="K219" s="13">
        <f t="shared" si="11"/>
        <v>196</v>
      </c>
      <c r="L219" s="13">
        <f>IFERROR(VLOOKUP(VLOOKUP(K219,$A$24:$B$1023,2,FALSE),'Scratch Sheet'!$U$23:$Y$32,5,FALSE)*VLOOKUP(VLOOKUP(K219,$A$24:$E$1023,5,FALSE),'Scratch Sheet'!$L$22:$M$30,2,FALSE),"")</f>
        <v>8800</v>
      </c>
      <c r="N219" s="675">
        <v>71</v>
      </c>
      <c r="O219" s="675" t="str" cm="1">
        <f t="array" ref="O219">IF(OR(INDEX($B$24:$B$1023,N219)="P10",INDEX($B$24:$B$1023,N219)="P11",INDEX($B$24:$B$1023,N219)="P12",INDEX($B$24:$B$1023,N219)="P13"),"C",IF(OR(INDEX($B$24:$B$1023,N219)="P14",INDEX($B$24:$B$1023,N219)="P15",INDEX($B$24:$B$1023,N219)="P16"),"N","O"))&amp;IF(MOD(N219,100)&lt;20,1,IF(MOD(N219,100)&lt;70,2,3))</f>
        <v>O3</v>
      </c>
    </row>
    <row r="220" spans="1:15" ht="16.5" thickBot="1">
      <c r="A220" s="662">
        <v>197</v>
      </c>
      <c r="B220" s="661" t="str" cm="1">
        <f t="array" ref="B220">"P"&amp;INDEX(X!$CL$2:$CL$12,'Scratch Sheet'!H219+1)+9</f>
        <v>P12</v>
      </c>
      <c r="C220" s="661">
        <v>1</v>
      </c>
      <c r="D220" s="755">
        <f t="shared" si="12"/>
        <v>5460</v>
      </c>
      <c r="E220" s="682" t="str">
        <f t="shared" si="13"/>
        <v>C3</v>
      </c>
      <c r="F220" s="683">
        <f t="shared" si="14"/>
        <v>6.5</v>
      </c>
      <c r="H220" s="13">
        <v>457</v>
      </c>
      <c r="I220" s="13">
        <f>VLOOKUP(VLOOKUP(H220,$A$24:$B$1023,2,FALSE),'Scratch Sheet'!$U$23:$X$32,3,FALSE)</f>
        <v>8</v>
      </c>
      <c r="K220" s="13">
        <f t="shared" si="11"/>
        <v>195</v>
      </c>
      <c r="L220" s="13">
        <f>IFERROR(VLOOKUP(VLOOKUP(K220,$A$24:$B$1023,2,FALSE),'Scratch Sheet'!$U$23:$Y$32,5,FALSE)*VLOOKUP(VLOOKUP(K220,$A$24:$E$1023,5,FALSE),'Scratch Sheet'!$L$22:$M$30,2,FALSE),"")</f>
        <v>8800</v>
      </c>
      <c r="N220" s="675">
        <v>77</v>
      </c>
      <c r="O220" s="675" t="str" cm="1">
        <f t="array" ref="O220">IF(OR(INDEX($B$24:$B$1023,N220)="P10",INDEX($B$24:$B$1023,N220)="P11",INDEX($B$24:$B$1023,N220)="P12",INDEX($B$24:$B$1023,N220)="P13"),"C",IF(OR(INDEX($B$24:$B$1023,N220)="P14",INDEX($B$24:$B$1023,N220)="P15",INDEX($B$24:$B$1023,N220)="P16"),"N","O"))&amp;IF(MOD(N220,100)&lt;20,1,IF(MOD(N220,100)&lt;70,2,3))</f>
        <v>O3</v>
      </c>
    </row>
    <row r="221" spans="1:15" ht="16.5" thickBot="1">
      <c r="A221" s="662">
        <v>198</v>
      </c>
      <c r="B221" s="661" t="str" cm="1">
        <f t="array" ref="B221">"P"&amp;INDEX(X!$CL$2:$CL$12,'Scratch Sheet'!H220+1)+9</f>
        <v>P10</v>
      </c>
      <c r="C221" s="661">
        <v>1</v>
      </c>
      <c r="D221" s="755">
        <f t="shared" si="12"/>
        <v>1920</v>
      </c>
      <c r="E221" s="682" t="str">
        <f t="shared" si="13"/>
        <v>C3</v>
      </c>
      <c r="F221" s="683">
        <f t="shared" si="14"/>
        <v>3</v>
      </c>
      <c r="H221" s="13">
        <v>894</v>
      </c>
      <c r="I221" s="13">
        <f>VLOOKUP(VLOOKUP(H221,$A$24:$B$1023,2,FALSE),'Scratch Sheet'!$U$23:$X$32,3,FALSE)</f>
        <v>6.5</v>
      </c>
      <c r="K221" s="13">
        <f t="shared" si="11"/>
        <v>192</v>
      </c>
      <c r="L221" s="13">
        <f>IFERROR(VLOOKUP(VLOOKUP(K221,$A$24:$B$1023,2,FALSE),'Scratch Sheet'!$U$23:$Y$32,5,FALSE)*VLOOKUP(VLOOKUP(K221,$A$24:$E$1023,5,FALSE),'Scratch Sheet'!$L$22:$M$30,2,FALSE),"")</f>
        <v>9600</v>
      </c>
      <c r="N221" s="675">
        <v>142</v>
      </c>
      <c r="O221" s="675" t="str" cm="1">
        <f t="array" ref="O221">IF(OR(INDEX($B$24:$B$1023,N221)="P10",INDEX($B$24:$B$1023,N221)="P11",INDEX($B$24:$B$1023,N221)="P12",INDEX($B$24:$B$1023,N221)="P13"),"C",IF(OR(INDEX($B$24:$B$1023,N221)="P14",INDEX($B$24:$B$1023,N221)="P15",INDEX($B$24:$B$1023,N221)="P16"),"N","O"))&amp;IF(MOD(N221,100)&lt;20,1,IF(MOD(N221,100)&lt;70,2,3))</f>
        <v>O2</v>
      </c>
    </row>
    <row r="222" spans="1:15" ht="16.5" thickBot="1">
      <c r="A222" s="662">
        <v>199</v>
      </c>
      <c r="B222" s="661" t="str" cm="1">
        <f t="array" ref="B222">"P"&amp;INDEX(X!$CL$2:$CL$12,'Scratch Sheet'!H221+1)+9</f>
        <v>P10</v>
      </c>
      <c r="C222" s="661">
        <v>1</v>
      </c>
      <c r="D222" s="755">
        <f t="shared" si="12"/>
        <v>1920</v>
      </c>
      <c r="E222" s="682" t="str">
        <f t="shared" si="13"/>
        <v>C3</v>
      </c>
      <c r="F222" s="683">
        <f t="shared" si="14"/>
        <v>3</v>
      </c>
      <c r="H222" s="13">
        <v>708</v>
      </c>
      <c r="I222" s="13">
        <f>VLOOKUP(VLOOKUP(H222,$A$24:$B$1023,2,FALSE),'Scratch Sheet'!$U$23:$X$32,3,FALSE)</f>
        <v>3</v>
      </c>
      <c r="K222" s="13">
        <f t="shared" si="11"/>
        <v>193</v>
      </c>
      <c r="L222" s="13">
        <f>IFERROR(VLOOKUP(VLOOKUP(K222,$A$24:$B$1023,2,FALSE),'Scratch Sheet'!$U$23:$Y$32,5,FALSE)*VLOOKUP(VLOOKUP(K222,$A$24:$E$1023,5,FALSE),'Scratch Sheet'!$L$22:$M$30,2,FALSE),"")</f>
        <v>9600</v>
      </c>
      <c r="N222" s="675">
        <v>158</v>
      </c>
      <c r="O222" s="675" t="str" cm="1">
        <f t="array" ref="O222">IF(OR(INDEX($B$24:$B$1023,N222)="P10",INDEX($B$24:$B$1023,N222)="P11",INDEX($B$24:$B$1023,N222)="P12",INDEX($B$24:$B$1023,N222)="P13"),"C",IF(OR(INDEX($B$24:$B$1023,N222)="P14",INDEX($B$24:$B$1023,N222)="P15",INDEX($B$24:$B$1023,N222)="P16"),"N","O"))&amp;IF(MOD(N222,100)&lt;20,1,IF(MOD(N222,100)&lt;70,2,3))</f>
        <v>O2</v>
      </c>
    </row>
    <row r="223" spans="1:15" ht="16.5" thickBot="1">
      <c r="A223" s="662">
        <v>200</v>
      </c>
      <c r="B223" s="661" t="str" cm="1">
        <f t="array" ref="B223">"P"&amp;INDEX(X!$CL$2:$CL$12,'Scratch Sheet'!H222+1)+9</f>
        <v>P11</v>
      </c>
      <c r="C223" s="661">
        <v>1</v>
      </c>
      <c r="D223" s="755">
        <f t="shared" si="12"/>
        <v>13200</v>
      </c>
      <c r="E223" s="682" t="str">
        <f t="shared" si="13"/>
        <v>C1</v>
      </c>
      <c r="F223" s="683">
        <f t="shared" si="14"/>
        <v>11</v>
      </c>
      <c r="H223" s="13">
        <v>37</v>
      </c>
      <c r="I223" s="13">
        <f>VLOOKUP(VLOOKUP(H223,$A$24:$B$1023,2,FALSE),'Scratch Sheet'!$U$23:$X$32,3,FALSE)</f>
        <v>6.5</v>
      </c>
      <c r="K223" s="13">
        <f t="shared" si="11"/>
        <v>198</v>
      </c>
      <c r="L223" s="13">
        <f>IFERROR(VLOOKUP(VLOOKUP(K223,$A$24:$B$1023,2,FALSE),'Scratch Sheet'!$U$23:$Y$32,5,FALSE)*VLOOKUP(VLOOKUP(K223,$A$24:$E$1023,5,FALSE),'Scratch Sheet'!$L$22:$M$30,2,FALSE),"")</f>
        <v>1920</v>
      </c>
      <c r="N223" s="675">
        <v>159</v>
      </c>
      <c r="O223" s="675" t="str" cm="1">
        <f t="array" ref="O223">IF(OR(INDEX($B$24:$B$1023,N223)="P10",INDEX($B$24:$B$1023,N223)="P11",INDEX($B$24:$B$1023,N223)="P12",INDEX($B$24:$B$1023,N223)="P13"),"C",IF(OR(INDEX($B$24:$B$1023,N223)="P14",INDEX($B$24:$B$1023,N223)="P15",INDEX($B$24:$B$1023,N223)="P16"),"N","O"))&amp;IF(MOD(N223,100)&lt;20,1,IF(MOD(N223,100)&lt;70,2,3))</f>
        <v>O2</v>
      </c>
    </row>
    <row r="224" spans="1:15" ht="16.5" thickBot="1">
      <c r="A224" s="662">
        <v>201</v>
      </c>
      <c r="B224" s="661" t="str" cm="1">
        <f t="array" ref="B224">"P"&amp;INDEX(X!$CL$2:$CL$12,'Scratch Sheet'!H223+1)+9</f>
        <v>P18</v>
      </c>
      <c r="C224" s="661">
        <v>1</v>
      </c>
      <c r="D224" s="755">
        <f t="shared" si="12"/>
        <v>4860</v>
      </c>
      <c r="E224" s="682" t="str">
        <f t="shared" si="13"/>
        <v>O1</v>
      </c>
      <c r="F224" s="683">
        <f t="shared" si="14"/>
        <v>6</v>
      </c>
      <c r="H224" s="13">
        <v>309</v>
      </c>
      <c r="I224" s="13">
        <f>VLOOKUP(VLOOKUP(H224,$A$24:$B$1023,2,FALSE),'Scratch Sheet'!$U$23:$X$32,3,FALSE)</f>
        <v>11</v>
      </c>
      <c r="K224" s="13">
        <f t="shared" si="11"/>
        <v>200</v>
      </c>
      <c r="L224" s="13">
        <f>IFERROR(VLOOKUP(VLOOKUP(K224,$A$24:$B$1023,2,FALSE),'Scratch Sheet'!$U$23:$Y$32,5,FALSE)*VLOOKUP(VLOOKUP(K224,$A$24:$E$1023,5,FALSE),'Scratch Sheet'!$L$22:$M$30,2,FALSE),"")</f>
        <v>13200</v>
      </c>
      <c r="N224" s="675">
        <v>175</v>
      </c>
      <c r="O224" s="675" t="str" cm="1">
        <f t="array" ref="O224">IF(OR(INDEX($B$24:$B$1023,N224)="P10",INDEX($B$24:$B$1023,N224)="P11",INDEX($B$24:$B$1023,N224)="P12",INDEX($B$24:$B$1023,N224)="P13"),"C",IF(OR(INDEX($B$24:$B$1023,N224)="P14",INDEX($B$24:$B$1023,N224)="P15",INDEX($B$24:$B$1023,N224)="P16"),"N","O"))&amp;IF(MOD(N224,100)&lt;20,1,IF(MOD(N224,100)&lt;70,2,3))</f>
        <v>O3</v>
      </c>
    </row>
    <row r="225" spans="1:15" ht="16.5" thickBot="1">
      <c r="A225" s="662">
        <v>202</v>
      </c>
      <c r="B225" s="661" t="str" cm="1">
        <f t="array" ref="B225">"P"&amp;INDEX(X!$CL$2:$CL$12,'Scratch Sheet'!H224+1)+9</f>
        <v>P14</v>
      </c>
      <c r="C225" s="661">
        <v>1</v>
      </c>
      <c r="D225" s="755">
        <f t="shared" si="12"/>
        <v>10080</v>
      </c>
      <c r="E225" s="682" t="str">
        <f t="shared" si="13"/>
        <v>N1</v>
      </c>
      <c r="F225" s="683">
        <f t="shared" si="14"/>
        <v>8</v>
      </c>
      <c r="H225" s="13">
        <v>217</v>
      </c>
      <c r="I225" s="13">
        <f>VLOOKUP(VLOOKUP(H225,$A$24:$B$1023,2,FALSE),'Scratch Sheet'!$U$23:$X$32,3,FALSE)</f>
        <v>11</v>
      </c>
      <c r="K225" s="13">
        <f t="shared" si="11"/>
        <v>199</v>
      </c>
      <c r="L225" s="13">
        <f>IFERROR(VLOOKUP(VLOOKUP(K225,$A$24:$B$1023,2,FALSE),'Scratch Sheet'!$U$23:$Y$32,5,FALSE)*VLOOKUP(VLOOKUP(K225,$A$24:$E$1023,5,FALSE),'Scratch Sheet'!$L$22:$M$30,2,FALSE),"")</f>
        <v>1920</v>
      </c>
      <c r="N225" s="675">
        <v>176</v>
      </c>
      <c r="O225" s="675" t="str" cm="1">
        <f t="array" ref="O225">IF(OR(INDEX($B$24:$B$1023,N225)="P10",INDEX($B$24:$B$1023,N225)="P11",INDEX($B$24:$B$1023,N225)="P12",INDEX($B$24:$B$1023,N225)="P13"),"C",IF(OR(INDEX($B$24:$B$1023,N225)="P14",INDEX($B$24:$B$1023,N225)="P15",INDEX($B$24:$B$1023,N225)="P16"),"N","O"))&amp;IF(MOD(N225,100)&lt;20,1,IF(MOD(N225,100)&lt;70,2,3))</f>
        <v>O3</v>
      </c>
    </row>
    <row r="226" spans="1:15" ht="16.5" thickBot="1">
      <c r="A226" s="662">
        <v>203</v>
      </c>
      <c r="B226" s="661" t="str" cm="1">
        <f t="array" ref="B226">"P"&amp;INDEX(X!$CL$2:$CL$12,'Scratch Sheet'!H225+1)+9</f>
        <v>P10</v>
      </c>
      <c r="C226" s="661">
        <v>1</v>
      </c>
      <c r="D226" s="755">
        <f t="shared" si="12"/>
        <v>2880</v>
      </c>
      <c r="E226" s="682" t="str">
        <f t="shared" si="13"/>
        <v>C1</v>
      </c>
      <c r="F226" s="683">
        <f t="shared" si="14"/>
        <v>3</v>
      </c>
      <c r="H226" s="13">
        <v>656</v>
      </c>
      <c r="I226" s="13">
        <f>VLOOKUP(VLOOKUP(H226,$A$24:$B$1023,2,FALSE),'Scratch Sheet'!$U$23:$X$32,3,FALSE)</f>
        <v>6.5</v>
      </c>
      <c r="K226" s="13">
        <f t="shared" si="11"/>
        <v>197</v>
      </c>
      <c r="L226" s="13">
        <f>IFERROR(VLOOKUP(VLOOKUP(K226,$A$24:$B$1023,2,FALSE),'Scratch Sheet'!$U$23:$Y$32,5,FALSE)*VLOOKUP(VLOOKUP(K226,$A$24:$E$1023,5,FALSE),'Scratch Sheet'!$L$22:$M$30,2,FALSE),"")</f>
        <v>5460</v>
      </c>
      <c r="N226" s="675">
        <v>192</v>
      </c>
      <c r="O226" s="675" t="str" cm="1">
        <f t="array" ref="O226">IF(OR(INDEX($B$24:$B$1023,N226)="P10",INDEX($B$24:$B$1023,N226)="P11",INDEX($B$24:$B$1023,N226)="P12",INDEX($B$24:$B$1023,N226)="P13"),"C",IF(OR(INDEX($B$24:$B$1023,N226)="P14",INDEX($B$24:$B$1023,N226)="P15",INDEX($B$24:$B$1023,N226)="P16"),"N","O"))&amp;IF(MOD(N226,100)&lt;20,1,IF(MOD(N226,100)&lt;70,2,3))</f>
        <v>O3</v>
      </c>
    </row>
    <row r="227" spans="1:15" ht="16.5" thickBot="1">
      <c r="A227" s="662">
        <v>204</v>
      </c>
      <c r="B227" s="661" t="str" cm="1">
        <f t="array" ref="B227">"P"&amp;INDEX(X!$CL$2:$CL$12,'Scratch Sheet'!H226+1)+9</f>
        <v>P13</v>
      </c>
      <c r="C227" s="661">
        <v>1</v>
      </c>
      <c r="D227" s="755">
        <f t="shared" si="12"/>
        <v>5400</v>
      </c>
      <c r="E227" s="682" t="str">
        <f t="shared" si="13"/>
        <v>C1</v>
      </c>
      <c r="F227" s="683">
        <f t="shared" si="14"/>
        <v>5</v>
      </c>
      <c r="H227" s="13">
        <v>979</v>
      </c>
      <c r="I227" s="13">
        <f>VLOOKUP(VLOOKUP(H227,$A$24:$B$1023,2,FALSE),'Scratch Sheet'!$U$23:$X$32,3,FALSE)</f>
        <v>6.5</v>
      </c>
      <c r="K227" s="13">
        <f t="shared" si="11"/>
        <v>138</v>
      </c>
      <c r="L227" s="13">
        <f>IFERROR(VLOOKUP(VLOOKUP(K227,$A$24:$B$1023,2,FALSE),'Scratch Sheet'!$U$23:$Y$32,5,FALSE)*VLOOKUP(VLOOKUP(K227,$A$24:$E$1023,5,FALSE),'Scratch Sheet'!$L$22:$M$30,2,FALSE),"")</f>
        <v>2400</v>
      </c>
      <c r="N227" s="675">
        <v>193</v>
      </c>
      <c r="O227" s="675" t="str" cm="1">
        <f t="array" ref="O227">IF(OR(INDEX($B$24:$B$1023,N227)="P10",INDEX($B$24:$B$1023,N227)="P11",INDEX($B$24:$B$1023,N227)="P12",INDEX($B$24:$B$1023,N227)="P13"),"C",IF(OR(INDEX($B$24:$B$1023,N227)="P14",INDEX($B$24:$B$1023,N227)="P15",INDEX($B$24:$B$1023,N227)="P16"),"N","O"))&amp;IF(MOD(N227,100)&lt;20,1,IF(MOD(N227,100)&lt;70,2,3))</f>
        <v>O3</v>
      </c>
    </row>
    <row r="228" spans="1:15" ht="16.5" thickBot="1">
      <c r="A228" s="662">
        <v>205</v>
      </c>
      <c r="B228" s="661" t="str" cm="1">
        <f t="array" ref="B228">"P"&amp;INDEX(X!$CL$2:$CL$12,'Scratch Sheet'!H227+1)+9</f>
        <v>P13</v>
      </c>
      <c r="C228" s="661">
        <v>1</v>
      </c>
      <c r="D228" s="755">
        <f t="shared" si="12"/>
        <v>5400</v>
      </c>
      <c r="E228" s="682" t="str">
        <f t="shared" si="13"/>
        <v>C1</v>
      </c>
      <c r="F228" s="683">
        <f t="shared" si="14"/>
        <v>5</v>
      </c>
      <c r="H228" s="13">
        <v>29</v>
      </c>
      <c r="I228" s="13">
        <f>VLOOKUP(VLOOKUP(H228,$A$24:$B$1023,2,FALSE),'Scratch Sheet'!$U$23:$X$32,3,FALSE)</f>
        <v>3</v>
      </c>
      <c r="K228" s="13">
        <f t="shared" si="11"/>
        <v>153</v>
      </c>
      <c r="L228" s="13">
        <f>IFERROR(VLOOKUP(VLOOKUP(K228,$A$24:$B$1023,2,FALSE),'Scratch Sheet'!$U$23:$Y$32,5,FALSE)*VLOOKUP(VLOOKUP(K228,$A$24:$E$1023,5,FALSE),'Scratch Sheet'!$L$22:$M$30,2,FALSE),"")</f>
        <v>4500</v>
      </c>
      <c r="N228" s="675">
        <v>209</v>
      </c>
      <c r="O228" s="675" t="str" cm="1">
        <f t="array" ref="O228">IF(OR(INDEX($B$24:$B$1023,N228)="P10",INDEX($B$24:$B$1023,N228)="P11",INDEX($B$24:$B$1023,N228)="P12",INDEX($B$24:$B$1023,N228)="P13"),"C",IF(OR(INDEX($B$24:$B$1023,N228)="P14",INDEX($B$24:$B$1023,N228)="P15",INDEX($B$24:$B$1023,N228)="P16"),"N","O"))&amp;IF(MOD(N228,100)&lt;20,1,IF(MOD(N228,100)&lt;70,2,3))</f>
        <v>O1</v>
      </c>
    </row>
    <row r="229" spans="1:15" ht="16.5" thickBot="1">
      <c r="A229" s="662">
        <v>206</v>
      </c>
      <c r="B229" s="661" t="str" cm="1">
        <f t="array" ref="B229">"P"&amp;INDEX(X!$CL$2:$CL$12,'Scratch Sheet'!H228+1)+9</f>
        <v>P10</v>
      </c>
      <c r="C229" s="661">
        <v>1</v>
      </c>
      <c r="D229" s="755">
        <f t="shared" si="12"/>
        <v>2880</v>
      </c>
      <c r="E229" s="682" t="str">
        <f t="shared" si="13"/>
        <v>C1</v>
      </c>
      <c r="F229" s="683">
        <f t="shared" si="14"/>
        <v>3</v>
      </c>
      <c r="H229" s="13">
        <v>981</v>
      </c>
      <c r="I229" s="13">
        <f>VLOOKUP(VLOOKUP(H229,$A$24:$B$1023,2,FALSE),'Scratch Sheet'!$U$23:$X$32,3,FALSE)</f>
        <v>3</v>
      </c>
      <c r="K229" s="13">
        <f t="shared" si="11"/>
        <v>194</v>
      </c>
      <c r="L229" s="13">
        <f>IFERROR(VLOOKUP(VLOOKUP(K229,$A$24:$B$1023,2,FALSE),'Scratch Sheet'!$U$23:$Y$32,5,FALSE)*VLOOKUP(VLOOKUP(K229,$A$24:$E$1023,5,FALSE),'Scratch Sheet'!$L$22:$M$30,2,FALSE),"")</f>
        <v>3600</v>
      </c>
      <c r="N229" s="675">
        <v>210</v>
      </c>
      <c r="O229" s="675" t="str" cm="1">
        <f t="array" ref="O229">IF(OR(INDEX($B$24:$B$1023,N229)="P10",INDEX($B$24:$B$1023,N229)="P11",INDEX($B$24:$B$1023,N229)="P12",INDEX($B$24:$B$1023,N229)="P13"),"C",IF(OR(INDEX($B$24:$B$1023,N229)="P14",INDEX($B$24:$B$1023,N229)="P15",INDEX($B$24:$B$1023,N229)="P16"),"N","O"))&amp;IF(MOD(N229,100)&lt;20,1,IF(MOD(N229,100)&lt;70,2,3))</f>
        <v>O1</v>
      </c>
    </row>
    <row r="230" spans="1:15" ht="16.5" thickBot="1">
      <c r="A230" s="662">
        <v>207</v>
      </c>
      <c r="B230" s="661" t="str" cm="1">
        <f t="array" ref="B230">"P"&amp;INDEX(X!$CL$2:$CL$12,'Scratch Sheet'!H229+1)+9</f>
        <v>P11</v>
      </c>
      <c r="C230" s="661">
        <v>1</v>
      </c>
      <c r="D230" s="755">
        <f t="shared" si="12"/>
        <v>13200</v>
      </c>
      <c r="E230" s="682" t="str">
        <f t="shared" si="13"/>
        <v>C1</v>
      </c>
      <c r="F230" s="683">
        <f t="shared" si="14"/>
        <v>11</v>
      </c>
      <c r="H230" s="13">
        <v>567</v>
      </c>
      <c r="I230" s="13">
        <f>VLOOKUP(VLOOKUP(H230,$A$24:$B$1023,2,FALSE),'Scratch Sheet'!$U$23:$X$32,3,FALSE)</f>
        <v>12</v>
      </c>
      <c r="K230" s="13">
        <f t="shared" si="11"/>
        <v>210</v>
      </c>
      <c r="L230" s="13">
        <f>IFERROR(VLOOKUP(VLOOKUP(K230,$A$24:$B$1023,2,FALSE),'Scratch Sheet'!$U$23:$Y$32,5,FALSE)*VLOOKUP(VLOOKUP(K230,$A$24:$E$1023,5,FALSE),'Scratch Sheet'!$L$22:$M$30,2,FALSE),"")</f>
        <v>10800</v>
      </c>
      <c r="N230" s="675">
        <v>226</v>
      </c>
      <c r="O230" s="675" t="str" cm="1">
        <f t="array" ref="O230">IF(OR(INDEX($B$24:$B$1023,N230)="P10",INDEX($B$24:$B$1023,N230)="P11",INDEX($B$24:$B$1023,N230)="P12",INDEX($B$24:$B$1023,N230)="P13"),"C",IF(OR(INDEX($B$24:$B$1023,N230)="P14",INDEX($B$24:$B$1023,N230)="P15",INDEX($B$24:$B$1023,N230)="P16"),"N","O"))&amp;IF(MOD(N230,100)&lt;20,1,IF(MOD(N230,100)&lt;70,2,3))</f>
        <v>O2</v>
      </c>
    </row>
    <row r="231" spans="1:15" ht="16.5" thickBot="1">
      <c r="A231" s="662">
        <v>208</v>
      </c>
      <c r="B231" s="661" t="str" cm="1">
        <f t="array" ref="B231">"P"&amp;INDEX(X!$CL$2:$CL$12,'Scratch Sheet'!H230+1)+9</f>
        <v>P16</v>
      </c>
      <c r="C231" s="661">
        <v>1</v>
      </c>
      <c r="D231" s="755">
        <f t="shared" si="12"/>
        <v>7279.9999999999991</v>
      </c>
      <c r="E231" s="682" t="str">
        <f t="shared" si="13"/>
        <v>N1</v>
      </c>
      <c r="F231" s="683">
        <f t="shared" si="14"/>
        <v>4</v>
      </c>
      <c r="H231" s="13">
        <v>707</v>
      </c>
      <c r="I231" s="13">
        <f>VLOOKUP(VLOOKUP(H231,$A$24:$B$1023,2,FALSE),'Scratch Sheet'!$U$23:$X$32,3,FALSE)</f>
        <v>6.5</v>
      </c>
      <c r="K231" s="13">
        <f t="shared" si="11"/>
        <v>213</v>
      </c>
      <c r="L231" s="13">
        <f>IFERROR(VLOOKUP(VLOOKUP(K231,$A$24:$B$1023,2,FALSE),'Scratch Sheet'!$U$23:$Y$32,5,FALSE)*VLOOKUP(VLOOKUP(K231,$A$24:$E$1023,5,FALSE),'Scratch Sheet'!$L$22:$M$30,2,FALSE),"")</f>
        <v>13200</v>
      </c>
      <c r="N231" s="675">
        <v>227</v>
      </c>
      <c r="O231" s="675" t="str" cm="1">
        <f t="array" ref="O231">IF(OR(INDEX($B$24:$B$1023,N231)="P10",INDEX($B$24:$B$1023,N231)="P11",INDEX($B$24:$B$1023,N231)="P12",INDEX($B$24:$B$1023,N231)="P13"),"C",IF(OR(INDEX($B$24:$B$1023,N231)="P14",INDEX($B$24:$B$1023,N231)="P15",INDEX($B$24:$B$1023,N231)="P16"),"N","O"))&amp;IF(MOD(N231,100)&lt;20,1,IF(MOD(N231,100)&lt;70,2,3))</f>
        <v>O2</v>
      </c>
    </row>
    <row r="232" spans="1:15" ht="16.5" thickBot="1">
      <c r="A232" s="662">
        <v>209</v>
      </c>
      <c r="B232" s="661" t="str" cm="1">
        <f t="array" ref="B232">"P"&amp;INDEX(X!$CL$2:$CL$12,'Scratch Sheet'!H231+1)+9</f>
        <v>P17</v>
      </c>
      <c r="C232" s="661">
        <v>1</v>
      </c>
      <c r="D232" s="755">
        <f t="shared" si="12"/>
        <v>10800</v>
      </c>
      <c r="E232" s="682" t="str">
        <f t="shared" si="13"/>
        <v>O1</v>
      </c>
      <c r="F232" s="683">
        <f t="shared" si="14"/>
        <v>12</v>
      </c>
      <c r="H232" s="13">
        <v>582</v>
      </c>
      <c r="I232" s="13">
        <f>VLOOKUP(VLOOKUP(H232,$A$24:$B$1023,2,FALSE),'Scratch Sheet'!$U$23:$X$32,3,FALSE)</f>
        <v>4</v>
      </c>
      <c r="K232" s="13">
        <f t="shared" si="11"/>
        <v>212</v>
      </c>
      <c r="L232" s="13">
        <f>IFERROR(VLOOKUP(VLOOKUP(K232,$A$24:$B$1023,2,FALSE),'Scratch Sheet'!$U$23:$Y$32,5,FALSE)*VLOOKUP(VLOOKUP(K232,$A$24:$E$1023,5,FALSE),'Scratch Sheet'!$L$22:$M$30,2,FALSE),"")</f>
        <v>13200</v>
      </c>
      <c r="N232" s="675">
        <v>243</v>
      </c>
      <c r="O232" s="675" t="str" cm="1">
        <f t="array" ref="O232">IF(OR(INDEX($B$24:$B$1023,N232)="P10",INDEX($B$24:$B$1023,N232)="P11",INDEX($B$24:$B$1023,N232)="P12",INDEX($B$24:$B$1023,N232)="P13"),"C",IF(OR(INDEX($B$24:$B$1023,N232)="P14",INDEX($B$24:$B$1023,N232)="P15",INDEX($B$24:$B$1023,N232)="P16"),"N","O"))&amp;IF(MOD(N232,100)&lt;20,1,IF(MOD(N232,100)&lt;70,2,3))</f>
        <v>O2</v>
      </c>
    </row>
    <row r="233" spans="1:15" ht="16.5" thickBot="1">
      <c r="A233" s="662">
        <v>210</v>
      </c>
      <c r="B233" s="661" t="str" cm="1">
        <f t="array" ref="B233">"P"&amp;INDEX(X!$CL$2:$CL$12,'Scratch Sheet'!H232+1)+9</f>
        <v>P17</v>
      </c>
      <c r="C233" s="661">
        <v>1</v>
      </c>
      <c r="D233" s="755">
        <f t="shared" si="12"/>
        <v>10800</v>
      </c>
      <c r="E233" s="682" t="str">
        <f t="shared" si="13"/>
        <v>O1</v>
      </c>
      <c r="F233" s="683">
        <f t="shared" si="14"/>
        <v>12</v>
      </c>
      <c r="H233" s="13">
        <v>696</v>
      </c>
      <c r="I233" s="13">
        <f>VLOOKUP(VLOOKUP(H233,$A$24:$B$1023,2,FALSE),'Scratch Sheet'!$U$23:$X$32,3,FALSE)</f>
        <v>3</v>
      </c>
      <c r="K233" s="13">
        <f t="shared" si="11"/>
        <v>206</v>
      </c>
      <c r="L233" s="13">
        <f>IFERROR(VLOOKUP(VLOOKUP(K233,$A$24:$B$1023,2,FALSE),'Scratch Sheet'!$U$23:$Y$32,5,FALSE)*VLOOKUP(VLOOKUP(K233,$A$24:$E$1023,5,FALSE),'Scratch Sheet'!$L$22:$M$30,2,FALSE),"")</f>
        <v>2880</v>
      </c>
      <c r="N233" s="675">
        <v>244</v>
      </c>
      <c r="O233" s="675" t="str" cm="1">
        <f t="array" ref="O233">IF(OR(INDEX($B$24:$B$1023,N233)="P10",INDEX($B$24:$B$1023,N233)="P11",INDEX($B$24:$B$1023,N233)="P12",INDEX($B$24:$B$1023,N233)="P13"),"C",IF(OR(INDEX($B$24:$B$1023,N233)="P14",INDEX($B$24:$B$1023,N233)="P15",INDEX($B$24:$B$1023,N233)="P16"),"N","O"))&amp;IF(MOD(N233,100)&lt;20,1,IF(MOD(N233,100)&lt;70,2,3))</f>
        <v>O2</v>
      </c>
    </row>
    <row r="234" spans="1:15" ht="16.5" thickBot="1">
      <c r="A234" s="662">
        <v>211</v>
      </c>
      <c r="B234" s="661" t="str" cm="1">
        <f t="array" ref="B234">"P"&amp;INDEX(X!$CL$2:$CL$12,'Scratch Sheet'!H233+1)+9</f>
        <v>P13</v>
      </c>
      <c r="C234" s="661">
        <v>1</v>
      </c>
      <c r="D234" s="755">
        <f t="shared" si="12"/>
        <v>5400</v>
      </c>
      <c r="E234" s="682" t="str">
        <f t="shared" si="13"/>
        <v>C1</v>
      </c>
      <c r="F234" s="683">
        <f t="shared" si="14"/>
        <v>5</v>
      </c>
      <c r="H234" s="13">
        <v>151</v>
      </c>
      <c r="I234" s="13">
        <f>VLOOKUP(VLOOKUP(H234,$A$24:$B$1023,2,FALSE),'Scratch Sheet'!$U$23:$X$32,3,FALSE)</f>
        <v>8</v>
      </c>
      <c r="K234" s="13">
        <f t="shared" si="11"/>
        <v>209</v>
      </c>
      <c r="L234" s="13">
        <f>IFERROR(VLOOKUP(VLOOKUP(K234,$A$24:$B$1023,2,FALSE),'Scratch Sheet'!$U$23:$Y$32,5,FALSE)*VLOOKUP(VLOOKUP(K234,$A$24:$E$1023,5,FALSE),'Scratch Sheet'!$L$22:$M$30,2,FALSE),"")</f>
        <v>10800</v>
      </c>
      <c r="N234" s="675">
        <v>260</v>
      </c>
      <c r="O234" s="675" t="str" cm="1">
        <f t="array" ref="O234">IF(OR(INDEX($B$24:$B$1023,N234)="P10",INDEX($B$24:$B$1023,N234)="P11",INDEX($B$24:$B$1023,N234)="P12",INDEX($B$24:$B$1023,N234)="P13"),"C",IF(OR(INDEX($B$24:$B$1023,N234)="P14",INDEX($B$24:$B$1023,N234)="P15",INDEX($B$24:$B$1023,N234)="P16"),"N","O"))&amp;IF(MOD(N234,100)&lt;20,1,IF(MOD(N234,100)&lt;70,2,3))</f>
        <v>O2</v>
      </c>
    </row>
    <row r="235" spans="1:15" ht="16.5" thickBot="1">
      <c r="A235" s="662">
        <v>212</v>
      </c>
      <c r="B235" s="661" t="str" cm="1">
        <f t="array" ref="B235">"P"&amp;INDEX(X!$CL$2:$CL$12,'Scratch Sheet'!H234+1)+9</f>
        <v>P11</v>
      </c>
      <c r="C235" s="661">
        <v>1</v>
      </c>
      <c r="D235" s="755">
        <f t="shared" si="12"/>
        <v>13200</v>
      </c>
      <c r="E235" s="682" t="str">
        <f t="shared" si="13"/>
        <v>C1</v>
      </c>
      <c r="F235" s="683">
        <f t="shared" si="14"/>
        <v>11</v>
      </c>
      <c r="H235" s="13">
        <v>43</v>
      </c>
      <c r="I235" s="13">
        <f>VLOOKUP(VLOOKUP(H235,$A$24:$B$1023,2,FALSE),'Scratch Sheet'!$U$23:$X$32,3,FALSE)</f>
        <v>8</v>
      </c>
      <c r="K235" s="13">
        <f t="shared" si="11"/>
        <v>208</v>
      </c>
      <c r="L235" s="13">
        <f>IFERROR(VLOOKUP(VLOOKUP(K235,$A$24:$B$1023,2,FALSE),'Scratch Sheet'!$U$23:$Y$32,5,FALSE)*VLOOKUP(VLOOKUP(K235,$A$24:$E$1023,5,FALSE),'Scratch Sheet'!$L$22:$M$30,2,FALSE),"")</f>
        <v>7279.9999999999991</v>
      </c>
      <c r="N235" s="675">
        <v>261</v>
      </c>
      <c r="O235" s="675" t="str" cm="1">
        <f t="array" ref="O235">IF(OR(INDEX($B$24:$B$1023,N235)="P10",INDEX($B$24:$B$1023,N235)="P11",INDEX($B$24:$B$1023,N235)="P12",INDEX($B$24:$B$1023,N235)="P13"),"C",IF(OR(INDEX($B$24:$B$1023,N235)="P14",INDEX($B$24:$B$1023,N235)="P15",INDEX($B$24:$B$1023,N235)="P16"),"N","O"))&amp;IF(MOD(N235,100)&lt;20,1,IF(MOD(N235,100)&lt;70,2,3))</f>
        <v>O2</v>
      </c>
    </row>
    <row r="236" spans="1:15" ht="16.5" thickBot="1">
      <c r="A236" s="662">
        <v>213</v>
      </c>
      <c r="B236" s="661" t="str" cm="1">
        <f t="array" ref="B236">"P"&amp;INDEX(X!$CL$2:$CL$12,'Scratch Sheet'!H235+1)+9</f>
        <v>P11</v>
      </c>
      <c r="C236" s="661">
        <v>1</v>
      </c>
      <c r="D236" s="755">
        <f t="shared" si="12"/>
        <v>13200</v>
      </c>
      <c r="E236" s="682" t="str">
        <f t="shared" si="13"/>
        <v>C1</v>
      </c>
      <c r="F236" s="683">
        <f t="shared" si="14"/>
        <v>11</v>
      </c>
      <c r="H236" s="13">
        <v>108</v>
      </c>
      <c r="I236" s="13">
        <f>VLOOKUP(VLOOKUP(H236,$A$24:$B$1023,2,FALSE),'Scratch Sheet'!$U$23:$X$32,3,FALSE)</f>
        <v>12</v>
      </c>
      <c r="K236" s="13">
        <f t="shared" si="11"/>
        <v>211</v>
      </c>
      <c r="L236" s="13">
        <f>IFERROR(VLOOKUP(VLOOKUP(K236,$A$24:$B$1023,2,FALSE),'Scratch Sheet'!$U$23:$Y$32,5,FALSE)*VLOOKUP(VLOOKUP(K236,$A$24:$E$1023,5,FALSE),'Scratch Sheet'!$L$22:$M$30,2,FALSE),"")</f>
        <v>5400</v>
      </c>
      <c r="N236" s="675">
        <v>277</v>
      </c>
      <c r="O236" s="675" t="str" cm="1">
        <f t="array" ref="O236">IF(OR(INDEX($B$24:$B$1023,N236)="P10",INDEX($B$24:$B$1023,N236)="P11",INDEX($B$24:$B$1023,N236)="P12",INDEX($B$24:$B$1023,N236)="P13"),"C",IF(OR(INDEX($B$24:$B$1023,N236)="P14",INDEX($B$24:$B$1023,N236)="P15",INDEX($B$24:$B$1023,N236)="P16"),"N","O"))&amp;IF(MOD(N236,100)&lt;20,1,IF(MOD(N236,100)&lt;70,2,3))</f>
        <v>O3</v>
      </c>
    </row>
    <row r="237" spans="1:15" ht="16.5" thickBot="1">
      <c r="A237" s="662">
        <v>214</v>
      </c>
      <c r="B237" s="661" t="str" cm="1">
        <f t="array" ref="B237">"P"&amp;INDEX(X!$CL$2:$CL$12,'Scratch Sheet'!H236+1)+9</f>
        <v>P12</v>
      </c>
      <c r="C237" s="661">
        <v>1</v>
      </c>
      <c r="D237" s="755">
        <f t="shared" si="12"/>
        <v>8190</v>
      </c>
      <c r="E237" s="682" t="str">
        <f t="shared" si="13"/>
        <v>C1</v>
      </c>
      <c r="F237" s="683">
        <f t="shared" si="14"/>
        <v>6.5</v>
      </c>
      <c r="H237" s="13">
        <v>96</v>
      </c>
      <c r="I237" s="13">
        <f>VLOOKUP(VLOOKUP(H237,$A$24:$B$1023,2,FALSE),'Scratch Sheet'!$U$23:$X$32,3,FALSE)</f>
        <v>3</v>
      </c>
      <c r="K237" s="13">
        <f t="shared" si="11"/>
        <v>205</v>
      </c>
      <c r="L237" s="13">
        <f>IFERROR(VLOOKUP(VLOOKUP(K237,$A$24:$B$1023,2,FALSE),'Scratch Sheet'!$U$23:$Y$32,5,FALSE)*VLOOKUP(VLOOKUP(K237,$A$24:$E$1023,5,FALSE),'Scratch Sheet'!$L$22:$M$30,2,FALSE),"")</f>
        <v>5400</v>
      </c>
      <c r="N237" s="675">
        <v>278</v>
      </c>
      <c r="O237" s="675" t="str" cm="1">
        <f t="array" ref="O237">IF(OR(INDEX($B$24:$B$1023,N237)="P10",INDEX($B$24:$B$1023,N237)="P11",INDEX($B$24:$B$1023,N237)="P12",INDEX($B$24:$B$1023,N237)="P13"),"C",IF(OR(INDEX($B$24:$B$1023,N237)="P14",INDEX($B$24:$B$1023,N237)="P15",INDEX($B$24:$B$1023,N237)="P16"),"N","O"))&amp;IF(MOD(N237,100)&lt;20,1,IF(MOD(N237,100)&lt;70,2,3))</f>
        <v>O3</v>
      </c>
    </row>
    <row r="238" spans="1:15" ht="16.5" thickBot="1">
      <c r="A238" s="662">
        <v>215</v>
      </c>
      <c r="B238" s="661" t="str" cm="1">
        <f t="array" ref="B238">"P"&amp;INDEX(X!$CL$2:$CL$12,'Scratch Sheet'!H237+1)+9</f>
        <v>P10</v>
      </c>
      <c r="C238" s="661">
        <v>1</v>
      </c>
      <c r="D238" s="755">
        <f t="shared" si="12"/>
        <v>2880</v>
      </c>
      <c r="E238" s="682" t="str">
        <f t="shared" si="13"/>
        <v>C1</v>
      </c>
      <c r="F238" s="683">
        <f t="shared" si="14"/>
        <v>3</v>
      </c>
      <c r="H238" s="13">
        <v>405</v>
      </c>
      <c r="I238" s="13">
        <f>VLOOKUP(VLOOKUP(H238,$A$24:$B$1023,2,FALSE),'Scratch Sheet'!$U$23:$X$32,3,FALSE)</f>
        <v>6</v>
      </c>
      <c r="K238" s="13">
        <f t="shared" si="11"/>
        <v>203</v>
      </c>
      <c r="L238" s="13">
        <f>IFERROR(VLOOKUP(VLOOKUP(K238,$A$24:$B$1023,2,FALSE),'Scratch Sheet'!$U$23:$Y$32,5,FALSE)*VLOOKUP(VLOOKUP(K238,$A$24:$E$1023,5,FALSE),'Scratch Sheet'!$L$22:$M$30,2,FALSE),"")</f>
        <v>2880</v>
      </c>
      <c r="N238" s="675">
        <v>294</v>
      </c>
      <c r="O238" s="675" t="str" cm="1">
        <f t="array" ref="O238">IF(OR(INDEX($B$24:$B$1023,N238)="P10",INDEX($B$24:$B$1023,N238)="P11",INDEX($B$24:$B$1023,N238)="P12",INDEX($B$24:$B$1023,N238)="P13"),"C",IF(OR(INDEX($B$24:$B$1023,N238)="P14",INDEX($B$24:$B$1023,N238)="P15",INDEX($B$24:$B$1023,N238)="P16"),"N","O"))&amp;IF(MOD(N238,100)&lt;20,1,IF(MOD(N238,100)&lt;70,2,3))</f>
        <v>O3</v>
      </c>
    </row>
    <row r="239" spans="1:15" ht="16.5" thickBot="1">
      <c r="A239" s="662">
        <v>216</v>
      </c>
      <c r="B239" s="661" t="str" cm="1">
        <f t="array" ref="B239">"P"&amp;INDEX(X!$CL$2:$CL$12,'Scratch Sheet'!H238+1)+9</f>
        <v>P10</v>
      </c>
      <c r="C239" s="661">
        <v>1</v>
      </c>
      <c r="D239" s="755">
        <f t="shared" si="12"/>
        <v>2880</v>
      </c>
      <c r="E239" s="682" t="str">
        <f t="shared" si="13"/>
        <v>C1</v>
      </c>
      <c r="F239" s="683">
        <f t="shared" si="14"/>
        <v>3</v>
      </c>
      <c r="H239" s="13">
        <v>163</v>
      </c>
      <c r="I239" s="13">
        <f>VLOOKUP(VLOOKUP(H239,$A$24:$B$1023,2,FALSE),'Scratch Sheet'!$U$23:$X$32,3,FALSE)</f>
        <v>6.5</v>
      </c>
      <c r="K239" s="13">
        <f t="shared" si="11"/>
        <v>204</v>
      </c>
      <c r="L239" s="13">
        <f>IFERROR(VLOOKUP(VLOOKUP(K239,$A$24:$B$1023,2,FALSE),'Scratch Sheet'!$U$23:$Y$32,5,FALSE)*VLOOKUP(VLOOKUP(K239,$A$24:$E$1023,5,FALSE),'Scratch Sheet'!$L$22:$M$30,2,FALSE),"")</f>
        <v>5400</v>
      </c>
      <c r="N239" s="675">
        <v>295</v>
      </c>
      <c r="O239" s="675" t="str" cm="1">
        <f t="array" ref="O239">IF(OR(INDEX($B$24:$B$1023,N239)="P10",INDEX($B$24:$B$1023,N239)="P11",INDEX($B$24:$B$1023,N239)="P12",INDEX($B$24:$B$1023,N239)="P13"),"C",IF(OR(INDEX($B$24:$B$1023,N239)="P14",INDEX($B$24:$B$1023,N239)="P15",INDEX($B$24:$B$1023,N239)="P16"),"N","O"))&amp;IF(MOD(N239,100)&lt;20,1,IF(MOD(N239,100)&lt;70,2,3))</f>
        <v>O3</v>
      </c>
    </row>
    <row r="240" spans="1:15" ht="16.5" thickBot="1">
      <c r="A240" s="662">
        <v>217</v>
      </c>
      <c r="B240" s="661" t="str" cm="1">
        <f t="array" ref="B240">"P"&amp;INDEX(X!$CL$2:$CL$12,'Scratch Sheet'!H239+1)+9</f>
        <v>P11</v>
      </c>
      <c r="C240" s="661">
        <v>1</v>
      </c>
      <c r="D240" s="755">
        <f t="shared" si="12"/>
        <v>13200</v>
      </c>
      <c r="E240" s="682" t="str">
        <f t="shared" si="13"/>
        <v>C1</v>
      </c>
      <c r="F240" s="683">
        <f t="shared" si="14"/>
        <v>11</v>
      </c>
      <c r="H240" s="13">
        <v>741</v>
      </c>
      <c r="I240" s="13">
        <f>VLOOKUP(VLOOKUP(H240,$A$24:$B$1023,2,FALSE),'Scratch Sheet'!$U$23:$X$32,3,FALSE)</f>
        <v>6.5</v>
      </c>
      <c r="K240" s="13">
        <f t="shared" si="11"/>
        <v>202</v>
      </c>
      <c r="L240" s="13">
        <f>IFERROR(VLOOKUP(VLOOKUP(K240,$A$24:$B$1023,2,FALSE),'Scratch Sheet'!$U$23:$Y$32,5,FALSE)*VLOOKUP(VLOOKUP(K240,$A$24:$E$1023,5,FALSE),'Scratch Sheet'!$L$22:$M$30,2,FALSE),"")</f>
        <v>10080</v>
      </c>
      <c r="N240" s="675">
        <v>311</v>
      </c>
      <c r="O240" s="675" t="str" cm="1">
        <f t="array" ref="O240">IF(OR(INDEX($B$24:$B$1023,N240)="P10",INDEX($B$24:$B$1023,N240)="P11",INDEX($B$24:$B$1023,N240)="P12",INDEX($B$24:$B$1023,N240)="P13"),"C",IF(OR(INDEX($B$24:$B$1023,N240)="P14",INDEX($B$24:$B$1023,N240)="P15",INDEX($B$24:$B$1023,N240)="P16"),"N","O"))&amp;IF(MOD(N240,100)&lt;20,1,IF(MOD(N240,100)&lt;70,2,3))</f>
        <v>O1</v>
      </c>
    </row>
    <row r="241" spans="1:15" ht="16.5" thickBot="1">
      <c r="A241" s="662">
        <v>218</v>
      </c>
      <c r="B241" s="661" t="str" cm="1">
        <f t="array" ref="B241">"P"&amp;INDEX(X!$CL$2:$CL$12,'Scratch Sheet'!H240+1)+9</f>
        <v>P18</v>
      </c>
      <c r="C241" s="661">
        <v>1</v>
      </c>
      <c r="D241" s="755">
        <f t="shared" si="12"/>
        <v>4860</v>
      </c>
      <c r="E241" s="682" t="str">
        <f t="shared" si="13"/>
        <v>O1</v>
      </c>
      <c r="F241" s="683">
        <f t="shared" si="14"/>
        <v>6</v>
      </c>
      <c r="H241" s="13">
        <v>152</v>
      </c>
      <c r="I241" s="13">
        <f>VLOOKUP(VLOOKUP(H241,$A$24:$B$1023,2,FALSE),'Scratch Sheet'!$U$23:$X$32,3,FALSE)</f>
        <v>3</v>
      </c>
      <c r="K241" s="13">
        <f t="shared" si="11"/>
        <v>201</v>
      </c>
      <c r="L241" s="13">
        <f>IFERROR(VLOOKUP(VLOOKUP(K241,$A$24:$B$1023,2,FALSE),'Scratch Sheet'!$U$23:$Y$32,5,FALSE)*VLOOKUP(VLOOKUP(K241,$A$24:$E$1023,5,FALSE),'Scratch Sheet'!$L$22:$M$30,2,FALSE),"")</f>
        <v>4860</v>
      </c>
      <c r="N241" s="675">
        <v>312</v>
      </c>
      <c r="O241" s="675" t="str" cm="1">
        <f t="array" ref="O241">IF(OR(INDEX($B$24:$B$1023,N241)="P10",INDEX($B$24:$B$1023,N241)="P11",INDEX($B$24:$B$1023,N241)="P12",INDEX($B$24:$B$1023,N241)="P13"),"C",IF(OR(INDEX($B$24:$B$1023,N241)="P14",INDEX($B$24:$B$1023,N241)="P15",INDEX($B$24:$B$1023,N241)="P16"),"N","O"))&amp;IF(MOD(N241,100)&lt;20,1,IF(MOD(N241,100)&lt;70,2,3))</f>
        <v>O1</v>
      </c>
    </row>
    <row r="242" spans="1:15" ht="16.5" thickBot="1">
      <c r="A242" s="662">
        <v>219</v>
      </c>
      <c r="B242" s="661" t="str" cm="1">
        <f t="array" ref="B242">"P"&amp;INDEX(X!$CL$2:$CL$12,'Scratch Sheet'!H241+1)+9</f>
        <v>P14</v>
      </c>
      <c r="C242" s="661">
        <v>1</v>
      </c>
      <c r="D242" s="755">
        <f t="shared" si="12"/>
        <v>10080</v>
      </c>
      <c r="E242" s="682" t="str">
        <f t="shared" si="13"/>
        <v>N1</v>
      </c>
      <c r="F242" s="683">
        <f t="shared" si="14"/>
        <v>8</v>
      </c>
      <c r="H242" s="13">
        <v>829</v>
      </c>
      <c r="I242" s="13">
        <f>VLOOKUP(VLOOKUP(H242,$A$24:$B$1023,2,FALSE),'Scratch Sheet'!$U$23:$X$32,3,FALSE)</f>
        <v>11</v>
      </c>
      <c r="K242" s="13">
        <f t="shared" si="11"/>
        <v>214</v>
      </c>
      <c r="L242" s="13">
        <f>IFERROR(VLOOKUP(VLOOKUP(K242,$A$24:$B$1023,2,FALSE),'Scratch Sheet'!$U$23:$Y$32,5,FALSE)*VLOOKUP(VLOOKUP(K242,$A$24:$E$1023,5,FALSE),'Scratch Sheet'!$L$22:$M$30,2,FALSE),"")</f>
        <v>8190</v>
      </c>
      <c r="N242" s="675">
        <v>328</v>
      </c>
      <c r="O242" s="675" t="str" cm="1">
        <f t="array" ref="O242">IF(OR(INDEX($B$24:$B$1023,N242)="P10",INDEX($B$24:$B$1023,N242)="P11",INDEX($B$24:$B$1023,N242)="P12",INDEX($B$24:$B$1023,N242)="P13"),"C",IF(OR(INDEX($B$24:$B$1023,N242)="P14",INDEX($B$24:$B$1023,N242)="P15",INDEX($B$24:$B$1023,N242)="P16"),"N","O"))&amp;IF(MOD(N242,100)&lt;20,1,IF(MOD(N242,100)&lt;70,2,3))</f>
        <v>O2</v>
      </c>
    </row>
    <row r="243" spans="1:15" ht="16.5" thickBot="1">
      <c r="A243" s="662">
        <v>220</v>
      </c>
      <c r="B243" s="661" t="str" cm="1">
        <f t="array" ref="B243">"P"&amp;INDEX(X!$CL$2:$CL$12,'Scratch Sheet'!H242+1)+9</f>
        <v>P10</v>
      </c>
      <c r="C243" s="661">
        <v>1</v>
      </c>
      <c r="D243" s="755">
        <f t="shared" si="12"/>
        <v>2400</v>
      </c>
      <c r="E243" s="682" t="str">
        <f t="shared" si="13"/>
        <v>C2</v>
      </c>
      <c r="F243" s="683">
        <f t="shared" si="14"/>
        <v>3</v>
      </c>
      <c r="H243" s="13">
        <v>150</v>
      </c>
      <c r="I243" s="13">
        <f>VLOOKUP(VLOOKUP(H243,$A$24:$B$1023,2,FALSE),'Scratch Sheet'!$U$23:$X$32,3,FALSE)</f>
        <v>6</v>
      </c>
      <c r="K243" s="13">
        <f t="shared" si="11"/>
        <v>207</v>
      </c>
      <c r="L243" s="13">
        <f>IFERROR(VLOOKUP(VLOOKUP(K243,$A$24:$B$1023,2,FALSE),'Scratch Sheet'!$U$23:$Y$32,5,FALSE)*VLOOKUP(VLOOKUP(K243,$A$24:$E$1023,5,FALSE),'Scratch Sheet'!$L$22:$M$30,2,FALSE),"")</f>
        <v>13200</v>
      </c>
      <c r="N243" s="675">
        <v>329</v>
      </c>
      <c r="O243" s="675" t="str" cm="1">
        <f t="array" ref="O243">IF(OR(INDEX($B$24:$B$1023,N243)="P10",INDEX($B$24:$B$1023,N243)="P11",INDEX($B$24:$B$1023,N243)="P12",INDEX($B$24:$B$1023,N243)="P13"),"C",IF(OR(INDEX($B$24:$B$1023,N243)="P14",INDEX($B$24:$B$1023,N243)="P15",INDEX($B$24:$B$1023,N243)="P16"),"N","O"))&amp;IF(MOD(N243,100)&lt;20,1,IF(MOD(N243,100)&lt;70,2,3))</f>
        <v>O2</v>
      </c>
    </row>
    <row r="244" spans="1:15" ht="16.5" thickBot="1">
      <c r="A244" s="662">
        <v>221</v>
      </c>
      <c r="B244" s="661" t="str" cm="1">
        <f t="array" ref="B244">"P"&amp;INDEX(X!$CL$2:$CL$12,'Scratch Sheet'!H243+1)+9</f>
        <v>P13</v>
      </c>
      <c r="C244" s="661">
        <v>1</v>
      </c>
      <c r="D244" s="755">
        <f t="shared" si="12"/>
        <v>4500</v>
      </c>
      <c r="E244" s="682" t="str">
        <f t="shared" si="13"/>
        <v>C2</v>
      </c>
      <c r="F244" s="683">
        <f t="shared" si="14"/>
        <v>5</v>
      </c>
      <c r="H244" s="13">
        <v>634</v>
      </c>
      <c r="I244" s="13">
        <f>VLOOKUP(VLOOKUP(H244,$A$24:$B$1023,2,FALSE),'Scratch Sheet'!$U$23:$X$32,3,FALSE)</f>
        <v>12</v>
      </c>
      <c r="K244" s="13">
        <f t="shared" si="11"/>
        <v>223</v>
      </c>
      <c r="L244" s="13">
        <f>IFERROR(VLOOKUP(VLOOKUP(K244,$A$24:$B$1023,2,FALSE),'Scratch Sheet'!$U$23:$Y$32,5,FALSE)*VLOOKUP(VLOOKUP(K244,$A$24:$E$1023,5,FALSE),'Scratch Sheet'!$L$22:$M$30,2,FALSE),"")</f>
        <v>2400</v>
      </c>
      <c r="N244" s="675">
        <v>345</v>
      </c>
      <c r="O244" s="675" t="str" cm="1">
        <f t="array" ref="O244">IF(OR(INDEX($B$24:$B$1023,N244)="P10",INDEX($B$24:$B$1023,N244)="P11",INDEX($B$24:$B$1023,N244)="P12",INDEX($B$24:$B$1023,N244)="P13"),"C",IF(OR(INDEX($B$24:$B$1023,N244)="P14",INDEX($B$24:$B$1023,N244)="P15",INDEX($B$24:$B$1023,N244)="P16"),"N","O"))&amp;IF(MOD(N244,100)&lt;20,1,IF(MOD(N244,100)&lt;70,2,3))</f>
        <v>O2</v>
      </c>
    </row>
    <row r="245" spans="1:15" ht="16.5" thickBot="1">
      <c r="A245" s="662">
        <v>222</v>
      </c>
      <c r="B245" s="661" t="str" cm="1">
        <f t="array" ref="B245">"P"&amp;INDEX(X!$CL$2:$CL$12,'Scratch Sheet'!H244+1)+9</f>
        <v>P13</v>
      </c>
      <c r="C245" s="661">
        <v>1</v>
      </c>
      <c r="D245" s="755">
        <f t="shared" si="12"/>
        <v>4500</v>
      </c>
      <c r="E245" s="682" t="str">
        <f t="shared" si="13"/>
        <v>C2</v>
      </c>
      <c r="F245" s="683">
        <f t="shared" si="14"/>
        <v>5</v>
      </c>
      <c r="H245" s="13">
        <v>742</v>
      </c>
      <c r="I245" s="13">
        <f>VLOOKUP(VLOOKUP(H245,$A$24:$B$1023,2,FALSE),'Scratch Sheet'!$U$23:$X$32,3,FALSE)</f>
        <v>3</v>
      </c>
      <c r="K245" s="13">
        <f t="shared" si="11"/>
        <v>226</v>
      </c>
      <c r="L245" s="13">
        <f>IFERROR(VLOOKUP(VLOOKUP(K245,$A$24:$B$1023,2,FALSE),'Scratch Sheet'!$U$23:$Y$32,5,FALSE)*VLOOKUP(VLOOKUP(K245,$A$24:$E$1023,5,FALSE),'Scratch Sheet'!$L$22:$M$30,2,FALSE),"")</f>
        <v>13200.000000000002</v>
      </c>
      <c r="N245" s="675">
        <v>346</v>
      </c>
      <c r="O245" s="675" t="str" cm="1">
        <f t="array" ref="O245">IF(OR(INDEX($B$24:$B$1023,N245)="P10",INDEX($B$24:$B$1023,N245)="P11",INDEX($B$24:$B$1023,N245)="P12",INDEX($B$24:$B$1023,N245)="P13"),"C",IF(OR(INDEX($B$24:$B$1023,N245)="P14",INDEX($B$24:$B$1023,N245)="P15",INDEX($B$24:$B$1023,N245)="P16"),"N","O"))&amp;IF(MOD(N245,100)&lt;20,1,IF(MOD(N245,100)&lt;70,2,3))</f>
        <v>O2</v>
      </c>
    </row>
    <row r="246" spans="1:15" ht="16.5" thickBot="1">
      <c r="A246" s="662">
        <v>223</v>
      </c>
      <c r="B246" s="661" t="str" cm="1">
        <f t="array" ref="B246">"P"&amp;INDEX(X!$CL$2:$CL$12,'Scratch Sheet'!H245+1)+9</f>
        <v>P10</v>
      </c>
      <c r="C246" s="661">
        <v>1</v>
      </c>
      <c r="D246" s="755">
        <f t="shared" si="12"/>
        <v>2400</v>
      </c>
      <c r="E246" s="682" t="str">
        <f t="shared" si="13"/>
        <v>C2</v>
      </c>
      <c r="F246" s="683">
        <f t="shared" si="14"/>
        <v>3</v>
      </c>
      <c r="H246" s="13">
        <v>690</v>
      </c>
      <c r="I246" s="13">
        <f>VLOOKUP(VLOOKUP(H246,$A$24:$B$1023,2,FALSE),'Scratch Sheet'!$U$23:$X$32,3,FALSE)</f>
        <v>6.5</v>
      </c>
      <c r="K246" s="13">
        <f t="shared" si="11"/>
        <v>225</v>
      </c>
      <c r="L246" s="13">
        <f>IFERROR(VLOOKUP(VLOOKUP(K246,$A$24:$B$1023,2,FALSE),'Scratch Sheet'!$U$23:$Y$32,5,FALSE)*VLOOKUP(VLOOKUP(K246,$A$24:$E$1023,5,FALSE),'Scratch Sheet'!$L$22:$M$30,2,FALSE),"")</f>
        <v>4680</v>
      </c>
      <c r="N246" s="675">
        <v>362</v>
      </c>
      <c r="O246" s="675" t="str" cm="1">
        <f t="array" ref="O246">IF(OR(INDEX($B$24:$B$1023,N246)="P10",INDEX($B$24:$B$1023,N246)="P11",INDEX($B$24:$B$1023,N246)="P12",INDEX($B$24:$B$1023,N246)="P13"),"C",IF(OR(INDEX($B$24:$B$1023,N246)="P14",INDEX($B$24:$B$1023,N246)="P15",INDEX($B$24:$B$1023,N246)="P16"),"N","O"))&amp;IF(MOD(N246,100)&lt;20,1,IF(MOD(N246,100)&lt;70,2,3))</f>
        <v>O2</v>
      </c>
    </row>
    <row r="247" spans="1:15" ht="16.5" thickBot="1">
      <c r="A247" s="662">
        <v>224</v>
      </c>
      <c r="B247" s="661" t="str" cm="1">
        <f t="array" ref="B247">"P"&amp;INDEX(X!$CL$2:$CL$12,'Scratch Sheet'!H246+1)+9</f>
        <v>P11</v>
      </c>
      <c r="C247" s="661">
        <v>1</v>
      </c>
      <c r="D247" s="755">
        <f t="shared" si="12"/>
        <v>11000</v>
      </c>
      <c r="E247" s="682" t="str">
        <f t="shared" si="13"/>
        <v>C2</v>
      </c>
      <c r="F247" s="683">
        <f t="shared" si="14"/>
        <v>11</v>
      </c>
      <c r="H247" s="13">
        <v>320</v>
      </c>
      <c r="I247" s="13">
        <f>VLOOKUP(VLOOKUP(H247,$A$24:$B$1023,2,FALSE),'Scratch Sheet'!$U$23:$X$32,3,FALSE)</f>
        <v>6</v>
      </c>
      <c r="K247" s="13">
        <f t="shared" si="11"/>
        <v>220</v>
      </c>
      <c r="L247" s="13">
        <f>IFERROR(VLOOKUP(VLOOKUP(K247,$A$24:$B$1023,2,FALSE),'Scratch Sheet'!$U$23:$Y$32,5,FALSE)*VLOOKUP(VLOOKUP(K247,$A$24:$E$1023,5,FALSE),'Scratch Sheet'!$L$22:$M$30,2,FALSE),"")</f>
        <v>2400</v>
      </c>
      <c r="N247" s="675">
        <v>363</v>
      </c>
      <c r="O247" s="675" t="str" cm="1">
        <f t="array" ref="O247">IF(OR(INDEX($B$24:$B$1023,N247)="P10",INDEX($B$24:$B$1023,N247)="P11",INDEX($B$24:$B$1023,N247)="P12",INDEX($B$24:$B$1023,N247)="P13"),"C",IF(OR(INDEX($B$24:$B$1023,N247)="P14",INDEX($B$24:$B$1023,N247)="P15",INDEX($B$24:$B$1023,N247)="P16"),"N","O"))&amp;IF(MOD(N247,100)&lt;20,1,IF(MOD(N247,100)&lt;70,2,3))</f>
        <v>O2</v>
      </c>
    </row>
    <row r="248" spans="1:15" ht="16.5" thickBot="1">
      <c r="A248" s="662">
        <v>225</v>
      </c>
      <c r="B248" s="661" t="str" cm="1">
        <f t="array" ref="B248">"P"&amp;INDEX(X!$CL$2:$CL$12,'Scratch Sheet'!H247+1)+9</f>
        <v>P16</v>
      </c>
      <c r="C248" s="661">
        <v>1</v>
      </c>
      <c r="D248" s="755">
        <f t="shared" si="12"/>
        <v>4680</v>
      </c>
      <c r="E248" s="682" t="str">
        <f t="shared" si="13"/>
        <v>N2</v>
      </c>
      <c r="F248" s="683">
        <f t="shared" si="14"/>
        <v>4</v>
      </c>
      <c r="H248" s="13">
        <v>712</v>
      </c>
      <c r="I248" s="13">
        <f>VLOOKUP(VLOOKUP(H248,$A$24:$B$1023,2,FALSE),'Scratch Sheet'!$U$23:$X$32,3,FALSE)</f>
        <v>8</v>
      </c>
      <c r="K248" s="13">
        <f t="shared" si="11"/>
        <v>222</v>
      </c>
      <c r="L248" s="13">
        <f>IFERROR(VLOOKUP(VLOOKUP(K248,$A$24:$B$1023,2,FALSE),'Scratch Sheet'!$U$23:$Y$32,5,FALSE)*VLOOKUP(VLOOKUP(K248,$A$24:$E$1023,5,FALSE),'Scratch Sheet'!$L$22:$M$30,2,FALSE),"")</f>
        <v>4500</v>
      </c>
      <c r="N248" s="675">
        <v>379</v>
      </c>
      <c r="O248" s="675" t="str" cm="1">
        <f t="array" ref="O248">IF(OR(INDEX($B$24:$B$1023,N248)="P10",INDEX($B$24:$B$1023,N248)="P11",INDEX($B$24:$B$1023,N248)="P12",INDEX($B$24:$B$1023,N248)="P13"),"C",IF(OR(INDEX($B$24:$B$1023,N248)="P14",INDEX($B$24:$B$1023,N248)="P15",INDEX($B$24:$B$1023,N248)="P16"),"N","O"))&amp;IF(MOD(N248,100)&lt;20,1,IF(MOD(N248,100)&lt;70,2,3))</f>
        <v>O3</v>
      </c>
    </row>
    <row r="249" spans="1:15" ht="16.5" thickBot="1">
      <c r="A249" s="662">
        <v>226</v>
      </c>
      <c r="B249" s="661" t="str" cm="1">
        <f t="array" ref="B249">"P"&amp;INDEX(X!$CL$2:$CL$12,'Scratch Sheet'!H248+1)+9</f>
        <v>P17</v>
      </c>
      <c r="C249" s="661">
        <v>1</v>
      </c>
      <c r="D249" s="755">
        <f t="shared" si="12"/>
        <v>13200.000000000002</v>
      </c>
      <c r="E249" s="682" t="str">
        <f t="shared" si="13"/>
        <v>O2</v>
      </c>
      <c r="F249" s="683">
        <f t="shared" si="14"/>
        <v>12</v>
      </c>
      <c r="H249" s="13">
        <v>834</v>
      </c>
      <c r="I249" s="13">
        <f>VLOOKUP(VLOOKUP(H249,$A$24:$B$1023,2,FALSE),'Scratch Sheet'!$U$23:$X$32,3,FALSE)</f>
        <v>5</v>
      </c>
      <c r="K249" s="13">
        <f t="shared" si="11"/>
        <v>221</v>
      </c>
      <c r="L249" s="13">
        <f>IFERROR(VLOOKUP(VLOOKUP(K249,$A$24:$B$1023,2,FALSE),'Scratch Sheet'!$U$23:$Y$32,5,FALSE)*VLOOKUP(VLOOKUP(K249,$A$24:$E$1023,5,FALSE),'Scratch Sheet'!$L$22:$M$30,2,FALSE),"")</f>
        <v>4500</v>
      </c>
      <c r="N249" s="675">
        <v>380</v>
      </c>
      <c r="O249" s="675" t="str" cm="1">
        <f t="array" ref="O249">IF(OR(INDEX($B$24:$B$1023,N249)="P10",INDEX($B$24:$B$1023,N249)="P11",INDEX($B$24:$B$1023,N249)="P12",INDEX($B$24:$B$1023,N249)="P13"),"C",IF(OR(INDEX($B$24:$B$1023,N249)="P14",INDEX($B$24:$B$1023,N249)="P15",INDEX($B$24:$B$1023,N249)="P16"),"N","O"))&amp;IF(MOD(N249,100)&lt;20,1,IF(MOD(N249,100)&lt;70,2,3))</f>
        <v>O3</v>
      </c>
    </row>
    <row r="250" spans="1:15" ht="16.5" thickBot="1">
      <c r="A250" s="662">
        <v>227</v>
      </c>
      <c r="B250" s="661" t="str" cm="1">
        <f t="array" ref="B250">"P"&amp;INDEX(X!$CL$2:$CL$12,'Scratch Sheet'!H249+1)+9</f>
        <v>P17</v>
      </c>
      <c r="C250" s="661">
        <v>1</v>
      </c>
      <c r="D250" s="755">
        <f t="shared" si="12"/>
        <v>13200.000000000002</v>
      </c>
      <c r="E250" s="682" t="str">
        <f t="shared" si="13"/>
        <v>O2</v>
      </c>
      <c r="F250" s="683">
        <f t="shared" si="14"/>
        <v>12</v>
      </c>
      <c r="H250" s="13">
        <v>285</v>
      </c>
      <c r="I250" s="13">
        <f>VLOOKUP(VLOOKUP(H250,$A$24:$B$1023,2,FALSE),'Scratch Sheet'!$U$23:$X$32,3,FALSE)</f>
        <v>11</v>
      </c>
      <c r="K250" s="13">
        <f t="shared" si="11"/>
        <v>224</v>
      </c>
      <c r="L250" s="13">
        <f>IFERROR(VLOOKUP(VLOOKUP(K250,$A$24:$B$1023,2,FALSE),'Scratch Sheet'!$U$23:$Y$32,5,FALSE)*VLOOKUP(VLOOKUP(K250,$A$24:$E$1023,5,FALSE),'Scratch Sheet'!$L$22:$M$30,2,FALSE),"")</f>
        <v>11000</v>
      </c>
      <c r="N250" s="675">
        <v>396</v>
      </c>
      <c r="O250" s="675" t="str" cm="1">
        <f t="array" ref="O250">IF(OR(INDEX($B$24:$B$1023,N250)="P10",INDEX($B$24:$B$1023,N250)="P11",INDEX($B$24:$B$1023,N250)="P12",INDEX($B$24:$B$1023,N250)="P13"),"C",IF(OR(INDEX($B$24:$B$1023,N250)="P14",INDEX($B$24:$B$1023,N250)="P15",INDEX($B$24:$B$1023,N250)="P16"),"N","O"))&amp;IF(MOD(N250,100)&lt;20,1,IF(MOD(N250,100)&lt;70,2,3))</f>
        <v>O3</v>
      </c>
    </row>
    <row r="251" spans="1:15" ht="16.5" thickBot="1">
      <c r="A251" s="662">
        <v>228</v>
      </c>
      <c r="B251" s="661" t="str" cm="1">
        <f t="array" ref="B251">"P"&amp;INDEX(X!$CL$2:$CL$12,'Scratch Sheet'!H250+1)+9</f>
        <v>P13</v>
      </c>
      <c r="C251" s="661">
        <v>1</v>
      </c>
      <c r="D251" s="755">
        <f t="shared" si="12"/>
        <v>4500</v>
      </c>
      <c r="E251" s="682" t="str">
        <f t="shared" si="13"/>
        <v>C2</v>
      </c>
      <c r="F251" s="683">
        <f t="shared" si="14"/>
        <v>5</v>
      </c>
      <c r="H251" s="13">
        <v>274</v>
      </c>
      <c r="I251" s="13">
        <f>VLOOKUP(VLOOKUP(H251,$A$24:$B$1023,2,FALSE),'Scratch Sheet'!$U$23:$X$32,3,FALSE)</f>
        <v>3</v>
      </c>
      <c r="K251" s="13">
        <f t="shared" si="11"/>
        <v>219</v>
      </c>
      <c r="L251" s="13">
        <f>IFERROR(VLOOKUP(VLOOKUP(K251,$A$24:$B$1023,2,FALSE),'Scratch Sheet'!$U$23:$Y$32,5,FALSE)*VLOOKUP(VLOOKUP(K251,$A$24:$E$1023,5,FALSE),'Scratch Sheet'!$L$22:$M$30,2,FALSE),"")</f>
        <v>10080</v>
      </c>
      <c r="N251" s="675">
        <v>397</v>
      </c>
      <c r="O251" s="675" t="str" cm="1">
        <f t="array" ref="O251">IF(OR(INDEX($B$24:$B$1023,N251)="P10",INDEX($B$24:$B$1023,N251)="P11",INDEX($B$24:$B$1023,N251)="P12",INDEX($B$24:$B$1023,N251)="P13"),"C",IF(OR(INDEX($B$24:$B$1023,N251)="P14",INDEX($B$24:$B$1023,N251)="P15",INDEX($B$24:$B$1023,N251)="P16"),"N","O"))&amp;IF(MOD(N251,100)&lt;20,1,IF(MOD(N251,100)&lt;70,2,3))</f>
        <v>O3</v>
      </c>
    </row>
    <row r="252" spans="1:15" ht="16.5" thickBot="1">
      <c r="A252" s="662">
        <v>229</v>
      </c>
      <c r="B252" s="661" t="str" cm="1">
        <f t="array" ref="B252">"P"&amp;INDEX(X!$CL$2:$CL$12,'Scratch Sheet'!H251+1)+9</f>
        <v>P11</v>
      </c>
      <c r="C252" s="661">
        <v>1</v>
      </c>
      <c r="D252" s="755">
        <f t="shared" si="12"/>
        <v>11000</v>
      </c>
      <c r="E252" s="682" t="str">
        <f t="shared" si="13"/>
        <v>C2</v>
      </c>
      <c r="F252" s="683">
        <f t="shared" si="14"/>
        <v>11</v>
      </c>
      <c r="H252" s="13">
        <v>563</v>
      </c>
      <c r="I252" s="13">
        <f>VLOOKUP(VLOOKUP(H252,$A$24:$B$1023,2,FALSE),'Scratch Sheet'!$U$23:$X$32,3,FALSE)</f>
        <v>3</v>
      </c>
      <c r="K252" s="13">
        <f t="shared" si="11"/>
        <v>217</v>
      </c>
      <c r="L252" s="13">
        <f>IFERROR(VLOOKUP(VLOOKUP(K252,$A$24:$B$1023,2,FALSE),'Scratch Sheet'!$U$23:$Y$32,5,FALSE)*VLOOKUP(VLOOKUP(K252,$A$24:$E$1023,5,FALSE),'Scratch Sheet'!$L$22:$M$30,2,FALSE),"")</f>
        <v>13200</v>
      </c>
      <c r="N252" s="675">
        <v>413</v>
      </c>
      <c r="O252" s="675" t="str" cm="1">
        <f t="array" ref="O252">IF(OR(INDEX($B$24:$B$1023,N252)="P10",INDEX($B$24:$B$1023,N252)="P11",INDEX($B$24:$B$1023,N252)="P12",INDEX($B$24:$B$1023,N252)="P13"),"C",IF(OR(INDEX($B$24:$B$1023,N252)="P14",INDEX($B$24:$B$1023,N252)="P15",INDEX($B$24:$B$1023,N252)="P16"),"N","O"))&amp;IF(MOD(N252,100)&lt;20,1,IF(MOD(N252,100)&lt;70,2,3))</f>
        <v>O1</v>
      </c>
    </row>
    <row r="253" spans="1:15" ht="16.5" thickBot="1">
      <c r="A253" s="662">
        <v>230</v>
      </c>
      <c r="B253" s="661" t="str" cm="1">
        <f t="array" ref="B253">"P"&amp;INDEX(X!$CL$2:$CL$12,'Scratch Sheet'!H252+1)+9</f>
        <v>P11</v>
      </c>
      <c r="C253" s="661">
        <v>1</v>
      </c>
      <c r="D253" s="755">
        <f t="shared" si="12"/>
        <v>11000</v>
      </c>
      <c r="E253" s="682" t="str">
        <f t="shared" si="13"/>
        <v>C2</v>
      </c>
      <c r="F253" s="683">
        <f t="shared" si="14"/>
        <v>11</v>
      </c>
      <c r="H253" s="13">
        <v>41</v>
      </c>
      <c r="I253" s="13">
        <f>VLOOKUP(VLOOKUP(H253,$A$24:$B$1023,2,FALSE),'Scratch Sheet'!$U$23:$X$32,3,FALSE)</f>
        <v>4</v>
      </c>
      <c r="K253" s="13">
        <f t="shared" si="11"/>
        <v>218</v>
      </c>
      <c r="L253" s="13">
        <f>IFERROR(VLOOKUP(VLOOKUP(K253,$A$24:$B$1023,2,FALSE),'Scratch Sheet'!$U$23:$Y$32,5,FALSE)*VLOOKUP(VLOOKUP(K253,$A$24:$E$1023,5,FALSE),'Scratch Sheet'!$L$22:$M$30,2,FALSE),"")</f>
        <v>4860</v>
      </c>
      <c r="N253" s="675">
        <v>414</v>
      </c>
      <c r="O253" s="675" t="str" cm="1">
        <f t="array" ref="O253">IF(OR(INDEX($B$24:$B$1023,N253)="P10",INDEX($B$24:$B$1023,N253)="P11",INDEX($B$24:$B$1023,N253)="P12",INDEX($B$24:$B$1023,N253)="P13"),"C",IF(OR(INDEX($B$24:$B$1023,N253)="P14",INDEX($B$24:$B$1023,N253)="P15",INDEX($B$24:$B$1023,N253)="P16"),"N","O"))&amp;IF(MOD(N253,100)&lt;20,1,IF(MOD(N253,100)&lt;70,2,3))</f>
        <v>O1</v>
      </c>
    </row>
    <row r="254" spans="1:15" ht="16.5" thickBot="1">
      <c r="A254" s="662">
        <v>231</v>
      </c>
      <c r="B254" s="661" t="str" cm="1">
        <f t="array" ref="B254">"P"&amp;INDEX(X!$CL$2:$CL$12,'Scratch Sheet'!H253+1)+9</f>
        <v>P12</v>
      </c>
      <c r="C254" s="661">
        <v>1</v>
      </c>
      <c r="D254" s="755">
        <f t="shared" si="12"/>
        <v>6825</v>
      </c>
      <c r="E254" s="682" t="str">
        <f t="shared" si="13"/>
        <v>C2</v>
      </c>
      <c r="F254" s="683">
        <f t="shared" si="14"/>
        <v>6.5</v>
      </c>
      <c r="H254" s="13">
        <v>322</v>
      </c>
      <c r="I254" s="13">
        <f>VLOOKUP(VLOOKUP(H254,$A$24:$B$1023,2,FALSE),'Scratch Sheet'!$U$23:$X$32,3,FALSE)</f>
        <v>3</v>
      </c>
      <c r="K254" s="13">
        <f t="shared" si="11"/>
        <v>216</v>
      </c>
      <c r="L254" s="13">
        <f>IFERROR(VLOOKUP(VLOOKUP(K254,$A$24:$B$1023,2,FALSE),'Scratch Sheet'!$U$23:$Y$32,5,FALSE)*VLOOKUP(VLOOKUP(K254,$A$24:$E$1023,5,FALSE),'Scratch Sheet'!$L$22:$M$30,2,FALSE),"")</f>
        <v>2880</v>
      </c>
      <c r="N254" s="675">
        <v>430</v>
      </c>
      <c r="O254" s="675" t="str" cm="1">
        <f t="array" ref="O254">IF(OR(INDEX($B$24:$B$1023,N254)="P10",INDEX($B$24:$B$1023,N254)="P11",INDEX($B$24:$B$1023,N254)="P12",INDEX($B$24:$B$1023,N254)="P13"),"C",IF(OR(INDEX($B$24:$B$1023,N254)="P14",INDEX($B$24:$B$1023,N254)="P15",INDEX($B$24:$B$1023,N254)="P16"),"N","O"))&amp;IF(MOD(N254,100)&lt;20,1,IF(MOD(N254,100)&lt;70,2,3))</f>
        <v>O2</v>
      </c>
    </row>
    <row r="255" spans="1:15" ht="16.5" thickBot="1">
      <c r="A255" s="662">
        <v>232</v>
      </c>
      <c r="B255" s="661" t="str" cm="1">
        <f t="array" ref="B255">"P"&amp;INDEX(X!$CL$2:$CL$12,'Scratch Sheet'!H254+1)+9</f>
        <v>P10</v>
      </c>
      <c r="C255" s="661">
        <v>1</v>
      </c>
      <c r="D255" s="755">
        <f t="shared" si="12"/>
        <v>2400</v>
      </c>
      <c r="E255" s="682" t="str">
        <f t="shared" si="13"/>
        <v>C2</v>
      </c>
      <c r="F255" s="683">
        <f t="shared" si="14"/>
        <v>3</v>
      </c>
      <c r="H255" s="13">
        <v>774</v>
      </c>
      <c r="I255" s="13">
        <f>VLOOKUP(VLOOKUP(H255,$A$24:$B$1023,2,FALSE),'Scratch Sheet'!$U$23:$X$32,3,FALSE)</f>
        <v>11</v>
      </c>
      <c r="K255" s="13">
        <f t="shared" ref="K255:K318" si="15">K152+100</f>
        <v>215</v>
      </c>
      <c r="L255" s="13">
        <f>IFERROR(VLOOKUP(VLOOKUP(K255,$A$24:$B$1023,2,FALSE),'Scratch Sheet'!$U$23:$Y$32,5,FALSE)*VLOOKUP(VLOOKUP(K255,$A$24:$E$1023,5,FALSE),'Scratch Sheet'!$L$22:$M$30,2,FALSE),"")</f>
        <v>2880</v>
      </c>
      <c r="N255" s="675">
        <v>431</v>
      </c>
      <c r="O255" s="675" t="str" cm="1">
        <f t="array" ref="O255">IF(OR(INDEX($B$24:$B$1023,N255)="P10",INDEX($B$24:$B$1023,N255)="P11",INDEX($B$24:$B$1023,N255)="P12",INDEX($B$24:$B$1023,N255)="P13"),"C",IF(OR(INDEX($B$24:$B$1023,N255)="P14",INDEX($B$24:$B$1023,N255)="P15",INDEX($B$24:$B$1023,N255)="P16"),"N","O"))&amp;IF(MOD(N255,100)&lt;20,1,IF(MOD(N255,100)&lt;70,2,3))</f>
        <v>O2</v>
      </c>
    </row>
    <row r="256" spans="1:15" ht="16.5" thickBot="1">
      <c r="A256" s="662">
        <v>233</v>
      </c>
      <c r="B256" s="661" t="str" cm="1">
        <f t="array" ref="B256">"P"&amp;INDEX(X!$CL$2:$CL$12,'Scratch Sheet'!H255+1)+9</f>
        <v>P10</v>
      </c>
      <c r="C256" s="661">
        <v>1</v>
      </c>
      <c r="D256" s="755">
        <f t="shared" si="12"/>
        <v>2400</v>
      </c>
      <c r="E256" s="682" t="str">
        <f t="shared" si="13"/>
        <v>C2</v>
      </c>
      <c r="F256" s="683">
        <f t="shared" si="14"/>
        <v>3</v>
      </c>
      <c r="H256" s="13">
        <v>947</v>
      </c>
      <c r="I256" s="13">
        <f>VLOOKUP(VLOOKUP(H256,$A$24:$B$1023,2,FALSE),'Scratch Sheet'!$U$23:$X$32,3,FALSE)</f>
        <v>3</v>
      </c>
      <c r="K256" s="13">
        <f t="shared" si="15"/>
        <v>227</v>
      </c>
      <c r="L256" s="13">
        <f>IFERROR(VLOOKUP(VLOOKUP(K256,$A$24:$B$1023,2,FALSE),'Scratch Sheet'!$U$23:$Y$32,5,FALSE)*VLOOKUP(VLOOKUP(K256,$A$24:$E$1023,5,FALSE),'Scratch Sheet'!$L$22:$M$30,2,FALSE),"")</f>
        <v>13200.000000000002</v>
      </c>
      <c r="N256" s="675">
        <v>447</v>
      </c>
      <c r="O256" s="675" t="str" cm="1">
        <f t="array" ref="O256">IF(OR(INDEX($B$24:$B$1023,N256)="P10",INDEX($B$24:$B$1023,N256)="P11",INDEX($B$24:$B$1023,N256)="P12",INDEX($B$24:$B$1023,N256)="P13"),"C",IF(OR(INDEX($B$24:$B$1023,N256)="P14",INDEX($B$24:$B$1023,N256)="P15",INDEX($B$24:$B$1023,N256)="P16"),"N","O"))&amp;IF(MOD(N256,100)&lt;20,1,IF(MOD(N256,100)&lt;70,2,3))</f>
        <v>O2</v>
      </c>
    </row>
    <row r="257" spans="1:15" ht="16.5" thickBot="1">
      <c r="A257" s="662">
        <v>234</v>
      </c>
      <c r="B257" s="661" t="str" cm="1">
        <f t="array" ref="B257">"P"&amp;INDEX(X!$CL$2:$CL$12,'Scratch Sheet'!H256+1)+9</f>
        <v>P11</v>
      </c>
      <c r="C257" s="661">
        <v>1</v>
      </c>
      <c r="D257" s="755">
        <f t="shared" si="12"/>
        <v>11000</v>
      </c>
      <c r="E257" s="682" t="str">
        <f t="shared" si="13"/>
        <v>C2</v>
      </c>
      <c r="F257" s="683">
        <f t="shared" si="14"/>
        <v>11</v>
      </c>
      <c r="H257" s="13">
        <v>843</v>
      </c>
      <c r="I257" s="13">
        <f>VLOOKUP(VLOOKUP(H257,$A$24:$B$1023,2,FALSE),'Scratch Sheet'!$U$23:$X$32,3,FALSE)</f>
        <v>6.5</v>
      </c>
      <c r="K257" s="13">
        <f t="shared" si="15"/>
        <v>236</v>
      </c>
      <c r="L257" s="13">
        <f>IFERROR(VLOOKUP(VLOOKUP(K257,$A$24:$B$1023,2,FALSE),'Scratch Sheet'!$U$23:$Y$32,5,FALSE)*VLOOKUP(VLOOKUP(K257,$A$24:$E$1023,5,FALSE),'Scratch Sheet'!$L$22:$M$30,2,FALSE),"")</f>
        <v>6480</v>
      </c>
      <c r="N257" s="675">
        <v>448</v>
      </c>
      <c r="O257" s="675" t="str" cm="1">
        <f t="array" ref="O257">IF(OR(INDEX($B$24:$B$1023,N257)="P10",INDEX($B$24:$B$1023,N257)="P11",INDEX($B$24:$B$1023,N257)="P12",INDEX($B$24:$B$1023,N257)="P13"),"C",IF(OR(INDEX($B$24:$B$1023,N257)="P14",INDEX($B$24:$B$1023,N257)="P15",INDEX($B$24:$B$1023,N257)="P16"),"N","O"))&amp;IF(MOD(N257,100)&lt;20,1,IF(MOD(N257,100)&lt;70,2,3))</f>
        <v>O2</v>
      </c>
    </row>
    <row r="258" spans="1:15" ht="16.5" thickBot="1">
      <c r="A258" s="662">
        <v>235</v>
      </c>
      <c r="B258" s="661" t="str" cm="1">
        <f t="array" ref="B258">"P"&amp;INDEX(X!$CL$2:$CL$12,'Scratch Sheet'!H257+1)+9</f>
        <v>P18</v>
      </c>
      <c r="C258" s="661">
        <v>1</v>
      </c>
      <c r="D258" s="755">
        <f t="shared" si="12"/>
        <v>5940.0000000000009</v>
      </c>
      <c r="E258" s="682" t="str">
        <f t="shared" si="13"/>
        <v>O2</v>
      </c>
      <c r="F258" s="683">
        <f t="shared" si="14"/>
        <v>6</v>
      </c>
      <c r="H258" s="13">
        <v>438</v>
      </c>
      <c r="I258" s="13">
        <f>VLOOKUP(VLOOKUP(H258,$A$24:$B$1023,2,FALSE),'Scratch Sheet'!$U$23:$X$32,3,FALSE)</f>
        <v>11</v>
      </c>
      <c r="K258" s="13">
        <f t="shared" si="15"/>
        <v>239</v>
      </c>
      <c r="L258" s="13">
        <f>IFERROR(VLOOKUP(VLOOKUP(K258,$A$24:$B$1023,2,FALSE),'Scratch Sheet'!$U$23:$Y$32,5,FALSE)*VLOOKUP(VLOOKUP(K258,$A$24:$E$1023,5,FALSE),'Scratch Sheet'!$L$22:$M$30,2,FALSE),"")</f>
        <v>4500</v>
      </c>
      <c r="N258" s="675">
        <v>464</v>
      </c>
      <c r="O258" s="675" t="str" cm="1">
        <f t="array" ref="O258">IF(OR(INDEX($B$24:$B$1023,N258)="P10",INDEX($B$24:$B$1023,N258)="P11",INDEX($B$24:$B$1023,N258)="P12",INDEX($B$24:$B$1023,N258)="P13"),"C",IF(OR(INDEX($B$24:$B$1023,N258)="P14",INDEX($B$24:$B$1023,N258)="P15",INDEX($B$24:$B$1023,N258)="P16"),"N","O"))&amp;IF(MOD(N258,100)&lt;20,1,IF(MOD(N258,100)&lt;70,2,3))</f>
        <v>O2</v>
      </c>
    </row>
    <row r="259" spans="1:15" ht="16.5" thickBot="1">
      <c r="A259" s="662">
        <v>236</v>
      </c>
      <c r="B259" s="661" t="str" cm="1">
        <f t="array" ref="B259">"P"&amp;INDEX(X!$CL$2:$CL$12,'Scratch Sheet'!H258+1)+9</f>
        <v>P14</v>
      </c>
      <c r="C259" s="661">
        <v>1</v>
      </c>
      <c r="D259" s="755">
        <f t="shared" si="12"/>
        <v>6480</v>
      </c>
      <c r="E259" s="682" t="str">
        <f t="shared" si="13"/>
        <v>N2</v>
      </c>
      <c r="F259" s="683">
        <f t="shared" si="14"/>
        <v>8</v>
      </c>
      <c r="H259" s="13">
        <v>864</v>
      </c>
      <c r="I259" s="13">
        <f>VLOOKUP(VLOOKUP(H259,$A$24:$B$1023,2,FALSE),'Scratch Sheet'!$U$23:$X$32,3,FALSE)</f>
        <v>6</v>
      </c>
      <c r="K259" s="13">
        <f t="shared" si="15"/>
        <v>238</v>
      </c>
      <c r="L259" s="13">
        <f>IFERROR(VLOOKUP(VLOOKUP(K259,$A$24:$B$1023,2,FALSE),'Scratch Sheet'!$U$23:$Y$32,5,FALSE)*VLOOKUP(VLOOKUP(K259,$A$24:$E$1023,5,FALSE),'Scratch Sheet'!$L$22:$M$30,2,FALSE),"")</f>
        <v>4500</v>
      </c>
      <c r="N259" s="675">
        <v>465</v>
      </c>
      <c r="O259" s="675" t="str" cm="1">
        <f t="array" ref="O259">IF(OR(INDEX($B$24:$B$1023,N259)="P10",INDEX($B$24:$B$1023,N259)="P11",INDEX($B$24:$B$1023,N259)="P12",INDEX($B$24:$B$1023,N259)="P13"),"C",IF(OR(INDEX($B$24:$B$1023,N259)="P14",INDEX($B$24:$B$1023,N259)="P15",INDEX($B$24:$B$1023,N259)="P16"),"N","O"))&amp;IF(MOD(N259,100)&lt;20,1,IF(MOD(N259,100)&lt;70,2,3))</f>
        <v>O2</v>
      </c>
    </row>
    <row r="260" spans="1:15" ht="16.5" thickBot="1">
      <c r="A260" s="662">
        <v>237</v>
      </c>
      <c r="B260" s="661" t="str" cm="1">
        <f t="array" ref="B260">"P"&amp;INDEX(X!$CL$2:$CL$12,'Scratch Sheet'!H259+1)+9</f>
        <v>P10</v>
      </c>
      <c r="C260" s="661">
        <v>1</v>
      </c>
      <c r="D260" s="755">
        <f t="shared" si="12"/>
        <v>2400</v>
      </c>
      <c r="E260" s="682" t="str">
        <f t="shared" si="13"/>
        <v>C2</v>
      </c>
      <c r="F260" s="683">
        <f t="shared" si="14"/>
        <v>3</v>
      </c>
      <c r="H260" s="13">
        <v>382</v>
      </c>
      <c r="I260" s="13">
        <f>VLOOKUP(VLOOKUP(H260,$A$24:$B$1023,2,FALSE),'Scratch Sheet'!$U$23:$X$32,3,FALSE)</f>
        <v>11</v>
      </c>
      <c r="K260" s="13">
        <f t="shared" si="15"/>
        <v>233</v>
      </c>
      <c r="L260" s="13">
        <f>IFERROR(VLOOKUP(VLOOKUP(K260,$A$24:$B$1023,2,FALSE),'Scratch Sheet'!$U$23:$Y$32,5,FALSE)*VLOOKUP(VLOOKUP(K260,$A$24:$E$1023,5,FALSE),'Scratch Sheet'!$L$22:$M$30,2,FALSE),"")</f>
        <v>2400</v>
      </c>
      <c r="N260" s="675">
        <v>481</v>
      </c>
      <c r="O260" s="675" t="str" cm="1">
        <f t="array" ref="O260">IF(OR(INDEX($B$24:$B$1023,N260)="P10",INDEX($B$24:$B$1023,N260)="P11",INDEX($B$24:$B$1023,N260)="P12",INDEX($B$24:$B$1023,N260)="P13"),"C",IF(OR(INDEX($B$24:$B$1023,N260)="P14",INDEX($B$24:$B$1023,N260)="P15",INDEX($B$24:$B$1023,N260)="P16"),"N","O"))&amp;IF(MOD(N260,100)&lt;20,1,IF(MOD(N260,100)&lt;70,2,3))</f>
        <v>O3</v>
      </c>
    </row>
    <row r="261" spans="1:15" ht="16.5" thickBot="1">
      <c r="A261" s="662">
        <v>238</v>
      </c>
      <c r="B261" s="661" t="str" cm="1">
        <f t="array" ref="B261">"P"&amp;INDEX(X!$CL$2:$CL$12,'Scratch Sheet'!H260+1)+9</f>
        <v>P13</v>
      </c>
      <c r="C261" s="661">
        <v>1</v>
      </c>
      <c r="D261" s="755">
        <f t="shared" si="12"/>
        <v>9000</v>
      </c>
      <c r="E261" s="682" t="str">
        <f t="shared" si="13"/>
        <v>C2</v>
      </c>
      <c r="F261" s="683">
        <f t="shared" si="14"/>
        <v>5</v>
      </c>
      <c r="H261" s="13">
        <v>471</v>
      </c>
      <c r="I261" s="13">
        <f>VLOOKUP(VLOOKUP(H261,$A$24:$B$1023,2,FALSE),'Scratch Sheet'!$U$23:$X$32,3,FALSE)</f>
        <v>3</v>
      </c>
      <c r="K261" s="13">
        <f t="shared" si="15"/>
        <v>235</v>
      </c>
      <c r="L261" s="13">
        <f>IFERROR(VLOOKUP(VLOOKUP(K261,$A$24:$B$1023,2,FALSE),'Scratch Sheet'!$U$23:$Y$32,5,FALSE)*VLOOKUP(VLOOKUP(K261,$A$24:$E$1023,5,FALSE),'Scratch Sheet'!$L$22:$M$30,2,FALSE),"")</f>
        <v>5940.0000000000009</v>
      </c>
      <c r="N261" s="675">
        <v>482</v>
      </c>
      <c r="O261" s="675" t="str" cm="1">
        <f t="array" ref="O261">IF(OR(INDEX($B$24:$B$1023,N261)="P10",INDEX($B$24:$B$1023,N261)="P11",INDEX($B$24:$B$1023,N261)="P12",INDEX($B$24:$B$1023,N261)="P13"),"C",IF(OR(INDEX($B$24:$B$1023,N261)="P14",INDEX($B$24:$B$1023,N261)="P15",INDEX($B$24:$B$1023,N261)="P16"),"N","O"))&amp;IF(MOD(N261,100)&lt;20,1,IF(MOD(N261,100)&lt;70,2,3))</f>
        <v>O3</v>
      </c>
    </row>
    <row r="262" spans="1:15" ht="16.5" thickBot="1">
      <c r="A262" s="662">
        <v>239</v>
      </c>
      <c r="B262" s="661" t="str" cm="1">
        <f t="array" ref="B262">"P"&amp;INDEX(X!$CL$2:$CL$12,'Scratch Sheet'!H261+1)+9</f>
        <v>P13</v>
      </c>
      <c r="C262" s="661">
        <v>1</v>
      </c>
      <c r="D262" s="755">
        <f t="shared" si="12"/>
        <v>4500</v>
      </c>
      <c r="E262" s="682" t="str">
        <f t="shared" si="13"/>
        <v>C2</v>
      </c>
      <c r="F262" s="683">
        <f t="shared" si="14"/>
        <v>5</v>
      </c>
      <c r="H262" s="13">
        <v>973</v>
      </c>
      <c r="I262" s="13">
        <f>VLOOKUP(VLOOKUP(H262,$A$24:$B$1023,2,FALSE),'Scratch Sheet'!$U$23:$X$32,3,FALSE)</f>
        <v>4</v>
      </c>
      <c r="K262" s="13">
        <f t="shared" si="15"/>
        <v>234</v>
      </c>
      <c r="L262" s="13">
        <f>IFERROR(VLOOKUP(VLOOKUP(K262,$A$24:$B$1023,2,FALSE),'Scratch Sheet'!$U$23:$Y$32,5,FALSE)*VLOOKUP(VLOOKUP(K262,$A$24:$E$1023,5,FALSE),'Scratch Sheet'!$L$22:$M$30,2,FALSE),"")</f>
        <v>11000</v>
      </c>
      <c r="N262" s="675">
        <v>498</v>
      </c>
      <c r="O262" s="675" t="str" cm="1">
        <f t="array" ref="O262">IF(OR(INDEX($B$24:$B$1023,N262)="P10",INDEX($B$24:$B$1023,N262)="P11",INDEX($B$24:$B$1023,N262)="P12",INDEX($B$24:$B$1023,N262)="P13"),"C",IF(OR(INDEX($B$24:$B$1023,N262)="P14",INDEX($B$24:$B$1023,N262)="P15",INDEX($B$24:$B$1023,N262)="P16"),"N","O"))&amp;IF(MOD(N262,100)&lt;20,1,IF(MOD(N262,100)&lt;70,2,3))</f>
        <v>O3</v>
      </c>
    </row>
    <row r="263" spans="1:15" ht="16.5" thickBot="1">
      <c r="A263" s="662">
        <v>240</v>
      </c>
      <c r="B263" s="661" t="str" cm="1">
        <f t="array" ref="B263">"P"&amp;INDEX(X!$CL$2:$CL$12,'Scratch Sheet'!H262+1)+9</f>
        <v>P10</v>
      </c>
      <c r="C263" s="661">
        <v>1</v>
      </c>
      <c r="D263" s="755">
        <f t="shared" si="12"/>
        <v>2400</v>
      </c>
      <c r="E263" s="682" t="str">
        <f t="shared" si="13"/>
        <v>C2</v>
      </c>
      <c r="F263" s="683">
        <f t="shared" si="14"/>
        <v>3</v>
      </c>
      <c r="H263" s="13">
        <v>80</v>
      </c>
      <c r="I263" s="13">
        <f>VLOOKUP(VLOOKUP(H263,$A$24:$B$1023,2,FALSE),'Scratch Sheet'!$U$23:$X$32,3,FALSE)</f>
        <v>3</v>
      </c>
      <c r="K263" s="13">
        <f t="shared" si="15"/>
        <v>237</v>
      </c>
      <c r="L263" s="13">
        <f>IFERROR(VLOOKUP(VLOOKUP(K263,$A$24:$B$1023,2,FALSE),'Scratch Sheet'!$U$23:$Y$32,5,FALSE)*VLOOKUP(VLOOKUP(K263,$A$24:$E$1023,5,FALSE),'Scratch Sheet'!$L$22:$M$30,2,FALSE),"")</f>
        <v>2400</v>
      </c>
      <c r="N263" s="675">
        <v>499</v>
      </c>
      <c r="O263" s="675" t="str" cm="1">
        <f t="array" ref="O263">IF(OR(INDEX($B$24:$B$1023,N263)="P10",INDEX($B$24:$B$1023,N263)="P11",INDEX($B$24:$B$1023,N263)="P12",INDEX($B$24:$B$1023,N263)="P13"),"C",IF(OR(INDEX($B$24:$B$1023,N263)="P14",INDEX($B$24:$B$1023,N263)="P15",INDEX($B$24:$B$1023,N263)="P16"),"N","O"))&amp;IF(MOD(N263,100)&lt;20,1,IF(MOD(N263,100)&lt;70,2,3))</f>
        <v>O3</v>
      </c>
    </row>
    <row r="264" spans="1:15" ht="16.5" thickBot="1">
      <c r="A264" s="662">
        <v>241</v>
      </c>
      <c r="B264" s="661" t="str" cm="1">
        <f t="array" ref="B264">"P"&amp;INDEX(X!$CL$2:$CL$12,'Scratch Sheet'!H263+1)+9</f>
        <v>P11</v>
      </c>
      <c r="C264" s="661">
        <v>1</v>
      </c>
      <c r="D264" s="755">
        <f t="shared" si="12"/>
        <v>11000</v>
      </c>
      <c r="E264" s="682" t="str">
        <f t="shared" si="13"/>
        <v>C2</v>
      </c>
      <c r="F264" s="683">
        <f t="shared" si="14"/>
        <v>11</v>
      </c>
      <c r="H264" s="13">
        <v>863</v>
      </c>
      <c r="I264" s="13">
        <f>VLOOKUP(VLOOKUP(H264,$A$24:$B$1023,2,FALSE),'Scratch Sheet'!$U$23:$X$32,3,FALSE)</f>
        <v>11</v>
      </c>
      <c r="K264" s="13">
        <f t="shared" si="15"/>
        <v>232</v>
      </c>
      <c r="L264" s="13">
        <f>IFERROR(VLOOKUP(VLOOKUP(K264,$A$24:$B$1023,2,FALSE),'Scratch Sheet'!$U$23:$Y$32,5,FALSE)*VLOOKUP(VLOOKUP(K264,$A$24:$E$1023,5,FALSE),'Scratch Sheet'!$L$22:$M$30,2,FALSE),"")</f>
        <v>2400</v>
      </c>
      <c r="N264" s="675">
        <v>515</v>
      </c>
      <c r="O264" s="675" t="str" cm="1">
        <f t="array" ref="O264">IF(OR(INDEX($B$24:$B$1023,N264)="P10",INDEX($B$24:$B$1023,N264)="P11",INDEX($B$24:$B$1023,N264)="P12",INDEX($B$24:$B$1023,N264)="P13"),"C",IF(OR(INDEX($B$24:$B$1023,N264)="P14",INDEX($B$24:$B$1023,N264)="P15",INDEX($B$24:$B$1023,N264)="P16"),"N","O"))&amp;IF(MOD(N264,100)&lt;20,1,IF(MOD(N264,100)&lt;70,2,3))</f>
        <v>O1</v>
      </c>
    </row>
    <row r="265" spans="1:15" ht="16.5" thickBot="1">
      <c r="A265" s="662">
        <v>242</v>
      </c>
      <c r="B265" s="661" t="str" cm="1">
        <f t="array" ref="B265">"P"&amp;INDEX(X!$CL$2:$CL$12,'Scratch Sheet'!H264+1)+9</f>
        <v>P16</v>
      </c>
      <c r="C265" s="661">
        <v>1</v>
      </c>
      <c r="D265" s="755">
        <f t="shared" si="12"/>
        <v>4680</v>
      </c>
      <c r="E265" s="682" t="str">
        <f t="shared" si="13"/>
        <v>N2</v>
      </c>
      <c r="F265" s="683">
        <f t="shared" si="14"/>
        <v>4</v>
      </c>
      <c r="H265" s="13">
        <v>624</v>
      </c>
      <c r="I265" s="13">
        <f>VLOOKUP(VLOOKUP(H265,$A$24:$B$1023,2,FALSE),'Scratch Sheet'!$U$23:$X$32,3,FALSE)</f>
        <v>3</v>
      </c>
      <c r="K265" s="13">
        <f t="shared" si="15"/>
        <v>230</v>
      </c>
      <c r="L265" s="13">
        <f>IFERROR(VLOOKUP(VLOOKUP(K265,$A$24:$B$1023,2,FALSE),'Scratch Sheet'!$U$23:$Y$32,5,FALSE)*VLOOKUP(VLOOKUP(K265,$A$24:$E$1023,5,FALSE),'Scratch Sheet'!$L$22:$M$30,2,FALSE),"")</f>
        <v>11000</v>
      </c>
      <c r="N265" s="675">
        <v>516</v>
      </c>
      <c r="O265" s="675" t="str" cm="1">
        <f t="array" ref="O265">IF(OR(INDEX($B$24:$B$1023,N265)="P10",INDEX($B$24:$B$1023,N265)="P11",INDEX($B$24:$B$1023,N265)="P12",INDEX($B$24:$B$1023,N265)="P13"),"C",IF(OR(INDEX($B$24:$B$1023,N265)="P14",INDEX($B$24:$B$1023,N265)="P15",INDEX($B$24:$B$1023,N265)="P16"),"N","O"))&amp;IF(MOD(N265,100)&lt;20,1,IF(MOD(N265,100)&lt;70,2,3))</f>
        <v>O1</v>
      </c>
    </row>
    <row r="266" spans="1:15" ht="16.5" thickBot="1">
      <c r="A266" s="662">
        <v>243</v>
      </c>
      <c r="B266" s="661" t="str" cm="1">
        <f t="array" ref="B266">"P"&amp;INDEX(X!$CL$2:$CL$12,'Scratch Sheet'!H265+1)+9</f>
        <v>P17</v>
      </c>
      <c r="C266" s="661">
        <v>1</v>
      </c>
      <c r="D266" s="755">
        <f t="shared" si="12"/>
        <v>13200.000000000002</v>
      </c>
      <c r="E266" s="682" t="str">
        <f t="shared" si="13"/>
        <v>O2</v>
      </c>
      <c r="F266" s="683">
        <f t="shared" si="14"/>
        <v>12</v>
      </c>
      <c r="H266" s="13">
        <v>143</v>
      </c>
      <c r="I266" s="13">
        <f>VLOOKUP(VLOOKUP(H266,$A$24:$B$1023,2,FALSE),'Scratch Sheet'!$U$23:$X$32,3,FALSE)</f>
        <v>5</v>
      </c>
      <c r="K266" s="13">
        <f t="shared" si="15"/>
        <v>231</v>
      </c>
      <c r="L266" s="13">
        <f>IFERROR(VLOOKUP(VLOOKUP(K266,$A$24:$B$1023,2,FALSE),'Scratch Sheet'!$U$23:$Y$32,5,FALSE)*VLOOKUP(VLOOKUP(K266,$A$24:$E$1023,5,FALSE),'Scratch Sheet'!$L$22:$M$30,2,FALSE),"")</f>
        <v>6825</v>
      </c>
      <c r="N266" s="675">
        <v>532</v>
      </c>
      <c r="O266" s="675" t="str" cm="1">
        <f t="array" ref="O266">IF(OR(INDEX($B$24:$B$1023,N266)="P10",INDEX($B$24:$B$1023,N266)="P11",INDEX($B$24:$B$1023,N266)="P12",INDEX($B$24:$B$1023,N266)="P13"),"C",IF(OR(INDEX($B$24:$B$1023,N266)="P14",INDEX($B$24:$B$1023,N266)="P15",INDEX($B$24:$B$1023,N266)="P16"),"N","O"))&amp;IF(MOD(N266,100)&lt;20,1,IF(MOD(N266,100)&lt;70,2,3))</f>
        <v>O2</v>
      </c>
    </row>
    <row r="267" spans="1:15" ht="16.5" thickBot="1">
      <c r="A267" s="662">
        <v>244</v>
      </c>
      <c r="B267" s="661" t="str" cm="1">
        <f t="array" ref="B267">"P"&amp;INDEX(X!$CL$2:$CL$12,'Scratch Sheet'!H266+1)+9</f>
        <v>P17</v>
      </c>
      <c r="C267" s="661">
        <v>1</v>
      </c>
      <c r="D267" s="755">
        <f t="shared" si="12"/>
        <v>13200.000000000002</v>
      </c>
      <c r="E267" s="682" t="str">
        <f t="shared" si="13"/>
        <v>O2</v>
      </c>
      <c r="F267" s="683">
        <f t="shared" si="14"/>
        <v>12</v>
      </c>
      <c r="H267" s="13">
        <v>523</v>
      </c>
      <c r="I267" s="13">
        <f>VLOOKUP(VLOOKUP(H267,$A$24:$B$1023,2,FALSE),'Scratch Sheet'!$U$23:$X$32,3,FALSE)</f>
        <v>11</v>
      </c>
      <c r="K267" s="13">
        <f t="shared" si="15"/>
        <v>229</v>
      </c>
      <c r="L267" s="13">
        <f>IFERROR(VLOOKUP(VLOOKUP(K267,$A$24:$B$1023,2,FALSE),'Scratch Sheet'!$U$23:$Y$32,5,FALSE)*VLOOKUP(VLOOKUP(K267,$A$24:$E$1023,5,FALSE),'Scratch Sheet'!$L$22:$M$30,2,FALSE),"")</f>
        <v>11000</v>
      </c>
      <c r="N267" s="675">
        <v>533</v>
      </c>
      <c r="O267" s="675" t="str" cm="1">
        <f t="array" ref="O267">IF(OR(INDEX($B$24:$B$1023,N267)="P10",INDEX($B$24:$B$1023,N267)="P11",INDEX($B$24:$B$1023,N267)="P12",INDEX($B$24:$B$1023,N267)="P13"),"C",IF(OR(INDEX($B$24:$B$1023,N267)="P14",INDEX($B$24:$B$1023,N267)="P15",INDEX($B$24:$B$1023,N267)="P16"),"N","O"))&amp;IF(MOD(N267,100)&lt;20,1,IF(MOD(N267,100)&lt;70,2,3))</f>
        <v>O2</v>
      </c>
    </row>
    <row r="268" spans="1:15" ht="16.5" thickBot="1">
      <c r="A268" s="662">
        <v>245</v>
      </c>
      <c r="B268" s="661" t="str" cm="1">
        <f t="array" ref="B268">"P"&amp;INDEX(X!$CL$2:$CL$12,'Scratch Sheet'!H267+1)+9</f>
        <v>P13</v>
      </c>
      <c r="C268" s="661">
        <v>1</v>
      </c>
      <c r="D268" s="755">
        <f t="shared" si="12"/>
        <v>4500</v>
      </c>
      <c r="E268" s="682" t="str">
        <f t="shared" si="13"/>
        <v>C2</v>
      </c>
      <c r="F268" s="683">
        <f t="shared" si="14"/>
        <v>5</v>
      </c>
      <c r="H268" s="13">
        <v>480</v>
      </c>
      <c r="I268" s="13">
        <f>VLOOKUP(VLOOKUP(H268,$A$24:$B$1023,2,FALSE),'Scratch Sheet'!$U$23:$X$32,3,FALSE)</f>
        <v>4</v>
      </c>
      <c r="K268" s="13">
        <f t="shared" si="15"/>
        <v>228</v>
      </c>
      <c r="L268" s="13">
        <f>IFERROR(VLOOKUP(VLOOKUP(K268,$A$24:$B$1023,2,FALSE),'Scratch Sheet'!$U$23:$Y$32,5,FALSE)*VLOOKUP(VLOOKUP(K268,$A$24:$E$1023,5,FALSE),'Scratch Sheet'!$L$22:$M$30,2,FALSE),"")</f>
        <v>4500</v>
      </c>
      <c r="N268" s="675">
        <v>549</v>
      </c>
      <c r="O268" s="675" t="str" cm="1">
        <f t="array" ref="O268">IF(OR(INDEX($B$24:$B$1023,N268)="P10",INDEX($B$24:$B$1023,N268)="P11",INDEX($B$24:$B$1023,N268)="P12",INDEX($B$24:$B$1023,N268)="P13"),"C",IF(OR(INDEX($B$24:$B$1023,N268)="P14",INDEX($B$24:$B$1023,N268)="P15",INDEX($B$24:$B$1023,N268)="P16"),"N","O"))&amp;IF(MOD(N268,100)&lt;20,1,IF(MOD(N268,100)&lt;70,2,3))</f>
        <v>O2</v>
      </c>
    </row>
    <row r="269" spans="1:15" ht="16.5" thickBot="1">
      <c r="A269" s="662">
        <v>246</v>
      </c>
      <c r="B269" s="661" t="str" cm="1">
        <f t="array" ref="B269">"P"&amp;INDEX(X!$CL$2:$CL$12,'Scratch Sheet'!H268+1)+9</f>
        <v>P11</v>
      </c>
      <c r="C269" s="661">
        <v>1</v>
      </c>
      <c r="D269" s="755">
        <f t="shared" si="12"/>
        <v>11000</v>
      </c>
      <c r="E269" s="682" t="str">
        <f t="shared" si="13"/>
        <v>C2</v>
      </c>
      <c r="F269" s="683">
        <f t="shared" si="14"/>
        <v>11</v>
      </c>
      <c r="H269" s="13">
        <v>699</v>
      </c>
      <c r="I269" s="13">
        <f>VLOOKUP(VLOOKUP(H269,$A$24:$B$1023,2,FALSE),'Scratch Sheet'!$U$23:$X$32,3,FALSE)</f>
        <v>3</v>
      </c>
      <c r="K269" s="13">
        <f t="shared" si="15"/>
        <v>247</v>
      </c>
      <c r="L269" s="13">
        <f>IFERROR(VLOOKUP(VLOOKUP(K269,$A$24:$B$1023,2,FALSE),'Scratch Sheet'!$U$23:$Y$32,5,FALSE)*VLOOKUP(VLOOKUP(K269,$A$24:$E$1023,5,FALSE),'Scratch Sheet'!$L$22:$M$30,2,FALSE),"")</f>
        <v>11000</v>
      </c>
      <c r="N269" s="675">
        <v>550</v>
      </c>
      <c r="O269" s="675" t="str" cm="1">
        <f t="array" ref="O269">IF(OR(INDEX($B$24:$B$1023,N269)="P10",INDEX($B$24:$B$1023,N269)="P11",INDEX($B$24:$B$1023,N269)="P12",INDEX($B$24:$B$1023,N269)="P13"),"C",IF(OR(INDEX($B$24:$B$1023,N269)="P14",INDEX($B$24:$B$1023,N269)="P15",INDEX($B$24:$B$1023,N269)="P16"),"N","O"))&amp;IF(MOD(N269,100)&lt;20,1,IF(MOD(N269,100)&lt;70,2,3))</f>
        <v>O2</v>
      </c>
    </row>
    <row r="270" spans="1:15" ht="16.5" thickBot="1">
      <c r="A270" s="662">
        <v>247</v>
      </c>
      <c r="B270" s="661" t="str" cm="1">
        <f t="array" ref="B270">"P"&amp;INDEX(X!$CL$2:$CL$12,'Scratch Sheet'!H269+1)+9</f>
        <v>P11</v>
      </c>
      <c r="C270" s="661">
        <v>1</v>
      </c>
      <c r="D270" s="755">
        <f t="shared" si="12"/>
        <v>11000</v>
      </c>
      <c r="E270" s="682" t="str">
        <f t="shared" si="13"/>
        <v>C2</v>
      </c>
      <c r="F270" s="683">
        <f t="shared" si="14"/>
        <v>11</v>
      </c>
      <c r="H270" s="13">
        <v>182</v>
      </c>
      <c r="I270" s="13">
        <f>VLOOKUP(VLOOKUP(H270,$A$24:$B$1023,2,FALSE),'Scratch Sheet'!$U$23:$X$32,3,FALSE)</f>
        <v>3</v>
      </c>
      <c r="K270" s="13">
        <f t="shared" si="15"/>
        <v>250</v>
      </c>
      <c r="L270" s="13">
        <f>IFERROR(VLOOKUP(VLOOKUP(K270,$A$24:$B$1023,2,FALSE),'Scratch Sheet'!$U$23:$Y$32,5,FALSE)*VLOOKUP(VLOOKUP(K270,$A$24:$E$1023,5,FALSE),'Scratch Sheet'!$L$22:$M$30,2,FALSE),"")</f>
        <v>2400</v>
      </c>
      <c r="N270" s="675">
        <v>566</v>
      </c>
      <c r="O270" s="675" t="str" cm="1">
        <f t="array" ref="O270">IF(OR(INDEX($B$24:$B$1023,N270)="P10",INDEX($B$24:$B$1023,N270)="P11",INDEX($B$24:$B$1023,N270)="P12",INDEX($B$24:$B$1023,N270)="P13"),"C",IF(OR(INDEX($B$24:$B$1023,N270)="P14",INDEX($B$24:$B$1023,N270)="P15",INDEX($B$24:$B$1023,N270)="P16"),"N","O"))&amp;IF(MOD(N270,100)&lt;20,1,IF(MOD(N270,100)&lt;70,2,3))</f>
        <v>O2</v>
      </c>
    </row>
    <row r="271" spans="1:15" ht="16.5" thickBot="1">
      <c r="A271" s="662">
        <v>248</v>
      </c>
      <c r="B271" s="661" t="str" cm="1">
        <f t="array" ref="B271">"P"&amp;INDEX(X!$CL$2:$CL$12,'Scratch Sheet'!H270+1)+9</f>
        <v>P12</v>
      </c>
      <c r="C271" s="661">
        <v>1</v>
      </c>
      <c r="D271" s="755">
        <f t="shared" si="12"/>
        <v>6825</v>
      </c>
      <c r="E271" s="682" t="str">
        <f t="shared" si="13"/>
        <v>C2</v>
      </c>
      <c r="F271" s="683">
        <f t="shared" si="14"/>
        <v>6.5</v>
      </c>
      <c r="H271" s="13">
        <v>725</v>
      </c>
      <c r="I271" s="13">
        <f>VLOOKUP(VLOOKUP(H271,$A$24:$B$1023,2,FALSE),'Scratch Sheet'!$U$23:$X$32,3,FALSE)</f>
        <v>3</v>
      </c>
      <c r="K271" s="13">
        <f t="shared" si="15"/>
        <v>249</v>
      </c>
      <c r="L271" s="13">
        <f>IFERROR(VLOOKUP(VLOOKUP(K271,$A$24:$B$1023,2,FALSE),'Scratch Sheet'!$U$23:$Y$32,5,FALSE)*VLOOKUP(VLOOKUP(K271,$A$24:$E$1023,5,FALSE),'Scratch Sheet'!$L$22:$M$30,2,FALSE),"")</f>
        <v>2400</v>
      </c>
      <c r="N271" s="675">
        <v>567</v>
      </c>
      <c r="O271" s="675" t="str" cm="1">
        <f t="array" ref="O271">IF(OR(INDEX($B$24:$B$1023,N271)="P10",INDEX($B$24:$B$1023,N271)="P11",INDEX($B$24:$B$1023,N271)="P12",INDEX($B$24:$B$1023,N271)="P13"),"C",IF(OR(INDEX($B$24:$B$1023,N271)="P14",INDEX($B$24:$B$1023,N271)="P15",INDEX($B$24:$B$1023,N271)="P16"),"N","O"))&amp;IF(MOD(N271,100)&lt;20,1,IF(MOD(N271,100)&lt;70,2,3))</f>
        <v>O2</v>
      </c>
    </row>
    <row r="272" spans="1:15" ht="16.5" thickBot="1">
      <c r="A272" s="662">
        <v>249</v>
      </c>
      <c r="B272" s="661" t="str" cm="1">
        <f t="array" ref="B272">"P"&amp;INDEX(X!$CL$2:$CL$12,'Scratch Sheet'!H271+1)+9</f>
        <v>P10</v>
      </c>
      <c r="C272" s="661">
        <v>1</v>
      </c>
      <c r="D272" s="755">
        <f t="shared" si="12"/>
        <v>2400</v>
      </c>
      <c r="E272" s="682" t="str">
        <f t="shared" si="13"/>
        <v>C2</v>
      </c>
      <c r="F272" s="683">
        <f t="shared" si="14"/>
        <v>3</v>
      </c>
      <c r="H272" s="13">
        <v>638</v>
      </c>
      <c r="I272" s="13">
        <f>VLOOKUP(VLOOKUP(H272,$A$24:$B$1023,2,FALSE),'Scratch Sheet'!$U$23:$X$32,3,FALSE)</f>
        <v>11</v>
      </c>
      <c r="K272" s="13">
        <f t="shared" si="15"/>
        <v>244</v>
      </c>
      <c r="L272" s="13">
        <f>IFERROR(VLOOKUP(VLOOKUP(K272,$A$24:$B$1023,2,FALSE),'Scratch Sheet'!$U$23:$Y$32,5,FALSE)*VLOOKUP(VLOOKUP(K272,$A$24:$E$1023,5,FALSE),'Scratch Sheet'!$L$22:$M$30,2,FALSE),"")</f>
        <v>13200.000000000002</v>
      </c>
      <c r="N272" s="675">
        <v>583</v>
      </c>
      <c r="O272" s="675" t="str" cm="1">
        <f t="array" ref="O272">IF(OR(INDEX($B$24:$B$1023,N272)="P10",INDEX($B$24:$B$1023,N272)="P11",INDEX($B$24:$B$1023,N272)="P12",INDEX($B$24:$B$1023,N272)="P13"),"C",IF(OR(INDEX($B$24:$B$1023,N272)="P14",INDEX($B$24:$B$1023,N272)="P15",INDEX($B$24:$B$1023,N272)="P16"),"N","O"))&amp;IF(MOD(N272,100)&lt;20,1,IF(MOD(N272,100)&lt;70,2,3))</f>
        <v>O3</v>
      </c>
    </row>
    <row r="273" spans="1:15" ht="16.5" thickBot="1">
      <c r="A273" s="662">
        <v>250</v>
      </c>
      <c r="B273" s="661" t="str" cm="1">
        <f t="array" ref="B273">"P"&amp;INDEX(X!$CL$2:$CL$12,'Scratch Sheet'!H272+1)+9</f>
        <v>P10</v>
      </c>
      <c r="C273" s="661">
        <v>1</v>
      </c>
      <c r="D273" s="755">
        <f t="shared" si="12"/>
        <v>2400</v>
      </c>
      <c r="E273" s="682" t="str">
        <f t="shared" si="13"/>
        <v>C2</v>
      </c>
      <c r="F273" s="683">
        <f t="shared" si="14"/>
        <v>3</v>
      </c>
      <c r="H273" s="13">
        <v>933</v>
      </c>
      <c r="I273" s="13">
        <f>VLOOKUP(VLOOKUP(H273,$A$24:$B$1023,2,FALSE),'Scratch Sheet'!$U$23:$X$32,3,FALSE)</f>
        <v>8</v>
      </c>
      <c r="K273" s="13">
        <f t="shared" si="15"/>
        <v>246</v>
      </c>
      <c r="L273" s="13">
        <f>IFERROR(VLOOKUP(VLOOKUP(K273,$A$24:$B$1023,2,FALSE),'Scratch Sheet'!$U$23:$Y$32,5,FALSE)*VLOOKUP(VLOOKUP(K273,$A$24:$E$1023,5,FALSE),'Scratch Sheet'!$L$22:$M$30,2,FALSE),"")</f>
        <v>11000</v>
      </c>
      <c r="N273" s="675">
        <v>584</v>
      </c>
      <c r="O273" s="675" t="str" cm="1">
        <f t="array" ref="O273">IF(OR(INDEX($B$24:$B$1023,N273)="P10",INDEX($B$24:$B$1023,N273)="P11",INDEX($B$24:$B$1023,N273)="P12",INDEX($B$24:$B$1023,N273)="P13"),"C",IF(OR(INDEX($B$24:$B$1023,N273)="P14",INDEX($B$24:$B$1023,N273)="P15",INDEX($B$24:$B$1023,N273)="P16"),"N","O"))&amp;IF(MOD(N273,100)&lt;20,1,IF(MOD(N273,100)&lt;70,2,3))</f>
        <v>O3</v>
      </c>
    </row>
    <row r="274" spans="1:15" ht="16.5" thickBot="1">
      <c r="A274" s="662">
        <v>251</v>
      </c>
      <c r="B274" s="661" t="str" cm="1">
        <f t="array" ref="B274">"P"&amp;INDEX(X!$CL$2:$CL$12,'Scratch Sheet'!H273+1)+9</f>
        <v>P11</v>
      </c>
      <c r="C274" s="661">
        <v>1</v>
      </c>
      <c r="D274" s="755">
        <f t="shared" si="12"/>
        <v>11000</v>
      </c>
      <c r="E274" s="682" t="str">
        <f t="shared" si="13"/>
        <v>C2</v>
      </c>
      <c r="F274" s="683">
        <f t="shared" si="14"/>
        <v>11</v>
      </c>
      <c r="H274" s="13">
        <v>698</v>
      </c>
      <c r="I274" s="13">
        <f>VLOOKUP(VLOOKUP(H274,$A$24:$B$1023,2,FALSE),'Scratch Sheet'!$U$23:$X$32,3,FALSE)</f>
        <v>5</v>
      </c>
      <c r="K274" s="13">
        <f t="shared" si="15"/>
        <v>245</v>
      </c>
      <c r="L274" s="13">
        <f>IFERROR(VLOOKUP(VLOOKUP(K274,$A$24:$B$1023,2,FALSE),'Scratch Sheet'!$U$23:$Y$32,5,FALSE)*VLOOKUP(VLOOKUP(K274,$A$24:$E$1023,5,FALSE),'Scratch Sheet'!$L$22:$M$30,2,FALSE),"")</f>
        <v>4500</v>
      </c>
      <c r="N274" s="675">
        <v>600</v>
      </c>
      <c r="O274" s="675" t="str" cm="1">
        <f t="array" ref="O274">IF(OR(INDEX($B$24:$B$1023,N274)="P10",INDEX($B$24:$B$1023,N274)="P11",INDEX($B$24:$B$1023,N274)="P12",INDEX($B$24:$B$1023,N274)="P13"),"C",IF(OR(INDEX($B$24:$B$1023,N274)="P14",INDEX($B$24:$B$1023,N274)="P15",INDEX($B$24:$B$1023,N274)="P16"),"N","O"))&amp;IF(MOD(N274,100)&lt;20,1,IF(MOD(N274,100)&lt;70,2,3))</f>
        <v>O1</v>
      </c>
    </row>
    <row r="275" spans="1:15" ht="16.5" thickBot="1">
      <c r="A275" s="662">
        <v>252</v>
      </c>
      <c r="B275" s="661" t="str" cm="1">
        <f t="array" ref="B275">"P"&amp;INDEX(X!$CL$2:$CL$12,'Scratch Sheet'!H274+1)+9</f>
        <v>P18</v>
      </c>
      <c r="C275" s="661">
        <v>1</v>
      </c>
      <c r="D275" s="755">
        <f t="shared" si="12"/>
        <v>5940.0000000000009</v>
      </c>
      <c r="E275" s="682" t="str">
        <f t="shared" si="13"/>
        <v>O2</v>
      </c>
      <c r="F275" s="683">
        <f t="shared" si="14"/>
        <v>6</v>
      </c>
      <c r="H275" s="13">
        <v>852</v>
      </c>
      <c r="I275" s="13">
        <f>VLOOKUP(VLOOKUP(H275,$A$24:$B$1023,2,FALSE),'Scratch Sheet'!$U$23:$X$32,3,FALSE)</f>
        <v>3</v>
      </c>
      <c r="K275" s="13">
        <f t="shared" si="15"/>
        <v>248</v>
      </c>
      <c r="L275" s="13">
        <f>IFERROR(VLOOKUP(VLOOKUP(K275,$A$24:$B$1023,2,FALSE),'Scratch Sheet'!$U$23:$Y$32,5,FALSE)*VLOOKUP(VLOOKUP(K275,$A$24:$E$1023,5,FALSE),'Scratch Sheet'!$L$22:$M$30,2,FALSE),"")</f>
        <v>6825</v>
      </c>
      <c r="N275" s="675">
        <v>601</v>
      </c>
      <c r="O275" s="675" t="str" cm="1">
        <f t="array" ref="O275">IF(OR(INDEX($B$24:$B$1023,N275)="P10",INDEX($B$24:$B$1023,N275)="P11",INDEX($B$24:$B$1023,N275)="P12",INDEX($B$24:$B$1023,N275)="P13"),"C",IF(OR(INDEX($B$24:$B$1023,N275)="P14",INDEX($B$24:$B$1023,N275)="P15",INDEX($B$24:$B$1023,N275)="P16"),"N","O"))&amp;IF(MOD(N275,100)&lt;20,1,IF(MOD(N275,100)&lt;70,2,3))</f>
        <v>O1</v>
      </c>
    </row>
    <row r="276" spans="1:15" ht="16.5" thickBot="1">
      <c r="A276" s="662">
        <v>253</v>
      </c>
      <c r="B276" s="661" t="str" cm="1">
        <f t="array" ref="B276">"P"&amp;INDEX(X!$CL$2:$CL$12,'Scratch Sheet'!H275+1)+9</f>
        <v>P14</v>
      </c>
      <c r="C276" s="661">
        <v>1</v>
      </c>
      <c r="D276" s="755">
        <f t="shared" si="12"/>
        <v>12960</v>
      </c>
      <c r="E276" s="682" t="str">
        <f t="shared" si="13"/>
        <v>N2</v>
      </c>
      <c r="F276" s="683">
        <f t="shared" si="14"/>
        <v>8</v>
      </c>
      <c r="H276" s="13">
        <v>467</v>
      </c>
      <c r="I276" s="13">
        <f>VLOOKUP(VLOOKUP(H276,$A$24:$B$1023,2,FALSE),'Scratch Sheet'!$U$23:$X$32,3,FALSE)</f>
        <v>11</v>
      </c>
      <c r="K276" s="13">
        <f t="shared" si="15"/>
        <v>243</v>
      </c>
      <c r="L276" s="13">
        <f>IFERROR(VLOOKUP(VLOOKUP(K276,$A$24:$B$1023,2,FALSE),'Scratch Sheet'!$U$23:$Y$32,5,FALSE)*VLOOKUP(VLOOKUP(K276,$A$24:$E$1023,5,FALSE),'Scratch Sheet'!$L$22:$M$30,2,FALSE),"")</f>
        <v>13200.000000000002</v>
      </c>
      <c r="N276" s="675">
        <v>617</v>
      </c>
      <c r="O276" s="675" t="str" cm="1">
        <f t="array" ref="O276">IF(OR(INDEX($B$24:$B$1023,N276)="P10",INDEX($B$24:$B$1023,N276)="P11",INDEX($B$24:$B$1023,N276)="P12",INDEX($B$24:$B$1023,N276)="P13"),"C",IF(OR(INDEX($B$24:$B$1023,N276)="P14",INDEX($B$24:$B$1023,N276)="P15",INDEX($B$24:$B$1023,N276)="P16"),"N","O"))&amp;IF(MOD(N276,100)&lt;20,1,IF(MOD(N276,100)&lt;70,2,3))</f>
        <v>O1</v>
      </c>
    </row>
    <row r="277" spans="1:15" ht="16.5" thickBot="1">
      <c r="A277" s="662">
        <v>254</v>
      </c>
      <c r="B277" s="661" t="str" cm="1">
        <f t="array" ref="B277">"P"&amp;INDEX(X!$CL$2:$CL$12,'Scratch Sheet'!H276+1)+9</f>
        <v>P10</v>
      </c>
      <c r="C277" s="661">
        <v>1</v>
      </c>
      <c r="D277" s="755">
        <f t="shared" si="12"/>
        <v>2400</v>
      </c>
      <c r="E277" s="682" t="str">
        <f t="shared" si="13"/>
        <v>C2</v>
      </c>
      <c r="F277" s="683">
        <f t="shared" si="14"/>
        <v>3</v>
      </c>
      <c r="H277" s="13">
        <v>580</v>
      </c>
      <c r="I277" s="13">
        <f>VLOOKUP(VLOOKUP(H277,$A$24:$B$1023,2,FALSE),'Scratch Sheet'!$U$23:$X$32,3,FALSE)</f>
        <v>3</v>
      </c>
      <c r="K277" s="13">
        <f t="shared" si="15"/>
        <v>241</v>
      </c>
      <c r="L277" s="13">
        <f>IFERROR(VLOOKUP(VLOOKUP(K277,$A$24:$B$1023,2,FALSE),'Scratch Sheet'!$U$23:$Y$32,5,FALSE)*VLOOKUP(VLOOKUP(K277,$A$24:$E$1023,5,FALSE),'Scratch Sheet'!$L$22:$M$30,2,FALSE),"")</f>
        <v>11000</v>
      </c>
      <c r="N277" s="675">
        <v>618</v>
      </c>
      <c r="O277" s="675" t="str" cm="1">
        <f t="array" ref="O277">IF(OR(INDEX($B$24:$B$1023,N277)="P10",INDEX($B$24:$B$1023,N277)="P11",INDEX($B$24:$B$1023,N277)="P12",INDEX($B$24:$B$1023,N277)="P13"),"C",IF(OR(INDEX($B$24:$B$1023,N277)="P14",INDEX($B$24:$B$1023,N277)="P15",INDEX($B$24:$B$1023,N277)="P16"),"N","O"))&amp;IF(MOD(N277,100)&lt;20,1,IF(MOD(N277,100)&lt;70,2,3))</f>
        <v>O1</v>
      </c>
    </row>
    <row r="278" spans="1:15" ht="16.5" thickBot="1">
      <c r="A278" s="662">
        <v>255</v>
      </c>
      <c r="B278" s="661" t="str" cm="1">
        <f t="array" ref="B278">"P"&amp;INDEX(X!$CL$2:$CL$12,'Scratch Sheet'!H277+1)+9</f>
        <v>P13</v>
      </c>
      <c r="C278" s="661">
        <v>1</v>
      </c>
      <c r="D278" s="755">
        <f t="shared" si="12"/>
        <v>4500</v>
      </c>
      <c r="E278" s="682" t="str">
        <f t="shared" si="13"/>
        <v>C2</v>
      </c>
      <c r="F278" s="683">
        <f t="shared" si="14"/>
        <v>5</v>
      </c>
      <c r="H278" s="13">
        <v>955</v>
      </c>
      <c r="I278" s="13">
        <f>VLOOKUP(VLOOKUP(H278,$A$24:$B$1023,2,FALSE),'Scratch Sheet'!$U$23:$X$32,3,FALSE)</f>
        <v>11</v>
      </c>
      <c r="K278" s="13">
        <f t="shared" si="15"/>
        <v>242</v>
      </c>
      <c r="L278" s="13">
        <f>IFERROR(VLOOKUP(VLOOKUP(K278,$A$24:$B$1023,2,FALSE),'Scratch Sheet'!$U$23:$Y$32,5,FALSE)*VLOOKUP(VLOOKUP(K278,$A$24:$E$1023,5,FALSE),'Scratch Sheet'!$L$22:$M$30,2,FALSE),"")</f>
        <v>4680</v>
      </c>
      <c r="N278" s="675">
        <v>634</v>
      </c>
      <c r="O278" s="675" t="str" cm="1">
        <f t="array" ref="O278">IF(OR(INDEX($B$24:$B$1023,N278)="P10",INDEX($B$24:$B$1023,N278)="P11",INDEX($B$24:$B$1023,N278)="P12",INDEX($B$24:$B$1023,N278)="P13"),"C",IF(OR(INDEX($B$24:$B$1023,N278)="P14",INDEX($B$24:$B$1023,N278)="P15",INDEX($B$24:$B$1023,N278)="P16"),"N","O"))&amp;IF(MOD(N278,100)&lt;20,1,IF(MOD(N278,100)&lt;70,2,3))</f>
        <v>O2</v>
      </c>
    </row>
    <row r="279" spans="1:15" ht="16.5" thickBot="1">
      <c r="A279" s="662">
        <v>256</v>
      </c>
      <c r="B279" s="661" t="str" cm="1">
        <f t="array" ref="B279">"P"&amp;INDEX(X!$CL$2:$CL$12,'Scratch Sheet'!H278+1)+9</f>
        <v>P13</v>
      </c>
      <c r="C279" s="661">
        <v>1</v>
      </c>
      <c r="D279" s="755">
        <f t="shared" si="12"/>
        <v>4500</v>
      </c>
      <c r="E279" s="682" t="str">
        <f t="shared" si="13"/>
        <v>C2</v>
      </c>
      <c r="F279" s="683">
        <f t="shared" si="14"/>
        <v>5</v>
      </c>
      <c r="H279" s="13">
        <v>343</v>
      </c>
      <c r="I279" s="13">
        <f>VLOOKUP(VLOOKUP(H279,$A$24:$B$1023,2,FALSE),'Scratch Sheet'!$U$23:$X$32,3,FALSE)</f>
        <v>11</v>
      </c>
      <c r="K279" s="13">
        <f t="shared" si="15"/>
        <v>240</v>
      </c>
      <c r="L279" s="13">
        <f>IFERROR(VLOOKUP(VLOOKUP(K279,$A$24:$B$1023,2,FALSE),'Scratch Sheet'!$U$23:$Y$32,5,FALSE)*VLOOKUP(VLOOKUP(K279,$A$24:$E$1023,5,FALSE),'Scratch Sheet'!$L$22:$M$30,2,FALSE),"")</f>
        <v>2400</v>
      </c>
      <c r="N279" s="675">
        <v>635</v>
      </c>
      <c r="O279" s="675" t="str" cm="1">
        <f t="array" ref="O279">IF(OR(INDEX($B$24:$B$1023,N279)="P10",INDEX($B$24:$B$1023,N279)="P11",INDEX($B$24:$B$1023,N279)="P12",INDEX($B$24:$B$1023,N279)="P13"),"C",IF(OR(INDEX($B$24:$B$1023,N279)="P14",INDEX($B$24:$B$1023,N279)="P15",INDEX($B$24:$B$1023,N279)="P16"),"N","O"))&amp;IF(MOD(N279,100)&lt;20,1,IF(MOD(N279,100)&lt;70,2,3))</f>
        <v>O2</v>
      </c>
    </row>
    <row r="280" spans="1:15" ht="16.5" thickBot="1">
      <c r="A280" s="662">
        <v>257</v>
      </c>
      <c r="B280" s="661" t="str" cm="1">
        <f t="array" ref="B280">"P"&amp;INDEX(X!$CL$2:$CL$12,'Scratch Sheet'!H279+1)+9</f>
        <v>P10</v>
      </c>
      <c r="C280" s="661">
        <v>1</v>
      </c>
      <c r="D280" s="755">
        <f t="shared" si="12"/>
        <v>2400</v>
      </c>
      <c r="E280" s="682" t="str">
        <f t="shared" si="13"/>
        <v>C2</v>
      </c>
      <c r="F280" s="683">
        <f t="shared" si="14"/>
        <v>3</v>
      </c>
      <c r="H280" s="13">
        <v>833</v>
      </c>
      <c r="I280" s="13">
        <f>VLOOKUP(VLOOKUP(H280,$A$24:$B$1023,2,FALSE),'Scratch Sheet'!$U$23:$X$32,3,FALSE)</f>
        <v>5</v>
      </c>
      <c r="K280" s="13">
        <f t="shared" si="15"/>
        <v>258</v>
      </c>
      <c r="L280" s="13">
        <f>IFERROR(VLOOKUP(VLOOKUP(K280,$A$24:$B$1023,2,FALSE),'Scratch Sheet'!$U$23:$Y$32,5,FALSE)*VLOOKUP(VLOOKUP(K280,$A$24:$E$1023,5,FALSE),'Scratch Sheet'!$L$22:$M$30,2,FALSE),"")</f>
        <v>11000</v>
      </c>
      <c r="N280" s="675">
        <v>651</v>
      </c>
      <c r="O280" s="675" t="str" cm="1">
        <f t="array" ref="O280">IF(OR(INDEX($B$24:$B$1023,N280)="P10",INDEX($B$24:$B$1023,N280)="P11",INDEX($B$24:$B$1023,N280)="P12",INDEX($B$24:$B$1023,N280)="P13"),"C",IF(OR(INDEX($B$24:$B$1023,N280)="P14",INDEX($B$24:$B$1023,N280)="P15",INDEX($B$24:$B$1023,N280)="P16"),"N","O"))&amp;IF(MOD(N280,100)&lt;20,1,IF(MOD(N280,100)&lt;70,2,3))</f>
        <v>O2</v>
      </c>
    </row>
    <row r="281" spans="1:15" ht="16.5" thickBot="1">
      <c r="A281" s="662">
        <v>258</v>
      </c>
      <c r="B281" s="661" t="str" cm="1">
        <f t="array" ref="B281">"P"&amp;INDEX(X!$CL$2:$CL$12,'Scratch Sheet'!H280+1)+9</f>
        <v>P11</v>
      </c>
      <c r="C281" s="661">
        <v>1</v>
      </c>
      <c r="D281" s="755">
        <f t="shared" ref="D281:D344" si="16">SUMIF($K$24:$K$1053, $A281, $L$24:$L$1053)</f>
        <v>11000</v>
      </c>
      <c r="E281" s="682" t="str">
        <f t="shared" ref="E281:E344" si="17">INDEX($O$24:$O$1023,MATCH($A281,$N$24:$N$1023,0))</f>
        <v>C2</v>
      </c>
      <c r="F281" s="683">
        <f t="shared" ref="F281:F344" si="18">VLOOKUP(A281, $H$24:$I$1023, 2, FALSE)</f>
        <v>11</v>
      </c>
      <c r="H281" s="13">
        <v>307</v>
      </c>
      <c r="I281" s="13">
        <f>VLOOKUP(VLOOKUP(H281,$A$24:$B$1023,2,FALSE),'Scratch Sheet'!$U$23:$X$32,3,FALSE)</f>
        <v>5</v>
      </c>
      <c r="K281" s="13">
        <f t="shared" si="15"/>
        <v>261</v>
      </c>
      <c r="L281" s="13">
        <f>IFERROR(VLOOKUP(VLOOKUP(K281,$A$24:$B$1023,2,FALSE),'Scratch Sheet'!$U$23:$Y$32,5,FALSE)*VLOOKUP(VLOOKUP(K281,$A$24:$E$1023,5,FALSE),'Scratch Sheet'!$L$22:$M$30,2,FALSE),"")</f>
        <v>13200.000000000002</v>
      </c>
      <c r="N281" s="675">
        <v>652</v>
      </c>
      <c r="O281" s="675" t="str" cm="1">
        <f t="array" ref="O281">IF(OR(INDEX($B$24:$B$1023,N281)="P10",INDEX($B$24:$B$1023,N281)="P11",INDEX($B$24:$B$1023,N281)="P12",INDEX($B$24:$B$1023,N281)="P13"),"C",IF(OR(INDEX($B$24:$B$1023,N281)="P14",INDEX($B$24:$B$1023,N281)="P15",INDEX($B$24:$B$1023,N281)="P16"),"N","O"))&amp;IF(MOD(N281,100)&lt;20,1,IF(MOD(N281,100)&lt;70,2,3))</f>
        <v>O2</v>
      </c>
    </row>
    <row r="282" spans="1:15" ht="16.5" thickBot="1">
      <c r="A282" s="662">
        <v>259</v>
      </c>
      <c r="B282" s="661" t="str" cm="1">
        <f t="array" ref="B282">"P"&amp;INDEX(X!$CL$2:$CL$12,'Scratch Sheet'!H281+1)+9</f>
        <v>P16</v>
      </c>
      <c r="C282" s="661">
        <v>1</v>
      </c>
      <c r="D282" s="755">
        <f t="shared" si="16"/>
        <v>4680</v>
      </c>
      <c r="E282" s="682" t="str">
        <f t="shared" si="17"/>
        <v>N2</v>
      </c>
      <c r="F282" s="683">
        <f t="shared" si="18"/>
        <v>4</v>
      </c>
      <c r="H282" s="13">
        <v>521</v>
      </c>
      <c r="I282" s="13">
        <f>VLOOKUP(VLOOKUP(H282,$A$24:$B$1023,2,FALSE),'Scratch Sheet'!$U$23:$X$32,3,FALSE)</f>
        <v>3</v>
      </c>
      <c r="K282" s="13">
        <f t="shared" si="15"/>
        <v>260</v>
      </c>
      <c r="L282" s="13">
        <f>IFERROR(VLOOKUP(VLOOKUP(K282,$A$24:$B$1023,2,FALSE),'Scratch Sheet'!$U$23:$Y$32,5,FALSE)*VLOOKUP(VLOOKUP(K282,$A$24:$E$1023,5,FALSE),'Scratch Sheet'!$L$22:$M$30,2,FALSE),"")</f>
        <v>13200.000000000002</v>
      </c>
      <c r="N282" s="675">
        <v>668</v>
      </c>
      <c r="O282" s="675" t="str" cm="1">
        <f t="array" ref="O282">IF(OR(INDEX($B$24:$B$1023,N282)="P10",INDEX($B$24:$B$1023,N282)="P11",INDEX($B$24:$B$1023,N282)="P12",INDEX($B$24:$B$1023,N282)="P13"),"C",IF(OR(INDEX($B$24:$B$1023,N282)="P14",INDEX($B$24:$B$1023,N282)="P15",INDEX($B$24:$B$1023,N282)="P16"),"N","O"))&amp;IF(MOD(N282,100)&lt;20,1,IF(MOD(N282,100)&lt;70,2,3))</f>
        <v>O2</v>
      </c>
    </row>
    <row r="283" spans="1:15" ht="16.5" thickBot="1">
      <c r="A283" s="662">
        <v>260</v>
      </c>
      <c r="B283" s="661" t="str" cm="1">
        <f t="array" ref="B283">"P"&amp;INDEX(X!$CL$2:$CL$12,'Scratch Sheet'!H282+1)+9</f>
        <v>P17</v>
      </c>
      <c r="C283" s="661">
        <v>1</v>
      </c>
      <c r="D283" s="755">
        <f t="shared" si="16"/>
        <v>13200.000000000002</v>
      </c>
      <c r="E283" s="682" t="str">
        <f t="shared" si="17"/>
        <v>O2</v>
      </c>
      <c r="F283" s="683">
        <f t="shared" si="18"/>
        <v>12</v>
      </c>
      <c r="H283" s="13">
        <v>967</v>
      </c>
      <c r="I283" s="13">
        <f>VLOOKUP(VLOOKUP(H283,$A$24:$B$1023,2,FALSE),'Scratch Sheet'!$U$23:$X$32,3,FALSE)</f>
        <v>8</v>
      </c>
      <c r="K283" s="13">
        <f t="shared" si="15"/>
        <v>255</v>
      </c>
      <c r="L283" s="13">
        <f>IFERROR(VLOOKUP(VLOOKUP(K283,$A$24:$B$1023,2,FALSE),'Scratch Sheet'!$U$23:$Y$32,5,FALSE)*VLOOKUP(VLOOKUP(K283,$A$24:$E$1023,5,FALSE),'Scratch Sheet'!$L$22:$M$30,2,FALSE),"")</f>
        <v>4500</v>
      </c>
      <c r="N283" s="675">
        <v>669</v>
      </c>
      <c r="O283" s="675" t="str" cm="1">
        <f t="array" ref="O283">IF(OR(INDEX($B$24:$B$1023,N283)="P10",INDEX($B$24:$B$1023,N283)="P11",INDEX($B$24:$B$1023,N283)="P12",INDEX($B$24:$B$1023,N283)="P13"),"C",IF(OR(INDEX($B$24:$B$1023,N283)="P14",INDEX($B$24:$B$1023,N283)="P15",INDEX($B$24:$B$1023,N283)="P16"),"N","O"))&amp;IF(MOD(N283,100)&lt;20,1,IF(MOD(N283,100)&lt;70,2,3))</f>
        <v>O2</v>
      </c>
    </row>
    <row r="284" spans="1:15" ht="16.5" thickBot="1">
      <c r="A284" s="662">
        <v>261</v>
      </c>
      <c r="B284" s="661" t="str" cm="1">
        <f t="array" ref="B284">"P"&amp;INDEX(X!$CL$2:$CL$12,'Scratch Sheet'!H283+1)+9</f>
        <v>P17</v>
      </c>
      <c r="C284" s="661">
        <v>1</v>
      </c>
      <c r="D284" s="755">
        <f t="shared" si="16"/>
        <v>13200.000000000002</v>
      </c>
      <c r="E284" s="682" t="str">
        <f t="shared" si="17"/>
        <v>O2</v>
      </c>
      <c r="F284" s="683">
        <f t="shared" si="18"/>
        <v>12</v>
      </c>
      <c r="H284" s="13">
        <v>618</v>
      </c>
      <c r="I284" s="13">
        <f>VLOOKUP(VLOOKUP(H284,$A$24:$B$1023,2,FALSE),'Scratch Sheet'!$U$23:$X$32,3,FALSE)</f>
        <v>12</v>
      </c>
      <c r="K284" s="13">
        <f t="shared" si="15"/>
        <v>257</v>
      </c>
      <c r="L284" s="13">
        <f>IFERROR(VLOOKUP(VLOOKUP(K284,$A$24:$B$1023,2,FALSE),'Scratch Sheet'!$U$23:$Y$32,5,FALSE)*VLOOKUP(VLOOKUP(K284,$A$24:$E$1023,5,FALSE),'Scratch Sheet'!$L$22:$M$30,2,FALSE),"")</f>
        <v>2400</v>
      </c>
      <c r="N284" s="675">
        <v>685</v>
      </c>
      <c r="O284" s="675" t="str" cm="1">
        <f t="array" ref="O284">IF(OR(INDEX($B$24:$B$1023,N284)="P10",INDEX($B$24:$B$1023,N284)="P11",INDEX($B$24:$B$1023,N284)="P12",INDEX($B$24:$B$1023,N284)="P13"),"C",IF(OR(INDEX($B$24:$B$1023,N284)="P14",INDEX($B$24:$B$1023,N284)="P15",INDEX($B$24:$B$1023,N284)="P16"),"N","O"))&amp;IF(MOD(N284,100)&lt;20,1,IF(MOD(N284,100)&lt;70,2,3))</f>
        <v>O3</v>
      </c>
    </row>
    <row r="285" spans="1:15" ht="16.5" thickBot="1">
      <c r="A285" s="662">
        <v>262</v>
      </c>
      <c r="B285" s="661" t="str" cm="1">
        <f t="array" ref="B285">"P"&amp;INDEX(X!$CL$2:$CL$12,'Scratch Sheet'!H284+1)+9</f>
        <v>P13</v>
      </c>
      <c r="C285" s="661">
        <v>1</v>
      </c>
      <c r="D285" s="755">
        <f t="shared" si="16"/>
        <v>4500</v>
      </c>
      <c r="E285" s="682" t="str">
        <f t="shared" si="17"/>
        <v>C2</v>
      </c>
      <c r="F285" s="683">
        <f t="shared" si="18"/>
        <v>5</v>
      </c>
      <c r="H285" s="13">
        <v>697</v>
      </c>
      <c r="I285" s="13">
        <f>VLOOKUP(VLOOKUP(H285,$A$24:$B$1023,2,FALSE),'Scratch Sheet'!$U$23:$X$32,3,FALSE)</f>
        <v>5</v>
      </c>
      <c r="K285" s="13">
        <f t="shared" si="15"/>
        <v>256</v>
      </c>
      <c r="L285" s="13">
        <f>IFERROR(VLOOKUP(VLOOKUP(K285,$A$24:$B$1023,2,FALSE),'Scratch Sheet'!$U$23:$Y$32,5,FALSE)*VLOOKUP(VLOOKUP(K285,$A$24:$E$1023,5,FALSE),'Scratch Sheet'!$L$22:$M$30,2,FALSE),"")</f>
        <v>4500</v>
      </c>
      <c r="N285" s="675">
        <v>686</v>
      </c>
      <c r="O285" s="675" t="str" cm="1">
        <f t="array" ref="O285">IF(OR(INDEX($B$24:$B$1023,N285)="P10",INDEX($B$24:$B$1023,N285)="P11",INDEX($B$24:$B$1023,N285)="P12",INDEX($B$24:$B$1023,N285)="P13"),"C",IF(OR(INDEX($B$24:$B$1023,N285)="P14",INDEX($B$24:$B$1023,N285)="P15",INDEX($B$24:$B$1023,N285)="P16"),"N","O"))&amp;IF(MOD(N285,100)&lt;20,1,IF(MOD(N285,100)&lt;70,2,3))</f>
        <v>O3</v>
      </c>
    </row>
    <row r="286" spans="1:15" ht="16.5" thickBot="1">
      <c r="A286" s="662">
        <v>263</v>
      </c>
      <c r="B286" s="661" t="str" cm="1">
        <f t="array" ref="B286">"P"&amp;INDEX(X!$CL$2:$CL$12,'Scratch Sheet'!H285+1)+9</f>
        <v>P11</v>
      </c>
      <c r="C286" s="661">
        <v>1</v>
      </c>
      <c r="D286" s="755">
        <f t="shared" si="16"/>
        <v>11000</v>
      </c>
      <c r="E286" s="682" t="str">
        <f t="shared" si="17"/>
        <v>C2</v>
      </c>
      <c r="F286" s="683">
        <f t="shared" si="18"/>
        <v>11</v>
      </c>
      <c r="H286" s="13">
        <v>954</v>
      </c>
      <c r="I286" s="13">
        <f>VLOOKUP(VLOOKUP(H286,$A$24:$B$1023,2,FALSE),'Scratch Sheet'!$U$23:$X$32,3,FALSE)</f>
        <v>3</v>
      </c>
      <c r="K286" s="13">
        <f t="shared" si="15"/>
        <v>259</v>
      </c>
      <c r="L286" s="13">
        <f>IFERROR(VLOOKUP(VLOOKUP(K286,$A$24:$B$1023,2,FALSE),'Scratch Sheet'!$U$23:$Y$32,5,FALSE)*VLOOKUP(VLOOKUP(K286,$A$24:$E$1023,5,FALSE),'Scratch Sheet'!$L$22:$M$30,2,FALSE),"")</f>
        <v>4680</v>
      </c>
      <c r="N286" s="675">
        <v>702</v>
      </c>
      <c r="O286" s="675" t="str" cm="1">
        <f t="array" ref="O286">IF(OR(INDEX($B$24:$B$1023,N286)="P10",INDEX($B$24:$B$1023,N286)="P11",INDEX($B$24:$B$1023,N286)="P12",INDEX($B$24:$B$1023,N286)="P13"),"C",IF(OR(INDEX($B$24:$B$1023,N286)="P14",INDEX($B$24:$B$1023,N286)="P15",INDEX($B$24:$B$1023,N286)="P16"),"N","O"))&amp;IF(MOD(N286,100)&lt;20,1,IF(MOD(N286,100)&lt;70,2,3))</f>
        <v>O1</v>
      </c>
    </row>
    <row r="287" spans="1:15" ht="16.5" thickBot="1">
      <c r="A287" s="662">
        <v>264</v>
      </c>
      <c r="B287" s="661" t="str" cm="1">
        <f t="array" ref="B287">"P"&amp;INDEX(X!$CL$2:$CL$12,'Scratch Sheet'!H286+1)+9</f>
        <v>P11</v>
      </c>
      <c r="C287" s="661">
        <v>1</v>
      </c>
      <c r="D287" s="755">
        <f t="shared" si="16"/>
        <v>11000</v>
      </c>
      <c r="E287" s="682" t="str">
        <f t="shared" si="17"/>
        <v>C2</v>
      </c>
      <c r="F287" s="683">
        <f t="shared" si="18"/>
        <v>11</v>
      </c>
      <c r="H287" s="13">
        <v>571</v>
      </c>
      <c r="I287" s="13">
        <f>VLOOKUP(VLOOKUP(H287,$A$24:$B$1023,2,FALSE),'Scratch Sheet'!$U$23:$X$32,3,FALSE)</f>
        <v>6.5</v>
      </c>
      <c r="K287" s="13">
        <f t="shared" si="15"/>
        <v>254</v>
      </c>
      <c r="L287" s="13">
        <f>IFERROR(VLOOKUP(VLOOKUP(K287,$A$24:$B$1023,2,FALSE),'Scratch Sheet'!$U$23:$Y$32,5,FALSE)*VLOOKUP(VLOOKUP(K287,$A$24:$E$1023,5,FALSE),'Scratch Sheet'!$L$22:$M$30,2,FALSE),"")</f>
        <v>2400</v>
      </c>
      <c r="N287" s="675">
        <v>703</v>
      </c>
      <c r="O287" s="675" t="str" cm="1">
        <f t="array" ref="O287">IF(OR(INDEX($B$24:$B$1023,N287)="P10",INDEX($B$24:$B$1023,N287)="P11",INDEX($B$24:$B$1023,N287)="P12",INDEX($B$24:$B$1023,N287)="P13"),"C",IF(OR(INDEX($B$24:$B$1023,N287)="P14",INDEX($B$24:$B$1023,N287)="P15",INDEX($B$24:$B$1023,N287)="P16"),"N","O"))&amp;IF(MOD(N287,100)&lt;20,1,IF(MOD(N287,100)&lt;70,2,3))</f>
        <v>O1</v>
      </c>
    </row>
    <row r="288" spans="1:15" ht="16.5" thickBot="1">
      <c r="A288" s="662">
        <v>265</v>
      </c>
      <c r="B288" s="661" t="str" cm="1">
        <f t="array" ref="B288">"P"&amp;INDEX(X!$CL$2:$CL$12,'Scratch Sheet'!H287+1)+9</f>
        <v>P12</v>
      </c>
      <c r="C288" s="661">
        <v>1</v>
      </c>
      <c r="D288" s="755">
        <f t="shared" si="16"/>
        <v>6825</v>
      </c>
      <c r="E288" s="682" t="str">
        <f t="shared" si="17"/>
        <v>C2</v>
      </c>
      <c r="F288" s="683">
        <f t="shared" si="18"/>
        <v>6.5</v>
      </c>
      <c r="H288" s="13">
        <v>845</v>
      </c>
      <c r="I288" s="13">
        <f>VLOOKUP(VLOOKUP(H288,$A$24:$B$1023,2,FALSE),'Scratch Sheet'!$U$23:$X$32,3,FALSE)</f>
        <v>3</v>
      </c>
      <c r="K288" s="13">
        <f t="shared" si="15"/>
        <v>252</v>
      </c>
      <c r="L288" s="13">
        <f>IFERROR(VLOOKUP(VLOOKUP(K288,$A$24:$B$1023,2,FALSE),'Scratch Sheet'!$U$23:$Y$32,5,FALSE)*VLOOKUP(VLOOKUP(K288,$A$24:$E$1023,5,FALSE),'Scratch Sheet'!$L$22:$M$30,2,FALSE),"")</f>
        <v>5940.0000000000009</v>
      </c>
      <c r="N288" s="675">
        <v>719</v>
      </c>
      <c r="O288" s="675" t="str" cm="1">
        <f t="array" ref="O288">IF(OR(INDEX($B$24:$B$1023,N288)="P10",INDEX($B$24:$B$1023,N288)="P11",INDEX($B$24:$B$1023,N288)="P12",INDEX($B$24:$B$1023,N288)="P13"),"C",IF(OR(INDEX($B$24:$B$1023,N288)="P14",INDEX($B$24:$B$1023,N288)="P15",INDEX($B$24:$B$1023,N288)="P16"),"N","O"))&amp;IF(MOD(N288,100)&lt;20,1,IF(MOD(N288,100)&lt;70,2,3))</f>
        <v>O1</v>
      </c>
    </row>
    <row r="289" spans="1:15" ht="16.5" thickBot="1">
      <c r="A289" s="662">
        <v>266</v>
      </c>
      <c r="B289" s="661" t="str" cm="1">
        <f t="array" ref="B289">"P"&amp;INDEX(X!$CL$2:$CL$12,'Scratch Sheet'!H288+1)+9</f>
        <v>P10</v>
      </c>
      <c r="C289" s="661">
        <v>1</v>
      </c>
      <c r="D289" s="755">
        <f t="shared" si="16"/>
        <v>2400</v>
      </c>
      <c r="E289" s="682" t="str">
        <f t="shared" si="17"/>
        <v>C2</v>
      </c>
      <c r="F289" s="683">
        <f t="shared" si="18"/>
        <v>3</v>
      </c>
      <c r="H289" s="13">
        <v>463</v>
      </c>
      <c r="I289" s="13">
        <f>VLOOKUP(VLOOKUP(H289,$A$24:$B$1023,2,FALSE),'Scratch Sheet'!$U$23:$X$32,3,FALSE)</f>
        <v>4</v>
      </c>
      <c r="K289" s="13">
        <f t="shared" si="15"/>
        <v>253</v>
      </c>
      <c r="L289" s="13">
        <f>IFERROR(VLOOKUP(VLOOKUP(K289,$A$24:$B$1023,2,FALSE),'Scratch Sheet'!$U$23:$Y$32,5,FALSE)*VLOOKUP(VLOOKUP(K289,$A$24:$E$1023,5,FALSE),'Scratch Sheet'!$L$22:$M$30,2,FALSE),"")</f>
        <v>6480</v>
      </c>
      <c r="N289" s="675">
        <v>720</v>
      </c>
      <c r="O289" s="675" t="str" cm="1">
        <f t="array" ref="O289">IF(OR(INDEX($B$24:$B$1023,N289)="P10",INDEX($B$24:$B$1023,N289)="P11",INDEX($B$24:$B$1023,N289)="P12",INDEX($B$24:$B$1023,N289)="P13"),"C",IF(OR(INDEX($B$24:$B$1023,N289)="P14",INDEX($B$24:$B$1023,N289)="P15",INDEX($B$24:$B$1023,N289)="P16"),"N","O"))&amp;IF(MOD(N289,100)&lt;20,1,IF(MOD(N289,100)&lt;70,2,3))</f>
        <v>O2</v>
      </c>
    </row>
    <row r="290" spans="1:15" ht="16.5" thickBot="1">
      <c r="A290" s="662">
        <v>267</v>
      </c>
      <c r="B290" s="661" t="str" cm="1">
        <f t="array" ref="B290">"P"&amp;INDEX(X!$CL$2:$CL$12,'Scratch Sheet'!H289+1)+9</f>
        <v>P10</v>
      </c>
      <c r="C290" s="661">
        <v>1</v>
      </c>
      <c r="D290" s="755">
        <f t="shared" si="16"/>
        <v>2400</v>
      </c>
      <c r="E290" s="682" t="str">
        <f t="shared" si="17"/>
        <v>C2</v>
      </c>
      <c r="F290" s="683">
        <f t="shared" si="18"/>
        <v>3</v>
      </c>
      <c r="H290" s="13">
        <v>758</v>
      </c>
      <c r="I290" s="13">
        <f>VLOOKUP(VLOOKUP(H290,$A$24:$B$1023,2,FALSE),'Scratch Sheet'!$U$23:$X$32,3,FALSE)</f>
        <v>6.5</v>
      </c>
      <c r="K290" s="13">
        <f t="shared" si="15"/>
        <v>251</v>
      </c>
      <c r="L290" s="13">
        <f>IFERROR(VLOOKUP(VLOOKUP(K290,$A$24:$B$1023,2,FALSE),'Scratch Sheet'!$U$23:$Y$32,5,FALSE)*VLOOKUP(VLOOKUP(K290,$A$24:$E$1023,5,FALSE),'Scratch Sheet'!$L$22:$M$30,2,FALSE),"")</f>
        <v>11000</v>
      </c>
      <c r="N290" s="675">
        <v>736</v>
      </c>
      <c r="O290" s="675" t="str" cm="1">
        <f t="array" ref="O290">IF(OR(INDEX($B$24:$B$1023,N290)="P10",INDEX($B$24:$B$1023,N290)="P11",INDEX($B$24:$B$1023,N290)="P12",INDEX($B$24:$B$1023,N290)="P13"),"C",IF(OR(INDEX($B$24:$B$1023,N290)="P14",INDEX($B$24:$B$1023,N290)="P15",INDEX($B$24:$B$1023,N290)="P16"),"N","O"))&amp;IF(MOD(N290,100)&lt;20,1,IF(MOD(N290,100)&lt;70,2,3))</f>
        <v>O2</v>
      </c>
    </row>
    <row r="291" spans="1:15" ht="16.5" thickBot="1">
      <c r="A291" s="662">
        <v>268</v>
      </c>
      <c r="B291" s="661" t="str" cm="1">
        <f t="array" ref="B291">"P"&amp;INDEX(X!$CL$2:$CL$12,'Scratch Sheet'!H290+1)+9</f>
        <v>P11</v>
      </c>
      <c r="C291" s="661">
        <v>1</v>
      </c>
      <c r="D291" s="755">
        <f t="shared" si="16"/>
        <v>11000</v>
      </c>
      <c r="E291" s="682" t="str">
        <f t="shared" si="17"/>
        <v>C2</v>
      </c>
      <c r="F291" s="683">
        <f t="shared" si="18"/>
        <v>11</v>
      </c>
      <c r="H291" s="13">
        <v>373</v>
      </c>
      <c r="I291" s="13">
        <f>VLOOKUP(VLOOKUP(H291,$A$24:$B$1023,2,FALSE),'Scratch Sheet'!$U$23:$X$32,3,FALSE)</f>
        <v>3</v>
      </c>
      <c r="K291" s="13">
        <f t="shared" si="15"/>
        <v>267</v>
      </c>
      <c r="L291" s="13">
        <f>IFERROR(VLOOKUP(VLOOKUP(K291,$A$24:$B$1023,2,FALSE),'Scratch Sheet'!$U$23:$Y$32,5,FALSE)*VLOOKUP(VLOOKUP(K291,$A$24:$E$1023,5,FALSE),'Scratch Sheet'!$L$22:$M$30,2,FALSE),"")</f>
        <v>2400</v>
      </c>
      <c r="N291" s="675">
        <v>737</v>
      </c>
      <c r="O291" s="675" t="str" cm="1">
        <f t="array" ref="O291">IF(OR(INDEX($B$24:$B$1023,N291)="P10",INDEX($B$24:$B$1023,N291)="P11",INDEX($B$24:$B$1023,N291)="P12",INDEX($B$24:$B$1023,N291)="P13"),"C",IF(OR(INDEX($B$24:$B$1023,N291)="P14",INDEX($B$24:$B$1023,N291)="P15",INDEX($B$24:$B$1023,N291)="P16"),"N","O"))&amp;IF(MOD(N291,100)&lt;20,1,IF(MOD(N291,100)&lt;70,2,3))</f>
        <v>O2</v>
      </c>
    </row>
    <row r="292" spans="1:15" ht="16.5" thickBot="1">
      <c r="A292" s="662">
        <v>269</v>
      </c>
      <c r="B292" s="661" t="str" cm="1">
        <f t="array" ref="B292">"P"&amp;INDEX(X!$CL$2:$CL$12,'Scratch Sheet'!H291+1)+9</f>
        <v>P18</v>
      </c>
      <c r="C292" s="661">
        <v>1</v>
      </c>
      <c r="D292" s="755">
        <f t="shared" si="16"/>
        <v>5940.0000000000009</v>
      </c>
      <c r="E292" s="682" t="str">
        <f t="shared" si="17"/>
        <v>O2</v>
      </c>
      <c r="F292" s="683">
        <f t="shared" si="18"/>
        <v>6</v>
      </c>
      <c r="H292" s="13">
        <v>715</v>
      </c>
      <c r="I292" s="13">
        <f>VLOOKUP(VLOOKUP(H292,$A$24:$B$1023,2,FALSE),'Scratch Sheet'!$U$23:$X$32,3,FALSE)</f>
        <v>5</v>
      </c>
      <c r="K292" s="13">
        <f t="shared" si="15"/>
        <v>270</v>
      </c>
      <c r="L292" s="13">
        <f>IFERROR(VLOOKUP(VLOOKUP(K292,$A$24:$B$1023,2,FALSE),'Scratch Sheet'!$U$23:$Y$32,5,FALSE)*VLOOKUP(VLOOKUP(K292,$A$24:$E$1023,5,FALSE),'Scratch Sheet'!$L$22:$M$30,2,FALSE),"")</f>
        <v>7200</v>
      </c>
      <c r="N292" s="675">
        <v>753</v>
      </c>
      <c r="O292" s="675" t="str" cm="1">
        <f t="array" ref="O292">IF(OR(INDEX($B$24:$B$1023,N292)="P10",INDEX($B$24:$B$1023,N292)="P11",INDEX($B$24:$B$1023,N292)="P12",INDEX($B$24:$B$1023,N292)="P13"),"C",IF(OR(INDEX($B$24:$B$1023,N292)="P14",INDEX($B$24:$B$1023,N292)="P15",INDEX($B$24:$B$1023,N292)="P16"),"N","O"))&amp;IF(MOD(N292,100)&lt;20,1,IF(MOD(N292,100)&lt;70,2,3))</f>
        <v>O2</v>
      </c>
    </row>
    <row r="293" spans="1:15" ht="16.5" thickBot="1">
      <c r="A293" s="662">
        <v>270</v>
      </c>
      <c r="B293" s="661" t="str" cm="1">
        <f t="array" ref="B293">"P"&amp;INDEX(X!$CL$2:$CL$12,'Scratch Sheet'!H292+1)+9</f>
        <v>P14</v>
      </c>
      <c r="C293" s="661">
        <v>1</v>
      </c>
      <c r="D293" s="755">
        <f t="shared" si="16"/>
        <v>7200</v>
      </c>
      <c r="E293" s="682" t="str">
        <f t="shared" si="17"/>
        <v>N3</v>
      </c>
      <c r="F293" s="683">
        <f t="shared" si="18"/>
        <v>8</v>
      </c>
      <c r="H293" s="13">
        <v>334</v>
      </c>
      <c r="I293" s="13">
        <f>VLOOKUP(VLOOKUP(H293,$A$24:$B$1023,2,FALSE),'Scratch Sheet'!$U$23:$X$32,3,FALSE)</f>
        <v>3</v>
      </c>
      <c r="K293" s="13">
        <f t="shared" si="15"/>
        <v>269</v>
      </c>
      <c r="L293" s="13">
        <f>IFERROR(VLOOKUP(VLOOKUP(K293,$A$24:$B$1023,2,FALSE),'Scratch Sheet'!$U$23:$Y$32,5,FALSE)*VLOOKUP(VLOOKUP(K293,$A$24:$E$1023,5,FALSE),'Scratch Sheet'!$L$22:$M$30,2,FALSE),"")</f>
        <v>5940.0000000000009</v>
      </c>
      <c r="N293" s="675">
        <v>754</v>
      </c>
      <c r="O293" s="675" t="str" cm="1">
        <f t="array" ref="O293">IF(OR(INDEX($B$24:$B$1023,N293)="P10",INDEX($B$24:$B$1023,N293)="P11",INDEX($B$24:$B$1023,N293)="P12",INDEX($B$24:$B$1023,N293)="P13"),"C",IF(OR(INDEX($B$24:$B$1023,N293)="P14",INDEX($B$24:$B$1023,N293)="P15",INDEX($B$24:$B$1023,N293)="P16"),"N","O"))&amp;IF(MOD(N293,100)&lt;20,1,IF(MOD(N293,100)&lt;70,2,3))</f>
        <v>O2</v>
      </c>
    </row>
    <row r="294" spans="1:15" ht="16.5" thickBot="1">
      <c r="A294" s="662">
        <v>271</v>
      </c>
      <c r="B294" s="661" t="str" cm="1">
        <f t="array" ref="B294">"P"&amp;INDEX(X!$CL$2:$CL$12,'Scratch Sheet'!H293+1)+9</f>
        <v>P10</v>
      </c>
      <c r="C294" s="661">
        <v>1</v>
      </c>
      <c r="D294" s="755">
        <f t="shared" si="16"/>
        <v>1920</v>
      </c>
      <c r="E294" s="682" t="str">
        <f t="shared" si="17"/>
        <v>C3</v>
      </c>
      <c r="F294" s="683">
        <f t="shared" si="18"/>
        <v>3</v>
      </c>
      <c r="H294" s="13">
        <v>239</v>
      </c>
      <c r="I294" s="13">
        <f>VLOOKUP(VLOOKUP(H294,$A$24:$B$1023,2,FALSE),'Scratch Sheet'!$U$23:$X$32,3,FALSE)</f>
        <v>5</v>
      </c>
      <c r="K294" s="13">
        <f t="shared" si="15"/>
        <v>264</v>
      </c>
      <c r="L294" s="13">
        <f>IFERROR(VLOOKUP(VLOOKUP(K294,$A$24:$B$1023,2,FALSE),'Scratch Sheet'!$U$23:$Y$32,5,FALSE)*VLOOKUP(VLOOKUP(K294,$A$24:$E$1023,5,FALSE),'Scratch Sheet'!$L$22:$M$30,2,FALSE),"")</f>
        <v>11000</v>
      </c>
      <c r="N294" s="675">
        <v>770</v>
      </c>
      <c r="O294" s="675" t="str" cm="1">
        <f t="array" ref="O294">IF(OR(INDEX($B$24:$B$1023,N294)="P10",INDEX($B$24:$B$1023,N294)="P11",INDEX($B$24:$B$1023,N294)="P12",INDEX($B$24:$B$1023,N294)="P13"),"C",IF(OR(INDEX($B$24:$B$1023,N294)="P14",INDEX($B$24:$B$1023,N294)="P15",INDEX($B$24:$B$1023,N294)="P16"),"N","O"))&amp;IF(MOD(N294,100)&lt;20,1,IF(MOD(N294,100)&lt;70,2,3))</f>
        <v>O3</v>
      </c>
    </row>
    <row r="295" spans="1:15" ht="16.5" thickBot="1">
      <c r="A295" s="662">
        <v>272</v>
      </c>
      <c r="B295" s="661" t="str" cm="1">
        <f t="array" ref="B295">"P"&amp;INDEX(X!$CL$2:$CL$12,'Scratch Sheet'!H294+1)+9</f>
        <v>P13</v>
      </c>
      <c r="C295" s="661">
        <v>1</v>
      </c>
      <c r="D295" s="755">
        <f t="shared" si="16"/>
        <v>3600</v>
      </c>
      <c r="E295" s="682" t="str">
        <f t="shared" si="17"/>
        <v>C3</v>
      </c>
      <c r="F295" s="683">
        <f t="shared" si="18"/>
        <v>5</v>
      </c>
      <c r="H295" s="13">
        <v>520</v>
      </c>
      <c r="I295" s="13">
        <f>VLOOKUP(VLOOKUP(H295,$A$24:$B$1023,2,FALSE),'Scratch Sheet'!$U$23:$X$32,3,FALSE)</f>
        <v>6.5</v>
      </c>
      <c r="K295" s="13">
        <f t="shared" si="15"/>
        <v>266</v>
      </c>
      <c r="L295" s="13">
        <f>IFERROR(VLOOKUP(VLOOKUP(K295,$A$24:$B$1023,2,FALSE),'Scratch Sheet'!$U$23:$Y$32,5,FALSE)*VLOOKUP(VLOOKUP(K295,$A$24:$E$1023,5,FALSE),'Scratch Sheet'!$L$22:$M$30,2,FALSE),"")</f>
        <v>2400</v>
      </c>
      <c r="N295" s="675">
        <v>771</v>
      </c>
      <c r="O295" s="675" t="str" cm="1">
        <f t="array" ref="O295">IF(OR(INDEX($B$24:$B$1023,N295)="P10",INDEX($B$24:$B$1023,N295)="P11",INDEX($B$24:$B$1023,N295)="P12",INDEX($B$24:$B$1023,N295)="P13"),"C",IF(OR(INDEX($B$24:$B$1023,N295)="P14",INDEX($B$24:$B$1023,N295)="P15",INDEX($B$24:$B$1023,N295)="P16"),"N","O"))&amp;IF(MOD(N295,100)&lt;20,1,IF(MOD(N295,100)&lt;70,2,3))</f>
        <v>O3</v>
      </c>
    </row>
    <row r="296" spans="1:15" ht="16.5" thickBot="1">
      <c r="A296" s="662">
        <v>273</v>
      </c>
      <c r="B296" s="661" t="str" cm="1">
        <f t="array" ref="B296">"P"&amp;INDEX(X!$CL$2:$CL$12,'Scratch Sheet'!H295+1)+9</f>
        <v>P13</v>
      </c>
      <c r="C296" s="661">
        <v>1</v>
      </c>
      <c r="D296" s="755">
        <f t="shared" si="16"/>
        <v>3600</v>
      </c>
      <c r="E296" s="682" t="str">
        <f t="shared" si="17"/>
        <v>C3</v>
      </c>
      <c r="F296" s="683">
        <f t="shared" si="18"/>
        <v>5</v>
      </c>
      <c r="H296" s="13">
        <v>92</v>
      </c>
      <c r="I296" s="13">
        <f>VLOOKUP(VLOOKUP(H296,$A$24:$B$1023,2,FALSE),'Scratch Sheet'!$U$23:$X$32,3,FALSE)</f>
        <v>5</v>
      </c>
      <c r="K296" s="13">
        <f t="shared" si="15"/>
        <v>265</v>
      </c>
      <c r="L296" s="13">
        <f>IFERROR(VLOOKUP(VLOOKUP(K296,$A$24:$B$1023,2,FALSE),'Scratch Sheet'!$U$23:$Y$32,5,FALSE)*VLOOKUP(VLOOKUP(K296,$A$24:$E$1023,5,FALSE),'Scratch Sheet'!$L$22:$M$30,2,FALSE),"")</f>
        <v>6825</v>
      </c>
      <c r="N296" s="675">
        <v>781</v>
      </c>
      <c r="O296" s="675" t="str" cm="1">
        <f t="array" ref="O296">IF(OR(INDEX($B$24:$B$1023,N296)="P10",INDEX($B$24:$B$1023,N296)="P11",INDEX($B$24:$B$1023,N296)="P12",INDEX($B$24:$B$1023,N296)="P13"),"C",IF(OR(INDEX($B$24:$B$1023,N296)="P14",INDEX($B$24:$B$1023,N296)="P15",INDEX($B$24:$B$1023,N296)="P16"),"N","O"))&amp;IF(MOD(N296,100)&lt;20,1,IF(MOD(N296,100)&lt;70,2,3))</f>
        <v>C3</v>
      </c>
    </row>
    <row r="297" spans="1:15" ht="16.5" thickBot="1">
      <c r="A297" s="662">
        <v>274</v>
      </c>
      <c r="B297" s="661" t="str" cm="1">
        <f t="array" ref="B297">"P"&amp;INDEX(X!$CL$2:$CL$12,'Scratch Sheet'!H296+1)+9</f>
        <v>P10</v>
      </c>
      <c r="C297" s="661">
        <v>1</v>
      </c>
      <c r="D297" s="755">
        <f t="shared" si="16"/>
        <v>1920</v>
      </c>
      <c r="E297" s="682" t="str">
        <f t="shared" si="17"/>
        <v>C3</v>
      </c>
      <c r="F297" s="683">
        <f t="shared" si="18"/>
        <v>3</v>
      </c>
      <c r="H297" s="13">
        <v>540</v>
      </c>
      <c r="I297" s="13">
        <f>VLOOKUP(VLOOKUP(H297,$A$24:$B$1023,2,FALSE),'Scratch Sheet'!$U$23:$X$32,3,FALSE)</f>
        <v>11</v>
      </c>
      <c r="K297" s="13">
        <f t="shared" si="15"/>
        <v>268</v>
      </c>
      <c r="L297" s="13">
        <f>IFERROR(VLOOKUP(VLOOKUP(K297,$A$24:$B$1023,2,FALSE),'Scratch Sheet'!$U$23:$Y$32,5,FALSE)*VLOOKUP(VLOOKUP(K297,$A$24:$E$1023,5,FALSE),'Scratch Sheet'!$L$22:$M$30,2,FALSE),"")</f>
        <v>11000</v>
      </c>
      <c r="N297" s="675">
        <v>784</v>
      </c>
      <c r="O297" s="675" t="str" cm="1">
        <f t="array" ref="O297">IF(OR(INDEX($B$24:$B$1023,N297)="P10",INDEX($B$24:$B$1023,N297)="P11",INDEX($B$24:$B$1023,N297)="P12",INDEX($B$24:$B$1023,N297)="P13"),"C",IF(OR(INDEX($B$24:$B$1023,N297)="P14",INDEX($B$24:$B$1023,N297)="P15",INDEX($B$24:$B$1023,N297)="P16"),"N","O"))&amp;IF(MOD(N297,100)&lt;20,1,IF(MOD(N297,100)&lt;70,2,3))</f>
        <v>C3</v>
      </c>
    </row>
    <row r="298" spans="1:15" ht="16.5" thickBot="1">
      <c r="A298" s="662">
        <v>275</v>
      </c>
      <c r="B298" s="661" t="str" cm="1">
        <f t="array" ref="B298">"P"&amp;INDEX(X!$CL$2:$CL$12,'Scratch Sheet'!H297+1)+9</f>
        <v>P11</v>
      </c>
      <c r="C298" s="661">
        <v>1</v>
      </c>
      <c r="D298" s="755">
        <f t="shared" si="16"/>
        <v>8800</v>
      </c>
      <c r="E298" s="682" t="str">
        <f t="shared" si="17"/>
        <v>C3</v>
      </c>
      <c r="F298" s="683">
        <f t="shared" si="18"/>
        <v>11</v>
      </c>
      <c r="H298" s="13">
        <v>195</v>
      </c>
      <c r="I298" s="13">
        <f>VLOOKUP(VLOOKUP(H298,$A$24:$B$1023,2,FALSE),'Scratch Sheet'!$U$23:$X$32,3,FALSE)</f>
        <v>11</v>
      </c>
      <c r="K298" s="13">
        <f t="shared" si="15"/>
        <v>263</v>
      </c>
      <c r="L298" s="13">
        <f>IFERROR(VLOOKUP(VLOOKUP(K298,$A$24:$B$1023,2,FALSE),'Scratch Sheet'!$U$23:$Y$32,5,FALSE)*VLOOKUP(VLOOKUP(K298,$A$24:$E$1023,5,FALSE),'Scratch Sheet'!$L$22:$M$30,2,FALSE),"")</f>
        <v>11000</v>
      </c>
      <c r="N298" s="675">
        <v>787</v>
      </c>
      <c r="O298" s="675" t="str" cm="1">
        <f t="array" ref="O298">IF(OR(INDEX($B$24:$B$1023,N298)="P10",INDEX($B$24:$B$1023,N298)="P11",INDEX($B$24:$B$1023,N298)="P12",INDEX($B$24:$B$1023,N298)="P13"),"C",IF(OR(INDEX($B$24:$B$1023,N298)="P14",INDEX($B$24:$B$1023,N298)="P15",INDEX($B$24:$B$1023,N298)="P16"),"N","O"))&amp;IF(MOD(N298,100)&lt;20,1,IF(MOD(N298,100)&lt;70,2,3))</f>
        <v>O3</v>
      </c>
    </row>
    <row r="299" spans="1:15" ht="16.5" thickBot="1">
      <c r="A299" s="662">
        <v>276</v>
      </c>
      <c r="B299" s="661" t="str" cm="1">
        <f t="array" ref="B299">"P"&amp;INDEX(X!$CL$2:$CL$12,'Scratch Sheet'!H298+1)+9</f>
        <v>P16</v>
      </c>
      <c r="C299" s="661">
        <v>1</v>
      </c>
      <c r="D299" s="755">
        <f t="shared" si="16"/>
        <v>5200</v>
      </c>
      <c r="E299" s="682" t="str">
        <f t="shared" si="17"/>
        <v>N3</v>
      </c>
      <c r="F299" s="683">
        <f t="shared" si="18"/>
        <v>4</v>
      </c>
      <c r="H299" s="13">
        <v>778</v>
      </c>
      <c r="I299" s="13">
        <f>VLOOKUP(VLOOKUP(H299,$A$24:$B$1023,2,FALSE),'Scratch Sheet'!$U$23:$X$32,3,FALSE)</f>
        <v>11</v>
      </c>
      <c r="K299" s="13">
        <f t="shared" si="15"/>
        <v>262</v>
      </c>
      <c r="L299" s="13">
        <f>IFERROR(VLOOKUP(VLOOKUP(K299,$A$24:$B$1023,2,FALSE),'Scratch Sheet'!$U$23:$Y$32,5,FALSE)*VLOOKUP(VLOOKUP(K299,$A$24:$E$1023,5,FALSE),'Scratch Sheet'!$L$22:$M$30,2,FALSE),"")</f>
        <v>4500</v>
      </c>
      <c r="N299" s="675">
        <v>788</v>
      </c>
      <c r="O299" s="675" t="str" cm="1">
        <f t="array" ref="O299">IF(OR(INDEX($B$24:$B$1023,N299)="P10",INDEX($B$24:$B$1023,N299)="P11",INDEX($B$24:$B$1023,N299)="P12",INDEX($B$24:$B$1023,N299)="P13"),"C",IF(OR(INDEX($B$24:$B$1023,N299)="P14",INDEX($B$24:$B$1023,N299)="P15",INDEX($B$24:$B$1023,N299)="P16"),"N","O"))&amp;IF(MOD(N299,100)&lt;20,1,IF(MOD(N299,100)&lt;70,2,3))</f>
        <v>O3</v>
      </c>
    </row>
    <row r="300" spans="1:15" ht="16.5" thickBot="1">
      <c r="A300" s="662">
        <v>277</v>
      </c>
      <c r="B300" s="661" t="str" cm="1">
        <f t="array" ref="B300">"P"&amp;INDEX(X!$CL$2:$CL$12,'Scratch Sheet'!H299+1)+9</f>
        <v>P17</v>
      </c>
      <c r="C300" s="661">
        <v>1</v>
      </c>
      <c r="D300" s="755">
        <f t="shared" si="16"/>
        <v>9600</v>
      </c>
      <c r="E300" s="682" t="str">
        <f t="shared" si="17"/>
        <v>O3</v>
      </c>
      <c r="F300" s="683">
        <f t="shared" si="18"/>
        <v>12</v>
      </c>
      <c r="H300" s="13">
        <v>854</v>
      </c>
      <c r="I300" s="13">
        <f>VLOOKUP(VLOOKUP(H300,$A$24:$B$1023,2,FALSE),'Scratch Sheet'!$U$23:$X$32,3,FALSE)</f>
        <v>4</v>
      </c>
      <c r="K300" s="13">
        <f t="shared" si="15"/>
        <v>275</v>
      </c>
      <c r="L300" s="13">
        <f>IFERROR(VLOOKUP(VLOOKUP(K300,$A$24:$B$1023,2,FALSE),'Scratch Sheet'!$U$23:$Y$32,5,FALSE)*VLOOKUP(VLOOKUP(K300,$A$24:$E$1023,5,FALSE),'Scratch Sheet'!$L$22:$M$30,2,FALSE),"")</f>
        <v>8800</v>
      </c>
      <c r="N300" s="675">
        <v>793</v>
      </c>
      <c r="O300" s="675" t="str" cm="1">
        <f t="array" ref="O300">IF(OR(INDEX($B$24:$B$1023,N300)="P10",INDEX($B$24:$B$1023,N300)="P11",INDEX($B$24:$B$1023,N300)="P12",INDEX($B$24:$B$1023,N300)="P13"),"C",IF(OR(INDEX($B$24:$B$1023,N300)="P14",INDEX($B$24:$B$1023,N300)="P15",INDEX($B$24:$B$1023,N300)="P16"),"N","O"))&amp;IF(MOD(N300,100)&lt;20,1,IF(MOD(N300,100)&lt;70,2,3))</f>
        <v>C3</v>
      </c>
    </row>
    <row r="301" spans="1:15" ht="16.5" thickBot="1">
      <c r="A301" s="662">
        <v>278</v>
      </c>
      <c r="B301" s="661" t="str" cm="1">
        <f t="array" ref="B301">"P"&amp;INDEX(X!$CL$2:$CL$12,'Scratch Sheet'!H300+1)+9</f>
        <v>P17</v>
      </c>
      <c r="C301" s="661">
        <v>1</v>
      </c>
      <c r="D301" s="755">
        <f t="shared" si="16"/>
        <v>9600</v>
      </c>
      <c r="E301" s="682" t="str">
        <f t="shared" si="17"/>
        <v>O3</v>
      </c>
      <c r="F301" s="683">
        <f t="shared" si="18"/>
        <v>12</v>
      </c>
      <c r="H301" s="13">
        <v>897</v>
      </c>
      <c r="I301" s="13">
        <f>VLOOKUP(VLOOKUP(H301,$A$24:$B$1023,2,FALSE),'Scratch Sheet'!$U$23:$X$32,3,FALSE)</f>
        <v>11</v>
      </c>
      <c r="K301" s="13">
        <f t="shared" si="15"/>
        <v>278</v>
      </c>
      <c r="L301" s="13">
        <f>IFERROR(VLOOKUP(VLOOKUP(K301,$A$24:$B$1023,2,FALSE),'Scratch Sheet'!$U$23:$Y$32,5,FALSE)*VLOOKUP(VLOOKUP(K301,$A$24:$E$1023,5,FALSE),'Scratch Sheet'!$L$22:$M$30,2,FALSE),"")</f>
        <v>9600</v>
      </c>
      <c r="N301" s="675">
        <v>794</v>
      </c>
      <c r="O301" s="675" t="str" cm="1">
        <f t="array" ref="O301">IF(OR(INDEX($B$24:$B$1023,N301)="P10",INDEX($B$24:$B$1023,N301)="P11",INDEX($B$24:$B$1023,N301)="P12",INDEX($B$24:$B$1023,N301)="P13"),"C",IF(OR(INDEX($B$24:$B$1023,N301)="P14",INDEX($B$24:$B$1023,N301)="P15",INDEX($B$24:$B$1023,N301)="P16"),"N","O"))&amp;IF(MOD(N301,100)&lt;20,1,IF(MOD(N301,100)&lt;70,2,3))</f>
        <v>C3</v>
      </c>
    </row>
    <row r="302" spans="1:15" ht="16.5" thickBot="1">
      <c r="A302" s="662">
        <v>279</v>
      </c>
      <c r="B302" s="661" t="str" cm="1">
        <f t="array" ref="B302">"P"&amp;INDEX(X!$CL$2:$CL$12,'Scratch Sheet'!H301+1)+9</f>
        <v>P13</v>
      </c>
      <c r="C302" s="661">
        <v>1</v>
      </c>
      <c r="D302" s="755">
        <f t="shared" si="16"/>
        <v>3600</v>
      </c>
      <c r="E302" s="682" t="str">
        <f t="shared" si="17"/>
        <v>C3</v>
      </c>
      <c r="F302" s="683">
        <f t="shared" si="18"/>
        <v>5</v>
      </c>
      <c r="H302" s="13">
        <v>415</v>
      </c>
      <c r="I302" s="13">
        <f>VLOOKUP(VLOOKUP(H302,$A$24:$B$1023,2,FALSE),'Scratch Sheet'!$U$23:$X$32,3,FALSE)</f>
        <v>5</v>
      </c>
      <c r="K302" s="13">
        <f t="shared" si="15"/>
        <v>277</v>
      </c>
      <c r="L302" s="13">
        <f>IFERROR(VLOOKUP(VLOOKUP(K302,$A$24:$B$1023,2,FALSE),'Scratch Sheet'!$U$23:$Y$32,5,FALSE)*VLOOKUP(VLOOKUP(K302,$A$24:$E$1023,5,FALSE),'Scratch Sheet'!$L$22:$M$30,2,FALSE),"")</f>
        <v>9600</v>
      </c>
      <c r="N302" s="675">
        <v>798</v>
      </c>
      <c r="O302" s="675" t="str" cm="1">
        <f t="array" ref="O302">IF(OR(INDEX($B$24:$B$1023,N302)="P10",INDEX($B$24:$B$1023,N302)="P11",INDEX($B$24:$B$1023,N302)="P12",INDEX($B$24:$B$1023,N302)="P13"),"C",IF(OR(INDEX($B$24:$B$1023,N302)="P14",INDEX($B$24:$B$1023,N302)="P15",INDEX($B$24:$B$1023,N302)="P16"),"N","O"))&amp;IF(MOD(N302,100)&lt;20,1,IF(MOD(N302,100)&lt;70,2,3))</f>
        <v>C3</v>
      </c>
    </row>
    <row r="303" spans="1:15" ht="16.5" thickBot="1">
      <c r="A303" s="662">
        <v>280</v>
      </c>
      <c r="B303" s="661" t="str" cm="1">
        <f t="array" ref="B303">"P"&amp;INDEX(X!$CL$2:$CL$12,'Scratch Sheet'!H302+1)+9</f>
        <v>P11</v>
      </c>
      <c r="C303" s="661">
        <v>1</v>
      </c>
      <c r="D303" s="755">
        <f t="shared" si="16"/>
        <v>8800</v>
      </c>
      <c r="E303" s="682" t="str">
        <f t="shared" si="17"/>
        <v>C3</v>
      </c>
      <c r="F303" s="683">
        <f t="shared" si="18"/>
        <v>11</v>
      </c>
      <c r="H303" s="13">
        <v>623</v>
      </c>
      <c r="I303" s="13">
        <f>VLOOKUP(VLOOKUP(H303,$A$24:$B$1023,2,FALSE),'Scratch Sheet'!$U$23:$X$32,3,FALSE)</f>
        <v>3</v>
      </c>
      <c r="K303" s="13">
        <f t="shared" si="15"/>
        <v>272</v>
      </c>
      <c r="L303" s="13">
        <f>IFERROR(VLOOKUP(VLOOKUP(K303,$A$24:$B$1023,2,FALSE),'Scratch Sheet'!$U$23:$Y$32,5,FALSE)*VLOOKUP(VLOOKUP(K303,$A$24:$E$1023,5,FALSE),'Scratch Sheet'!$L$22:$M$30,2,FALSE),"")</f>
        <v>3600</v>
      </c>
      <c r="N303" s="675">
        <v>801</v>
      </c>
      <c r="O303" s="675" t="str" cm="1">
        <f t="array" ref="O303">IF(OR(INDEX($B$24:$B$1023,N303)="P10",INDEX($B$24:$B$1023,N303)="P11",INDEX($B$24:$B$1023,N303)="P12",INDEX($B$24:$B$1023,N303)="P13"),"C",IF(OR(INDEX($B$24:$B$1023,N303)="P14",INDEX($B$24:$B$1023,N303)="P15",INDEX($B$24:$B$1023,N303)="P16"),"N","O"))&amp;IF(MOD(N303,100)&lt;20,1,IF(MOD(N303,100)&lt;70,2,3))</f>
        <v>C1</v>
      </c>
    </row>
    <row r="304" spans="1:15" ht="16.5" thickBot="1">
      <c r="A304" s="662">
        <v>281</v>
      </c>
      <c r="B304" s="661" t="str" cm="1">
        <f t="array" ref="B304">"P"&amp;INDEX(X!$CL$2:$CL$12,'Scratch Sheet'!H303+1)+9</f>
        <v>P11</v>
      </c>
      <c r="C304" s="661">
        <v>1</v>
      </c>
      <c r="D304" s="755">
        <f t="shared" si="16"/>
        <v>8800</v>
      </c>
      <c r="E304" s="682" t="str">
        <f t="shared" si="17"/>
        <v>C3</v>
      </c>
      <c r="F304" s="683">
        <f t="shared" si="18"/>
        <v>11</v>
      </c>
      <c r="H304" s="13">
        <v>282</v>
      </c>
      <c r="I304" s="13">
        <f>VLOOKUP(VLOOKUP(H304,$A$24:$B$1023,2,FALSE),'Scratch Sheet'!$U$23:$X$32,3,FALSE)</f>
        <v>6.5</v>
      </c>
      <c r="K304" s="13">
        <f t="shared" si="15"/>
        <v>274</v>
      </c>
      <c r="L304" s="13">
        <f>IFERROR(VLOOKUP(VLOOKUP(K304,$A$24:$B$1023,2,FALSE),'Scratch Sheet'!$U$23:$Y$32,5,FALSE)*VLOOKUP(VLOOKUP(K304,$A$24:$E$1023,5,FALSE),'Scratch Sheet'!$L$22:$M$30,2,FALSE),"")</f>
        <v>1920</v>
      </c>
      <c r="N304" s="675">
        <v>804</v>
      </c>
      <c r="O304" s="675" t="str" cm="1">
        <f t="array" ref="O304">IF(OR(INDEX($B$24:$B$1023,N304)="P10",INDEX($B$24:$B$1023,N304)="P11",INDEX($B$24:$B$1023,N304)="P12",INDEX($B$24:$B$1023,N304)="P13"),"C",IF(OR(INDEX($B$24:$B$1023,N304)="P14",INDEX($B$24:$B$1023,N304)="P15",INDEX($B$24:$B$1023,N304)="P16"),"N","O"))&amp;IF(MOD(N304,100)&lt;20,1,IF(MOD(N304,100)&lt;70,2,3))</f>
        <v>O1</v>
      </c>
    </row>
    <row r="305" spans="1:15" ht="16.5" thickBot="1">
      <c r="A305" s="662">
        <v>282</v>
      </c>
      <c r="B305" s="661" t="str" cm="1">
        <f t="array" ref="B305">"P"&amp;INDEX(X!$CL$2:$CL$12,'Scratch Sheet'!H304+1)+9</f>
        <v>P12</v>
      </c>
      <c r="C305" s="661">
        <v>1</v>
      </c>
      <c r="D305" s="755">
        <f t="shared" si="16"/>
        <v>5460</v>
      </c>
      <c r="E305" s="682" t="str">
        <f t="shared" si="17"/>
        <v>C3</v>
      </c>
      <c r="F305" s="683">
        <f t="shared" si="18"/>
        <v>6.5</v>
      </c>
      <c r="H305" s="13">
        <v>761</v>
      </c>
      <c r="I305" s="13">
        <f>VLOOKUP(VLOOKUP(H305,$A$24:$B$1023,2,FALSE),'Scratch Sheet'!$U$23:$X$32,3,FALSE)</f>
        <v>11</v>
      </c>
      <c r="K305" s="13">
        <f t="shared" si="15"/>
        <v>273</v>
      </c>
      <c r="L305" s="13">
        <f>IFERROR(VLOOKUP(VLOOKUP(K305,$A$24:$B$1023,2,FALSE),'Scratch Sheet'!$U$23:$Y$32,5,FALSE)*VLOOKUP(VLOOKUP(K305,$A$24:$E$1023,5,FALSE),'Scratch Sheet'!$L$22:$M$30,2,FALSE),"")</f>
        <v>3600</v>
      </c>
      <c r="N305" s="675">
        <v>805</v>
      </c>
      <c r="O305" s="675" t="str" cm="1">
        <f t="array" ref="O305">IF(OR(INDEX($B$24:$B$1023,N305)="P10",INDEX($B$24:$B$1023,N305)="P11",INDEX($B$24:$B$1023,N305)="P12",INDEX($B$24:$B$1023,N305)="P13"),"C",IF(OR(INDEX($B$24:$B$1023,N305)="P14",INDEX($B$24:$B$1023,N305)="P15",INDEX($B$24:$B$1023,N305)="P16"),"N","O"))&amp;IF(MOD(N305,100)&lt;20,1,IF(MOD(N305,100)&lt;70,2,3))</f>
        <v>O1</v>
      </c>
    </row>
    <row r="306" spans="1:15" ht="16.5" thickBot="1">
      <c r="A306" s="662">
        <v>283</v>
      </c>
      <c r="B306" s="661" t="str" cm="1">
        <f t="array" ref="B306">"P"&amp;INDEX(X!$CL$2:$CL$12,'Scratch Sheet'!H305+1)+9</f>
        <v>P10</v>
      </c>
      <c r="C306" s="661">
        <v>1</v>
      </c>
      <c r="D306" s="755">
        <f t="shared" si="16"/>
        <v>1920</v>
      </c>
      <c r="E306" s="682" t="str">
        <f t="shared" si="17"/>
        <v>C3</v>
      </c>
      <c r="F306" s="683">
        <f t="shared" si="18"/>
        <v>3</v>
      </c>
      <c r="H306" s="13">
        <v>984</v>
      </c>
      <c r="I306" s="13">
        <f>VLOOKUP(VLOOKUP(H306,$A$24:$B$1023,2,FALSE),'Scratch Sheet'!$U$23:$X$32,3,FALSE)</f>
        <v>8</v>
      </c>
      <c r="K306" s="13">
        <f t="shared" si="15"/>
        <v>276</v>
      </c>
      <c r="L306" s="13">
        <f>IFERROR(VLOOKUP(VLOOKUP(K306,$A$24:$B$1023,2,FALSE),'Scratch Sheet'!$U$23:$Y$32,5,FALSE)*VLOOKUP(VLOOKUP(K306,$A$24:$E$1023,5,FALSE),'Scratch Sheet'!$L$22:$M$30,2,FALSE),"")</f>
        <v>5200</v>
      </c>
      <c r="N306" s="675">
        <v>810</v>
      </c>
      <c r="O306" s="675" t="str" cm="1">
        <f t="array" ref="O306">IF(OR(INDEX($B$24:$B$1023,N306)="P10",INDEX($B$24:$B$1023,N306)="P11",INDEX($B$24:$B$1023,N306)="P12",INDEX($B$24:$B$1023,N306)="P13"),"C",IF(OR(INDEX($B$24:$B$1023,N306)="P14",INDEX($B$24:$B$1023,N306)="P15",INDEX($B$24:$B$1023,N306)="P16"),"N","O"))&amp;IF(MOD(N306,100)&lt;20,1,IF(MOD(N306,100)&lt;70,2,3))</f>
        <v>C1</v>
      </c>
    </row>
    <row r="307" spans="1:15" ht="16.5" thickBot="1">
      <c r="A307" s="662">
        <v>284</v>
      </c>
      <c r="B307" s="661" t="str" cm="1">
        <f t="array" ref="B307">"P"&amp;INDEX(X!$CL$2:$CL$12,'Scratch Sheet'!H306+1)+9</f>
        <v>P10</v>
      </c>
      <c r="C307" s="661">
        <v>1</v>
      </c>
      <c r="D307" s="755">
        <f t="shared" si="16"/>
        <v>1920</v>
      </c>
      <c r="E307" s="682" t="str">
        <f t="shared" si="17"/>
        <v>C3</v>
      </c>
      <c r="F307" s="683">
        <f t="shared" si="18"/>
        <v>3</v>
      </c>
      <c r="H307" s="13">
        <v>556</v>
      </c>
      <c r="I307" s="13">
        <f>VLOOKUP(VLOOKUP(H307,$A$24:$B$1023,2,FALSE),'Scratch Sheet'!$U$23:$X$32,3,FALSE)</f>
        <v>3</v>
      </c>
      <c r="K307" s="13">
        <f t="shared" si="15"/>
        <v>271</v>
      </c>
      <c r="L307" s="13">
        <f>IFERROR(VLOOKUP(VLOOKUP(K307,$A$24:$B$1023,2,FALSE),'Scratch Sheet'!$U$23:$Y$32,5,FALSE)*VLOOKUP(VLOOKUP(K307,$A$24:$E$1023,5,FALSE),'Scratch Sheet'!$L$22:$M$30,2,FALSE),"")</f>
        <v>1920</v>
      </c>
      <c r="N307" s="675">
        <v>811</v>
      </c>
      <c r="O307" s="675" t="str" cm="1">
        <f t="array" ref="O307">IF(OR(INDEX($B$24:$B$1023,N307)="P10",INDEX($B$24:$B$1023,N307)="P11",INDEX($B$24:$B$1023,N307)="P12",INDEX($B$24:$B$1023,N307)="P13"),"C",IF(OR(INDEX($B$24:$B$1023,N307)="P14",INDEX($B$24:$B$1023,N307)="P15",INDEX($B$24:$B$1023,N307)="P16"),"N","O"))&amp;IF(MOD(N307,100)&lt;20,1,IF(MOD(N307,100)&lt;70,2,3))</f>
        <v>C1</v>
      </c>
    </row>
    <row r="308" spans="1:15" ht="16.5" thickBot="1">
      <c r="A308" s="662">
        <v>285</v>
      </c>
      <c r="B308" s="661" t="str" cm="1">
        <f t="array" ref="B308">"P"&amp;INDEX(X!$CL$2:$CL$12,'Scratch Sheet'!H307+1)+9</f>
        <v>P11</v>
      </c>
      <c r="C308" s="661">
        <v>1</v>
      </c>
      <c r="D308" s="755">
        <f t="shared" si="16"/>
        <v>8800</v>
      </c>
      <c r="E308" s="682" t="str">
        <f t="shared" si="17"/>
        <v>C3</v>
      </c>
      <c r="F308" s="683">
        <f t="shared" si="18"/>
        <v>11</v>
      </c>
      <c r="H308" s="13">
        <v>215</v>
      </c>
      <c r="I308" s="13">
        <f>VLOOKUP(VLOOKUP(H308,$A$24:$B$1023,2,FALSE),'Scratch Sheet'!$U$23:$X$32,3,FALSE)</f>
        <v>3</v>
      </c>
      <c r="K308" s="13">
        <f t="shared" si="15"/>
        <v>282</v>
      </c>
      <c r="L308" s="13">
        <f>IFERROR(VLOOKUP(VLOOKUP(K308,$A$24:$B$1023,2,FALSE),'Scratch Sheet'!$U$23:$Y$32,5,FALSE)*VLOOKUP(VLOOKUP(K308,$A$24:$E$1023,5,FALSE),'Scratch Sheet'!$L$22:$M$30,2,FALSE),"")</f>
        <v>5460</v>
      </c>
      <c r="N308" s="675">
        <v>815</v>
      </c>
      <c r="O308" s="675" t="str" cm="1">
        <f t="array" ref="O308">IF(OR(INDEX($B$24:$B$1023,N308)="P10",INDEX($B$24:$B$1023,N308)="P11",INDEX($B$24:$B$1023,N308)="P12",INDEX($B$24:$B$1023,N308)="P13"),"C",IF(OR(INDEX($B$24:$B$1023,N308)="P14",INDEX($B$24:$B$1023,N308)="P15",INDEX($B$24:$B$1023,N308)="P16"),"N","O"))&amp;IF(MOD(N308,100)&lt;20,1,IF(MOD(N308,100)&lt;70,2,3))</f>
        <v>C1</v>
      </c>
    </row>
    <row r="309" spans="1:15" ht="16.5" thickBot="1">
      <c r="A309" s="662">
        <v>286</v>
      </c>
      <c r="B309" s="661" t="str" cm="1">
        <f t="array" ref="B309">"P"&amp;INDEX(X!$CL$2:$CL$12,'Scratch Sheet'!H308+1)+9</f>
        <v>P18</v>
      </c>
      <c r="C309" s="661">
        <v>1</v>
      </c>
      <c r="D309" s="755">
        <f t="shared" si="16"/>
        <v>4320</v>
      </c>
      <c r="E309" s="682" t="str">
        <f t="shared" si="17"/>
        <v>O3</v>
      </c>
      <c r="F309" s="683">
        <f t="shared" si="18"/>
        <v>6</v>
      </c>
      <c r="H309" s="13">
        <v>768</v>
      </c>
      <c r="I309" s="13">
        <f>VLOOKUP(VLOOKUP(H309,$A$24:$B$1023,2,FALSE),'Scratch Sheet'!$U$23:$X$32,3,FALSE)</f>
        <v>11</v>
      </c>
      <c r="K309" s="13">
        <f t="shared" si="15"/>
        <v>285</v>
      </c>
      <c r="L309" s="13">
        <f>IFERROR(VLOOKUP(VLOOKUP(K309,$A$24:$B$1023,2,FALSE),'Scratch Sheet'!$U$23:$Y$32,5,FALSE)*VLOOKUP(VLOOKUP(K309,$A$24:$E$1023,5,FALSE),'Scratch Sheet'!$L$22:$M$30,2,FALSE),"")</f>
        <v>8800</v>
      </c>
      <c r="N309" s="675">
        <v>818</v>
      </c>
      <c r="O309" s="675" t="str" cm="1">
        <f t="array" ref="O309">IF(OR(INDEX($B$24:$B$1023,N309)="P10",INDEX($B$24:$B$1023,N309)="P11",INDEX($B$24:$B$1023,N309)="P12",INDEX($B$24:$B$1023,N309)="P13"),"C",IF(OR(INDEX($B$24:$B$1023,N309)="P14",INDEX($B$24:$B$1023,N309)="P15",INDEX($B$24:$B$1023,N309)="P16"),"N","O"))&amp;IF(MOD(N309,100)&lt;20,1,IF(MOD(N309,100)&lt;70,2,3))</f>
        <v>C1</v>
      </c>
    </row>
    <row r="310" spans="1:15" ht="16.5" thickBot="1">
      <c r="A310" s="662">
        <v>287</v>
      </c>
      <c r="B310" s="661" t="str" cm="1">
        <f t="array" ref="B310">"P"&amp;INDEX(X!$CL$2:$CL$12,'Scratch Sheet'!H309+1)+9</f>
        <v>P14</v>
      </c>
      <c r="C310" s="661">
        <v>1</v>
      </c>
      <c r="D310" s="755">
        <f t="shared" si="16"/>
        <v>7200</v>
      </c>
      <c r="E310" s="682" t="str">
        <f t="shared" si="17"/>
        <v>N3</v>
      </c>
      <c r="F310" s="683">
        <f t="shared" si="18"/>
        <v>8</v>
      </c>
      <c r="H310" s="13">
        <v>237</v>
      </c>
      <c r="I310" s="13">
        <f>VLOOKUP(VLOOKUP(H310,$A$24:$B$1023,2,FALSE),'Scratch Sheet'!$U$23:$X$32,3,FALSE)</f>
        <v>3</v>
      </c>
      <c r="K310" s="13">
        <f t="shared" si="15"/>
        <v>284</v>
      </c>
      <c r="L310" s="13">
        <f>IFERROR(VLOOKUP(VLOOKUP(K310,$A$24:$B$1023,2,FALSE),'Scratch Sheet'!$U$23:$Y$32,5,FALSE)*VLOOKUP(VLOOKUP(K310,$A$24:$E$1023,5,FALSE),'Scratch Sheet'!$L$22:$M$30,2,FALSE),"")</f>
        <v>1920</v>
      </c>
      <c r="N310" s="675">
        <v>821</v>
      </c>
      <c r="O310" s="675" t="str" cm="1">
        <f t="array" ref="O310">IF(OR(INDEX($B$24:$B$1023,N310)="P10",INDEX($B$24:$B$1023,N310)="P11",INDEX($B$24:$B$1023,N310)="P12",INDEX($B$24:$B$1023,N310)="P13"),"C",IF(OR(INDEX($B$24:$B$1023,N310)="P14",INDEX($B$24:$B$1023,N310)="P15",INDEX($B$24:$B$1023,N310)="P16"),"N","O"))&amp;IF(MOD(N310,100)&lt;20,1,IF(MOD(N310,100)&lt;70,2,3))</f>
        <v>O2</v>
      </c>
    </row>
    <row r="311" spans="1:15" ht="16.5" thickBot="1">
      <c r="A311" s="662">
        <v>288</v>
      </c>
      <c r="B311" s="661" t="str" cm="1">
        <f t="array" ref="B311">"P"&amp;INDEX(X!$CL$2:$CL$12,'Scratch Sheet'!H310+1)+9</f>
        <v>P10</v>
      </c>
      <c r="C311" s="661">
        <v>1</v>
      </c>
      <c r="D311" s="755">
        <f t="shared" si="16"/>
        <v>1920</v>
      </c>
      <c r="E311" s="682" t="str">
        <f t="shared" si="17"/>
        <v>C3</v>
      </c>
      <c r="F311" s="683">
        <f t="shared" si="18"/>
        <v>3</v>
      </c>
      <c r="H311" s="13">
        <v>944</v>
      </c>
      <c r="I311" s="13">
        <f>VLOOKUP(VLOOKUP(H311,$A$24:$B$1023,2,FALSE),'Scratch Sheet'!$U$23:$X$32,3,FALSE)</f>
        <v>11</v>
      </c>
      <c r="K311" s="13">
        <f t="shared" si="15"/>
        <v>279</v>
      </c>
      <c r="L311" s="13">
        <f>IFERROR(VLOOKUP(VLOOKUP(K311,$A$24:$B$1023,2,FALSE),'Scratch Sheet'!$U$23:$Y$32,5,FALSE)*VLOOKUP(VLOOKUP(K311,$A$24:$E$1023,5,FALSE),'Scratch Sheet'!$L$22:$M$30,2,FALSE),"")</f>
        <v>3600</v>
      </c>
      <c r="N311" s="675">
        <v>822</v>
      </c>
      <c r="O311" s="675" t="str" cm="1">
        <f t="array" ref="O311">IF(OR(INDEX($B$24:$B$1023,N311)="P10",INDEX($B$24:$B$1023,N311)="P11",INDEX($B$24:$B$1023,N311)="P12",INDEX($B$24:$B$1023,N311)="P13"),"C",IF(OR(INDEX($B$24:$B$1023,N311)="P14",INDEX($B$24:$B$1023,N311)="P15",INDEX($B$24:$B$1023,N311)="P16"),"N","O"))&amp;IF(MOD(N311,100)&lt;20,1,IF(MOD(N311,100)&lt;70,2,3))</f>
        <v>O2</v>
      </c>
    </row>
    <row r="312" spans="1:15" ht="16.5" thickBot="1">
      <c r="A312" s="662">
        <v>289</v>
      </c>
      <c r="B312" s="661" t="str" cm="1">
        <f t="array" ref="B312">"P"&amp;INDEX(X!$CL$2:$CL$12,'Scratch Sheet'!H311+1)+9</f>
        <v>P13</v>
      </c>
      <c r="C312" s="661">
        <v>1</v>
      </c>
      <c r="D312" s="755">
        <f t="shared" si="16"/>
        <v>3600</v>
      </c>
      <c r="E312" s="682" t="str">
        <f t="shared" si="17"/>
        <v>C3</v>
      </c>
      <c r="F312" s="683">
        <f t="shared" si="18"/>
        <v>5</v>
      </c>
      <c r="H312" s="13">
        <v>260</v>
      </c>
      <c r="I312" s="13">
        <f>VLOOKUP(VLOOKUP(H312,$A$24:$B$1023,2,FALSE),'Scratch Sheet'!$U$23:$X$32,3,FALSE)</f>
        <v>12</v>
      </c>
      <c r="K312" s="13">
        <f t="shared" si="15"/>
        <v>281</v>
      </c>
      <c r="L312" s="13">
        <f>IFERROR(VLOOKUP(VLOOKUP(K312,$A$24:$B$1023,2,FALSE),'Scratch Sheet'!$U$23:$Y$32,5,FALSE)*VLOOKUP(VLOOKUP(K312,$A$24:$E$1023,5,FALSE),'Scratch Sheet'!$L$22:$M$30,2,FALSE),"")</f>
        <v>8800</v>
      </c>
      <c r="N312" s="675">
        <v>827</v>
      </c>
      <c r="O312" s="675" t="str" cm="1">
        <f t="array" ref="O312">IF(OR(INDEX($B$24:$B$1023,N312)="P10",INDEX($B$24:$B$1023,N312)="P11",INDEX($B$24:$B$1023,N312)="P12",INDEX($B$24:$B$1023,N312)="P13"),"C",IF(OR(INDEX($B$24:$B$1023,N312)="P14",INDEX($B$24:$B$1023,N312)="P15",INDEX($B$24:$B$1023,N312)="P16"),"N","O"))&amp;IF(MOD(N312,100)&lt;20,1,IF(MOD(N312,100)&lt;70,2,3))</f>
        <v>C2</v>
      </c>
    </row>
    <row r="313" spans="1:15" ht="16.5" thickBot="1">
      <c r="A313" s="662">
        <v>290</v>
      </c>
      <c r="B313" s="661" t="str" cm="1">
        <f t="array" ref="B313">"P"&amp;INDEX(X!$CL$2:$CL$12,'Scratch Sheet'!H312+1)+9</f>
        <v>P13</v>
      </c>
      <c r="C313" s="661">
        <v>1</v>
      </c>
      <c r="D313" s="755">
        <f t="shared" si="16"/>
        <v>3600</v>
      </c>
      <c r="E313" s="682" t="str">
        <f t="shared" si="17"/>
        <v>C3</v>
      </c>
      <c r="F313" s="683">
        <f t="shared" si="18"/>
        <v>5</v>
      </c>
      <c r="H313" s="13">
        <v>311</v>
      </c>
      <c r="I313" s="13">
        <f>VLOOKUP(VLOOKUP(H313,$A$24:$B$1023,2,FALSE),'Scratch Sheet'!$U$23:$X$32,3,FALSE)</f>
        <v>12</v>
      </c>
      <c r="K313" s="13">
        <f t="shared" si="15"/>
        <v>280</v>
      </c>
      <c r="L313" s="13">
        <f>IFERROR(VLOOKUP(VLOOKUP(K313,$A$24:$B$1023,2,FALSE),'Scratch Sheet'!$U$23:$Y$32,5,FALSE)*VLOOKUP(VLOOKUP(K313,$A$24:$E$1023,5,FALSE),'Scratch Sheet'!$L$22:$M$30,2,FALSE),"")</f>
        <v>8800</v>
      </c>
      <c r="N313" s="675">
        <v>828</v>
      </c>
      <c r="O313" s="675" t="str" cm="1">
        <f t="array" ref="O313">IF(OR(INDEX($B$24:$B$1023,N313)="P10",INDEX($B$24:$B$1023,N313)="P11",INDEX($B$24:$B$1023,N313)="P12",INDEX($B$24:$B$1023,N313)="P13"),"C",IF(OR(INDEX($B$24:$B$1023,N313)="P14",INDEX($B$24:$B$1023,N313)="P15",INDEX($B$24:$B$1023,N313)="P16"),"N","O"))&amp;IF(MOD(N313,100)&lt;20,1,IF(MOD(N313,100)&lt;70,2,3))</f>
        <v>C2</v>
      </c>
    </row>
    <row r="314" spans="1:15" ht="16.5" thickBot="1">
      <c r="A314" s="662">
        <v>291</v>
      </c>
      <c r="B314" s="661" t="str" cm="1">
        <f t="array" ref="B314">"P"&amp;INDEX(X!$CL$2:$CL$12,'Scratch Sheet'!H313+1)+9</f>
        <v>P10</v>
      </c>
      <c r="C314" s="661">
        <v>1</v>
      </c>
      <c r="D314" s="755">
        <f t="shared" si="16"/>
        <v>1920</v>
      </c>
      <c r="E314" s="682" t="str">
        <f t="shared" si="17"/>
        <v>C3</v>
      </c>
      <c r="F314" s="683">
        <f t="shared" si="18"/>
        <v>3</v>
      </c>
      <c r="H314" s="13">
        <v>792</v>
      </c>
      <c r="I314" s="13">
        <f>VLOOKUP(VLOOKUP(H314,$A$24:$B$1023,2,FALSE),'Scratch Sheet'!$U$23:$X$32,3,FALSE)</f>
        <v>6.5</v>
      </c>
      <c r="K314" s="13">
        <f t="shared" si="15"/>
        <v>283</v>
      </c>
      <c r="L314" s="13">
        <f>IFERROR(VLOOKUP(VLOOKUP(K314,$A$24:$B$1023,2,FALSE),'Scratch Sheet'!$U$23:$Y$32,5,FALSE)*VLOOKUP(VLOOKUP(K314,$A$24:$E$1023,5,FALSE),'Scratch Sheet'!$L$22:$M$30,2,FALSE),"")</f>
        <v>1920</v>
      </c>
      <c r="N314" s="675">
        <v>832</v>
      </c>
      <c r="O314" s="675" t="str" cm="1">
        <f t="array" ref="O314">IF(OR(INDEX($B$24:$B$1023,N314)="P10",INDEX($B$24:$B$1023,N314)="P11",INDEX($B$24:$B$1023,N314)="P12",INDEX($B$24:$B$1023,N314)="P13"),"C",IF(OR(INDEX($B$24:$B$1023,N314)="P14",INDEX($B$24:$B$1023,N314)="P15",INDEX($B$24:$B$1023,N314)="P16"),"N","O"))&amp;IF(MOD(N314,100)&lt;20,1,IF(MOD(N314,100)&lt;70,2,3))</f>
        <v>C2</v>
      </c>
    </row>
    <row r="315" spans="1:15" ht="16.5" thickBot="1">
      <c r="A315" s="662">
        <v>292</v>
      </c>
      <c r="B315" s="661" t="str" cm="1">
        <f t="array" ref="B315">"P"&amp;INDEX(X!$CL$2:$CL$12,'Scratch Sheet'!H314+1)+9</f>
        <v>P11</v>
      </c>
      <c r="C315" s="661">
        <v>1</v>
      </c>
      <c r="D315" s="755">
        <f t="shared" si="16"/>
        <v>8800</v>
      </c>
      <c r="E315" s="682" t="str">
        <f t="shared" si="17"/>
        <v>C3</v>
      </c>
      <c r="F315" s="683">
        <f t="shared" si="18"/>
        <v>11</v>
      </c>
      <c r="H315" s="13">
        <v>353</v>
      </c>
      <c r="I315" s="13">
        <f>VLOOKUP(VLOOKUP(H315,$A$24:$B$1023,2,FALSE),'Scratch Sheet'!$U$23:$X$32,3,FALSE)</f>
        <v>11</v>
      </c>
      <c r="K315" s="13">
        <f t="shared" si="15"/>
        <v>289</v>
      </c>
      <c r="L315" s="13">
        <f>IFERROR(VLOOKUP(VLOOKUP(K315,$A$24:$B$1023,2,FALSE),'Scratch Sheet'!$U$23:$Y$32,5,FALSE)*VLOOKUP(VLOOKUP(K315,$A$24:$E$1023,5,FALSE),'Scratch Sheet'!$L$22:$M$30,2,FALSE),"")</f>
        <v>3600</v>
      </c>
      <c r="N315" s="675">
        <v>835</v>
      </c>
      <c r="O315" s="675" t="str" cm="1">
        <f t="array" ref="O315">IF(OR(INDEX($B$24:$B$1023,N315)="P10",INDEX($B$24:$B$1023,N315)="P11",INDEX($B$24:$B$1023,N315)="P12",INDEX($B$24:$B$1023,N315)="P13"),"C",IF(OR(INDEX($B$24:$B$1023,N315)="P14",INDEX($B$24:$B$1023,N315)="P15",INDEX($B$24:$B$1023,N315)="P16"),"N","O"))&amp;IF(MOD(N315,100)&lt;20,1,IF(MOD(N315,100)&lt;70,2,3))</f>
        <v>C2</v>
      </c>
    </row>
    <row r="316" spans="1:15" ht="16.5" thickBot="1">
      <c r="A316" s="662">
        <v>293</v>
      </c>
      <c r="B316" s="661" t="str" cm="1">
        <f t="array" ref="B316">"P"&amp;INDEX(X!$CL$2:$CL$12,'Scratch Sheet'!H315+1)+9</f>
        <v>P16</v>
      </c>
      <c r="C316" s="661">
        <v>1</v>
      </c>
      <c r="D316" s="755">
        <f t="shared" si="16"/>
        <v>5200</v>
      </c>
      <c r="E316" s="682" t="str">
        <f t="shared" si="17"/>
        <v>N3</v>
      </c>
      <c r="F316" s="683">
        <f t="shared" si="18"/>
        <v>4</v>
      </c>
      <c r="H316" s="13">
        <v>287</v>
      </c>
      <c r="I316" s="13">
        <f>VLOOKUP(VLOOKUP(H316,$A$24:$B$1023,2,FALSE),'Scratch Sheet'!$U$23:$X$32,3,FALSE)</f>
        <v>8</v>
      </c>
      <c r="K316" s="13">
        <f t="shared" si="15"/>
        <v>291</v>
      </c>
      <c r="L316" s="13">
        <f>IFERROR(VLOOKUP(VLOOKUP(K316,$A$24:$B$1023,2,FALSE),'Scratch Sheet'!$U$23:$Y$32,5,FALSE)*VLOOKUP(VLOOKUP(K316,$A$24:$E$1023,5,FALSE),'Scratch Sheet'!$L$22:$M$30,2,FALSE),"")</f>
        <v>1920</v>
      </c>
      <c r="N316" s="675">
        <v>838</v>
      </c>
      <c r="O316" s="675" t="str" cm="1">
        <f t="array" ref="O316">IF(OR(INDEX($B$24:$B$1023,N316)="P10",INDEX($B$24:$B$1023,N316)="P11",INDEX($B$24:$B$1023,N316)="P12",INDEX($B$24:$B$1023,N316)="P13"),"C",IF(OR(INDEX($B$24:$B$1023,N316)="P14",INDEX($B$24:$B$1023,N316)="P15",INDEX($B$24:$B$1023,N316)="P16"),"N","O"))&amp;IF(MOD(N316,100)&lt;20,1,IF(MOD(N316,100)&lt;70,2,3))</f>
        <v>O2</v>
      </c>
    </row>
    <row r="317" spans="1:15" ht="16.5" thickBot="1">
      <c r="A317" s="662">
        <v>294</v>
      </c>
      <c r="B317" s="661" t="str" cm="1">
        <f t="array" ref="B317">"P"&amp;INDEX(X!$CL$2:$CL$12,'Scratch Sheet'!H316+1)+9</f>
        <v>P17</v>
      </c>
      <c r="C317" s="661">
        <v>1</v>
      </c>
      <c r="D317" s="755">
        <f t="shared" si="16"/>
        <v>19200</v>
      </c>
      <c r="E317" s="682" t="str">
        <f t="shared" si="17"/>
        <v>O3</v>
      </c>
      <c r="F317" s="683">
        <f t="shared" si="18"/>
        <v>12</v>
      </c>
      <c r="H317" s="13">
        <v>628</v>
      </c>
      <c r="I317" s="13">
        <f>VLOOKUP(VLOOKUP(H317,$A$24:$B$1023,2,FALSE),'Scratch Sheet'!$U$23:$X$32,3,FALSE)</f>
        <v>3</v>
      </c>
      <c r="K317" s="13">
        <f t="shared" si="15"/>
        <v>290</v>
      </c>
      <c r="L317" s="13">
        <f>IFERROR(VLOOKUP(VLOOKUP(K317,$A$24:$B$1023,2,FALSE),'Scratch Sheet'!$U$23:$Y$32,5,FALSE)*VLOOKUP(VLOOKUP(K317,$A$24:$E$1023,5,FALSE),'Scratch Sheet'!$L$22:$M$30,2,FALSE),"")</f>
        <v>3600</v>
      </c>
      <c r="N317" s="675">
        <v>839</v>
      </c>
      <c r="O317" s="675" t="str" cm="1">
        <f t="array" ref="O317">IF(OR(INDEX($B$24:$B$1023,N317)="P10",INDEX($B$24:$B$1023,N317)="P11",INDEX($B$24:$B$1023,N317)="P12",INDEX($B$24:$B$1023,N317)="P13"),"C",IF(OR(INDEX($B$24:$B$1023,N317)="P14",INDEX($B$24:$B$1023,N317)="P15",INDEX($B$24:$B$1023,N317)="P16"),"N","O"))&amp;IF(MOD(N317,100)&lt;20,1,IF(MOD(N317,100)&lt;70,2,3))</f>
        <v>O2</v>
      </c>
    </row>
    <row r="318" spans="1:15" ht="16.5" thickBot="1">
      <c r="A318" s="662">
        <v>295</v>
      </c>
      <c r="B318" s="661" t="str" cm="1">
        <f t="array" ref="B318">"P"&amp;INDEX(X!$CL$2:$CL$12,'Scratch Sheet'!H317+1)+9</f>
        <v>P17</v>
      </c>
      <c r="C318" s="661">
        <v>1</v>
      </c>
      <c r="D318" s="755">
        <f t="shared" si="16"/>
        <v>9600</v>
      </c>
      <c r="E318" s="682" t="str">
        <f t="shared" si="17"/>
        <v>O3</v>
      </c>
      <c r="F318" s="683">
        <f t="shared" si="18"/>
        <v>12</v>
      </c>
      <c r="H318" s="13">
        <v>376</v>
      </c>
      <c r="I318" s="13">
        <f>VLOOKUP(VLOOKUP(H318,$A$24:$B$1023,2,FALSE),'Scratch Sheet'!$U$23:$X$32,3,FALSE)</f>
        <v>3</v>
      </c>
      <c r="K318" s="13">
        <f t="shared" si="15"/>
        <v>286</v>
      </c>
      <c r="L318" s="13">
        <f>IFERROR(VLOOKUP(VLOOKUP(K318,$A$24:$B$1023,2,FALSE),'Scratch Sheet'!$U$23:$Y$32,5,FALSE)*VLOOKUP(VLOOKUP(K318,$A$24:$E$1023,5,FALSE),'Scratch Sheet'!$L$22:$M$30,2,FALSE),"")</f>
        <v>4320</v>
      </c>
      <c r="N318" s="675">
        <v>844</v>
      </c>
      <c r="O318" s="675" t="str" cm="1">
        <f t="array" ref="O318">IF(OR(INDEX($B$24:$B$1023,N318)="P10",INDEX($B$24:$B$1023,N318)="P11",INDEX($B$24:$B$1023,N318)="P12",INDEX($B$24:$B$1023,N318)="P13"),"C",IF(OR(INDEX($B$24:$B$1023,N318)="P14",INDEX($B$24:$B$1023,N318)="P15",INDEX($B$24:$B$1023,N318)="P16"),"N","O"))&amp;IF(MOD(N318,100)&lt;20,1,IF(MOD(N318,100)&lt;70,2,3))</f>
        <v>C2</v>
      </c>
    </row>
    <row r="319" spans="1:15" ht="16.5" thickBot="1">
      <c r="A319" s="662">
        <v>296</v>
      </c>
      <c r="B319" s="661" t="str" cm="1">
        <f t="array" ref="B319">"P"&amp;INDEX(X!$CL$2:$CL$12,'Scratch Sheet'!H318+1)+9</f>
        <v>P13</v>
      </c>
      <c r="C319" s="661">
        <v>1</v>
      </c>
      <c r="D319" s="755">
        <f t="shared" si="16"/>
        <v>3600</v>
      </c>
      <c r="E319" s="682" t="str">
        <f t="shared" si="17"/>
        <v>C3</v>
      </c>
      <c r="F319" s="683">
        <f t="shared" si="18"/>
        <v>5</v>
      </c>
      <c r="H319" s="13">
        <v>375</v>
      </c>
      <c r="I319" s="13">
        <f>VLOOKUP(VLOOKUP(H319,$A$24:$B$1023,2,FALSE),'Scratch Sheet'!$U$23:$X$32,3,FALSE)</f>
        <v>5</v>
      </c>
      <c r="K319" s="13">
        <f t="shared" ref="K319:K382" si="19">K216+100</f>
        <v>288</v>
      </c>
      <c r="L319" s="13">
        <f>IFERROR(VLOOKUP(VLOOKUP(K319,$A$24:$B$1023,2,FALSE),'Scratch Sheet'!$U$23:$Y$32,5,FALSE)*VLOOKUP(VLOOKUP(K319,$A$24:$E$1023,5,FALSE),'Scratch Sheet'!$L$22:$M$30,2,FALSE),"")</f>
        <v>1920</v>
      </c>
      <c r="N319" s="675">
        <v>845</v>
      </c>
      <c r="O319" s="675" t="str" cm="1">
        <f t="array" ref="O319">IF(OR(INDEX($B$24:$B$1023,N319)="P10",INDEX($B$24:$B$1023,N319)="P11",INDEX($B$24:$B$1023,N319)="P12",INDEX($B$24:$B$1023,N319)="P13"),"C",IF(OR(INDEX($B$24:$B$1023,N319)="P14",INDEX($B$24:$B$1023,N319)="P15",INDEX($B$24:$B$1023,N319)="P16"),"N","O"))&amp;IF(MOD(N319,100)&lt;20,1,IF(MOD(N319,100)&lt;70,2,3))</f>
        <v>C2</v>
      </c>
    </row>
    <row r="320" spans="1:15" ht="16.5" thickBot="1">
      <c r="A320" s="662">
        <v>297</v>
      </c>
      <c r="B320" s="661" t="str" cm="1">
        <f t="array" ref="B320">"P"&amp;INDEX(X!$CL$2:$CL$12,'Scratch Sheet'!H319+1)+9</f>
        <v>P11</v>
      </c>
      <c r="C320" s="661">
        <v>1</v>
      </c>
      <c r="D320" s="755">
        <f t="shared" si="16"/>
        <v>8800</v>
      </c>
      <c r="E320" s="682" t="str">
        <f t="shared" si="17"/>
        <v>C3</v>
      </c>
      <c r="F320" s="683">
        <f t="shared" si="18"/>
        <v>11</v>
      </c>
      <c r="H320" s="13">
        <v>271</v>
      </c>
      <c r="I320" s="13">
        <f>VLOOKUP(VLOOKUP(H320,$A$24:$B$1023,2,FALSE),'Scratch Sheet'!$U$23:$X$32,3,FALSE)</f>
        <v>3</v>
      </c>
      <c r="K320" s="13">
        <f t="shared" si="19"/>
        <v>287</v>
      </c>
      <c r="L320" s="13">
        <f>IFERROR(VLOOKUP(VLOOKUP(K320,$A$24:$B$1023,2,FALSE),'Scratch Sheet'!$U$23:$Y$32,5,FALSE)*VLOOKUP(VLOOKUP(K320,$A$24:$E$1023,5,FALSE),'Scratch Sheet'!$L$22:$M$30,2,FALSE),"")</f>
        <v>7200</v>
      </c>
      <c r="N320" s="675">
        <v>849</v>
      </c>
      <c r="O320" s="675" t="str" cm="1">
        <f t="array" ref="O320">IF(OR(INDEX($B$24:$B$1023,N320)="P10",INDEX($B$24:$B$1023,N320)="P11",INDEX($B$24:$B$1023,N320)="P12",INDEX($B$24:$B$1023,N320)="P13"),"C",IF(OR(INDEX($B$24:$B$1023,N320)="P14",INDEX($B$24:$B$1023,N320)="P15",INDEX($B$24:$B$1023,N320)="P16"),"N","O"))&amp;IF(MOD(N320,100)&lt;20,1,IF(MOD(N320,100)&lt;70,2,3))</f>
        <v>C2</v>
      </c>
    </row>
    <row r="321" spans="1:15" ht="16.5" thickBot="1">
      <c r="A321" s="662">
        <v>298</v>
      </c>
      <c r="B321" s="661" t="str" cm="1">
        <f t="array" ref="B321">"P"&amp;INDEX(X!$CL$2:$CL$12,'Scratch Sheet'!H320+1)+9</f>
        <v>P11</v>
      </c>
      <c r="C321" s="661">
        <v>1</v>
      </c>
      <c r="D321" s="755">
        <f t="shared" si="16"/>
        <v>8800</v>
      </c>
      <c r="E321" s="682" t="str">
        <f t="shared" si="17"/>
        <v>C3</v>
      </c>
      <c r="F321" s="683">
        <f t="shared" si="18"/>
        <v>11</v>
      </c>
      <c r="H321" s="13">
        <v>330</v>
      </c>
      <c r="I321" s="13">
        <f>VLOOKUP(VLOOKUP(H321,$A$24:$B$1023,2,FALSE),'Scratch Sheet'!$U$23:$X$32,3,FALSE)</f>
        <v>5</v>
      </c>
      <c r="K321" s="13">
        <f t="shared" si="19"/>
        <v>294</v>
      </c>
      <c r="L321" s="13">
        <f>IFERROR(VLOOKUP(VLOOKUP(K321,$A$24:$B$1023,2,FALSE),'Scratch Sheet'!$U$23:$Y$32,5,FALSE)*VLOOKUP(VLOOKUP(K321,$A$24:$E$1023,5,FALSE),'Scratch Sheet'!$L$22:$M$30,2,FALSE),"")</f>
        <v>9600</v>
      </c>
      <c r="N321" s="675">
        <v>852</v>
      </c>
      <c r="O321" s="675" t="str" cm="1">
        <f t="array" ref="O321">IF(OR(INDEX($B$24:$B$1023,N321)="P10",INDEX($B$24:$B$1023,N321)="P11",INDEX($B$24:$B$1023,N321)="P12",INDEX($B$24:$B$1023,N321)="P13"),"C",IF(OR(INDEX($B$24:$B$1023,N321)="P14",INDEX($B$24:$B$1023,N321)="P15",INDEX($B$24:$B$1023,N321)="P16"),"N","O"))&amp;IF(MOD(N321,100)&lt;20,1,IF(MOD(N321,100)&lt;70,2,3))</f>
        <v>C2</v>
      </c>
    </row>
    <row r="322" spans="1:15" ht="16.5" thickBot="1">
      <c r="A322" s="662">
        <v>299</v>
      </c>
      <c r="B322" s="661" t="str" cm="1">
        <f t="array" ref="B322">"P"&amp;INDEX(X!$CL$2:$CL$12,'Scratch Sheet'!H321+1)+9</f>
        <v>P12</v>
      </c>
      <c r="C322" s="661">
        <v>1</v>
      </c>
      <c r="D322" s="755">
        <f t="shared" si="16"/>
        <v>5460</v>
      </c>
      <c r="E322" s="682" t="str">
        <f t="shared" si="17"/>
        <v>C3</v>
      </c>
      <c r="F322" s="683">
        <f t="shared" si="18"/>
        <v>6.5</v>
      </c>
      <c r="H322" s="13">
        <v>88</v>
      </c>
      <c r="I322" s="13">
        <f>VLOOKUP(VLOOKUP(H322,$A$24:$B$1023,2,FALSE),'Scratch Sheet'!$U$23:$X$32,3,FALSE)</f>
        <v>11</v>
      </c>
      <c r="K322" s="13">
        <f t="shared" si="19"/>
        <v>296</v>
      </c>
      <c r="L322" s="13">
        <f>IFERROR(VLOOKUP(VLOOKUP(K322,$A$24:$B$1023,2,FALSE),'Scratch Sheet'!$U$23:$Y$32,5,FALSE)*VLOOKUP(VLOOKUP(K322,$A$24:$E$1023,5,FALSE),'Scratch Sheet'!$L$22:$M$30,2,FALSE),"")</f>
        <v>3600</v>
      </c>
      <c r="N322" s="675">
        <v>855</v>
      </c>
      <c r="O322" s="675" t="str" cm="1">
        <f t="array" ref="O322">IF(OR(INDEX($B$24:$B$1023,N322)="P10",INDEX($B$24:$B$1023,N322)="P11",INDEX($B$24:$B$1023,N322)="P12",INDEX($B$24:$B$1023,N322)="P13"),"C",IF(OR(INDEX($B$24:$B$1023,N322)="P14",INDEX($B$24:$B$1023,N322)="P15",INDEX($B$24:$B$1023,N322)="P16"),"N","O"))&amp;IF(MOD(N322,100)&lt;20,1,IF(MOD(N322,100)&lt;70,2,3))</f>
        <v>O2</v>
      </c>
    </row>
    <row r="323" spans="1:15" ht="16.5" thickBot="1">
      <c r="A323" s="662">
        <v>300</v>
      </c>
      <c r="B323" s="661" t="str" cm="1">
        <f t="array" ref="B323">"P"&amp;INDEX(X!$CL$2:$CL$12,'Scratch Sheet'!H322+1)+9</f>
        <v>P10</v>
      </c>
      <c r="C323" s="661">
        <v>1</v>
      </c>
      <c r="D323" s="755">
        <f t="shared" si="16"/>
        <v>2880</v>
      </c>
      <c r="E323" s="682" t="str">
        <f t="shared" si="17"/>
        <v>C1</v>
      </c>
      <c r="F323" s="683">
        <f t="shared" si="18"/>
        <v>3</v>
      </c>
      <c r="H323" s="13">
        <v>111</v>
      </c>
      <c r="I323" s="13">
        <f>VLOOKUP(VLOOKUP(H323,$A$24:$B$1023,2,FALSE),'Scratch Sheet'!$U$23:$X$32,3,FALSE)</f>
        <v>11</v>
      </c>
      <c r="K323" s="13">
        <f t="shared" si="19"/>
        <v>295</v>
      </c>
      <c r="L323" s="13">
        <f>IFERROR(VLOOKUP(VLOOKUP(K323,$A$24:$B$1023,2,FALSE),'Scratch Sheet'!$U$23:$Y$32,5,FALSE)*VLOOKUP(VLOOKUP(K323,$A$24:$E$1023,5,FALSE),'Scratch Sheet'!$L$22:$M$30,2,FALSE),"")</f>
        <v>9600</v>
      </c>
      <c r="N323" s="675">
        <v>856</v>
      </c>
      <c r="O323" s="675" t="str" cm="1">
        <f t="array" ref="O323">IF(OR(INDEX($B$24:$B$1023,N323)="P10",INDEX($B$24:$B$1023,N323)="P11",INDEX($B$24:$B$1023,N323)="P12",INDEX($B$24:$B$1023,N323)="P13"),"C",IF(OR(INDEX($B$24:$B$1023,N323)="P14",INDEX($B$24:$B$1023,N323)="P15",INDEX($B$24:$B$1023,N323)="P16"),"N","O"))&amp;IF(MOD(N323,100)&lt;20,1,IF(MOD(N323,100)&lt;70,2,3))</f>
        <v>O2</v>
      </c>
    </row>
    <row r="324" spans="1:15" ht="16.5" thickBot="1">
      <c r="A324" s="662">
        <v>301</v>
      </c>
      <c r="B324" s="661" t="str" cm="1">
        <f t="array" ref="B324">"P"&amp;INDEX(X!$CL$2:$CL$12,'Scratch Sheet'!H323+1)+9</f>
        <v>P10</v>
      </c>
      <c r="C324" s="661">
        <v>1</v>
      </c>
      <c r="D324" s="755">
        <f t="shared" si="16"/>
        <v>2880</v>
      </c>
      <c r="E324" s="682" t="str">
        <f t="shared" si="17"/>
        <v>C1</v>
      </c>
      <c r="F324" s="683">
        <f t="shared" si="18"/>
        <v>3</v>
      </c>
      <c r="H324" s="13">
        <v>962</v>
      </c>
      <c r="I324" s="13">
        <f>VLOOKUP(VLOOKUP(H324,$A$24:$B$1023,2,FALSE),'Scratch Sheet'!$U$23:$X$32,3,FALSE)</f>
        <v>6.5</v>
      </c>
      <c r="K324" s="13">
        <f t="shared" si="19"/>
        <v>292</v>
      </c>
      <c r="L324" s="13">
        <f>IFERROR(VLOOKUP(VLOOKUP(K324,$A$24:$B$1023,2,FALSE),'Scratch Sheet'!$U$23:$Y$32,5,FALSE)*VLOOKUP(VLOOKUP(K324,$A$24:$E$1023,5,FALSE),'Scratch Sheet'!$L$22:$M$30,2,FALSE),"")</f>
        <v>8800</v>
      </c>
      <c r="N324" s="675">
        <v>872</v>
      </c>
      <c r="O324" s="675" t="str" cm="1">
        <f t="array" ref="O324">IF(OR(INDEX($B$24:$B$1023,N324)="P10",INDEX($B$24:$B$1023,N324)="P11",INDEX($B$24:$B$1023,N324)="P12",INDEX($B$24:$B$1023,N324)="P13"),"C",IF(OR(INDEX($B$24:$B$1023,N324)="P14",INDEX($B$24:$B$1023,N324)="P15",INDEX($B$24:$B$1023,N324)="P16"),"N","O"))&amp;IF(MOD(N324,100)&lt;20,1,IF(MOD(N324,100)&lt;70,2,3))</f>
        <v>O3</v>
      </c>
    </row>
    <row r="325" spans="1:15" ht="16.5" thickBot="1">
      <c r="A325" s="662">
        <v>302</v>
      </c>
      <c r="B325" s="661" t="str" cm="1">
        <f t="array" ref="B325">"P"&amp;INDEX(X!$CL$2:$CL$12,'Scratch Sheet'!H324+1)+9</f>
        <v>P11</v>
      </c>
      <c r="C325" s="661">
        <v>1</v>
      </c>
      <c r="D325" s="755">
        <f t="shared" si="16"/>
        <v>13200</v>
      </c>
      <c r="E325" s="682" t="str">
        <f t="shared" si="17"/>
        <v>C1</v>
      </c>
      <c r="F325" s="683">
        <f t="shared" si="18"/>
        <v>11</v>
      </c>
      <c r="H325" s="13">
        <v>68</v>
      </c>
      <c r="I325" s="13">
        <f>VLOOKUP(VLOOKUP(H325,$A$24:$B$1023,2,FALSE),'Scratch Sheet'!$U$23:$X$32,3,FALSE)</f>
        <v>11</v>
      </c>
      <c r="K325" s="13">
        <f t="shared" si="19"/>
        <v>293</v>
      </c>
      <c r="L325" s="13">
        <f>IFERROR(VLOOKUP(VLOOKUP(K325,$A$24:$B$1023,2,FALSE),'Scratch Sheet'!$U$23:$Y$32,5,FALSE)*VLOOKUP(VLOOKUP(K325,$A$24:$E$1023,5,FALSE),'Scratch Sheet'!$L$22:$M$30,2,FALSE),"")</f>
        <v>5200</v>
      </c>
      <c r="N325" s="675">
        <v>78</v>
      </c>
      <c r="O325" s="675" t="str" cm="1">
        <f t="array" ref="O325">IF(OR(INDEX($B$24:$B$1023,N325)="P10",INDEX($B$24:$B$1023,N325)="P11",INDEX($B$24:$B$1023,N325)="P12",INDEX($B$24:$B$1023,N325)="P13"),"C",IF(OR(INDEX($B$24:$B$1023,N325)="P14",INDEX($B$24:$B$1023,N325)="P15",INDEX($B$24:$B$1023,N325)="P16"),"N","O"))&amp;IF(MOD(N325,100)&lt;20,1,IF(MOD(N325,100)&lt;70,2,3))</f>
        <v>O3</v>
      </c>
    </row>
    <row r="326" spans="1:15" ht="16.5" thickBot="1">
      <c r="A326" s="662">
        <v>303</v>
      </c>
      <c r="B326" s="661" t="str" cm="1">
        <f t="array" ref="B326">"P"&amp;INDEX(X!$CL$2:$CL$12,'Scratch Sheet'!H325+1)+9</f>
        <v>P18</v>
      </c>
      <c r="C326" s="661">
        <v>1</v>
      </c>
      <c r="D326" s="755">
        <f t="shared" si="16"/>
        <v>4860</v>
      </c>
      <c r="E326" s="682" t="str">
        <f t="shared" si="17"/>
        <v>O1</v>
      </c>
      <c r="F326" s="683">
        <f t="shared" si="18"/>
        <v>6</v>
      </c>
      <c r="H326" s="13">
        <v>554</v>
      </c>
      <c r="I326" s="13">
        <f>VLOOKUP(VLOOKUP(H326,$A$24:$B$1023,2,FALSE),'Scratch Sheet'!$U$23:$X$32,3,FALSE)</f>
        <v>6.5</v>
      </c>
      <c r="K326" s="13">
        <f t="shared" si="19"/>
        <v>298</v>
      </c>
      <c r="L326" s="13">
        <f>IFERROR(VLOOKUP(VLOOKUP(K326,$A$24:$B$1023,2,FALSE),'Scratch Sheet'!$U$23:$Y$32,5,FALSE)*VLOOKUP(VLOOKUP(K326,$A$24:$E$1023,5,FALSE),'Scratch Sheet'!$L$22:$M$30,2,FALSE),"")</f>
        <v>8800</v>
      </c>
      <c r="N326" s="675">
        <v>861</v>
      </c>
      <c r="O326" s="675" t="str" cm="1">
        <f t="array" ref="O326">IF(OR(INDEX($B$24:$B$1023,N326)="P10",INDEX($B$24:$B$1023,N326)="P11",INDEX($B$24:$B$1023,N326)="P12",INDEX($B$24:$B$1023,N326)="P13"),"C",IF(OR(INDEX($B$24:$B$1023,N326)="P14",INDEX($B$24:$B$1023,N326)="P15",INDEX($B$24:$B$1023,N326)="P16"),"N","O"))&amp;IF(MOD(N326,100)&lt;20,1,IF(MOD(N326,100)&lt;70,2,3))</f>
        <v>C2</v>
      </c>
    </row>
    <row r="327" spans="1:15" ht="16.5" thickBot="1">
      <c r="A327" s="662">
        <v>304</v>
      </c>
      <c r="B327" s="661" t="str" cm="1">
        <f t="array" ref="B327">"P"&amp;INDEX(X!$CL$2:$CL$12,'Scratch Sheet'!H326+1)+9</f>
        <v>P14</v>
      </c>
      <c r="C327" s="661">
        <v>1</v>
      </c>
      <c r="D327" s="755">
        <f t="shared" si="16"/>
        <v>10080</v>
      </c>
      <c r="E327" s="682" t="str">
        <f t="shared" si="17"/>
        <v>N1</v>
      </c>
      <c r="F327" s="683">
        <f t="shared" si="18"/>
        <v>8</v>
      </c>
      <c r="H327" s="13">
        <v>359</v>
      </c>
      <c r="I327" s="13">
        <f>VLOOKUP(VLOOKUP(H327,$A$24:$B$1023,2,FALSE),'Scratch Sheet'!$U$23:$X$32,3,FALSE)</f>
        <v>3</v>
      </c>
      <c r="K327" s="13">
        <f t="shared" si="19"/>
        <v>300</v>
      </c>
      <c r="L327" s="13">
        <f>IFERROR(VLOOKUP(VLOOKUP(K327,$A$24:$B$1023,2,FALSE),'Scratch Sheet'!$U$23:$Y$32,5,FALSE)*VLOOKUP(VLOOKUP(K327,$A$24:$E$1023,5,FALSE),'Scratch Sheet'!$L$22:$M$30,2,FALSE),"")</f>
        <v>2880</v>
      </c>
      <c r="N327" s="675">
        <v>862</v>
      </c>
      <c r="O327" s="675" t="str" cm="1">
        <f t="array" ref="O327">IF(OR(INDEX($B$24:$B$1023,N327)="P10",INDEX($B$24:$B$1023,N327)="P11",INDEX($B$24:$B$1023,N327)="P12",INDEX($B$24:$B$1023,N327)="P13"),"C",IF(OR(INDEX($B$24:$B$1023,N327)="P14",INDEX($B$24:$B$1023,N327)="P15",INDEX($B$24:$B$1023,N327)="P16"),"N","O"))&amp;IF(MOD(N327,100)&lt;20,1,IF(MOD(N327,100)&lt;70,2,3))</f>
        <v>C2</v>
      </c>
    </row>
    <row r="328" spans="1:15" ht="16.5" thickBot="1">
      <c r="A328" s="662">
        <v>305</v>
      </c>
      <c r="B328" s="661" t="str" cm="1">
        <f t="array" ref="B328">"P"&amp;INDEX(X!$CL$2:$CL$12,'Scratch Sheet'!H327+1)+9</f>
        <v>P10</v>
      </c>
      <c r="C328" s="661">
        <v>1</v>
      </c>
      <c r="D328" s="755">
        <f t="shared" si="16"/>
        <v>2880</v>
      </c>
      <c r="E328" s="682" t="str">
        <f t="shared" si="17"/>
        <v>C1</v>
      </c>
      <c r="F328" s="683">
        <f t="shared" si="18"/>
        <v>3</v>
      </c>
      <c r="H328" s="13">
        <v>754</v>
      </c>
      <c r="I328" s="13">
        <f>VLOOKUP(VLOOKUP(H328,$A$24:$B$1023,2,FALSE),'Scratch Sheet'!$U$23:$X$32,3,FALSE)</f>
        <v>12</v>
      </c>
      <c r="K328" s="13">
        <f t="shared" si="19"/>
        <v>299</v>
      </c>
      <c r="L328" s="13">
        <f>IFERROR(VLOOKUP(VLOOKUP(K328,$A$24:$B$1023,2,FALSE),'Scratch Sheet'!$U$23:$Y$32,5,FALSE)*VLOOKUP(VLOOKUP(K328,$A$24:$E$1023,5,FALSE),'Scratch Sheet'!$L$22:$M$30,2,FALSE),"")</f>
        <v>5460</v>
      </c>
      <c r="N328" s="675">
        <v>866</v>
      </c>
      <c r="O328" s="675" t="str" cm="1">
        <f t="array" ref="O328">IF(OR(INDEX($B$24:$B$1023,N328)="P10",INDEX($B$24:$B$1023,N328)="P11",INDEX($B$24:$B$1023,N328)="P12",INDEX($B$24:$B$1023,N328)="P13"),"C",IF(OR(INDEX($B$24:$B$1023,N328)="P14",INDEX($B$24:$B$1023,N328)="P15",INDEX($B$24:$B$1023,N328)="P16"),"N","O"))&amp;IF(MOD(N328,100)&lt;20,1,IF(MOD(N328,100)&lt;70,2,3))</f>
        <v>C2</v>
      </c>
    </row>
    <row r="329" spans="1:15" ht="16.5" thickBot="1">
      <c r="A329" s="662">
        <v>306</v>
      </c>
      <c r="B329" s="661" t="str" cm="1">
        <f t="array" ref="B329">"P"&amp;INDEX(X!$CL$2:$CL$12,'Scratch Sheet'!H328+1)+9</f>
        <v>P13</v>
      </c>
      <c r="C329" s="661">
        <v>1</v>
      </c>
      <c r="D329" s="755">
        <f t="shared" si="16"/>
        <v>5400</v>
      </c>
      <c r="E329" s="682" t="str">
        <f t="shared" si="17"/>
        <v>C1</v>
      </c>
      <c r="F329" s="683">
        <f t="shared" si="18"/>
        <v>5</v>
      </c>
      <c r="H329" s="13">
        <v>133</v>
      </c>
      <c r="I329" s="13">
        <f>VLOOKUP(VLOOKUP(H329,$A$24:$B$1023,2,FALSE),'Scratch Sheet'!$U$23:$X$32,3,FALSE)</f>
        <v>6</v>
      </c>
      <c r="K329" s="13">
        <f t="shared" si="19"/>
        <v>297</v>
      </c>
      <c r="L329" s="13">
        <f>IFERROR(VLOOKUP(VLOOKUP(K329,$A$24:$B$1023,2,FALSE),'Scratch Sheet'!$U$23:$Y$32,5,FALSE)*VLOOKUP(VLOOKUP(K329,$A$24:$E$1023,5,FALSE),'Scratch Sheet'!$L$22:$M$30,2,FALSE),"")</f>
        <v>8800</v>
      </c>
      <c r="N329" s="675">
        <v>869</v>
      </c>
      <c r="O329" s="675" t="str" cm="1">
        <f t="array" ref="O329">IF(OR(INDEX($B$24:$B$1023,N329)="P10",INDEX($B$24:$B$1023,N329)="P11",INDEX($B$24:$B$1023,N329)="P12",INDEX($B$24:$B$1023,N329)="P13"),"C",IF(OR(INDEX($B$24:$B$1023,N329)="P14",INDEX($B$24:$B$1023,N329)="P15",INDEX($B$24:$B$1023,N329)="P16"),"N","O"))&amp;IF(MOD(N329,100)&lt;20,1,IF(MOD(N329,100)&lt;70,2,3))</f>
        <v>C2</v>
      </c>
    </row>
    <row r="330" spans="1:15" ht="16.5" thickBot="1">
      <c r="A330" s="662">
        <v>307</v>
      </c>
      <c r="B330" s="661" t="str" cm="1">
        <f t="array" ref="B330">"P"&amp;INDEX(X!$CL$2:$CL$12,'Scratch Sheet'!H329+1)+9</f>
        <v>P13</v>
      </c>
      <c r="C330" s="661">
        <v>1</v>
      </c>
      <c r="D330" s="755">
        <f t="shared" si="16"/>
        <v>5400</v>
      </c>
      <c r="E330" s="682" t="str">
        <f t="shared" si="17"/>
        <v>C1</v>
      </c>
      <c r="F330" s="683">
        <f t="shared" si="18"/>
        <v>5</v>
      </c>
      <c r="H330" s="13">
        <v>915</v>
      </c>
      <c r="I330" s="13">
        <f>VLOOKUP(VLOOKUP(H330,$A$24:$B$1023,2,FALSE),'Scratch Sheet'!$U$23:$X$32,3,FALSE)</f>
        <v>6</v>
      </c>
      <c r="K330" s="13">
        <f t="shared" si="19"/>
        <v>238</v>
      </c>
      <c r="L330" s="13">
        <f>IFERROR(VLOOKUP(VLOOKUP(K330,$A$24:$B$1023,2,FALSE),'Scratch Sheet'!$U$23:$Y$32,5,FALSE)*VLOOKUP(VLOOKUP(K330,$A$24:$E$1023,5,FALSE),'Scratch Sheet'!$L$22:$M$30,2,FALSE),"")</f>
        <v>4500</v>
      </c>
      <c r="N330" s="675">
        <v>873</v>
      </c>
      <c r="O330" s="675" t="str" cm="1">
        <f t="array" ref="O330">IF(OR(INDEX($B$24:$B$1023,N330)="P10",INDEX($B$24:$B$1023,N330)="P11",INDEX($B$24:$B$1023,N330)="P12",INDEX($B$24:$B$1023,N330)="P13"),"C",IF(OR(INDEX($B$24:$B$1023,N330)="P14",INDEX($B$24:$B$1023,N330)="P15",INDEX($B$24:$B$1023,N330)="P16"),"N","O"))&amp;IF(MOD(N330,100)&lt;20,1,IF(MOD(N330,100)&lt;70,2,3))</f>
        <v>O3</v>
      </c>
    </row>
    <row r="331" spans="1:15" ht="16.5" thickBot="1">
      <c r="A331" s="662">
        <v>308</v>
      </c>
      <c r="B331" s="661" t="str" cm="1">
        <f t="array" ref="B331">"P"&amp;INDEX(X!$CL$2:$CL$12,'Scratch Sheet'!H330+1)+9</f>
        <v>P10</v>
      </c>
      <c r="C331" s="661">
        <v>1</v>
      </c>
      <c r="D331" s="755">
        <f t="shared" si="16"/>
        <v>2880</v>
      </c>
      <c r="E331" s="682" t="str">
        <f t="shared" si="17"/>
        <v>C1</v>
      </c>
      <c r="F331" s="683">
        <f t="shared" si="18"/>
        <v>3</v>
      </c>
      <c r="H331" s="13">
        <v>601</v>
      </c>
      <c r="I331" s="13">
        <f>VLOOKUP(VLOOKUP(H331,$A$24:$B$1023,2,FALSE),'Scratch Sheet'!$U$23:$X$32,3,FALSE)</f>
        <v>12</v>
      </c>
      <c r="K331" s="13">
        <f t="shared" si="19"/>
        <v>253</v>
      </c>
      <c r="L331" s="13">
        <f>IFERROR(VLOOKUP(VLOOKUP(K331,$A$24:$B$1023,2,FALSE),'Scratch Sheet'!$U$23:$Y$32,5,FALSE)*VLOOKUP(VLOOKUP(K331,$A$24:$E$1023,5,FALSE),'Scratch Sheet'!$L$22:$M$30,2,FALSE),"")</f>
        <v>6480</v>
      </c>
      <c r="N331" s="675">
        <v>878</v>
      </c>
      <c r="O331" s="675" t="str" cm="1">
        <f t="array" ref="O331">IF(OR(INDEX($B$24:$B$1023,N331)="P10",INDEX($B$24:$B$1023,N331)="P11",INDEX($B$24:$B$1023,N331)="P12",INDEX($B$24:$B$1023,N331)="P13"),"C",IF(OR(INDEX($B$24:$B$1023,N331)="P14",INDEX($B$24:$B$1023,N331)="P15",INDEX($B$24:$B$1023,N331)="P16"),"N","O"))&amp;IF(MOD(N331,100)&lt;20,1,IF(MOD(N331,100)&lt;70,2,3))</f>
        <v>C3</v>
      </c>
    </row>
    <row r="332" spans="1:15" ht="16.5" thickBot="1">
      <c r="A332" s="662">
        <v>309</v>
      </c>
      <c r="B332" s="661" t="str" cm="1">
        <f t="array" ref="B332">"P"&amp;INDEX(X!$CL$2:$CL$12,'Scratch Sheet'!H331+1)+9</f>
        <v>P11</v>
      </c>
      <c r="C332" s="661">
        <v>1</v>
      </c>
      <c r="D332" s="755">
        <f t="shared" si="16"/>
        <v>13200</v>
      </c>
      <c r="E332" s="682" t="str">
        <f t="shared" si="17"/>
        <v>C1</v>
      </c>
      <c r="F332" s="683">
        <f t="shared" si="18"/>
        <v>11</v>
      </c>
      <c r="H332" s="13">
        <v>418</v>
      </c>
      <c r="I332" s="13">
        <f>VLOOKUP(VLOOKUP(H332,$A$24:$B$1023,2,FALSE),'Scratch Sheet'!$U$23:$X$32,3,FALSE)</f>
        <v>6.5</v>
      </c>
      <c r="K332" s="13">
        <f t="shared" si="19"/>
        <v>294</v>
      </c>
      <c r="L332" s="13">
        <f>IFERROR(VLOOKUP(VLOOKUP(K332,$A$24:$B$1023,2,FALSE),'Scratch Sheet'!$U$23:$Y$32,5,FALSE)*VLOOKUP(VLOOKUP(K332,$A$24:$E$1023,5,FALSE),'Scratch Sheet'!$L$22:$M$30,2,FALSE),"")</f>
        <v>9600</v>
      </c>
      <c r="N332" s="675">
        <v>879</v>
      </c>
      <c r="O332" s="675" t="str" cm="1">
        <f t="array" ref="O332">IF(OR(INDEX($B$24:$B$1023,N332)="P10",INDEX($B$24:$B$1023,N332)="P11",INDEX($B$24:$B$1023,N332)="P12",INDEX($B$24:$B$1023,N332)="P13"),"C",IF(OR(INDEX($B$24:$B$1023,N332)="P14",INDEX($B$24:$B$1023,N332)="P15",INDEX($B$24:$B$1023,N332)="P16"),"N","O"))&amp;IF(MOD(N332,100)&lt;20,1,IF(MOD(N332,100)&lt;70,2,3))</f>
        <v>C3</v>
      </c>
    </row>
    <row r="333" spans="1:15" ht="16.5" thickBot="1">
      <c r="A333" s="662">
        <v>310</v>
      </c>
      <c r="B333" s="661" t="str" cm="1">
        <f t="array" ref="B333">"P"&amp;INDEX(X!$CL$2:$CL$12,'Scratch Sheet'!H332+1)+9</f>
        <v>P16</v>
      </c>
      <c r="C333" s="661">
        <v>1</v>
      </c>
      <c r="D333" s="755">
        <f t="shared" si="16"/>
        <v>7279.9999999999991</v>
      </c>
      <c r="E333" s="682" t="str">
        <f t="shared" si="17"/>
        <v>N1</v>
      </c>
      <c r="F333" s="683">
        <f t="shared" si="18"/>
        <v>4</v>
      </c>
      <c r="H333" s="13">
        <v>462</v>
      </c>
      <c r="I333" s="13">
        <f>VLOOKUP(VLOOKUP(H333,$A$24:$B$1023,2,FALSE),'Scratch Sheet'!$U$23:$X$32,3,FALSE)</f>
        <v>11</v>
      </c>
      <c r="K333" s="13">
        <f t="shared" si="19"/>
        <v>310</v>
      </c>
      <c r="L333" s="13">
        <f>IFERROR(VLOOKUP(VLOOKUP(K333,$A$24:$B$1023,2,FALSE),'Scratch Sheet'!$U$23:$Y$32,5,FALSE)*VLOOKUP(VLOOKUP(K333,$A$24:$E$1023,5,FALSE),'Scratch Sheet'!$L$22:$M$30,2,FALSE),"")</f>
        <v>7279.9999999999991</v>
      </c>
      <c r="N333" s="675">
        <v>883</v>
      </c>
      <c r="O333" s="675" t="str" cm="1">
        <f t="array" ref="O333">IF(OR(INDEX($B$24:$B$1023,N333)="P10",INDEX($B$24:$B$1023,N333)="P11",INDEX($B$24:$B$1023,N333)="P12",INDEX($B$24:$B$1023,N333)="P13"),"C",IF(OR(INDEX($B$24:$B$1023,N333)="P14",INDEX($B$24:$B$1023,N333)="P15",INDEX($B$24:$B$1023,N333)="P16"),"N","O"))&amp;IF(MOD(N333,100)&lt;20,1,IF(MOD(N333,100)&lt;70,2,3))</f>
        <v>C3</v>
      </c>
    </row>
    <row r="334" spans="1:15" ht="16.5" thickBot="1">
      <c r="A334" s="662">
        <v>311</v>
      </c>
      <c r="B334" s="661" t="str" cm="1">
        <f t="array" ref="B334">"P"&amp;INDEX(X!$CL$2:$CL$12,'Scratch Sheet'!H333+1)+9</f>
        <v>P17</v>
      </c>
      <c r="C334" s="661">
        <v>1</v>
      </c>
      <c r="D334" s="755">
        <f t="shared" si="16"/>
        <v>10800</v>
      </c>
      <c r="E334" s="682" t="str">
        <f t="shared" si="17"/>
        <v>O1</v>
      </c>
      <c r="F334" s="683">
        <f t="shared" si="18"/>
        <v>12</v>
      </c>
      <c r="H334" s="13">
        <v>459</v>
      </c>
      <c r="I334" s="13">
        <f>VLOOKUP(VLOOKUP(H334,$A$24:$B$1023,2,FALSE),'Scratch Sheet'!$U$23:$X$32,3,FALSE)</f>
        <v>5</v>
      </c>
      <c r="K334" s="13">
        <f t="shared" si="19"/>
        <v>313</v>
      </c>
      <c r="L334" s="13">
        <f>IFERROR(VLOOKUP(VLOOKUP(K334,$A$24:$B$1023,2,FALSE),'Scratch Sheet'!$U$23:$Y$32,5,FALSE)*VLOOKUP(VLOOKUP(K334,$A$24:$E$1023,5,FALSE),'Scratch Sheet'!$L$22:$M$30,2,FALSE),"")</f>
        <v>5400</v>
      </c>
      <c r="N334" s="675">
        <v>886</v>
      </c>
      <c r="O334" s="675" t="str" cm="1">
        <f t="array" ref="O334">IF(OR(INDEX($B$24:$B$1023,N334)="P10",INDEX($B$24:$B$1023,N334)="P11",INDEX($B$24:$B$1023,N334)="P12",INDEX($B$24:$B$1023,N334)="P13"),"C",IF(OR(INDEX($B$24:$B$1023,N334)="P14",INDEX($B$24:$B$1023,N334)="P15",INDEX($B$24:$B$1023,N334)="P16"),"N","O"))&amp;IF(MOD(N334,100)&lt;20,1,IF(MOD(N334,100)&lt;70,2,3))</f>
        <v>C3</v>
      </c>
    </row>
    <row r="335" spans="1:15" ht="16.5" thickBot="1">
      <c r="A335" s="662">
        <v>312</v>
      </c>
      <c r="B335" s="661" t="str" cm="1">
        <f t="array" ref="B335">"P"&amp;INDEX(X!$CL$2:$CL$12,'Scratch Sheet'!H334+1)+9</f>
        <v>P17</v>
      </c>
      <c r="C335" s="661">
        <v>1</v>
      </c>
      <c r="D335" s="755">
        <f t="shared" si="16"/>
        <v>10800</v>
      </c>
      <c r="E335" s="682" t="str">
        <f t="shared" si="17"/>
        <v>O1</v>
      </c>
      <c r="F335" s="683">
        <f t="shared" si="18"/>
        <v>12</v>
      </c>
      <c r="H335" s="13">
        <v>535</v>
      </c>
      <c r="I335" s="13">
        <f>VLOOKUP(VLOOKUP(H335,$A$24:$B$1023,2,FALSE),'Scratch Sheet'!$U$23:$X$32,3,FALSE)</f>
        <v>11</v>
      </c>
      <c r="K335" s="13">
        <f t="shared" si="19"/>
        <v>312</v>
      </c>
      <c r="L335" s="13">
        <f>IFERROR(VLOOKUP(VLOOKUP(K335,$A$24:$B$1023,2,FALSE),'Scratch Sheet'!$U$23:$Y$32,5,FALSE)*VLOOKUP(VLOOKUP(K335,$A$24:$E$1023,5,FALSE),'Scratch Sheet'!$L$22:$M$30,2,FALSE),"")</f>
        <v>10800</v>
      </c>
      <c r="N335" s="675">
        <v>889</v>
      </c>
      <c r="O335" s="675" t="str" cm="1">
        <f t="array" ref="O335">IF(OR(INDEX($B$24:$B$1023,N335)="P10",INDEX($B$24:$B$1023,N335)="P11",INDEX($B$24:$B$1023,N335)="P12",INDEX($B$24:$B$1023,N335)="P13"),"C",IF(OR(INDEX($B$24:$B$1023,N335)="P14",INDEX($B$24:$B$1023,N335)="P15",INDEX($B$24:$B$1023,N335)="P16"),"N","O"))&amp;IF(MOD(N335,100)&lt;20,1,IF(MOD(N335,100)&lt;70,2,3))</f>
        <v>O3</v>
      </c>
    </row>
    <row r="336" spans="1:15" ht="16.5" thickBot="1">
      <c r="A336" s="662">
        <v>313</v>
      </c>
      <c r="B336" s="661" t="str" cm="1">
        <f t="array" ref="B336">"P"&amp;INDEX(X!$CL$2:$CL$12,'Scratch Sheet'!H335+1)+9</f>
        <v>P13</v>
      </c>
      <c r="C336" s="661">
        <v>1</v>
      </c>
      <c r="D336" s="755">
        <f t="shared" si="16"/>
        <v>5400</v>
      </c>
      <c r="E336" s="682" t="str">
        <f t="shared" si="17"/>
        <v>C1</v>
      </c>
      <c r="F336" s="683">
        <f t="shared" si="18"/>
        <v>5</v>
      </c>
      <c r="H336" s="13">
        <v>507</v>
      </c>
      <c r="I336" s="13">
        <f>VLOOKUP(VLOOKUP(H336,$A$24:$B$1023,2,FALSE),'Scratch Sheet'!$U$23:$X$32,3,FALSE)</f>
        <v>6</v>
      </c>
      <c r="K336" s="13">
        <f t="shared" si="19"/>
        <v>306</v>
      </c>
      <c r="L336" s="13">
        <f>IFERROR(VLOOKUP(VLOOKUP(K336,$A$24:$B$1023,2,FALSE),'Scratch Sheet'!$U$23:$Y$32,5,FALSE)*VLOOKUP(VLOOKUP(K336,$A$24:$E$1023,5,FALSE),'Scratch Sheet'!$L$22:$M$30,2,FALSE),"")</f>
        <v>5400</v>
      </c>
      <c r="N336" s="675">
        <v>890</v>
      </c>
      <c r="O336" s="675" t="str" cm="1">
        <f t="array" ref="O336">IF(OR(INDEX($B$24:$B$1023,N336)="P10",INDEX($B$24:$B$1023,N336)="P11",INDEX($B$24:$B$1023,N336)="P12",INDEX($B$24:$B$1023,N336)="P13"),"C",IF(OR(INDEX($B$24:$B$1023,N336)="P14",INDEX($B$24:$B$1023,N336)="P15",INDEX($B$24:$B$1023,N336)="P16"),"N","O"))&amp;IF(MOD(N336,100)&lt;20,1,IF(MOD(N336,100)&lt;70,2,3))</f>
        <v>O3</v>
      </c>
    </row>
    <row r="337" spans="1:15" ht="16.5" thickBot="1">
      <c r="A337" s="662">
        <v>314</v>
      </c>
      <c r="B337" s="661" t="str" cm="1">
        <f t="array" ref="B337">"P"&amp;INDEX(X!$CL$2:$CL$12,'Scratch Sheet'!H336+1)+9</f>
        <v>P11</v>
      </c>
      <c r="C337" s="661">
        <v>1</v>
      </c>
      <c r="D337" s="755">
        <f t="shared" si="16"/>
        <v>13200</v>
      </c>
      <c r="E337" s="682" t="str">
        <f t="shared" si="17"/>
        <v>C1</v>
      </c>
      <c r="F337" s="683">
        <f t="shared" si="18"/>
        <v>11</v>
      </c>
      <c r="H337" s="13">
        <v>439</v>
      </c>
      <c r="I337" s="13">
        <f>VLOOKUP(VLOOKUP(H337,$A$24:$B$1023,2,FALSE),'Scratch Sheet'!$U$23:$X$32,3,FALSE)</f>
        <v>6</v>
      </c>
      <c r="K337" s="13">
        <f t="shared" si="19"/>
        <v>309</v>
      </c>
      <c r="L337" s="13">
        <f>IFERROR(VLOOKUP(VLOOKUP(K337,$A$24:$B$1023,2,FALSE),'Scratch Sheet'!$U$23:$Y$32,5,FALSE)*VLOOKUP(VLOOKUP(K337,$A$24:$E$1023,5,FALSE),'Scratch Sheet'!$L$22:$M$30,2,FALSE),"")</f>
        <v>13200</v>
      </c>
      <c r="N337" s="675">
        <v>895</v>
      </c>
      <c r="O337" s="675" t="str" cm="1">
        <f t="array" ref="O337">IF(OR(INDEX($B$24:$B$1023,N337)="P10",INDEX($B$24:$B$1023,N337)="P11",INDEX($B$24:$B$1023,N337)="P12",INDEX($B$24:$B$1023,N337)="P13"),"C",IF(OR(INDEX($B$24:$B$1023,N337)="P14",INDEX($B$24:$B$1023,N337)="P15",INDEX($B$24:$B$1023,N337)="P16"),"N","O"))&amp;IF(MOD(N337,100)&lt;20,1,IF(MOD(N337,100)&lt;70,2,3))</f>
        <v>C3</v>
      </c>
    </row>
    <row r="338" spans="1:15" ht="16.5" thickBot="1">
      <c r="A338" s="662">
        <v>315</v>
      </c>
      <c r="B338" s="661" t="str" cm="1">
        <f t="array" ref="B338">"P"&amp;INDEX(X!$CL$2:$CL$12,'Scratch Sheet'!H337+1)+9</f>
        <v>P11</v>
      </c>
      <c r="C338" s="661">
        <v>1</v>
      </c>
      <c r="D338" s="755">
        <f t="shared" si="16"/>
        <v>13200</v>
      </c>
      <c r="E338" s="682" t="str">
        <f t="shared" si="17"/>
        <v>C1</v>
      </c>
      <c r="F338" s="683">
        <f t="shared" si="18"/>
        <v>11</v>
      </c>
      <c r="H338" s="13">
        <v>836</v>
      </c>
      <c r="I338" s="13">
        <f>VLOOKUP(VLOOKUP(H338,$A$24:$B$1023,2,FALSE),'Scratch Sheet'!$U$23:$X$32,3,FALSE)</f>
        <v>11</v>
      </c>
      <c r="K338" s="13">
        <f t="shared" si="19"/>
        <v>308</v>
      </c>
      <c r="L338" s="13">
        <f>IFERROR(VLOOKUP(VLOOKUP(K338,$A$24:$B$1023,2,FALSE),'Scratch Sheet'!$U$23:$Y$32,5,FALSE)*VLOOKUP(VLOOKUP(K338,$A$24:$E$1023,5,FALSE),'Scratch Sheet'!$L$22:$M$30,2,FALSE),"")</f>
        <v>2880</v>
      </c>
      <c r="N338" s="675">
        <v>896</v>
      </c>
      <c r="O338" s="675" t="str" cm="1">
        <f t="array" ref="O338">IF(OR(INDEX($B$24:$B$1023,N338)="P10",INDEX($B$24:$B$1023,N338)="P11",INDEX($B$24:$B$1023,N338)="P12",INDEX($B$24:$B$1023,N338)="P13"),"C",IF(OR(INDEX($B$24:$B$1023,N338)="P14",INDEX($B$24:$B$1023,N338)="P15",INDEX($B$24:$B$1023,N338)="P16"),"N","O"))&amp;IF(MOD(N338,100)&lt;20,1,IF(MOD(N338,100)&lt;70,2,3))</f>
        <v>C3</v>
      </c>
    </row>
    <row r="339" spans="1:15" ht="16.5" thickBot="1">
      <c r="A339" s="662">
        <v>316</v>
      </c>
      <c r="B339" s="661" t="str" cm="1">
        <f t="array" ref="B339">"P"&amp;INDEX(X!$CL$2:$CL$12,'Scratch Sheet'!H338+1)+9</f>
        <v>P12</v>
      </c>
      <c r="C339" s="661">
        <v>1</v>
      </c>
      <c r="D339" s="755">
        <f t="shared" si="16"/>
        <v>8190</v>
      </c>
      <c r="E339" s="682" t="str">
        <f t="shared" si="17"/>
        <v>C1</v>
      </c>
      <c r="F339" s="683">
        <f t="shared" si="18"/>
        <v>6.5</v>
      </c>
      <c r="H339" s="13">
        <v>476</v>
      </c>
      <c r="I339" s="13">
        <f>VLOOKUP(VLOOKUP(H339,$A$24:$B$1023,2,FALSE),'Scratch Sheet'!$U$23:$X$32,3,FALSE)</f>
        <v>5</v>
      </c>
      <c r="K339" s="13">
        <f t="shared" si="19"/>
        <v>311</v>
      </c>
      <c r="L339" s="13">
        <f>IFERROR(VLOOKUP(VLOOKUP(K339,$A$24:$B$1023,2,FALSE),'Scratch Sheet'!$U$23:$Y$32,5,FALSE)*VLOOKUP(VLOOKUP(K339,$A$24:$E$1023,5,FALSE),'Scratch Sheet'!$L$22:$M$30,2,FALSE),"")</f>
        <v>10800</v>
      </c>
      <c r="N339" s="675">
        <v>900</v>
      </c>
      <c r="O339" s="675" t="str" cm="1">
        <f t="array" ref="O339">IF(OR(INDEX($B$24:$B$1023,N339)="P10",INDEX($B$24:$B$1023,N339)="P11",INDEX($B$24:$B$1023,N339)="P12",INDEX($B$24:$B$1023,N339)="P13"),"C",IF(OR(INDEX($B$24:$B$1023,N339)="P14",INDEX($B$24:$B$1023,N339)="P15",INDEX($B$24:$B$1023,N339)="P16"),"N","O"))&amp;IF(MOD(N339,100)&lt;20,1,IF(MOD(N339,100)&lt;70,2,3))</f>
        <v>C1</v>
      </c>
    </row>
    <row r="340" spans="1:15" ht="16.5" thickBot="1">
      <c r="A340" s="662">
        <v>317</v>
      </c>
      <c r="B340" s="661" t="str" cm="1">
        <f t="array" ref="B340">"P"&amp;INDEX(X!$CL$2:$CL$12,'Scratch Sheet'!H339+1)+9</f>
        <v>P10</v>
      </c>
      <c r="C340" s="661">
        <v>1</v>
      </c>
      <c r="D340" s="755">
        <f t="shared" si="16"/>
        <v>2880</v>
      </c>
      <c r="E340" s="682" t="str">
        <f t="shared" si="17"/>
        <v>C1</v>
      </c>
      <c r="F340" s="683">
        <f t="shared" si="18"/>
        <v>3</v>
      </c>
      <c r="H340" s="13">
        <v>510</v>
      </c>
      <c r="I340" s="13">
        <f>VLOOKUP(VLOOKUP(H340,$A$24:$B$1023,2,FALSE),'Scratch Sheet'!$U$23:$X$32,3,FALSE)</f>
        <v>5</v>
      </c>
      <c r="K340" s="13">
        <f t="shared" si="19"/>
        <v>305</v>
      </c>
      <c r="L340" s="13">
        <f>IFERROR(VLOOKUP(VLOOKUP(K340,$A$24:$B$1023,2,FALSE),'Scratch Sheet'!$U$23:$Y$32,5,FALSE)*VLOOKUP(VLOOKUP(K340,$A$24:$E$1023,5,FALSE),'Scratch Sheet'!$L$22:$M$30,2,FALSE),"")</f>
        <v>2880</v>
      </c>
      <c r="N340" s="675">
        <v>903</v>
      </c>
      <c r="O340" s="675" t="str" cm="1">
        <f t="array" ref="O340">IF(OR(INDEX($B$24:$B$1023,N340)="P10",INDEX($B$24:$B$1023,N340)="P11",INDEX($B$24:$B$1023,N340)="P12",INDEX($B$24:$B$1023,N340)="P13"),"C",IF(OR(INDEX($B$24:$B$1023,N340)="P14",INDEX($B$24:$B$1023,N340)="P15",INDEX($B$24:$B$1023,N340)="P16"),"N","O"))&amp;IF(MOD(N340,100)&lt;20,1,IF(MOD(N340,100)&lt;70,2,3))</f>
        <v>C1</v>
      </c>
    </row>
    <row r="341" spans="1:15" ht="16.5" thickBot="1">
      <c r="A341" s="662">
        <v>318</v>
      </c>
      <c r="B341" s="661" t="str" cm="1">
        <f t="array" ref="B341">"P"&amp;INDEX(X!$CL$2:$CL$12,'Scratch Sheet'!H340+1)+9</f>
        <v>P10</v>
      </c>
      <c r="C341" s="661">
        <v>1</v>
      </c>
      <c r="D341" s="755">
        <f t="shared" si="16"/>
        <v>2880</v>
      </c>
      <c r="E341" s="682" t="str">
        <f t="shared" si="17"/>
        <v>C1</v>
      </c>
      <c r="F341" s="683">
        <f t="shared" si="18"/>
        <v>3</v>
      </c>
      <c r="H341" s="13">
        <v>515</v>
      </c>
      <c r="I341" s="13">
        <f>VLOOKUP(VLOOKUP(H341,$A$24:$B$1023,2,FALSE),'Scratch Sheet'!$U$23:$X$32,3,FALSE)</f>
        <v>12</v>
      </c>
      <c r="K341" s="13">
        <f t="shared" si="19"/>
        <v>303</v>
      </c>
      <c r="L341" s="13">
        <f>IFERROR(VLOOKUP(VLOOKUP(K341,$A$24:$B$1023,2,FALSE),'Scratch Sheet'!$U$23:$Y$32,5,FALSE)*VLOOKUP(VLOOKUP(K341,$A$24:$E$1023,5,FALSE),'Scratch Sheet'!$L$22:$M$30,2,FALSE),"")</f>
        <v>4860</v>
      </c>
      <c r="N341" s="675">
        <v>906</v>
      </c>
      <c r="O341" s="675" t="str" cm="1">
        <f t="array" ref="O341">IF(OR(INDEX($B$24:$B$1023,N341)="P10",INDEX($B$24:$B$1023,N341)="P11",INDEX($B$24:$B$1023,N341)="P12",INDEX($B$24:$B$1023,N341)="P13"),"C",IF(OR(INDEX($B$24:$B$1023,N341)="P14",INDEX($B$24:$B$1023,N341)="P15",INDEX($B$24:$B$1023,N341)="P16"),"N","O"))&amp;IF(MOD(N341,100)&lt;20,1,IF(MOD(N341,100)&lt;70,2,3))</f>
        <v>O1</v>
      </c>
    </row>
    <row r="342" spans="1:15" ht="16.5" thickBot="1">
      <c r="A342" s="662">
        <v>319</v>
      </c>
      <c r="B342" s="661" t="str" cm="1">
        <f t="array" ref="B342">"P"&amp;INDEX(X!$CL$2:$CL$12,'Scratch Sheet'!H341+1)+9</f>
        <v>P11</v>
      </c>
      <c r="C342" s="661">
        <v>1</v>
      </c>
      <c r="D342" s="755">
        <f t="shared" si="16"/>
        <v>13200</v>
      </c>
      <c r="E342" s="682" t="str">
        <f t="shared" si="17"/>
        <v>C1</v>
      </c>
      <c r="F342" s="683">
        <f t="shared" si="18"/>
        <v>11</v>
      </c>
      <c r="H342" s="13">
        <v>66</v>
      </c>
      <c r="I342" s="13">
        <f>VLOOKUP(VLOOKUP(H342,$A$24:$B$1023,2,FALSE),'Scratch Sheet'!$U$23:$X$32,3,FALSE)</f>
        <v>5</v>
      </c>
      <c r="K342" s="13">
        <f t="shared" si="19"/>
        <v>304</v>
      </c>
      <c r="L342" s="13">
        <f>IFERROR(VLOOKUP(VLOOKUP(K342,$A$24:$B$1023,2,FALSE),'Scratch Sheet'!$U$23:$Y$32,5,FALSE)*VLOOKUP(VLOOKUP(K342,$A$24:$E$1023,5,FALSE),'Scratch Sheet'!$L$22:$M$30,2,FALSE),"")</f>
        <v>10080</v>
      </c>
      <c r="N342" s="675">
        <v>907</v>
      </c>
      <c r="O342" s="675" t="str" cm="1">
        <f t="array" ref="O342">IF(OR(INDEX($B$24:$B$1023,N342)="P10",INDEX($B$24:$B$1023,N342)="P11",INDEX($B$24:$B$1023,N342)="P12",INDEX($B$24:$B$1023,N342)="P13"),"C",IF(OR(INDEX($B$24:$B$1023,N342)="P14",INDEX($B$24:$B$1023,N342)="P15",INDEX($B$24:$B$1023,N342)="P16"),"N","O"))&amp;IF(MOD(N342,100)&lt;20,1,IF(MOD(N342,100)&lt;70,2,3))</f>
        <v>O1</v>
      </c>
    </row>
    <row r="343" spans="1:15" ht="16.5" thickBot="1">
      <c r="A343" s="662">
        <v>320</v>
      </c>
      <c r="B343" s="661" t="str" cm="1">
        <f t="array" ref="B343">"P"&amp;INDEX(X!$CL$2:$CL$12,'Scratch Sheet'!H342+1)+9</f>
        <v>P18</v>
      </c>
      <c r="C343" s="661">
        <v>1</v>
      </c>
      <c r="D343" s="755">
        <f t="shared" si="16"/>
        <v>5940.0000000000009</v>
      </c>
      <c r="E343" s="682" t="str">
        <f t="shared" si="17"/>
        <v>O2</v>
      </c>
      <c r="F343" s="683">
        <f t="shared" si="18"/>
        <v>6</v>
      </c>
      <c r="H343" s="13">
        <v>548</v>
      </c>
      <c r="I343" s="13">
        <f>VLOOKUP(VLOOKUP(H343,$A$24:$B$1023,2,FALSE),'Scratch Sheet'!$U$23:$X$32,3,FALSE)</f>
        <v>4</v>
      </c>
      <c r="K343" s="13">
        <f t="shared" si="19"/>
        <v>302</v>
      </c>
      <c r="L343" s="13">
        <f>IFERROR(VLOOKUP(VLOOKUP(K343,$A$24:$B$1023,2,FALSE),'Scratch Sheet'!$U$23:$Y$32,5,FALSE)*VLOOKUP(VLOOKUP(K343,$A$24:$E$1023,5,FALSE),'Scratch Sheet'!$L$22:$M$30,2,FALSE),"")</f>
        <v>13200</v>
      </c>
      <c r="N343" s="675">
        <v>912</v>
      </c>
      <c r="O343" s="675" t="str" cm="1">
        <f t="array" ref="O343">IF(OR(INDEX($B$24:$B$1023,N343)="P10",INDEX($B$24:$B$1023,N343)="P11",INDEX($B$24:$B$1023,N343)="P12",INDEX($B$24:$B$1023,N343)="P13"),"C",IF(OR(INDEX($B$24:$B$1023,N343)="P14",INDEX($B$24:$B$1023,N343)="P15",INDEX($B$24:$B$1023,N343)="P16"),"N","O"))&amp;IF(MOD(N343,100)&lt;20,1,IF(MOD(N343,100)&lt;70,2,3))</f>
        <v>C1</v>
      </c>
    </row>
    <row r="344" spans="1:15" ht="16.5" thickBot="1">
      <c r="A344" s="662">
        <v>321</v>
      </c>
      <c r="B344" s="661" t="str" cm="1">
        <f t="array" ref="B344">"P"&amp;INDEX(X!$CL$2:$CL$12,'Scratch Sheet'!H343+1)+9</f>
        <v>P14</v>
      </c>
      <c r="C344" s="661">
        <v>1</v>
      </c>
      <c r="D344" s="755">
        <f t="shared" si="16"/>
        <v>6480</v>
      </c>
      <c r="E344" s="682" t="str">
        <f t="shared" si="17"/>
        <v>N2</v>
      </c>
      <c r="F344" s="683">
        <f t="shared" si="18"/>
        <v>8</v>
      </c>
      <c r="H344" s="13">
        <v>198</v>
      </c>
      <c r="I344" s="13">
        <f>VLOOKUP(VLOOKUP(H344,$A$24:$B$1023,2,FALSE),'Scratch Sheet'!$U$23:$X$32,3,FALSE)</f>
        <v>3</v>
      </c>
      <c r="K344" s="13">
        <f t="shared" si="19"/>
        <v>301</v>
      </c>
      <c r="L344" s="13">
        <f>IFERROR(VLOOKUP(VLOOKUP(K344,$A$24:$B$1023,2,FALSE),'Scratch Sheet'!$U$23:$Y$32,5,FALSE)*VLOOKUP(VLOOKUP(K344,$A$24:$E$1023,5,FALSE),'Scratch Sheet'!$L$22:$M$30,2,FALSE),"")</f>
        <v>2880</v>
      </c>
      <c r="N344" s="675">
        <v>913</v>
      </c>
      <c r="O344" s="675" t="str" cm="1">
        <f t="array" ref="O344">IF(OR(INDEX($B$24:$B$1023,N344)="P10",INDEX($B$24:$B$1023,N344)="P11",INDEX($B$24:$B$1023,N344)="P12",INDEX($B$24:$B$1023,N344)="P13"),"C",IF(OR(INDEX($B$24:$B$1023,N344)="P14",INDEX($B$24:$B$1023,N344)="P15",INDEX($B$24:$B$1023,N344)="P16"),"N","O"))&amp;IF(MOD(N344,100)&lt;20,1,IF(MOD(N344,100)&lt;70,2,3))</f>
        <v>C1</v>
      </c>
    </row>
    <row r="345" spans="1:15" ht="16.5" thickBot="1">
      <c r="A345" s="662">
        <v>322</v>
      </c>
      <c r="B345" s="661" t="str" cm="1">
        <f t="array" ref="B345">"P"&amp;INDEX(X!$CL$2:$CL$12,'Scratch Sheet'!H344+1)+9</f>
        <v>P10</v>
      </c>
      <c r="C345" s="661">
        <v>1</v>
      </c>
      <c r="D345" s="755">
        <f t="shared" ref="D345:D408" si="20">SUMIF($K$24:$K$1053, $A345, $L$24:$L$1053)</f>
        <v>2400</v>
      </c>
      <c r="E345" s="682" t="str">
        <f t="shared" ref="E345:E408" si="21">INDEX($O$24:$O$1023,MATCH($A345,$N$24:$N$1023,0))</f>
        <v>C2</v>
      </c>
      <c r="F345" s="683">
        <f t="shared" ref="F345:F408" si="22">VLOOKUP(A345, $H$24:$I$1023, 2, FALSE)</f>
        <v>3</v>
      </c>
      <c r="H345" s="13">
        <v>218</v>
      </c>
      <c r="I345" s="13">
        <f>VLOOKUP(VLOOKUP(H345,$A$24:$B$1023,2,FALSE),'Scratch Sheet'!$U$23:$X$32,3,FALSE)</f>
        <v>6</v>
      </c>
      <c r="K345" s="13">
        <f t="shared" si="19"/>
        <v>314</v>
      </c>
      <c r="L345" s="13">
        <f>IFERROR(VLOOKUP(VLOOKUP(K345,$A$24:$B$1023,2,FALSE),'Scratch Sheet'!$U$23:$Y$32,5,FALSE)*VLOOKUP(VLOOKUP(K345,$A$24:$E$1023,5,FALSE),'Scratch Sheet'!$L$22:$M$30,2,FALSE),"")</f>
        <v>13200</v>
      </c>
      <c r="N345" s="675">
        <v>917</v>
      </c>
      <c r="O345" s="675" t="str" cm="1">
        <f t="array" ref="O345">IF(OR(INDEX($B$24:$B$1023,N345)="P10",INDEX($B$24:$B$1023,N345)="P11",INDEX($B$24:$B$1023,N345)="P12",INDEX($B$24:$B$1023,N345)="P13"),"C",IF(OR(INDEX($B$24:$B$1023,N345)="P14",INDEX($B$24:$B$1023,N345)="P15",INDEX($B$24:$B$1023,N345)="P16"),"N","O"))&amp;IF(MOD(N345,100)&lt;20,1,IF(MOD(N345,100)&lt;70,2,3))</f>
        <v>C1</v>
      </c>
    </row>
    <row r="346" spans="1:15" ht="16.5" thickBot="1">
      <c r="A346" s="662">
        <v>323</v>
      </c>
      <c r="B346" s="661" t="str" cm="1">
        <f t="array" ref="B346">"P"&amp;INDEX(X!$CL$2:$CL$12,'Scratch Sheet'!H345+1)+9</f>
        <v>P13</v>
      </c>
      <c r="C346" s="661">
        <v>1</v>
      </c>
      <c r="D346" s="755">
        <f t="shared" si="20"/>
        <v>4500</v>
      </c>
      <c r="E346" s="682" t="str">
        <f t="shared" si="21"/>
        <v>C2</v>
      </c>
      <c r="F346" s="683">
        <f t="shared" si="22"/>
        <v>5</v>
      </c>
      <c r="H346" s="13">
        <v>985</v>
      </c>
      <c r="I346" s="13">
        <f>VLOOKUP(VLOOKUP(H346,$A$24:$B$1023,2,FALSE),'Scratch Sheet'!$U$23:$X$32,3,FALSE)</f>
        <v>3</v>
      </c>
      <c r="K346" s="13">
        <f t="shared" si="19"/>
        <v>307</v>
      </c>
      <c r="L346" s="13">
        <f>IFERROR(VLOOKUP(VLOOKUP(K346,$A$24:$B$1023,2,FALSE),'Scratch Sheet'!$U$23:$Y$32,5,FALSE)*VLOOKUP(VLOOKUP(K346,$A$24:$E$1023,5,FALSE),'Scratch Sheet'!$L$22:$M$30,2,FALSE),"")</f>
        <v>5400</v>
      </c>
      <c r="N346" s="675">
        <v>920</v>
      </c>
      <c r="O346" s="675" t="str" cm="1">
        <f t="array" ref="O346">IF(OR(INDEX($B$24:$B$1023,N346)="P10",INDEX($B$24:$B$1023,N346)="P11",INDEX($B$24:$B$1023,N346)="P12",INDEX($B$24:$B$1023,N346)="P13"),"C",IF(OR(INDEX($B$24:$B$1023,N346)="P14",INDEX($B$24:$B$1023,N346)="P15",INDEX($B$24:$B$1023,N346)="P16"),"N","O"))&amp;IF(MOD(N346,100)&lt;20,1,IF(MOD(N346,100)&lt;70,2,3))</f>
        <v>C2</v>
      </c>
    </row>
    <row r="347" spans="1:15" ht="16.5" thickBot="1">
      <c r="A347" s="662">
        <v>324</v>
      </c>
      <c r="B347" s="661" t="str" cm="1">
        <f t="array" ref="B347">"P"&amp;INDEX(X!$CL$2:$CL$12,'Scratch Sheet'!H346+1)+9</f>
        <v>P13</v>
      </c>
      <c r="C347" s="661">
        <v>1</v>
      </c>
      <c r="D347" s="755">
        <f t="shared" si="20"/>
        <v>4500</v>
      </c>
      <c r="E347" s="682" t="str">
        <f t="shared" si="21"/>
        <v>C2</v>
      </c>
      <c r="F347" s="683">
        <f t="shared" si="22"/>
        <v>5</v>
      </c>
      <c r="H347" s="13">
        <v>300</v>
      </c>
      <c r="I347" s="13">
        <f>VLOOKUP(VLOOKUP(H347,$A$24:$B$1023,2,FALSE),'Scratch Sheet'!$U$23:$X$32,3,FALSE)</f>
        <v>3</v>
      </c>
      <c r="K347" s="13">
        <f t="shared" si="19"/>
        <v>323</v>
      </c>
      <c r="L347" s="13">
        <f>IFERROR(VLOOKUP(VLOOKUP(K347,$A$24:$B$1023,2,FALSE),'Scratch Sheet'!$U$23:$Y$32,5,FALSE)*VLOOKUP(VLOOKUP(K347,$A$24:$E$1023,5,FALSE),'Scratch Sheet'!$L$22:$M$30,2,FALSE),"")</f>
        <v>4500</v>
      </c>
      <c r="N347" s="675">
        <v>923</v>
      </c>
      <c r="O347" s="675" t="str" cm="1">
        <f t="array" ref="O347">IF(OR(INDEX($B$24:$B$1023,N347)="P10",INDEX($B$24:$B$1023,N347)="P11",INDEX($B$24:$B$1023,N347)="P12",INDEX($B$24:$B$1023,N347)="P13"),"C",IF(OR(INDEX($B$24:$B$1023,N347)="P14",INDEX($B$24:$B$1023,N347)="P15",INDEX($B$24:$B$1023,N347)="P16"),"N","O"))&amp;IF(MOD(N347,100)&lt;20,1,IF(MOD(N347,100)&lt;70,2,3))</f>
        <v>O2</v>
      </c>
    </row>
    <row r="348" spans="1:15" ht="16.5" thickBot="1">
      <c r="A348" s="662">
        <v>325</v>
      </c>
      <c r="B348" s="661" t="str" cm="1">
        <f t="array" ref="B348">"P"&amp;INDEX(X!$CL$2:$CL$12,'Scratch Sheet'!H347+1)+9</f>
        <v>P10</v>
      </c>
      <c r="C348" s="661">
        <v>1</v>
      </c>
      <c r="D348" s="755">
        <f t="shared" si="20"/>
        <v>2400</v>
      </c>
      <c r="E348" s="682" t="str">
        <f t="shared" si="21"/>
        <v>C2</v>
      </c>
      <c r="F348" s="683">
        <f t="shared" si="22"/>
        <v>3</v>
      </c>
      <c r="H348" s="13">
        <v>180</v>
      </c>
      <c r="I348" s="13">
        <f>VLOOKUP(VLOOKUP(H348,$A$24:$B$1023,2,FALSE),'Scratch Sheet'!$U$23:$X$32,3,FALSE)</f>
        <v>6.5</v>
      </c>
      <c r="K348" s="13">
        <f t="shared" si="19"/>
        <v>326</v>
      </c>
      <c r="L348" s="13">
        <f>IFERROR(VLOOKUP(VLOOKUP(K348,$A$24:$B$1023,2,FALSE),'Scratch Sheet'!$U$23:$Y$32,5,FALSE)*VLOOKUP(VLOOKUP(K348,$A$24:$E$1023,5,FALSE),'Scratch Sheet'!$L$22:$M$30,2,FALSE),"")</f>
        <v>11000</v>
      </c>
      <c r="N348" s="675">
        <v>924</v>
      </c>
      <c r="O348" s="675" t="str" cm="1">
        <f t="array" ref="O348">IF(OR(INDEX($B$24:$B$1023,N348)="P10",INDEX($B$24:$B$1023,N348)="P11",INDEX($B$24:$B$1023,N348)="P12",INDEX($B$24:$B$1023,N348)="P13"),"C",IF(OR(INDEX($B$24:$B$1023,N348)="P14",INDEX($B$24:$B$1023,N348)="P15",INDEX($B$24:$B$1023,N348)="P16"),"N","O"))&amp;IF(MOD(N348,100)&lt;20,1,IF(MOD(N348,100)&lt;70,2,3))</f>
        <v>O2</v>
      </c>
    </row>
    <row r="349" spans="1:15" ht="16.5" thickBot="1">
      <c r="A349" s="662">
        <v>326</v>
      </c>
      <c r="B349" s="661" t="str" cm="1">
        <f t="array" ref="B349">"P"&amp;INDEX(X!$CL$2:$CL$12,'Scratch Sheet'!H348+1)+9</f>
        <v>P11</v>
      </c>
      <c r="C349" s="661">
        <v>1</v>
      </c>
      <c r="D349" s="755">
        <f t="shared" si="20"/>
        <v>11000</v>
      </c>
      <c r="E349" s="682" t="str">
        <f t="shared" si="21"/>
        <v>C2</v>
      </c>
      <c r="F349" s="683">
        <f t="shared" si="22"/>
        <v>11</v>
      </c>
      <c r="H349" s="13">
        <v>755</v>
      </c>
      <c r="I349" s="13">
        <f>VLOOKUP(VLOOKUP(H349,$A$24:$B$1023,2,FALSE),'Scratch Sheet'!$U$23:$X$32,3,FALSE)</f>
        <v>5</v>
      </c>
      <c r="K349" s="13">
        <f t="shared" si="19"/>
        <v>325</v>
      </c>
      <c r="L349" s="13">
        <f>IFERROR(VLOOKUP(VLOOKUP(K349,$A$24:$B$1023,2,FALSE),'Scratch Sheet'!$U$23:$Y$32,5,FALSE)*VLOOKUP(VLOOKUP(K349,$A$24:$E$1023,5,FALSE),'Scratch Sheet'!$L$22:$M$30,2,FALSE),"")</f>
        <v>2400</v>
      </c>
      <c r="N349" s="675">
        <v>929</v>
      </c>
      <c r="O349" s="675" t="str" cm="1">
        <f t="array" ref="O349">IF(OR(INDEX($B$24:$B$1023,N349)="P10",INDEX($B$24:$B$1023,N349)="P11",INDEX($B$24:$B$1023,N349)="P12",INDEX($B$24:$B$1023,N349)="P13"),"C",IF(OR(INDEX($B$24:$B$1023,N349)="P14",INDEX($B$24:$B$1023,N349)="P15",INDEX($B$24:$B$1023,N349)="P16"),"N","O"))&amp;IF(MOD(N349,100)&lt;20,1,IF(MOD(N349,100)&lt;70,2,3))</f>
        <v>C2</v>
      </c>
    </row>
    <row r="350" spans="1:15" ht="16.5" thickBot="1">
      <c r="A350" s="662">
        <v>327</v>
      </c>
      <c r="B350" s="661" t="str" cm="1">
        <f t="array" ref="B350">"P"&amp;INDEX(X!$CL$2:$CL$12,'Scratch Sheet'!H349+1)+9</f>
        <v>P16</v>
      </c>
      <c r="C350" s="661">
        <v>1</v>
      </c>
      <c r="D350" s="755">
        <f t="shared" si="20"/>
        <v>4680</v>
      </c>
      <c r="E350" s="682" t="str">
        <f t="shared" si="21"/>
        <v>N2</v>
      </c>
      <c r="F350" s="683">
        <f t="shared" si="22"/>
        <v>4</v>
      </c>
      <c r="H350" s="13">
        <v>234</v>
      </c>
      <c r="I350" s="13">
        <f>VLOOKUP(VLOOKUP(H350,$A$24:$B$1023,2,FALSE),'Scratch Sheet'!$U$23:$X$32,3,FALSE)</f>
        <v>11</v>
      </c>
      <c r="K350" s="13">
        <f t="shared" si="19"/>
        <v>320</v>
      </c>
      <c r="L350" s="13">
        <f>IFERROR(VLOOKUP(VLOOKUP(K350,$A$24:$B$1023,2,FALSE),'Scratch Sheet'!$U$23:$Y$32,5,FALSE)*VLOOKUP(VLOOKUP(K350,$A$24:$E$1023,5,FALSE),'Scratch Sheet'!$L$22:$M$30,2,FALSE),"")</f>
        <v>5940.0000000000009</v>
      </c>
      <c r="N350" s="675">
        <v>930</v>
      </c>
      <c r="O350" s="675" t="str" cm="1">
        <f t="array" ref="O350">IF(OR(INDEX($B$24:$B$1023,N350)="P10",INDEX($B$24:$B$1023,N350)="P11",INDEX($B$24:$B$1023,N350)="P12",INDEX($B$24:$B$1023,N350)="P13"),"C",IF(OR(INDEX($B$24:$B$1023,N350)="P14",INDEX($B$24:$B$1023,N350)="P15",INDEX($B$24:$B$1023,N350)="P16"),"N","O"))&amp;IF(MOD(N350,100)&lt;20,1,IF(MOD(N350,100)&lt;70,2,3))</f>
        <v>C2</v>
      </c>
    </row>
    <row r="351" spans="1:15" ht="16.5" thickBot="1">
      <c r="A351" s="662">
        <v>328</v>
      </c>
      <c r="B351" s="661" t="str" cm="1">
        <f t="array" ref="B351">"P"&amp;INDEX(X!$CL$2:$CL$12,'Scratch Sheet'!H350+1)+9</f>
        <v>P17</v>
      </c>
      <c r="C351" s="661">
        <v>1</v>
      </c>
      <c r="D351" s="755">
        <f t="shared" si="20"/>
        <v>13200.000000000002</v>
      </c>
      <c r="E351" s="682" t="str">
        <f t="shared" si="21"/>
        <v>O2</v>
      </c>
      <c r="F351" s="683">
        <f t="shared" si="22"/>
        <v>12</v>
      </c>
      <c r="H351" s="13">
        <v>543</v>
      </c>
      <c r="I351" s="13">
        <f>VLOOKUP(VLOOKUP(H351,$A$24:$B$1023,2,FALSE),'Scratch Sheet'!$U$23:$X$32,3,FALSE)</f>
        <v>3</v>
      </c>
      <c r="K351" s="13">
        <f t="shared" si="19"/>
        <v>322</v>
      </c>
      <c r="L351" s="13">
        <f>IFERROR(VLOOKUP(VLOOKUP(K351,$A$24:$B$1023,2,FALSE),'Scratch Sheet'!$U$23:$Y$32,5,FALSE)*VLOOKUP(VLOOKUP(K351,$A$24:$E$1023,5,FALSE),'Scratch Sheet'!$L$22:$M$30,2,FALSE),"")</f>
        <v>2400</v>
      </c>
      <c r="N351" s="675">
        <v>934</v>
      </c>
      <c r="O351" s="675" t="str" cm="1">
        <f t="array" ref="O351">IF(OR(INDEX($B$24:$B$1023,N351)="P10",INDEX($B$24:$B$1023,N351)="P11",INDEX($B$24:$B$1023,N351)="P12",INDEX($B$24:$B$1023,N351)="P13"),"C",IF(OR(INDEX($B$24:$B$1023,N351)="P14",INDEX($B$24:$B$1023,N351)="P15",INDEX($B$24:$B$1023,N351)="P16"),"N","O"))&amp;IF(MOD(N351,100)&lt;20,1,IF(MOD(N351,100)&lt;70,2,3))</f>
        <v>C2</v>
      </c>
    </row>
    <row r="352" spans="1:15" ht="16.5" thickBot="1">
      <c r="A352" s="662">
        <v>329</v>
      </c>
      <c r="B352" s="661" t="str" cm="1">
        <f t="array" ref="B352">"P"&amp;INDEX(X!$CL$2:$CL$12,'Scratch Sheet'!H351+1)+9</f>
        <v>P17</v>
      </c>
      <c r="C352" s="661">
        <v>1</v>
      </c>
      <c r="D352" s="755">
        <f t="shared" si="20"/>
        <v>13200.000000000002</v>
      </c>
      <c r="E352" s="682" t="str">
        <f t="shared" si="21"/>
        <v>O2</v>
      </c>
      <c r="F352" s="683">
        <f t="shared" si="22"/>
        <v>12</v>
      </c>
      <c r="H352" s="13">
        <v>930</v>
      </c>
      <c r="I352" s="13">
        <f>VLOOKUP(VLOOKUP(H352,$A$24:$B$1023,2,FALSE),'Scratch Sheet'!$U$23:$X$32,3,FALSE)</f>
        <v>3</v>
      </c>
      <c r="K352" s="13">
        <f t="shared" si="19"/>
        <v>321</v>
      </c>
      <c r="L352" s="13">
        <f>IFERROR(VLOOKUP(VLOOKUP(K352,$A$24:$B$1023,2,FALSE),'Scratch Sheet'!$U$23:$Y$32,5,FALSE)*VLOOKUP(VLOOKUP(K352,$A$24:$E$1023,5,FALSE),'Scratch Sheet'!$L$22:$M$30,2,FALSE),"")</f>
        <v>6480</v>
      </c>
      <c r="N352" s="675">
        <v>937</v>
      </c>
      <c r="O352" s="675" t="str" cm="1">
        <f t="array" ref="O352">IF(OR(INDEX($B$24:$B$1023,N352)="P10",INDEX($B$24:$B$1023,N352)="P11",INDEX($B$24:$B$1023,N352)="P12",INDEX($B$24:$B$1023,N352)="P13"),"C",IF(OR(INDEX($B$24:$B$1023,N352)="P14",INDEX($B$24:$B$1023,N352)="P15",INDEX($B$24:$B$1023,N352)="P16"),"N","O"))&amp;IF(MOD(N352,100)&lt;20,1,IF(MOD(N352,100)&lt;70,2,3))</f>
        <v>C2</v>
      </c>
    </row>
    <row r="353" spans="1:15" ht="16.5" thickBot="1">
      <c r="A353" s="662">
        <v>330</v>
      </c>
      <c r="B353" s="661" t="str" cm="1">
        <f t="array" ref="B353">"P"&amp;INDEX(X!$CL$2:$CL$12,'Scratch Sheet'!H352+1)+9</f>
        <v>P13</v>
      </c>
      <c r="C353" s="661">
        <v>1</v>
      </c>
      <c r="D353" s="755">
        <f t="shared" si="20"/>
        <v>4500</v>
      </c>
      <c r="E353" s="682" t="str">
        <f t="shared" si="21"/>
        <v>C2</v>
      </c>
      <c r="F353" s="683">
        <f t="shared" si="22"/>
        <v>5</v>
      </c>
      <c r="H353" s="13">
        <v>363</v>
      </c>
      <c r="I353" s="13">
        <f>VLOOKUP(VLOOKUP(H353,$A$24:$B$1023,2,FALSE),'Scratch Sheet'!$U$23:$X$32,3,FALSE)</f>
        <v>12</v>
      </c>
      <c r="K353" s="13">
        <f t="shared" si="19"/>
        <v>324</v>
      </c>
      <c r="L353" s="13">
        <f>IFERROR(VLOOKUP(VLOOKUP(K353,$A$24:$B$1023,2,FALSE),'Scratch Sheet'!$U$23:$Y$32,5,FALSE)*VLOOKUP(VLOOKUP(K353,$A$24:$E$1023,5,FALSE),'Scratch Sheet'!$L$22:$M$30,2,FALSE),"")</f>
        <v>4500</v>
      </c>
      <c r="N353" s="675">
        <v>940</v>
      </c>
      <c r="O353" s="675" t="str" cm="1">
        <f t="array" ref="O353">IF(OR(INDEX($B$24:$B$1023,N353)="P10",INDEX($B$24:$B$1023,N353)="P11",INDEX($B$24:$B$1023,N353)="P12",INDEX($B$24:$B$1023,N353)="P13"),"C",IF(OR(INDEX($B$24:$B$1023,N353)="P14",INDEX($B$24:$B$1023,N353)="P15",INDEX($B$24:$B$1023,N353)="P16"),"N","O"))&amp;IF(MOD(N353,100)&lt;20,1,IF(MOD(N353,100)&lt;70,2,3))</f>
        <v>O2</v>
      </c>
    </row>
    <row r="354" spans="1:15" ht="16.5" thickBot="1">
      <c r="A354" s="662">
        <v>331</v>
      </c>
      <c r="B354" s="661" t="str" cm="1">
        <f t="array" ref="B354">"P"&amp;INDEX(X!$CL$2:$CL$12,'Scratch Sheet'!H353+1)+9</f>
        <v>P11</v>
      </c>
      <c r="C354" s="661">
        <v>1</v>
      </c>
      <c r="D354" s="755">
        <f t="shared" si="20"/>
        <v>11000</v>
      </c>
      <c r="E354" s="682" t="str">
        <f t="shared" si="21"/>
        <v>C2</v>
      </c>
      <c r="F354" s="683">
        <f t="shared" si="22"/>
        <v>11</v>
      </c>
      <c r="H354" s="13">
        <v>63</v>
      </c>
      <c r="I354" s="13">
        <f>VLOOKUP(VLOOKUP(H354,$A$24:$B$1023,2,FALSE),'Scratch Sheet'!$U$23:$X$32,3,FALSE)</f>
        <v>6.5</v>
      </c>
      <c r="K354" s="13">
        <f t="shared" si="19"/>
        <v>319</v>
      </c>
      <c r="L354" s="13">
        <f>IFERROR(VLOOKUP(VLOOKUP(K354,$A$24:$B$1023,2,FALSE),'Scratch Sheet'!$U$23:$Y$32,5,FALSE)*VLOOKUP(VLOOKUP(K354,$A$24:$E$1023,5,FALSE),'Scratch Sheet'!$L$22:$M$30,2,FALSE),"")</f>
        <v>13200</v>
      </c>
      <c r="N354" s="675">
        <v>941</v>
      </c>
      <c r="O354" s="675" t="str" cm="1">
        <f t="array" ref="O354">IF(OR(INDEX($B$24:$B$1023,N354)="P10",INDEX($B$24:$B$1023,N354)="P11",INDEX($B$24:$B$1023,N354)="P12",INDEX($B$24:$B$1023,N354)="P13"),"C",IF(OR(INDEX($B$24:$B$1023,N354)="P14",INDEX($B$24:$B$1023,N354)="P15",INDEX($B$24:$B$1023,N354)="P16"),"N","O"))&amp;IF(MOD(N354,100)&lt;20,1,IF(MOD(N354,100)&lt;70,2,3))</f>
        <v>O2</v>
      </c>
    </row>
    <row r="355" spans="1:15" ht="16.5" thickBot="1">
      <c r="A355" s="662">
        <v>332</v>
      </c>
      <c r="B355" s="661" t="str" cm="1">
        <f t="array" ref="B355">"P"&amp;INDEX(X!$CL$2:$CL$12,'Scratch Sheet'!H354+1)+9</f>
        <v>P11</v>
      </c>
      <c r="C355" s="661">
        <v>1</v>
      </c>
      <c r="D355" s="755">
        <f t="shared" si="20"/>
        <v>11000</v>
      </c>
      <c r="E355" s="682" t="str">
        <f t="shared" si="21"/>
        <v>C2</v>
      </c>
      <c r="F355" s="683">
        <f t="shared" si="22"/>
        <v>11</v>
      </c>
      <c r="H355" s="13">
        <v>138</v>
      </c>
      <c r="I355" s="13">
        <f>VLOOKUP(VLOOKUP(H355,$A$24:$B$1023,2,FALSE),'Scratch Sheet'!$U$23:$X$32,3,FALSE)</f>
        <v>3</v>
      </c>
      <c r="K355" s="13">
        <f t="shared" si="19"/>
        <v>317</v>
      </c>
      <c r="L355" s="13">
        <f>IFERROR(VLOOKUP(VLOOKUP(K355,$A$24:$B$1023,2,FALSE),'Scratch Sheet'!$U$23:$Y$32,5,FALSE)*VLOOKUP(VLOOKUP(K355,$A$24:$E$1023,5,FALSE),'Scratch Sheet'!$L$22:$M$30,2,FALSE),"")</f>
        <v>2880</v>
      </c>
      <c r="N355" s="675">
        <v>946</v>
      </c>
      <c r="O355" s="675" t="str" cm="1">
        <f t="array" ref="O355">IF(OR(INDEX($B$24:$B$1023,N355)="P10",INDEX($B$24:$B$1023,N355)="P11",INDEX($B$24:$B$1023,N355)="P12",INDEX($B$24:$B$1023,N355)="P13"),"C",IF(OR(INDEX($B$24:$B$1023,N355)="P14",INDEX($B$24:$B$1023,N355)="P15",INDEX($B$24:$B$1023,N355)="P16"),"N","O"))&amp;IF(MOD(N355,100)&lt;20,1,IF(MOD(N355,100)&lt;70,2,3))</f>
        <v>C2</v>
      </c>
    </row>
    <row r="356" spans="1:15" ht="16.5" thickBot="1">
      <c r="A356" s="662">
        <v>333</v>
      </c>
      <c r="B356" s="661" t="str" cm="1">
        <f t="array" ref="B356">"P"&amp;INDEX(X!$CL$2:$CL$12,'Scratch Sheet'!H355+1)+9</f>
        <v>P12</v>
      </c>
      <c r="C356" s="661">
        <v>1</v>
      </c>
      <c r="D356" s="755">
        <f t="shared" si="20"/>
        <v>6825</v>
      </c>
      <c r="E356" s="682" t="str">
        <f t="shared" si="21"/>
        <v>C2</v>
      </c>
      <c r="F356" s="683">
        <f t="shared" si="22"/>
        <v>6.5</v>
      </c>
      <c r="H356" s="13">
        <v>315</v>
      </c>
      <c r="I356" s="13">
        <f>VLOOKUP(VLOOKUP(H356,$A$24:$B$1023,2,FALSE),'Scratch Sheet'!$U$23:$X$32,3,FALSE)</f>
        <v>11</v>
      </c>
      <c r="K356" s="13">
        <f t="shared" si="19"/>
        <v>318</v>
      </c>
      <c r="L356" s="13">
        <f>IFERROR(VLOOKUP(VLOOKUP(K356,$A$24:$B$1023,2,FALSE),'Scratch Sheet'!$U$23:$Y$32,5,FALSE)*VLOOKUP(VLOOKUP(K356,$A$24:$E$1023,5,FALSE),'Scratch Sheet'!$L$22:$M$30,2,FALSE),"")</f>
        <v>2880</v>
      </c>
      <c r="N356" s="675">
        <v>947</v>
      </c>
      <c r="O356" s="675" t="str" cm="1">
        <f t="array" ref="O356">IF(OR(INDEX($B$24:$B$1023,N356)="P10",INDEX($B$24:$B$1023,N356)="P11",INDEX($B$24:$B$1023,N356)="P12",INDEX($B$24:$B$1023,N356)="P13"),"C",IF(OR(INDEX($B$24:$B$1023,N356)="P14",INDEX($B$24:$B$1023,N356)="P15",INDEX($B$24:$B$1023,N356)="P16"),"N","O"))&amp;IF(MOD(N356,100)&lt;20,1,IF(MOD(N356,100)&lt;70,2,3))</f>
        <v>C2</v>
      </c>
    </row>
    <row r="357" spans="1:15" ht="16.5" thickBot="1">
      <c r="A357" s="662">
        <v>334</v>
      </c>
      <c r="B357" s="661" t="str" cm="1">
        <f t="array" ref="B357">"P"&amp;INDEX(X!$CL$2:$CL$12,'Scratch Sheet'!H356+1)+9</f>
        <v>P10</v>
      </c>
      <c r="C357" s="661">
        <v>1</v>
      </c>
      <c r="D357" s="755">
        <f t="shared" si="20"/>
        <v>2400</v>
      </c>
      <c r="E357" s="682" t="str">
        <f t="shared" si="21"/>
        <v>C2</v>
      </c>
      <c r="F357" s="683">
        <f t="shared" si="22"/>
        <v>3</v>
      </c>
      <c r="H357" s="13">
        <v>957</v>
      </c>
      <c r="I357" s="13">
        <f>VLOOKUP(VLOOKUP(H357,$A$24:$B$1023,2,FALSE),'Scratch Sheet'!$U$23:$X$32,3,FALSE)</f>
        <v>12</v>
      </c>
      <c r="K357" s="13">
        <f t="shared" si="19"/>
        <v>316</v>
      </c>
      <c r="L357" s="13">
        <f>IFERROR(VLOOKUP(VLOOKUP(K357,$A$24:$B$1023,2,FALSE),'Scratch Sheet'!$U$23:$Y$32,5,FALSE)*VLOOKUP(VLOOKUP(K357,$A$24:$E$1023,5,FALSE),'Scratch Sheet'!$L$22:$M$30,2,FALSE),"")</f>
        <v>8190</v>
      </c>
      <c r="N357" s="675">
        <v>951</v>
      </c>
      <c r="O357" s="675" t="str" cm="1">
        <f t="array" ref="O357">IF(OR(INDEX($B$24:$B$1023,N357)="P10",INDEX($B$24:$B$1023,N357)="P11",INDEX($B$24:$B$1023,N357)="P12",INDEX($B$24:$B$1023,N357)="P13"),"C",IF(OR(INDEX($B$24:$B$1023,N357)="P14",INDEX($B$24:$B$1023,N357)="P15",INDEX($B$24:$B$1023,N357)="P16"),"N","O"))&amp;IF(MOD(N357,100)&lt;20,1,IF(MOD(N357,100)&lt;70,2,3))</f>
        <v>C2</v>
      </c>
    </row>
    <row r="358" spans="1:15" ht="16.5" thickBot="1">
      <c r="A358" s="662">
        <v>335</v>
      </c>
      <c r="B358" s="661" t="str" cm="1">
        <f t="array" ref="B358">"P"&amp;INDEX(X!$CL$2:$CL$12,'Scratch Sheet'!H357+1)+9</f>
        <v>P10</v>
      </c>
      <c r="C358" s="661">
        <v>1</v>
      </c>
      <c r="D358" s="755">
        <f t="shared" si="20"/>
        <v>2400</v>
      </c>
      <c r="E358" s="682" t="str">
        <f t="shared" si="21"/>
        <v>C2</v>
      </c>
      <c r="F358" s="683">
        <f t="shared" si="22"/>
        <v>3</v>
      </c>
      <c r="H358" s="13">
        <v>410</v>
      </c>
      <c r="I358" s="13">
        <f>VLOOKUP(VLOOKUP(H358,$A$24:$B$1023,2,FALSE),'Scratch Sheet'!$U$23:$X$32,3,FALSE)</f>
        <v>3</v>
      </c>
      <c r="K358" s="13">
        <f t="shared" si="19"/>
        <v>315</v>
      </c>
      <c r="L358" s="13">
        <f>IFERROR(VLOOKUP(VLOOKUP(K358,$A$24:$B$1023,2,FALSE),'Scratch Sheet'!$U$23:$Y$32,5,FALSE)*VLOOKUP(VLOOKUP(K358,$A$24:$E$1023,5,FALSE),'Scratch Sheet'!$L$22:$M$30,2,FALSE),"")</f>
        <v>13200</v>
      </c>
      <c r="N358" s="675">
        <v>954</v>
      </c>
      <c r="O358" s="675" t="str" cm="1">
        <f t="array" ref="O358">IF(OR(INDEX($B$24:$B$1023,N358)="P10",INDEX($B$24:$B$1023,N358)="P11",INDEX($B$24:$B$1023,N358)="P12",INDEX($B$24:$B$1023,N358)="P13"),"C",IF(OR(INDEX($B$24:$B$1023,N358)="P14",INDEX($B$24:$B$1023,N358)="P15",INDEX($B$24:$B$1023,N358)="P16"),"N","O"))&amp;IF(MOD(N358,100)&lt;20,1,IF(MOD(N358,100)&lt;70,2,3))</f>
        <v>C2</v>
      </c>
    </row>
    <row r="359" spans="1:15" ht="16.5" thickBot="1">
      <c r="A359" s="662">
        <v>336</v>
      </c>
      <c r="B359" s="661" t="str" cm="1">
        <f t="array" ref="B359">"P"&amp;INDEX(X!$CL$2:$CL$12,'Scratch Sheet'!H358+1)+9</f>
        <v>P11</v>
      </c>
      <c r="C359" s="661">
        <v>1</v>
      </c>
      <c r="D359" s="755">
        <f t="shared" si="20"/>
        <v>11000</v>
      </c>
      <c r="E359" s="682" t="str">
        <f t="shared" si="21"/>
        <v>C2</v>
      </c>
      <c r="F359" s="683">
        <f t="shared" si="22"/>
        <v>11</v>
      </c>
      <c r="H359" s="13">
        <v>299</v>
      </c>
      <c r="I359" s="13">
        <f>VLOOKUP(VLOOKUP(H359,$A$24:$B$1023,2,FALSE),'Scratch Sheet'!$U$23:$X$32,3,FALSE)</f>
        <v>6.5</v>
      </c>
      <c r="K359" s="13">
        <f t="shared" si="19"/>
        <v>327</v>
      </c>
      <c r="L359" s="13">
        <f>IFERROR(VLOOKUP(VLOOKUP(K359,$A$24:$B$1023,2,FALSE),'Scratch Sheet'!$U$23:$Y$32,5,FALSE)*VLOOKUP(VLOOKUP(K359,$A$24:$E$1023,5,FALSE),'Scratch Sheet'!$L$22:$M$30,2,FALSE),"")</f>
        <v>4680</v>
      </c>
      <c r="N359" s="675">
        <v>957</v>
      </c>
      <c r="O359" s="675" t="str" cm="1">
        <f t="array" ref="O359">IF(OR(INDEX($B$24:$B$1023,N359)="P10",INDEX($B$24:$B$1023,N359)="P11",INDEX($B$24:$B$1023,N359)="P12",INDEX($B$24:$B$1023,N359)="P13"),"C",IF(OR(INDEX($B$24:$B$1023,N359)="P14",INDEX($B$24:$B$1023,N359)="P15",INDEX($B$24:$B$1023,N359)="P16"),"N","O"))&amp;IF(MOD(N359,100)&lt;20,1,IF(MOD(N359,100)&lt;70,2,3))</f>
        <v>O2</v>
      </c>
    </row>
    <row r="360" spans="1:15" ht="16.5" thickBot="1">
      <c r="A360" s="662">
        <v>337</v>
      </c>
      <c r="B360" s="661" t="str" cm="1">
        <f t="array" ref="B360">"P"&amp;INDEX(X!$CL$2:$CL$12,'Scratch Sheet'!H359+1)+9</f>
        <v>P18</v>
      </c>
      <c r="C360" s="661">
        <v>1</v>
      </c>
      <c r="D360" s="755">
        <f t="shared" si="20"/>
        <v>5940.0000000000009</v>
      </c>
      <c r="E360" s="682" t="str">
        <f t="shared" si="21"/>
        <v>O2</v>
      </c>
      <c r="F360" s="683">
        <f t="shared" si="22"/>
        <v>6</v>
      </c>
      <c r="H360" s="13">
        <v>268</v>
      </c>
      <c r="I360" s="13">
        <f>VLOOKUP(VLOOKUP(H360,$A$24:$B$1023,2,FALSE),'Scratch Sheet'!$U$23:$X$32,3,FALSE)</f>
        <v>11</v>
      </c>
      <c r="K360" s="13">
        <f t="shared" si="19"/>
        <v>336</v>
      </c>
      <c r="L360" s="13">
        <f>IFERROR(VLOOKUP(VLOOKUP(K360,$A$24:$B$1023,2,FALSE),'Scratch Sheet'!$U$23:$Y$32,5,FALSE)*VLOOKUP(VLOOKUP(K360,$A$24:$E$1023,5,FALSE),'Scratch Sheet'!$L$22:$M$30,2,FALSE),"")</f>
        <v>11000</v>
      </c>
      <c r="N360" s="675">
        <v>958</v>
      </c>
      <c r="O360" s="675" t="str" cm="1">
        <f t="array" ref="O360">IF(OR(INDEX($B$24:$B$1023,N360)="P10",INDEX($B$24:$B$1023,N360)="P11",INDEX($B$24:$B$1023,N360)="P12",INDEX($B$24:$B$1023,N360)="P13"),"C",IF(OR(INDEX($B$24:$B$1023,N360)="P14",INDEX($B$24:$B$1023,N360)="P15",INDEX($B$24:$B$1023,N360)="P16"),"N","O"))&amp;IF(MOD(N360,100)&lt;20,1,IF(MOD(N360,100)&lt;70,2,3))</f>
        <v>O2</v>
      </c>
    </row>
    <row r="361" spans="1:15" ht="16.5" thickBot="1">
      <c r="A361" s="662">
        <v>338</v>
      </c>
      <c r="B361" s="661" t="str" cm="1">
        <f t="array" ref="B361">"P"&amp;INDEX(X!$CL$2:$CL$12,'Scratch Sheet'!H360+1)+9</f>
        <v>P14</v>
      </c>
      <c r="C361" s="661">
        <v>1</v>
      </c>
      <c r="D361" s="755">
        <f t="shared" si="20"/>
        <v>12960</v>
      </c>
      <c r="E361" s="682" t="str">
        <f t="shared" si="21"/>
        <v>N2</v>
      </c>
      <c r="F361" s="683">
        <f t="shared" si="22"/>
        <v>8</v>
      </c>
      <c r="H361" s="13">
        <v>293</v>
      </c>
      <c r="I361" s="13">
        <f>VLOOKUP(VLOOKUP(H361,$A$24:$B$1023,2,FALSE),'Scratch Sheet'!$U$23:$X$32,3,FALSE)</f>
        <v>4</v>
      </c>
      <c r="K361" s="13">
        <f t="shared" si="19"/>
        <v>339</v>
      </c>
      <c r="L361" s="13">
        <f>IFERROR(VLOOKUP(VLOOKUP(K361,$A$24:$B$1023,2,FALSE),'Scratch Sheet'!$U$23:$Y$32,5,FALSE)*VLOOKUP(VLOOKUP(K361,$A$24:$E$1023,5,FALSE),'Scratch Sheet'!$L$22:$M$30,2,FALSE),"")</f>
        <v>2400</v>
      </c>
      <c r="N361" s="675">
        <v>963</v>
      </c>
      <c r="O361" s="675" t="str" cm="1">
        <f t="array" ref="O361">IF(OR(INDEX($B$24:$B$1023,N361)="P10",INDEX($B$24:$B$1023,N361)="P11",INDEX($B$24:$B$1023,N361)="P12",INDEX($B$24:$B$1023,N361)="P13"),"C",IF(OR(INDEX($B$24:$B$1023,N361)="P14",INDEX($B$24:$B$1023,N361)="P15",INDEX($B$24:$B$1023,N361)="P16"),"N","O"))&amp;IF(MOD(N361,100)&lt;20,1,IF(MOD(N361,100)&lt;70,2,3))</f>
        <v>C2</v>
      </c>
    </row>
    <row r="362" spans="1:15" ht="16.5" thickBot="1">
      <c r="A362" s="662">
        <v>339</v>
      </c>
      <c r="B362" s="661" t="str" cm="1">
        <f t="array" ref="B362">"P"&amp;INDEX(X!$CL$2:$CL$12,'Scratch Sheet'!H361+1)+9</f>
        <v>P10</v>
      </c>
      <c r="C362" s="661">
        <v>1</v>
      </c>
      <c r="D362" s="755">
        <f t="shared" si="20"/>
        <v>2400</v>
      </c>
      <c r="E362" s="682" t="str">
        <f t="shared" si="21"/>
        <v>C2</v>
      </c>
      <c r="F362" s="683">
        <f t="shared" si="22"/>
        <v>3</v>
      </c>
      <c r="H362" s="13">
        <v>158</v>
      </c>
      <c r="I362" s="13">
        <f>VLOOKUP(VLOOKUP(H362,$A$24:$B$1023,2,FALSE),'Scratch Sheet'!$U$23:$X$32,3,FALSE)</f>
        <v>12</v>
      </c>
      <c r="K362" s="13">
        <f t="shared" si="19"/>
        <v>338</v>
      </c>
      <c r="L362" s="13">
        <f>IFERROR(VLOOKUP(VLOOKUP(K362,$A$24:$B$1023,2,FALSE),'Scratch Sheet'!$U$23:$Y$32,5,FALSE)*VLOOKUP(VLOOKUP(K362,$A$24:$E$1023,5,FALSE),'Scratch Sheet'!$L$22:$M$30,2,FALSE),"")</f>
        <v>6480</v>
      </c>
      <c r="N362" s="675">
        <v>964</v>
      </c>
      <c r="O362" s="675" t="str" cm="1">
        <f t="array" ref="O362">IF(OR(INDEX($B$24:$B$1023,N362)="P10",INDEX($B$24:$B$1023,N362)="P11",INDEX($B$24:$B$1023,N362)="P12",INDEX($B$24:$B$1023,N362)="P13"),"C",IF(OR(INDEX($B$24:$B$1023,N362)="P14",INDEX($B$24:$B$1023,N362)="P15",INDEX($B$24:$B$1023,N362)="P16"),"N","O"))&amp;IF(MOD(N362,100)&lt;20,1,IF(MOD(N362,100)&lt;70,2,3))</f>
        <v>C2</v>
      </c>
    </row>
    <row r="363" spans="1:15" ht="16.5" thickBot="1">
      <c r="A363" s="662">
        <v>340</v>
      </c>
      <c r="B363" s="661" t="str" cm="1">
        <f t="array" ref="B363">"P"&amp;INDEX(X!$CL$2:$CL$12,'Scratch Sheet'!H362+1)+9</f>
        <v>P13</v>
      </c>
      <c r="C363" s="661">
        <v>1</v>
      </c>
      <c r="D363" s="755">
        <f t="shared" si="20"/>
        <v>4500</v>
      </c>
      <c r="E363" s="682" t="str">
        <f t="shared" si="21"/>
        <v>C2</v>
      </c>
      <c r="F363" s="683">
        <f t="shared" si="22"/>
        <v>5</v>
      </c>
      <c r="H363" s="13">
        <v>313</v>
      </c>
      <c r="I363" s="13">
        <f>VLOOKUP(VLOOKUP(H363,$A$24:$B$1023,2,FALSE),'Scratch Sheet'!$U$23:$X$32,3,FALSE)</f>
        <v>5</v>
      </c>
      <c r="K363" s="13">
        <f t="shared" si="19"/>
        <v>333</v>
      </c>
      <c r="L363" s="13">
        <f>IFERROR(VLOOKUP(VLOOKUP(K363,$A$24:$B$1023,2,FALSE),'Scratch Sheet'!$U$23:$Y$32,5,FALSE)*VLOOKUP(VLOOKUP(K363,$A$24:$E$1023,5,FALSE),'Scratch Sheet'!$L$22:$M$30,2,FALSE),"")</f>
        <v>6825</v>
      </c>
      <c r="N363" s="675">
        <v>968</v>
      </c>
      <c r="O363" s="675" t="str" cm="1">
        <f t="array" ref="O363">IF(OR(INDEX($B$24:$B$1023,N363)="P10",INDEX($B$24:$B$1023,N363)="P11",INDEX($B$24:$B$1023,N363)="P12",INDEX($B$24:$B$1023,N363)="P13"),"C",IF(OR(INDEX($B$24:$B$1023,N363)="P14",INDEX($B$24:$B$1023,N363)="P15",INDEX($B$24:$B$1023,N363)="P16"),"N","O"))&amp;IF(MOD(N363,100)&lt;20,1,IF(MOD(N363,100)&lt;70,2,3))</f>
        <v>C2</v>
      </c>
    </row>
    <row r="364" spans="1:15" ht="16.5" thickBot="1">
      <c r="A364" s="662">
        <v>341</v>
      </c>
      <c r="B364" s="661" t="str" cm="1">
        <f t="array" ref="B364">"P"&amp;INDEX(X!$CL$2:$CL$12,'Scratch Sheet'!H363+1)+9</f>
        <v>P13</v>
      </c>
      <c r="C364" s="661">
        <v>1</v>
      </c>
      <c r="D364" s="755">
        <f t="shared" si="20"/>
        <v>4500</v>
      </c>
      <c r="E364" s="682" t="str">
        <f t="shared" si="21"/>
        <v>C2</v>
      </c>
      <c r="F364" s="683">
        <f t="shared" si="22"/>
        <v>5</v>
      </c>
      <c r="H364" s="13">
        <v>423</v>
      </c>
      <c r="I364" s="13">
        <f>VLOOKUP(VLOOKUP(H364,$A$24:$B$1023,2,FALSE),'Scratch Sheet'!$U$23:$X$32,3,FALSE)</f>
        <v>8</v>
      </c>
      <c r="K364" s="13">
        <f t="shared" si="19"/>
        <v>335</v>
      </c>
      <c r="L364" s="13">
        <f>IFERROR(VLOOKUP(VLOOKUP(K364,$A$24:$B$1023,2,FALSE),'Scratch Sheet'!$U$23:$Y$32,5,FALSE)*VLOOKUP(VLOOKUP(K364,$A$24:$E$1023,5,FALSE),'Scratch Sheet'!$L$22:$M$30,2,FALSE),"")</f>
        <v>2400</v>
      </c>
      <c r="N364" s="675">
        <v>971</v>
      </c>
      <c r="O364" s="675" t="str" cm="1">
        <f t="array" ref="O364">IF(OR(INDEX($B$24:$B$1023,N364)="P10",INDEX($B$24:$B$1023,N364)="P11",INDEX($B$24:$B$1023,N364)="P12",INDEX($B$24:$B$1023,N364)="P13"),"C",IF(OR(INDEX($B$24:$B$1023,N364)="P14",INDEX($B$24:$B$1023,N364)="P15",INDEX($B$24:$B$1023,N364)="P16"),"N","O"))&amp;IF(MOD(N364,100)&lt;20,1,IF(MOD(N364,100)&lt;70,2,3))</f>
        <v>C3</v>
      </c>
    </row>
    <row r="365" spans="1:15" ht="16.5" thickBot="1">
      <c r="A365" s="662">
        <v>342</v>
      </c>
      <c r="B365" s="661" t="str" cm="1">
        <f t="array" ref="B365">"P"&amp;INDEX(X!$CL$2:$CL$12,'Scratch Sheet'!H364+1)+9</f>
        <v>P10</v>
      </c>
      <c r="C365" s="661">
        <v>1</v>
      </c>
      <c r="D365" s="755">
        <f t="shared" si="20"/>
        <v>2400</v>
      </c>
      <c r="E365" s="682" t="str">
        <f t="shared" si="21"/>
        <v>C2</v>
      </c>
      <c r="F365" s="683">
        <f t="shared" si="22"/>
        <v>3</v>
      </c>
      <c r="H365" s="13">
        <v>370</v>
      </c>
      <c r="I365" s="13">
        <f>VLOOKUP(VLOOKUP(H365,$A$24:$B$1023,2,FALSE),'Scratch Sheet'!$U$23:$X$32,3,FALSE)</f>
        <v>11</v>
      </c>
      <c r="K365" s="13">
        <f t="shared" si="19"/>
        <v>334</v>
      </c>
      <c r="L365" s="13">
        <f>IFERROR(VLOOKUP(VLOOKUP(K365,$A$24:$B$1023,2,FALSE),'Scratch Sheet'!$U$23:$Y$32,5,FALSE)*VLOOKUP(VLOOKUP(K365,$A$24:$E$1023,5,FALSE),'Scratch Sheet'!$L$22:$M$30,2,FALSE),"")</f>
        <v>2400</v>
      </c>
      <c r="N365" s="675">
        <v>974</v>
      </c>
      <c r="O365" s="675" t="str" cm="1">
        <f t="array" ref="O365">IF(OR(INDEX($B$24:$B$1023,N365)="P10",INDEX($B$24:$B$1023,N365)="P11",INDEX($B$24:$B$1023,N365)="P12",INDEX($B$24:$B$1023,N365)="P13"),"C",IF(OR(INDEX($B$24:$B$1023,N365)="P14",INDEX($B$24:$B$1023,N365)="P15",INDEX($B$24:$B$1023,N365)="P16"),"N","O"))&amp;IF(MOD(N365,100)&lt;20,1,IF(MOD(N365,100)&lt;70,2,3))</f>
        <v>O3</v>
      </c>
    </row>
    <row r="366" spans="1:15" ht="16.5" thickBot="1">
      <c r="A366" s="662">
        <v>343</v>
      </c>
      <c r="B366" s="661" t="str" cm="1">
        <f t="array" ref="B366">"P"&amp;INDEX(X!$CL$2:$CL$12,'Scratch Sheet'!H365+1)+9</f>
        <v>P11</v>
      </c>
      <c r="C366" s="661">
        <v>1</v>
      </c>
      <c r="D366" s="755">
        <f t="shared" si="20"/>
        <v>11000</v>
      </c>
      <c r="E366" s="682" t="str">
        <f t="shared" si="21"/>
        <v>C2</v>
      </c>
      <c r="F366" s="683">
        <f t="shared" si="22"/>
        <v>11</v>
      </c>
      <c r="H366" s="13">
        <v>185</v>
      </c>
      <c r="I366" s="13">
        <f>VLOOKUP(VLOOKUP(H366,$A$24:$B$1023,2,FALSE),'Scratch Sheet'!$U$23:$X$32,3,FALSE)</f>
        <v>8</v>
      </c>
      <c r="K366" s="13">
        <f t="shared" si="19"/>
        <v>337</v>
      </c>
      <c r="L366" s="13">
        <f>IFERROR(VLOOKUP(VLOOKUP(K366,$A$24:$B$1023,2,FALSE),'Scratch Sheet'!$U$23:$Y$32,5,FALSE)*VLOOKUP(VLOOKUP(K366,$A$24:$E$1023,5,FALSE),'Scratch Sheet'!$L$22:$M$30,2,FALSE),"")</f>
        <v>5940.0000000000009</v>
      </c>
      <c r="N366" s="675">
        <v>975</v>
      </c>
      <c r="O366" s="675" t="str" cm="1">
        <f t="array" ref="O366">IF(OR(INDEX($B$24:$B$1023,N366)="P10",INDEX($B$24:$B$1023,N366)="P11",INDEX($B$24:$B$1023,N366)="P12",INDEX($B$24:$B$1023,N366)="P13"),"C",IF(OR(INDEX($B$24:$B$1023,N366)="P14",INDEX($B$24:$B$1023,N366)="P15",INDEX($B$24:$B$1023,N366)="P16"),"N","O"))&amp;IF(MOD(N366,100)&lt;20,1,IF(MOD(N366,100)&lt;70,2,3))</f>
        <v>O3</v>
      </c>
    </row>
    <row r="367" spans="1:15" ht="16.5" thickBot="1">
      <c r="A367" s="662">
        <v>344</v>
      </c>
      <c r="B367" s="661" t="str" cm="1">
        <f t="array" ref="B367">"P"&amp;INDEX(X!$CL$2:$CL$12,'Scratch Sheet'!H366+1)+9</f>
        <v>P16</v>
      </c>
      <c r="C367" s="661">
        <v>1</v>
      </c>
      <c r="D367" s="755">
        <f t="shared" si="20"/>
        <v>4680</v>
      </c>
      <c r="E367" s="682" t="str">
        <f t="shared" si="21"/>
        <v>N2</v>
      </c>
      <c r="F367" s="683">
        <f t="shared" si="22"/>
        <v>4</v>
      </c>
      <c r="H367" s="13">
        <v>531</v>
      </c>
      <c r="I367" s="13">
        <f>VLOOKUP(VLOOKUP(H367,$A$24:$B$1023,2,FALSE),'Scratch Sheet'!$U$23:$X$32,3,FALSE)</f>
        <v>4</v>
      </c>
      <c r="K367" s="13">
        <f t="shared" si="19"/>
        <v>332</v>
      </c>
      <c r="L367" s="13">
        <f>IFERROR(VLOOKUP(VLOOKUP(K367,$A$24:$B$1023,2,FALSE),'Scratch Sheet'!$U$23:$Y$32,5,FALSE)*VLOOKUP(VLOOKUP(K367,$A$24:$E$1023,5,FALSE),'Scratch Sheet'!$L$22:$M$30,2,FALSE),"")</f>
        <v>11000</v>
      </c>
      <c r="N367" s="675">
        <v>980</v>
      </c>
      <c r="O367" s="675" t="str" cm="1">
        <f t="array" ref="O367">IF(OR(INDEX($B$24:$B$1023,N367)="P10",INDEX($B$24:$B$1023,N367)="P11",INDEX($B$24:$B$1023,N367)="P12",INDEX($B$24:$B$1023,N367)="P13"),"C",IF(OR(INDEX($B$24:$B$1023,N367)="P14",INDEX($B$24:$B$1023,N367)="P15",INDEX($B$24:$B$1023,N367)="P16"),"N","O"))&amp;IF(MOD(N367,100)&lt;20,1,IF(MOD(N367,100)&lt;70,2,3))</f>
        <v>C3</v>
      </c>
    </row>
    <row r="368" spans="1:15" ht="16.5" thickBot="1">
      <c r="A368" s="662">
        <v>345</v>
      </c>
      <c r="B368" s="661" t="str" cm="1">
        <f t="array" ref="B368">"P"&amp;INDEX(X!$CL$2:$CL$12,'Scratch Sheet'!H367+1)+9</f>
        <v>P17</v>
      </c>
      <c r="C368" s="661">
        <v>1</v>
      </c>
      <c r="D368" s="755">
        <f t="shared" si="20"/>
        <v>13200.000000000002</v>
      </c>
      <c r="E368" s="682" t="str">
        <f t="shared" si="21"/>
        <v>O2</v>
      </c>
      <c r="F368" s="683">
        <f t="shared" si="22"/>
        <v>12</v>
      </c>
      <c r="H368" s="13">
        <v>678</v>
      </c>
      <c r="I368" s="13">
        <f>VLOOKUP(VLOOKUP(H368,$A$24:$B$1023,2,FALSE),'Scratch Sheet'!$U$23:$X$32,3,FALSE)</f>
        <v>8</v>
      </c>
      <c r="K368" s="13">
        <f t="shared" si="19"/>
        <v>330</v>
      </c>
      <c r="L368" s="13">
        <f>IFERROR(VLOOKUP(VLOOKUP(K368,$A$24:$B$1023,2,FALSE),'Scratch Sheet'!$U$23:$Y$32,5,FALSE)*VLOOKUP(VLOOKUP(K368,$A$24:$E$1023,5,FALSE),'Scratch Sheet'!$L$22:$M$30,2,FALSE),"")</f>
        <v>4500</v>
      </c>
      <c r="N368" s="675">
        <v>981</v>
      </c>
      <c r="O368" s="675" t="str" cm="1">
        <f t="array" ref="O368">IF(OR(INDEX($B$24:$B$1023,N368)="P10",INDEX($B$24:$B$1023,N368)="P11",INDEX($B$24:$B$1023,N368)="P12",INDEX($B$24:$B$1023,N368)="P13"),"C",IF(OR(INDEX($B$24:$B$1023,N368)="P14",INDEX($B$24:$B$1023,N368)="P15",INDEX($B$24:$B$1023,N368)="P16"),"N","O"))&amp;IF(MOD(N368,100)&lt;20,1,IF(MOD(N368,100)&lt;70,2,3))</f>
        <v>C3</v>
      </c>
    </row>
    <row r="369" spans="1:15" ht="16.5" thickBot="1">
      <c r="A369" s="662">
        <v>346</v>
      </c>
      <c r="B369" s="661" t="str" cm="1">
        <f t="array" ref="B369">"P"&amp;INDEX(X!$CL$2:$CL$12,'Scratch Sheet'!H368+1)+9</f>
        <v>P17</v>
      </c>
      <c r="C369" s="661">
        <v>1</v>
      </c>
      <c r="D369" s="755">
        <f t="shared" si="20"/>
        <v>13200.000000000002</v>
      </c>
      <c r="E369" s="682" t="str">
        <f t="shared" si="21"/>
        <v>O2</v>
      </c>
      <c r="F369" s="683">
        <f t="shared" si="22"/>
        <v>12</v>
      </c>
      <c r="H369" s="13">
        <v>750</v>
      </c>
      <c r="I369" s="13">
        <f>VLOOKUP(VLOOKUP(H369,$A$24:$B$1023,2,FALSE),'Scratch Sheet'!$U$23:$X$32,3,FALSE)</f>
        <v>3</v>
      </c>
      <c r="K369" s="13">
        <f t="shared" si="19"/>
        <v>331</v>
      </c>
      <c r="L369" s="13">
        <f>IFERROR(VLOOKUP(VLOOKUP(K369,$A$24:$B$1023,2,FALSE),'Scratch Sheet'!$U$23:$Y$32,5,FALSE)*VLOOKUP(VLOOKUP(K369,$A$24:$E$1023,5,FALSE),'Scratch Sheet'!$L$22:$M$30,2,FALSE),"")</f>
        <v>11000</v>
      </c>
      <c r="N369" s="675">
        <v>985</v>
      </c>
      <c r="O369" s="675" t="str" cm="1">
        <f t="array" ref="O369">IF(OR(INDEX($B$24:$B$1023,N369)="P10",INDEX($B$24:$B$1023,N369)="P11",INDEX($B$24:$B$1023,N369)="P12",INDEX($B$24:$B$1023,N369)="P13"),"C",IF(OR(INDEX($B$24:$B$1023,N369)="P14",INDEX($B$24:$B$1023,N369)="P15",INDEX($B$24:$B$1023,N369)="P16"),"N","O"))&amp;IF(MOD(N369,100)&lt;20,1,IF(MOD(N369,100)&lt;70,2,3))</f>
        <v>C3</v>
      </c>
    </row>
    <row r="370" spans="1:15" ht="16.5" thickBot="1">
      <c r="A370" s="662">
        <v>347</v>
      </c>
      <c r="B370" s="661" t="str" cm="1">
        <f t="array" ref="B370">"P"&amp;INDEX(X!$CL$2:$CL$12,'Scratch Sheet'!H369+1)+9</f>
        <v>P13</v>
      </c>
      <c r="C370" s="661">
        <v>1</v>
      </c>
      <c r="D370" s="755">
        <f t="shared" si="20"/>
        <v>4500</v>
      </c>
      <c r="E370" s="682" t="str">
        <f t="shared" si="21"/>
        <v>C2</v>
      </c>
      <c r="F370" s="683">
        <f t="shared" si="22"/>
        <v>5</v>
      </c>
      <c r="H370" s="13">
        <v>573</v>
      </c>
      <c r="I370" s="13">
        <f>VLOOKUP(VLOOKUP(H370,$A$24:$B$1023,2,FALSE),'Scratch Sheet'!$U$23:$X$32,3,FALSE)</f>
        <v>3</v>
      </c>
      <c r="K370" s="13">
        <f t="shared" si="19"/>
        <v>329</v>
      </c>
      <c r="L370" s="13">
        <f>IFERROR(VLOOKUP(VLOOKUP(K370,$A$24:$B$1023,2,FALSE),'Scratch Sheet'!$U$23:$Y$32,5,FALSE)*VLOOKUP(VLOOKUP(K370,$A$24:$E$1023,5,FALSE),'Scratch Sheet'!$L$22:$M$30,2,FALSE),"")</f>
        <v>13200.000000000002</v>
      </c>
      <c r="N370" s="675">
        <v>988</v>
      </c>
      <c r="O370" s="675" t="str" cm="1">
        <f t="array" ref="O370">IF(OR(INDEX($B$24:$B$1023,N370)="P10",INDEX($B$24:$B$1023,N370)="P11",INDEX($B$24:$B$1023,N370)="P12",INDEX($B$24:$B$1023,N370)="P13"),"C",IF(OR(INDEX($B$24:$B$1023,N370)="P14",INDEX($B$24:$B$1023,N370)="P15",INDEX($B$24:$B$1023,N370)="P16"),"N","O"))&amp;IF(MOD(N370,100)&lt;20,1,IF(MOD(N370,100)&lt;70,2,3))</f>
        <v>C3</v>
      </c>
    </row>
    <row r="371" spans="1:15" ht="16.5" thickBot="1">
      <c r="A371" s="662">
        <v>348</v>
      </c>
      <c r="B371" s="661" t="str" cm="1">
        <f t="array" ref="B371">"P"&amp;INDEX(X!$CL$2:$CL$12,'Scratch Sheet'!H370+1)+9</f>
        <v>P11</v>
      </c>
      <c r="C371" s="661">
        <v>1</v>
      </c>
      <c r="D371" s="755">
        <f t="shared" si="20"/>
        <v>11000</v>
      </c>
      <c r="E371" s="682" t="str">
        <f t="shared" si="21"/>
        <v>C2</v>
      </c>
      <c r="F371" s="683">
        <f t="shared" si="22"/>
        <v>11</v>
      </c>
      <c r="H371" s="13">
        <v>793</v>
      </c>
      <c r="I371" s="13">
        <f>VLOOKUP(VLOOKUP(H371,$A$24:$B$1023,2,FALSE),'Scratch Sheet'!$U$23:$X$32,3,FALSE)</f>
        <v>3</v>
      </c>
      <c r="K371" s="13">
        <f t="shared" si="19"/>
        <v>328</v>
      </c>
      <c r="L371" s="13">
        <f>IFERROR(VLOOKUP(VLOOKUP(K371,$A$24:$B$1023,2,FALSE),'Scratch Sheet'!$U$23:$Y$32,5,FALSE)*VLOOKUP(VLOOKUP(K371,$A$24:$E$1023,5,FALSE),'Scratch Sheet'!$L$22:$M$30,2,FALSE),"")</f>
        <v>13200.000000000002</v>
      </c>
      <c r="N371" s="675">
        <v>991</v>
      </c>
      <c r="O371" s="675" t="str" cm="1">
        <f t="array" ref="O371">IF(OR(INDEX($B$24:$B$1023,N371)="P10",INDEX($B$24:$B$1023,N371)="P11",INDEX($B$24:$B$1023,N371)="P12",INDEX($B$24:$B$1023,N371)="P13"),"C",IF(OR(INDEX($B$24:$B$1023,N371)="P14",INDEX($B$24:$B$1023,N371)="P15",INDEX($B$24:$B$1023,N371)="P16"),"N","O"))&amp;IF(MOD(N371,100)&lt;20,1,IF(MOD(N371,100)&lt;70,2,3))</f>
        <v>O3</v>
      </c>
    </row>
    <row r="372" spans="1:15" ht="16.5" thickBot="1">
      <c r="A372" s="662">
        <v>349</v>
      </c>
      <c r="B372" s="661" t="str" cm="1">
        <f t="array" ref="B372">"P"&amp;INDEX(X!$CL$2:$CL$12,'Scratch Sheet'!H371+1)+9</f>
        <v>P11</v>
      </c>
      <c r="C372" s="661">
        <v>1</v>
      </c>
      <c r="D372" s="755">
        <f t="shared" si="20"/>
        <v>11000</v>
      </c>
      <c r="E372" s="682" t="str">
        <f t="shared" si="21"/>
        <v>C2</v>
      </c>
      <c r="F372" s="683">
        <f t="shared" si="22"/>
        <v>11</v>
      </c>
      <c r="H372" s="13">
        <v>855</v>
      </c>
      <c r="I372" s="13">
        <f>VLOOKUP(VLOOKUP(H372,$A$24:$B$1023,2,FALSE),'Scratch Sheet'!$U$23:$X$32,3,FALSE)</f>
        <v>12</v>
      </c>
      <c r="K372" s="13">
        <f t="shared" si="19"/>
        <v>347</v>
      </c>
      <c r="L372" s="13">
        <f>IFERROR(VLOOKUP(VLOOKUP(K372,$A$24:$B$1023,2,FALSE),'Scratch Sheet'!$U$23:$Y$32,5,FALSE)*VLOOKUP(VLOOKUP(K372,$A$24:$E$1023,5,FALSE),'Scratch Sheet'!$L$22:$M$30,2,FALSE),"")</f>
        <v>4500</v>
      </c>
      <c r="N372" s="675">
        <v>992</v>
      </c>
      <c r="O372" s="675" t="str" cm="1">
        <f t="array" ref="O372">IF(OR(INDEX($B$24:$B$1023,N372)="P10",INDEX($B$24:$B$1023,N372)="P11",INDEX($B$24:$B$1023,N372)="P12",INDEX($B$24:$B$1023,N372)="P13"),"C",IF(OR(INDEX($B$24:$B$1023,N372)="P14",INDEX($B$24:$B$1023,N372)="P15",INDEX($B$24:$B$1023,N372)="P16"),"N","O"))&amp;IF(MOD(N372,100)&lt;20,1,IF(MOD(N372,100)&lt;70,2,3))</f>
        <v>O3</v>
      </c>
    </row>
    <row r="373" spans="1:15" ht="16.5" thickBot="1">
      <c r="A373" s="662">
        <v>350</v>
      </c>
      <c r="B373" s="661" t="str" cm="1">
        <f t="array" ref="B373">"P"&amp;INDEX(X!$CL$2:$CL$12,'Scratch Sheet'!H372+1)+9</f>
        <v>P12</v>
      </c>
      <c r="C373" s="661">
        <v>1</v>
      </c>
      <c r="D373" s="755">
        <f t="shared" si="20"/>
        <v>6825</v>
      </c>
      <c r="E373" s="682" t="str">
        <f t="shared" si="21"/>
        <v>C2</v>
      </c>
      <c r="F373" s="683">
        <f t="shared" si="22"/>
        <v>6.5</v>
      </c>
      <c r="H373" s="13">
        <v>999</v>
      </c>
      <c r="I373" s="13">
        <f>VLOOKUP(VLOOKUP(H373,$A$24:$B$1023,2,FALSE),'Scratch Sheet'!$U$23:$X$32,3,FALSE)</f>
        <v>11</v>
      </c>
      <c r="K373" s="13">
        <f t="shared" si="19"/>
        <v>350</v>
      </c>
      <c r="L373" s="13">
        <f>IFERROR(VLOOKUP(VLOOKUP(K373,$A$24:$B$1023,2,FALSE),'Scratch Sheet'!$U$23:$Y$32,5,FALSE)*VLOOKUP(VLOOKUP(K373,$A$24:$E$1023,5,FALSE),'Scratch Sheet'!$L$22:$M$30,2,FALSE),"")</f>
        <v>6825</v>
      </c>
      <c r="N373" s="675">
        <v>997</v>
      </c>
      <c r="O373" s="675" t="str" cm="1">
        <f t="array" ref="O373">IF(OR(INDEX($B$24:$B$1023,N373)="P10",INDEX($B$24:$B$1023,N373)="P11",INDEX($B$24:$B$1023,N373)="P12",INDEX($B$24:$B$1023,N373)="P13"),"C",IF(OR(INDEX($B$24:$B$1023,N373)="P14",INDEX($B$24:$B$1023,N373)="P15",INDEX($B$24:$B$1023,N373)="P16"),"N","O"))&amp;IF(MOD(N373,100)&lt;20,1,IF(MOD(N373,100)&lt;70,2,3))</f>
        <v>C3</v>
      </c>
    </row>
    <row r="374" spans="1:15" ht="16.5" thickBot="1">
      <c r="A374" s="662">
        <v>351</v>
      </c>
      <c r="B374" s="661" t="str" cm="1">
        <f t="array" ref="B374">"P"&amp;INDEX(X!$CL$2:$CL$12,'Scratch Sheet'!H373+1)+9</f>
        <v>P10</v>
      </c>
      <c r="C374" s="661">
        <v>1</v>
      </c>
      <c r="D374" s="755">
        <f t="shared" si="20"/>
        <v>2400</v>
      </c>
      <c r="E374" s="682" t="str">
        <f t="shared" si="21"/>
        <v>C2</v>
      </c>
      <c r="F374" s="683">
        <f t="shared" si="22"/>
        <v>3</v>
      </c>
      <c r="H374" s="13">
        <v>94</v>
      </c>
      <c r="I374" s="13">
        <f>VLOOKUP(VLOOKUP(H374,$A$24:$B$1023,2,FALSE),'Scratch Sheet'!$U$23:$X$32,3,FALSE)</f>
        <v>11</v>
      </c>
      <c r="K374" s="13">
        <f t="shared" si="19"/>
        <v>349</v>
      </c>
      <c r="L374" s="13">
        <f>IFERROR(VLOOKUP(VLOOKUP(K374,$A$24:$B$1023,2,FALSE),'Scratch Sheet'!$U$23:$Y$32,5,FALSE)*VLOOKUP(VLOOKUP(K374,$A$24:$E$1023,5,FALSE),'Scratch Sheet'!$L$22:$M$30,2,FALSE),"")</f>
        <v>11000</v>
      </c>
      <c r="N374" s="675">
        <v>998</v>
      </c>
      <c r="O374" s="675" t="str" cm="1">
        <f t="array" ref="O374">IF(OR(INDEX($B$24:$B$1023,N374)="P10",INDEX($B$24:$B$1023,N374)="P11",INDEX($B$24:$B$1023,N374)="P12",INDEX($B$24:$B$1023,N374)="P13"),"C",IF(OR(INDEX($B$24:$B$1023,N374)="P14",INDEX($B$24:$B$1023,N374)="P15",INDEX($B$24:$B$1023,N374)="P16"),"N","O"))&amp;IF(MOD(N374,100)&lt;20,1,IF(MOD(N374,100)&lt;70,2,3))</f>
        <v>C3</v>
      </c>
    </row>
    <row r="375" spans="1:15" ht="16.5" thickBot="1">
      <c r="A375" s="662">
        <v>352</v>
      </c>
      <c r="B375" s="661" t="str" cm="1">
        <f t="array" ref="B375">"P"&amp;INDEX(X!$CL$2:$CL$12,'Scratch Sheet'!H374+1)+9</f>
        <v>P10</v>
      </c>
      <c r="C375" s="661">
        <v>1</v>
      </c>
      <c r="D375" s="755">
        <f t="shared" si="20"/>
        <v>2400</v>
      </c>
      <c r="E375" s="682" t="str">
        <f t="shared" si="21"/>
        <v>C2</v>
      </c>
      <c r="F375" s="683">
        <f t="shared" si="22"/>
        <v>3</v>
      </c>
      <c r="H375" s="13">
        <v>113</v>
      </c>
      <c r="I375" s="13">
        <f>VLOOKUP(VLOOKUP(H375,$A$24:$B$1023,2,FALSE),'Scratch Sheet'!$U$23:$X$32,3,FALSE)</f>
        <v>3</v>
      </c>
      <c r="K375" s="13">
        <f t="shared" si="19"/>
        <v>344</v>
      </c>
      <c r="L375" s="13">
        <f>IFERROR(VLOOKUP(VLOOKUP(K375,$A$24:$B$1023,2,FALSE),'Scratch Sheet'!$U$23:$Y$32,5,FALSE)*VLOOKUP(VLOOKUP(K375,$A$24:$E$1023,5,FALSE),'Scratch Sheet'!$L$22:$M$30,2,FALSE),"")</f>
        <v>4680</v>
      </c>
      <c r="N375" s="675">
        <v>2</v>
      </c>
      <c r="O375" s="675" t="str" cm="1">
        <f t="array" ref="O375">IF(OR(INDEX($B$24:$B$1023,N375)="P10",INDEX($B$24:$B$1023,N375)="P11",INDEX($B$24:$B$1023,N375)="P12",INDEX($B$24:$B$1023,N375)="P13"),"C",IF(OR(INDEX($B$24:$B$1023,N375)="P14",INDEX($B$24:$B$1023,N375)="P15",INDEX($B$24:$B$1023,N375)="P16"),"N","O"))&amp;IF(MOD(N375,100)&lt;20,1,IF(MOD(N375,100)&lt;70,2,3))</f>
        <v>N1</v>
      </c>
    </row>
    <row r="376" spans="1:15" ht="16.5" thickBot="1">
      <c r="A376" s="662">
        <v>353</v>
      </c>
      <c r="B376" s="661" t="str" cm="1">
        <f t="array" ref="B376">"P"&amp;INDEX(X!$CL$2:$CL$12,'Scratch Sheet'!H375+1)+9</f>
        <v>P11</v>
      </c>
      <c r="C376" s="661">
        <v>1</v>
      </c>
      <c r="D376" s="755">
        <f t="shared" si="20"/>
        <v>22000</v>
      </c>
      <c r="E376" s="682" t="str">
        <f t="shared" si="21"/>
        <v>C2</v>
      </c>
      <c r="F376" s="683">
        <f t="shared" si="22"/>
        <v>11</v>
      </c>
      <c r="H376" s="13">
        <v>442</v>
      </c>
      <c r="I376" s="13">
        <f>VLOOKUP(VLOOKUP(H376,$A$24:$B$1023,2,FALSE),'Scratch Sheet'!$U$23:$X$32,3,FALSE)</f>
        <v>5</v>
      </c>
      <c r="K376" s="13">
        <f t="shared" si="19"/>
        <v>346</v>
      </c>
      <c r="L376" s="13">
        <f>IFERROR(VLOOKUP(VLOOKUP(K376,$A$24:$B$1023,2,FALSE),'Scratch Sheet'!$U$23:$Y$32,5,FALSE)*VLOOKUP(VLOOKUP(K376,$A$24:$E$1023,5,FALSE),'Scratch Sheet'!$L$22:$M$30,2,FALSE),"")</f>
        <v>13200.000000000002</v>
      </c>
      <c r="N376" s="675">
        <v>3</v>
      </c>
      <c r="O376" s="675" t="str" cm="1">
        <f t="array" ref="O376">IF(OR(INDEX($B$24:$B$1023,N376)="P10",INDEX($B$24:$B$1023,N376)="P11",INDEX($B$24:$B$1023,N376)="P12",INDEX($B$24:$B$1023,N376)="P13"),"C",IF(OR(INDEX($B$24:$B$1023,N376)="P14",INDEX($B$24:$B$1023,N376)="P15",INDEX($B$24:$B$1023,N376)="P16"),"N","O"))&amp;IF(MOD(N376,100)&lt;20,1,IF(MOD(N376,100)&lt;70,2,3))</f>
        <v>O1</v>
      </c>
    </row>
    <row r="377" spans="1:15" ht="16.5" thickBot="1">
      <c r="A377" s="662">
        <v>354</v>
      </c>
      <c r="B377" s="661" t="str" cm="1">
        <f t="array" ref="B377">"P"&amp;INDEX(X!$CL$2:$CL$12,'Scratch Sheet'!H376+1)+9</f>
        <v>P18</v>
      </c>
      <c r="C377" s="661">
        <v>1</v>
      </c>
      <c r="D377" s="755">
        <f t="shared" si="20"/>
        <v>5940.0000000000009</v>
      </c>
      <c r="E377" s="682" t="str">
        <f t="shared" si="21"/>
        <v>O2</v>
      </c>
      <c r="F377" s="683">
        <f t="shared" si="22"/>
        <v>6</v>
      </c>
      <c r="H377" s="13">
        <v>901</v>
      </c>
      <c r="I377" s="13">
        <f>VLOOKUP(VLOOKUP(H377,$A$24:$B$1023,2,FALSE),'Scratch Sheet'!$U$23:$X$32,3,FALSE)</f>
        <v>5</v>
      </c>
      <c r="K377" s="13">
        <f t="shared" si="19"/>
        <v>345</v>
      </c>
      <c r="L377" s="13">
        <f>IFERROR(VLOOKUP(VLOOKUP(K377,$A$24:$B$1023,2,FALSE),'Scratch Sheet'!$U$23:$Y$32,5,FALSE)*VLOOKUP(VLOOKUP(K377,$A$24:$E$1023,5,FALSE),'Scratch Sheet'!$L$22:$M$30,2,FALSE),"")</f>
        <v>13200.000000000002</v>
      </c>
      <c r="N377" s="675">
        <v>5</v>
      </c>
      <c r="O377" s="675" t="str" cm="1">
        <f t="array" ref="O377">IF(OR(INDEX($B$24:$B$1023,N377)="P10",INDEX($B$24:$B$1023,N377)="P11",INDEX($B$24:$B$1023,N377)="P12",INDEX($B$24:$B$1023,N377)="P13"),"C",IF(OR(INDEX($B$24:$B$1023,N377)="P14",INDEX($B$24:$B$1023,N377)="P15",INDEX($B$24:$B$1023,N377)="P16"),"N","O"))&amp;IF(MOD(N377,100)&lt;20,1,IF(MOD(N377,100)&lt;70,2,3))</f>
        <v>N1</v>
      </c>
    </row>
    <row r="378" spans="1:15" ht="16.5" thickBot="1">
      <c r="A378" s="662">
        <v>355</v>
      </c>
      <c r="B378" s="661" t="str" cm="1">
        <f t="array" ref="B378">"P"&amp;INDEX(X!$CL$2:$CL$12,'Scratch Sheet'!H377+1)+9</f>
        <v>P14</v>
      </c>
      <c r="C378" s="661">
        <v>1</v>
      </c>
      <c r="D378" s="755">
        <f t="shared" si="20"/>
        <v>6480</v>
      </c>
      <c r="E378" s="682" t="str">
        <f t="shared" si="21"/>
        <v>N2</v>
      </c>
      <c r="F378" s="683">
        <f t="shared" si="22"/>
        <v>8</v>
      </c>
      <c r="H378" s="13">
        <v>825</v>
      </c>
      <c r="I378" s="13">
        <f>VLOOKUP(VLOOKUP(H378,$A$24:$B$1023,2,FALSE),'Scratch Sheet'!$U$23:$X$32,3,FALSE)</f>
        <v>11</v>
      </c>
      <c r="K378" s="13">
        <f t="shared" si="19"/>
        <v>348</v>
      </c>
      <c r="L378" s="13">
        <f>IFERROR(VLOOKUP(VLOOKUP(K378,$A$24:$B$1023,2,FALSE),'Scratch Sheet'!$U$23:$Y$32,5,FALSE)*VLOOKUP(VLOOKUP(K378,$A$24:$E$1023,5,FALSE),'Scratch Sheet'!$L$22:$M$30,2,FALSE),"")</f>
        <v>11000</v>
      </c>
      <c r="N378" s="675">
        <v>10</v>
      </c>
      <c r="O378" s="675" t="str" cm="1">
        <f t="array" ref="O378">IF(OR(INDEX($B$24:$B$1023,N378)="P10",INDEX($B$24:$B$1023,N378)="P11",INDEX($B$24:$B$1023,N378)="P12",INDEX($B$24:$B$1023,N378)="P13"),"C",IF(OR(INDEX($B$24:$B$1023,N378)="P14",INDEX($B$24:$B$1023,N378)="P15",INDEX($B$24:$B$1023,N378)="P16"),"N","O"))&amp;IF(MOD(N378,100)&lt;20,1,IF(MOD(N378,100)&lt;70,2,3))</f>
        <v>N1</v>
      </c>
    </row>
    <row r="379" spans="1:15" ht="16.5" thickBot="1">
      <c r="A379" s="662">
        <v>356</v>
      </c>
      <c r="B379" s="661" t="str" cm="1">
        <f t="array" ref="B379">"P"&amp;INDEX(X!$CL$2:$CL$12,'Scratch Sheet'!H378+1)+9</f>
        <v>P10</v>
      </c>
      <c r="C379" s="661">
        <v>1</v>
      </c>
      <c r="D379" s="755">
        <f t="shared" si="20"/>
        <v>2400</v>
      </c>
      <c r="E379" s="682" t="str">
        <f t="shared" si="21"/>
        <v>C2</v>
      </c>
      <c r="F379" s="683">
        <f t="shared" si="22"/>
        <v>3</v>
      </c>
      <c r="H379" s="13">
        <v>816</v>
      </c>
      <c r="I379" s="13">
        <f>VLOOKUP(VLOOKUP(H379,$A$24:$B$1023,2,FALSE),'Scratch Sheet'!$U$23:$X$32,3,FALSE)</f>
        <v>5</v>
      </c>
      <c r="K379" s="13">
        <f t="shared" si="19"/>
        <v>343</v>
      </c>
      <c r="L379" s="13">
        <f>IFERROR(VLOOKUP(VLOOKUP(K379,$A$24:$B$1023,2,FALSE),'Scratch Sheet'!$U$23:$Y$32,5,FALSE)*VLOOKUP(VLOOKUP(K379,$A$24:$E$1023,5,FALSE),'Scratch Sheet'!$L$22:$M$30,2,FALSE),"")</f>
        <v>11000</v>
      </c>
      <c r="N379" s="675">
        <v>11</v>
      </c>
      <c r="O379" s="675" t="str" cm="1">
        <f t="array" ref="O379">IF(OR(INDEX($B$24:$B$1023,N379)="P10",INDEX($B$24:$B$1023,N379)="P11",INDEX($B$24:$B$1023,N379)="P12",INDEX($B$24:$B$1023,N379)="P13"),"C",IF(OR(INDEX($B$24:$B$1023,N379)="P14",INDEX($B$24:$B$1023,N379)="P15",INDEX($B$24:$B$1023,N379)="P16"),"N","O"))&amp;IF(MOD(N379,100)&lt;20,1,IF(MOD(N379,100)&lt;70,2,3))</f>
        <v>N1</v>
      </c>
    </row>
    <row r="380" spans="1:15" ht="16.5" thickBot="1">
      <c r="A380" s="662">
        <v>357</v>
      </c>
      <c r="B380" s="661" t="str" cm="1">
        <f t="array" ref="B380">"P"&amp;INDEX(X!$CL$2:$CL$12,'Scratch Sheet'!H379+1)+9</f>
        <v>P13</v>
      </c>
      <c r="C380" s="661">
        <v>1</v>
      </c>
      <c r="D380" s="755">
        <f t="shared" si="20"/>
        <v>4500</v>
      </c>
      <c r="E380" s="682" t="str">
        <f t="shared" si="21"/>
        <v>C2</v>
      </c>
      <c r="F380" s="683">
        <f t="shared" si="22"/>
        <v>5</v>
      </c>
      <c r="H380" s="13">
        <v>862</v>
      </c>
      <c r="I380" s="13">
        <f>VLOOKUP(VLOOKUP(H380,$A$24:$B$1023,2,FALSE),'Scratch Sheet'!$U$23:$X$32,3,FALSE)</f>
        <v>3</v>
      </c>
      <c r="K380" s="13">
        <f t="shared" si="19"/>
        <v>341</v>
      </c>
      <c r="L380" s="13">
        <f>IFERROR(VLOOKUP(VLOOKUP(K380,$A$24:$B$1023,2,FALSE),'Scratch Sheet'!$U$23:$Y$32,5,FALSE)*VLOOKUP(VLOOKUP(K380,$A$24:$E$1023,5,FALSE),'Scratch Sheet'!$L$22:$M$30,2,FALSE),"")</f>
        <v>4500</v>
      </c>
      <c r="N380" s="675">
        <v>16</v>
      </c>
      <c r="O380" s="675" t="str" cm="1">
        <f t="array" ref="O380">IF(OR(INDEX($B$24:$B$1023,N380)="P10",INDEX($B$24:$B$1023,N380)="P11",INDEX($B$24:$B$1023,N380)="P12",INDEX($B$24:$B$1023,N380)="P13"),"C",IF(OR(INDEX($B$24:$B$1023,N380)="P14",INDEX($B$24:$B$1023,N380)="P15",INDEX($B$24:$B$1023,N380)="P16"),"N","O"))&amp;IF(MOD(N380,100)&lt;20,1,IF(MOD(N380,100)&lt;70,2,3))</f>
        <v>N1</v>
      </c>
    </row>
    <row r="381" spans="1:15" ht="16.5" thickBot="1">
      <c r="A381" s="662">
        <v>358</v>
      </c>
      <c r="B381" s="661" t="str" cm="1">
        <f t="array" ref="B381">"P"&amp;INDEX(X!$CL$2:$CL$12,'Scratch Sheet'!H380+1)+9</f>
        <v>P13</v>
      </c>
      <c r="C381" s="661">
        <v>1</v>
      </c>
      <c r="D381" s="755">
        <f t="shared" si="20"/>
        <v>4500</v>
      </c>
      <c r="E381" s="682" t="str">
        <f t="shared" si="21"/>
        <v>C2</v>
      </c>
      <c r="F381" s="683">
        <f t="shared" si="22"/>
        <v>5</v>
      </c>
      <c r="H381" s="13">
        <v>291</v>
      </c>
      <c r="I381" s="13">
        <f>VLOOKUP(VLOOKUP(H381,$A$24:$B$1023,2,FALSE),'Scratch Sheet'!$U$23:$X$32,3,FALSE)</f>
        <v>3</v>
      </c>
      <c r="K381" s="13">
        <f t="shared" si="19"/>
        <v>342</v>
      </c>
      <c r="L381" s="13">
        <f>IFERROR(VLOOKUP(VLOOKUP(K381,$A$24:$B$1023,2,FALSE),'Scratch Sheet'!$U$23:$Y$32,5,FALSE)*VLOOKUP(VLOOKUP(K381,$A$24:$E$1023,5,FALSE),'Scratch Sheet'!$L$22:$M$30,2,FALSE),"")</f>
        <v>2400</v>
      </c>
      <c r="N381" s="675">
        <v>23</v>
      </c>
      <c r="O381" s="675" t="str" cm="1">
        <f t="array" ref="O381">IF(OR(INDEX($B$24:$B$1023,N381)="P10",INDEX($B$24:$B$1023,N381)="P11",INDEX($B$24:$B$1023,N381)="P12",INDEX($B$24:$B$1023,N381)="P13"),"C",IF(OR(INDEX($B$24:$B$1023,N381)="P14",INDEX($B$24:$B$1023,N381)="P15",INDEX($B$24:$B$1023,N381)="P16"),"N","O"))&amp;IF(MOD(N381,100)&lt;20,1,IF(MOD(N381,100)&lt;70,2,3))</f>
        <v>N2</v>
      </c>
    </row>
    <row r="382" spans="1:15" ht="16.5" thickBot="1">
      <c r="A382" s="662">
        <v>359</v>
      </c>
      <c r="B382" s="661" t="str" cm="1">
        <f t="array" ref="B382">"P"&amp;INDEX(X!$CL$2:$CL$12,'Scratch Sheet'!H381+1)+9</f>
        <v>P10</v>
      </c>
      <c r="C382" s="661">
        <v>1</v>
      </c>
      <c r="D382" s="755">
        <f t="shared" si="20"/>
        <v>2400</v>
      </c>
      <c r="E382" s="682" t="str">
        <f t="shared" si="21"/>
        <v>C2</v>
      </c>
      <c r="F382" s="683">
        <f t="shared" si="22"/>
        <v>3</v>
      </c>
      <c r="H382" s="13">
        <v>606</v>
      </c>
      <c r="I382" s="13">
        <f>VLOOKUP(VLOOKUP(H382,$A$24:$B$1023,2,FALSE),'Scratch Sheet'!$U$23:$X$32,3,FALSE)</f>
        <v>3</v>
      </c>
      <c r="K382" s="13">
        <f t="shared" si="19"/>
        <v>340</v>
      </c>
      <c r="L382" s="13">
        <f>IFERROR(VLOOKUP(VLOOKUP(K382,$A$24:$B$1023,2,FALSE),'Scratch Sheet'!$U$23:$Y$32,5,FALSE)*VLOOKUP(VLOOKUP(K382,$A$24:$E$1023,5,FALSE),'Scratch Sheet'!$L$22:$M$30,2,FALSE),"")</f>
        <v>4500</v>
      </c>
      <c r="N382" s="675">
        <v>26</v>
      </c>
      <c r="O382" s="675" t="str" cm="1">
        <f t="array" ref="O382">IF(OR(INDEX($B$24:$B$1023,N382)="P10",INDEX($B$24:$B$1023,N382)="P11",INDEX($B$24:$B$1023,N382)="P12",INDEX($B$24:$B$1023,N382)="P13"),"C",IF(OR(INDEX($B$24:$B$1023,N382)="P14",INDEX($B$24:$B$1023,N382)="P15",INDEX($B$24:$B$1023,N382)="P16"),"N","O"))&amp;IF(MOD(N382,100)&lt;20,1,IF(MOD(N382,100)&lt;70,2,3))</f>
        <v>N2</v>
      </c>
    </row>
    <row r="383" spans="1:15" ht="16.5" thickBot="1">
      <c r="A383" s="662">
        <v>360</v>
      </c>
      <c r="B383" s="661" t="str" cm="1">
        <f t="array" ref="B383">"P"&amp;INDEX(X!$CL$2:$CL$12,'Scratch Sheet'!H382+1)+9</f>
        <v>P11</v>
      </c>
      <c r="C383" s="661">
        <v>1</v>
      </c>
      <c r="D383" s="755">
        <f t="shared" si="20"/>
        <v>11000</v>
      </c>
      <c r="E383" s="682" t="str">
        <f t="shared" si="21"/>
        <v>C2</v>
      </c>
      <c r="F383" s="683">
        <f t="shared" si="22"/>
        <v>11</v>
      </c>
      <c r="H383" s="13">
        <v>348</v>
      </c>
      <c r="I383" s="13">
        <f>VLOOKUP(VLOOKUP(H383,$A$24:$B$1023,2,FALSE),'Scratch Sheet'!$U$23:$X$32,3,FALSE)</f>
        <v>11</v>
      </c>
      <c r="K383" s="13">
        <f t="shared" ref="K383:K446" si="23">K280+100</f>
        <v>358</v>
      </c>
      <c r="L383" s="13">
        <f>IFERROR(VLOOKUP(VLOOKUP(K383,$A$24:$B$1023,2,FALSE),'Scratch Sheet'!$U$23:$Y$32,5,FALSE)*VLOOKUP(VLOOKUP(K383,$A$24:$E$1023,5,FALSE),'Scratch Sheet'!$L$22:$M$30,2,FALSE),"")</f>
        <v>4500</v>
      </c>
      <c r="N383" s="675">
        <v>27</v>
      </c>
      <c r="O383" s="675" t="str" cm="1">
        <f t="array" ref="O383">IF(OR(INDEX($B$24:$B$1023,N383)="P10",INDEX($B$24:$B$1023,N383)="P11",INDEX($B$24:$B$1023,N383)="P12",INDEX($B$24:$B$1023,N383)="P13"),"C",IF(OR(INDEX($B$24:$B$1023,N383)="P14",INDEX($B$24:$B$1023,N383)="P15",INDEX($B$24:$B$1023,N383)="P16"),"N","O"))&amp;IF(MOD(N383,100)&lt;20,1,IF(MOD(N383,100)&lt;70,2,3))</f>
        <v>N2</v>
      </c>
    </row>
    <row r="384" spans="1:15" ht="16.5" thickBot="1">
      <c r="A384" s="662">
        <v>361</v>
      </c>
      <c r="B384" s="661" t="str" cm="1">
        <f t="array" ref="B384">"P"&amp;INDEX(X!$CL$2:$CL$12,'Scratch Sheet'!H383+1)+9</f>
        <v>P16</v>
      </c>
      <c r="C384" s="661">
        <v>1</v>
      </c>
      <c r="D384" s="755">
        <f t="shared" si="20"/>
        <v>4680</v>
      </c>
      <c r="E384" s="682" t="str">
        <f t="shared" si="21"/>
        <v>N2</v>
      </c>
      <c r="F384" s="683">
        <f t="shared" si="22"/>
        <v>4</v>
      </c>
      <c r="H384" s="13">
        <v>186</v>
      </c>
      <c r="I384" s="13">
        <f>VLOOKUP(VLOOKUP(H384,$A$24:$B$1023,2,FALSE),'Scratch Sheet'!$U$23:$X$32,3,FALSE)</f>
        <v>3</v>
      </c>
      <c r="K384" s="13">
        <f t="shared" si="23"/>
        <v>361</v>
      </c>
      <c r="L384" s="13">
        <f>IFERROR(VLOOKUP(VLOOKUP(K384,$A$24:$B$1023,2,FALSE),'Scratch Sheet'!$U$23:$Y$32,5,FALSE)*VLOOKUP(VLOOKUP(K384,$A$24:$E$1023,5,FALSE),'Scratch Sheet'!$L$22:$M$30,2,FALSE),"")</f>
        <v>4680</v>
      </c>
      <c r="N384" s="675">
        <v>34</v>
      </c>
      <c r="O384" s="675" t="str" cm="1">
        <f t="array" ref="O384">IF(OR(INDEX($B$24:$B$1023,N384)="P10",INDEX($B$24:$B$1023,N384)="P11",INDEX($B$24:$B$1023,N384)="P12",INDEX($B$24:$B$1023,N384)="P13"),"C",IF(OR(INDEX($B$24:$B$1023,N384)="P14",INDEX($B$24:$B$1023,N384)="P15",INDEX($B$24:$B$1023,N384)="P16"),"N","O"))&amp;IF(MOD(N384,100)&lt;20,1,IF(MOD(N384,100)&lt;70,2,3))</f>
        <v>O2</v>
      </c>
    </row>
    <row r="385" spans="1:15" ht="16.5" thickBot="1">
      <c r="A385" s="662">
        <v>362</v>
      </c>
      <c r="B385" s="661" t="str" cm="1">
        <f t="array" ref="B385">"P"&amp;INDEX(X!$CL$2:$CL$12,'Scratch Sheet'!H384+1)+9</f>
        <v>P17</v>
      </c>
      <c r="C385" s="661">
        <v>1</v>
      </c>
      <c r="D385" s="755">
        <f t="shared" si="20"/>
        <v>13200.000000000002</v>
      </c>
      <c r="E385" s="682" t="str">
        <f t="shared" si="21"/>
        <v>O2</v>
      </c>
      <c r="F385" s="683">
        <f t="shared" si="22"/>
        <v>12</v>
      </c>
      <c r="H385" s="13">
        <v>764</v>
      </c>
      <c r="I385" s="13">
        <f>VLOOKUP(VLOOKUP(H385,$A$24:$B$1023,2,FALSE),'Scratch Sheet'!$U$23:$X$32,3,FALSE)</f>
        <v>3</v>
      </c>
      <c r="K385" s="13">
        <f t="shared" si="23"/>
        <v>360</v>
      </c>
      <c r="L385" s="13">
        <f>IFERROR(VLOOKUP(VLOOKUP(K385,$A$24:$B$1023,2,FALSE),'Scratch Sheet'!$U$23:$Y$32,5,FALSE)*VLOOKUP(VLOOKUP(K385,$A$24:$E$1023,5,FALSE),'Scratch Sheet'!$L$22:$M$30,2,FALSE),"")</f>
        <v>11000</v>
      </c>
      <c r="N385" s="675">
        <v>35</v>
      </c>
      <c r="O385" s="675" t="str" cm="1">
        <f t="array" ref="O385">IF(OR(INDEX($B$24:$B$1023,N385)="P10",INDEX($B$24:$B$1023,N385)="P11",INDEX($B$24:$B$1023,N385)="P12",INDEX($B$24:$B$1023,N385)="P13"),"C",IF(OR(INDEX($B$24:$B$1023,N385)="P14",INDEX($B$24:$B$1023,N385)="P15",INDEX($B$24:$B$1023,N385)="P16"),"N","O"))&amp;IF(MOD(N385,100)&lt;20,1,IF(MOD(N385,100)&lt;70,2,3))</f>
        <v>N2</v>
      </c>
    </row>
    <row r="386" spans="1:15" ht="16.5" thickBot="1">
      <c r="A386" s="662">
        <v>363</v>
      </c>
      <c r="B386" s="661" t="str" cm="1">
        <f t="array" ref="B386">"P"&amp;INDEX(X!$CL$2:$CL$12,'Scratch Sheet'!H385+1)+9</f>
        <v>P17</v>
      </c>
      <c r="C386" s="661">
        <v>1</v>
      </c>
      <c r="D386" s="755">
        <f t="shared" si="20"/>
        <v>13200.000000000002</v>
      </c>
      <c r="E386" s="682" t="str">
        <f t="shared" si="21"/>
        <v>O2</v>
      </c>
      <c r="F386" s="683">
        <f t="shared" si="22"/>
        <v>12</v>
      </c>
      <c r="H386" s="13">
        <v>942</v>
      </c>
      <c r="I386" s="13">
        <f>VLOOKUP(VLOOKUP(H386,$A$24:$B$1023,2,FALSE),'Scratch Sheet'!$U$23:$X$32,3,FALSE)</f>
        <v>5</v>
      </c>
      <c r="K386" s="13">
        <f t="shared" si="23"/>
        <v>355</v>
      </c>
      <c r="L386" s="13">
        <f>IFERROR(VLOOKUP(VLOOKUP(K386,$A$24:$B$1023,2,FALSE),'Scratch Sheet'!$U$23:$Y$32,5,FALSE)*VLOOKUP(VLOOKUP(K386,$A$24:$E$1023,5,FALSE),'Scratch Sheet'!$L$22:$M$30,2,FALSE),"")</f>
        <v>6480</v>
      </c>
      <c r="N386" s="675">
        <v>41</v>
      </c>
      <c r="O386" s="675" t="str" cm="1">
        <f t="array" ref="O386">IF(OR(INDEX($B$24:$B$1023,N386)="P10",INDEX($B$24:$B$1023,N386)="P11",INDEX($B$24:$B$1023,N386)="P12",INDEX($B$24:$B$1023,N386)="P13"),"C",IF(OR(INDEX($B$24:$B$1023,N386)="P14",INDEX($B$24:$B$1023,N386)="P15",INDEX($B$24:$B$1023,N386)="P16"),"N","O"))&amp;IF(MOD(N386,100)&lt;20,1,IF(MOD(N386,100)&lt;70,2,3))</f>
        <v>N2</v>
      </c>
    </row>
    <row r="387" spans="1:15" ht="16.5" thickBot="1">
      <c r="A387" s="662">
        <v>364</v>
      </c>
      <c r="B387" s="661" t="str" cm="1">
        <f t="array" ref="B387">"P"&amp;INDEX(X!$CL$2:$CL$12,'Scratch Sheet'!H386+1)+9</f>
        <v>P13</v>
      </c>
      <c r="C387" s="661">
        <v>1</v>
      </c>
      <c r="D387" s="755">
        <f t="shared" si="20"/>
        <v>4500</v>
      </c>
      <c r="E387" s="682" t="str">
        <f t="shared" si="21"/>
        <v>C2</v>
      </c>
      <c r="F387" s="683">
        <f t="shared" si="22"/>
        <v>5</v>
      </c>
      <c r="H387" s="13">
        <v>806</v>
      </c>
      <c r="I387" s="13">
        <f>VLOOKUP(VLOOKUP(H387,$A$24:$B$1023,2,FALSE),'Scratch Sheet'!$U$23:$X$32,3,FALSE)</f>
        <v>5</v>
      </c>
      <c r="K387" s="13">
        <f t="shared" si="23"/>
        <v>357</v>
      </c>
      <c r="L387" s="13">
        <f>IFERROR(VLOOKUP(VLOOKUP(K387,$A$24:$B$1023,2,FALSE),'Scratch Sheet'!$U$23:$Y$32,5,FALSE)*VLOOKUP(VLOOKUP(K387,$A$24:$E$1023,5,FALSE),'Scratch Sheet'!$L$22:$M$30,2,FALSE),"")</f>
        <v>4500</v>
      </c>
      <c r="N387" s="675">
        <v>53</v>
      </c>
      <c r="O387" s="675" t="str" cm="1">
        <f t="array" ref="O387">IF(OR(INDEX($B$24:$B$1023,N387)="P10",INDEX($B$24:$B$1023,N387)="P11",INDEX($B$24:$B$1023,N387)="P12",INDEX($B$24:$B$1023,N387)="P13"),"C",IF(OR(INDEX($B$24:$B$1023,N387)="P14",INDEX($B$24:$B$1023,N387)="P15",INDEX($B$24:$B$1023,N387)="P16"),"N","O"))&amp;IF(MOD(N387,100)&lt;20,1,IF(MOD(N387,100)&lt;70,2,3))</f>
        <v>O2</v>
      </c>
    </row>
    <row r="388" spans="1:15" ht="16.5" thickBot="1">
      <c r="A388" s="662">
        <v>365</v>
      </c>
      <c r="B388" s="661" t="str" cm="1">
        <f t="array" ref="B388">"P"&amp;INDEX(X!$CL$2:$CL$12,'Scratch Sheet'!H387+1)+9</f>
        <v>P11</v>
      </c>
      <c r="C388" s="661">
        <v>1</v>
      </c>
      <c r="D388" s="755">
        <f t="shared" si="20"/>
        <v>11000</v>
      </c>
      <c r="E388" s="682" t="str">
        <f t="shared" si="21"/>
        <v>C2</v>
      </c>
      <c r="F388" s="683">
        <f t="shared" si="22"/>
        <v>11</v>
      </c>
      <c r="H388" s="13">
        <v>451</v>
      </c>
      <c r="I388" s="13">
        <f>VLOOKUP(VLOOKUP(H388,$A$24:$B$1023,2,FALSE),'Scratch Sheet'!$U$23:$X$32,3,FALSE)</f>
        <v>11</v>
      </c>
      <c r="K388" s="13">
        <f t="shared" si="23"/>
        <v>356</v>
      </c>
      <c r="L388" s="13">
        <f>IFERROR(VLOOKUP(VLOOKUP(K388,$A$24:$B$1023,2,FALSE),'Scratch Sheet'!$U$23:$Y$32,5,FALSE)*VLOOKUP(VLOOKUP(K388,$A$24:$E$1023,5,FALSE),'Scratch Sheet'!$L$22:$M$30,2,FALSE),"")</f>
        <v>2400</v>
      </c>
      <c r="N388" s="675">
        <v>56</v>
      </c>
      <c r="O388" s="675" t="str" cm="1">
        <f t="array" ref="O388">IF(OR(INDEX($B$24:$B$1023,N388)="P10",INDEX($B$24:$B$1023,N388)="P11",INDEX($B$24:$B$1023,N388)="P12",INDEX($B$24:$B$1023,N388)="P13"),"C",IF(OR(INDEX($B$24:$B$1023,N388)="P14",INDEX($B$24:$B$1023,N388)="P15",INDEX($B$24:$B$1023,N388)="P16"),"N","O"))&amp;IF(MOD(N388,100)&lt;20,1,IF(MOD(N388,100)&lt;70,2,3))</f>
        <v>N2</v>
      </c>
    </row>
    <row r="389" spans="1:15" ht="16.5" thickBot="1">
      <c r="A389" s="662">
        <v>366</v>
      </c>
      <c r="B389" s="661" t="str" cm="1">
        <f t="array" ref="B389">"P"&amp;INDEX(X!$CL$2:$CL$12,'Scratch Sheet'!H388+1)+9</f>
        <v>P11</v>
      </c>
      <c r="C389" s="661">
        <v>1</v>
      </c>
      <c r="D389" s="755">
        <f t="shared" si="20"/>
        <v>11000</v>
      </c>
      <c r="E389" s="682" t="str">
        <f t="shared" si="21"/>
        <v>C2</v>
      </c>
      <c r="F389" s="683">
        <f t="shared" si="22"/>
        <v>11</v>
      </c>
      <c r="H389" s="13">
        <v>74</v>
      </c>
      <c r="I389" s="13">
        <f>VLOOKUP(VLOOKUP(H389,$A$24:$B$1023,2,FALSE),'Scratch Sheet'!$U$23:$X$32,3,FALSE)</f>
        <v>5</v>
      </c>
      <c r="K389" s="13">
        <f t="shared" si="23"/>
        <v>359</v>
      </c>
      <c r="L389" s="13">
        <f>IFERROR(VLOOKUP(VLOOKUP(K389,$A$24:$B$1023,2,FALSE),'Scratch Sheet'!$U$23:$Y$32,5,FALSE)*VLOOKUP(VLOOKUP(K389,$A$24:$E$1023,5,FALSE),'Scratch Sheet'!$L$22:$M$30,2,FALSE),"")</f>
        <v>2400</v>
      </c>
      <c r="N389" s="675">
        <v>67</v>
      </c>
      <c r="O389" s="675" t="str" cm="1">
        <f t="array" ref="O389">IF(OR(INDEX($B$24:$B$1023,N389)="P10",INDEX($B$24:$B$1023,N389)="P11",INDEX($B$24:$B$1023,N389)="P12",INDEX($B$24:$B$1023,N389)="P13"),"C",IF(OR(INDEX($B$24:$B$1023,N389)="P14",INDEX($B$24:$B$1023,N389)="P15",INDEX($B$24:$B$1023,N389)="P16"),"N","O"))&amp;IF(MOD(N389,100)&lt;20,1,IF(MOD(N389,100)&lt;70,2,3))</f>
        <v>O2</v>
      </c>
    </row>
    <row r="390" spans="1:15" ht="16.5" thickBot="1">
      <c r="A390" s="662">
        <v>367</v>
      </c>
      <c r="B390" s="661" t="str" cm="1">
        <f t="array" ref="B390">"P"&amp;INDEX(X!$CL$2:$CL$12,'Scratch Sheet'!H389+1)+9</f>
        <v>P12</v>
      </c>
      <c r="C390" s="661">
        <v>1</v>
      </c>
      <c r="D390" s="755">
        <f t="shared" si="20"/>
        <v>6825</v>
      </c>
      <c r="E390" s="682" t="str">
        <f t="shared" si="21"/>
        <v>C2</v>
      </c>
      <c r="F390" s="683">
        <f t="shared" si="22"/>
        <v>6.5</v>
      </c>
      <c r="H390" s="13">
        <v>743</v>
      </c>
      <c r="I390" s="13">
        <f>VLOOKUP(VLOOKUP(H390,$A$24:$B$1023,2,FALSE),'Scratch Sheet'!$U$23:$X$32,3,FALSE)</f>
        <v>3</v>
      </c>
      <c r="K390" s="13">
        <f t="shared" si="23"/>
        <v>354</v>
      </c>
      <c r="L390" s="13">
        <f>IFERROR(VLOOKUP(VLOOKUP(K390,$A$24:$B$1023,2,FALSE),'Scratch Sheet'!$U$23:$Y$32,5,FALSE)*VLOOKUP(VLOOKUP(K390,$A$24:$E$1023,5,FALSE),'Scratch Sheet'!$L$22:$M$30,2,FALSE),"")</f>
        <v>5940.0000000000009</v>
      </c>
      <c r="N390" s="675">
        <v>81</v>
      </c>
      <c r="O390" s="675" t="str" cm="1">
        <f t="array" ref="O390">IF(OR(INDEX($B$24:$B$1023,N390)="P10",INDEX($B$24:$B$1023,N390)="P11",INDEX($B$24:$B$1023,N390)="P12",INDEX($B$24:$B$1023,N390)="P13"),"C",IF(OR(INDEX($B$24:$B$1023,N390)="P14",INDEX($B$24:$B$1023,N390)="P15",INDEX($B$24:$B$1023,N390)="P16"),"N","O"))&amp;IF(MOD(N390,100)&lt;20,1,IF(MOD(N390,100)&lt;70,2,3))</f>
        <v>O3</v>
      </c>
    </row>
    <row r="391" spans="1:15" ht="16.5" thickBot="1">
      <c r="A391" s="662">
        <v>368</v>
      </c>
      <c r="B391" s="661" t="str" cm="1">
        <f t="array" ref="B391">"P"&amp;INDEX(X!$CL$2:$CL$12,'Scratch Sheet'!H390+1)+9</f>
        <v>P10</v>
      </c>
      <c r="C391" s="661">
        <v>1</v>
      </c>
      <c r="D391" s="755">
        <f t="shared" si="20"/>
        <v>2400</v>
      </c>
      <c r="E391" s="682" t="str">
        <f t="shared" si="21"/>
        <v>C2</v>
      </c>
      <c r="F391" s="683">
        <f t="shared" si="22"/>
        <v>3</v>
      </c>
      <c r="H391" s="13">
        <v>443</v>
      </c>
      <c r="I391" s="13">
        <f>VLOOKUP(VLOOKUP(H391,$A$24:$B$1023,2,FALSE),'Scratch Sheet'!$U$23:$X$32,3,FALSE)</f>
        <v>5</v>
      </c>
      <c r="K391" s="13">
        <f t="shared" si="23"/>
        <v>352</v>
      </c>
      <c r="L391" s="13">
        <f>IFERROR(VLOOKUP(VLOOKUP(K391,$A$24:$B$1023,2,FALSE),'Scratch Sheet'!$U$23:$Y$32,5,FALSE)*VLOOKUP(VLOOKUP(K391,$A$24:$E$1023,5,FALSE),'Scratch Sheet'!$L$22:$M$30,2,FALSE),"")</f>
        <v>2400</v>
      </c>
      <c r="N391" s="675">
        <v>83</v>
      </c>
      <c r="O391" s="675" t="str" cm="1">
        <f t="array" ref="O391">IF(OR(INDEX($B$24:$B$1023,N391)="P10",INDEX($B$24:$B$1023,N391)="P11",INDEX($B$24:$B$1023,N391)="P12",INDEX($B$24:$B$1023,N391)="P13"),"C",IF(OR(INDEX($B$24:$B$1023,N391)="P14",INDEX($B$24:$B$1023,N391)="P15",INDEX($B$24:$B$1023,N391)="P16"),"N","O"))&amp;IF(MOD(N391,100)&lt;20,1,IF(MOD(N391,100)&lt;70,2,3))</f>
        <v>N3</v>
      </c>
    </row>
    <row r="392" spans="1:15" ht="16.5" thickBot="1">
      <c r="A392" s="662">
        <v>369</v>
      </c>
      <c r="B392" s="661" t="str" cm="1">
        <f t="array" ref="B392">"P"&amp;INDEX(X!$CL$2:$CL$12,'Scratch Sheet'!H391+1)+9</f>
        <v>P10</v>
      </c>
      <c r="C392" s="661">
        <v>1</v>
      </c>
      <c r="D392" s="755">
        <f t="shared" si="20"/>
        <v>2400</v>
      </c>
      <c r="E392" s="682" t="str">
        <f t="shared" si="21"/>
        <v>C2</v>
      </c>
      <c r="F392" s="683">
        <f t="shared" si="22"/>
        <v>3</v>
      </c>
      <c r="H392" s="13">
        <v>472</v>
      </c>
      <c r="I392" s="13">
        <f>VLOOKUP(VLOOKUP(H392,$A$24:$B$1023,2,FALSE),'Scratch Sheet'!$U$23:$X$32,3,FALSE)</f>
        <v>11</v>
      </c>
      <c r="K392" s="13">
        <f t="shared" si="23"/>
        <v>353</v>
      </c>
      <c r="L392" s="13">
        <f>IFERROR(VLOOKUP(VLOOKUP(K392,$A$24:$B$1023,2,FALSE),'Scratch Sheet'!$U$23:$Y$32,5,FALSE)*VLOOKUP(VLOOKUP(K392,$A$24:$E$1023,5,FALSE),'Scratch Sheet'!$L$22:$M$30,2,FALSE),"")</f>
        <v>11000</v>
      </c>
      <c r="N392" s="675">
        <v>89</v>
      </c>
      <c r="O392" s="675" t="str" cm="1">
        <f t="array" ref="O392">IF(OR(INDEX($B$24:$B$1023,N392)="P10",INDEX($B$24:$B$1023,N392)="P11",INDEX($B$24:$B$1023,N392)="P12",INDEX($B$24:$B$1023,N392)="P13"),"C",IF(OR(INDEX($B$24:$B$1023,N392)="P14",INDEX($B$24:$B$1023,N392)="P15",INDEX($B$24:$B$1023,N392)="P16"),"N","O"))&amp;IF(MOD(N392,100)&lt;20,1,IF(MOD(N392,100)&lt;70,2,3))</f>
        <v>N3</v>
      </c>
    </row>
    <row r="393" spans="1:15" ht="16.5" thickBot="1">
      <c r="A393" s="662">
        <v>370</v>
      </c>
      <c r="B393" s="661" t="str" cm="1">
        <f t="array" ref="B393">"P"&amp;INDEX(X!$CL$2:$CL$12,'Scratch Sheet'!H392+1)+9</f>
        <v>P11</v>
      </c>
      <c r="C393" s="661">
        <v>1</v>
      </c>
      <c r="D393" s="755">
        <f t="shared" si="20"/>
        <v>8800</v>
      </c>
      <c r="E393" s="682" t="str">
        <f t="shared" si="21"/>
        <v>C3</v>
      </c>
      <c r="F393" s="683">
        <f t="shared" si="22"/>
        <v>11</v>
      </c>
      <c r="H393" s="13">
        <v>289</v>
      </c>
      <c r="I393" s="13">
        <f>VLOOKUP(VLOOKUP(H393,$A$24:$B$1023,2,FALSE),'Scratch Sheet'!$U$23:$X$32,3,FALSE)</f>
        <v>5</v>
      </c>
      <c r="K393" s="13">
        <f t="shared" si="23"/>
        <v>351</v>
      </c>
      <c r="L393" s="13">
        <f>IFERROR(VLOOKUP(VLOOKUP(K393,$A$24:$B$1023,2,FALSE),'Scratch Sheet'!$U$23:$Y$32,5,FALSE)*VLOOKUP(VLOOKUP(K393,$A$24:$E$1023,5,FALSE),'Scratch Sheet'!$L$22:$M$30,2,FALSE),"")</f>
        <v>2400</v>
      </c>
      <c r="N393" s="675">
        <v>99</v>
      </c>
      <c r="O393" s="675" t="str" cm="1">
        <f t="array" ref="O393">IF(OR(INDEX($B$24:$B$1023,N393)="P10",INDEX($B$24:$B$1023,N393)="P11",INDEX($B$24:$B$1023,N393)="P12",INDEX($B$24:$B$1023,N393)="P13"),"C",IF(OR(INDEX($B$24:$B$1023,N393)="P14",INDEX($B$24:$B$1023,N393)="P15",INDEX($B$24:$B$1023,N393)="P16"),"N","O"))&amp;IF(MOD(N393,100)&lt;20,1,IF(MOD(N393,100)&lt;70,2,3))</f>
        <v>O3</v>
      </c>
    </row>
    <row r="394" spans="1:15" ht="16.5" thickBot="1">
      <c r="A394" s="662">
        <v>371</v>
      </c>
      <c r="B394" s="661" t="str" cm="1">
        <f t="array" ref="B394">"P"&amp;INDEX(X!$CL$2:$CL$12,'Scratch Sheet'!H393+1)+9</f>
        <v>P18</v>
      </c>
      <c r="C394" s="661">
        <v>1</v>
      </c>
      <c r="D394" s="755">
        <f t="shared" si="20"/>
        <v>4320</v>
      </c>
      <c r="E394" s="682" t="str">
        <f t="shared" si="21"/>
        <v>O3</v>
      </c>
      <c r="F394" s="683">
        <f t="shared" si="22"/>
        <v>6</v>
      </c>
      <c r="H394" s="13">
        <v>168</v>
      </c>
      <c r="I394" s="13">
        <f>VLOOKUP(VLOOKUP(H394,$A$24:$B$1023,2,FALSE),'Scratch Sheet'!$U$23:$X$32,3,FALSE)</f>
        <v>8</v>
      </c>
      <c r="K394" s="13">
        <f t="shared" si="23"/>
        <v>367</v>
      </c>
      <c r="L394" s="13">
        <f>IFERROR(VLOOKUP(VLOOKUP(K394,$A$24:$B$1023,2,FALSE),'Scratch Sheet'!$U$23:$Y$32,5,FALSE)*VLOOKUP(VLOOKUP(K394,$A$24:$E$1023,5,FALSE),'Scratch Sheet'!$L$22:$M$30,2,FALSE),"")</f>
        <v>6825</v>
      </c>
      <c r="N394" s="675">
        <v>106</v>
      </c>
      <c r="O394" s="675" t="str" cm="1">
        <f t="array" ref="O394">IF(OR(INDEX($B$24:$B$1023,N394)="P10",INDEX($B$24:$B$1023,N394)="P11",INDEX($B$24:$B$1023,N394)="P12",INDEX($B$24:$B$1023,N394)="P13"),"C",IF(OR(INDEX($B$24:$B$1023,N394)="P14",INDEX($B$24:$B$1023,N394)="P15",INDEX($B$24:$B$1023,N394)="P16"),"N","O"))&amp;IF(MOD(N394,100)&lt;20,1,IF(MOD(N394,100)&lt;70,2,3))</f>
        <v>N1</v>
      </c>
    </row>
    <row r="395" spans="1:15" ht="16.5" thickBot="1">
      <c r="A395" s="662">
        <v>372</v>
      </c>
      <c r="B395" s="661" t="str" cm="1">
        <f t="array" ref="B395">"P"&amp;INDEX(X!$CL$2:$CL$12,'Scratch Sheet'!H394+1)+9</f>
        <v>P14</v>
      </c>
      <c r="C395" s="661">
        <v>1</v>
      </c>
      <c r="D395" s="755">
        <f t="shared" si="20"/>
        <v>7200</v>
      </c>
      <c r="E395" s="682" t="str">
        <f t="shared" si="21"/>
        <v>N3</v>
      </c>
      <c r="F395" s="683">
        <f t="shared" si="22"/>
        <v>8</v>
      </c>
      <c r="H395" s="13">
        <v>147</v>
      </c>
      <c r="I395" s="13">
        <f>VLOOKUP(VLOOKUP(H395,$A$24:$B$1023,2,FALSE),'Scratch Sheet'!$U$23:$X$32,3,FALSE)</f>
        <v>3</v>
      </c>
      <c r="K395" s="13">
        <f t="shared" si="23"/>
        <v>370</v>
      </c>
      <c r="L395" s="13">
        <f>IFERROR(VLOOKUP(VLOOKUP(K395,$A$24:$B$1023,2,FALSE),'Scratch Sheet'!$U$23:$Y$32,5,FALSE)*VLOOKUP(VLOOKUP(K395,$A$24:$E$1023,5,FALSE),'Scratch Sheet'!$L$22:$M$30,2,FALSE),"")</f>
        <v>8800</v>
      </c>
      <c r="N395" s="675">
        <v>116</v>
      </c>
      <c r="O395" s="675" t="str" cm="1">
        <f t="array" ref="O395">IF(OR(INDEX($B$24:$B$1023,N395)="P10",INDEX($B$24:$B$1023,N395)="P11",INDEX($B$24:$B$1023,N395)="P12",INDEX($B$24:$B$1023,N395)="P13"),"C",IF(OR(INDEX($B$24:$B$1023,N395)="P14",INDEX($B$24:$B$1023,N395)="P15",INDEX($B$24:$B$1023,N395)="P16"),"N","O"))&amp;IF(MOD(N395,100)&lt;20,1,IF(MOD(N395,100)&lt;70,2,3))</f>
        <v>O1</v>
      </c>
    </row>
    <row r="396" spans="1:15" ht="16.5" thickBot="1">
      <c r="A396" s="662">
        <v>373</v>
      </c>
      <c r="B396" s="661" t="str" cm="1">
        <f t="array" ref="B396">"P"&amp;INDEX(X!$CL$2:$CL$12,'Scratch Sheet'!H395+1)+9</f>
        <v>P10</v>
      </c>
      <c r="C396" s="661">
        <v>1</v>
      </c>
      <c r="D396" s="755">
        <f t="shared" si="20"/>
        <v>1920</v>
      </c>
      <c r="E396" s="682" t="str">
        <f t="shared" si="21"/>
        <v>C3</v>
      </c>
      <c r="F396" s="683">
        <f t="shared" si="22"/>
        <v>3</v>
      </c>
      <c r="H396" s="13">
        <v>139</v>
      </c>
      <c r="I396" s="13">
        <f>VLOOKUP(VLOOKUP(H396,$A$24:$B$1023,2,FALSE),'Scratch Sheet'!$U$23:$X$32,3,FALSE)</f>
        <v>11</v>
      </c>
      <c r="K396" s="13">
        <f t="shared" si="23"/>
        <v>369</v>
      </c>
      <c r="L396" s="13">
        <f>IFERROR(VLOOKUP(VLOOKUP(K396,$A$24:$B$1023,2,FALSE),'Scratch Sheet'!$U$23:$Y$32,5,FALSE)*VLOOKUP(VLOOKUP(K396,$A$24:$E$1023,5,FALSE),'Scratch Sheet'!$L$22:$M$30,2,FALSE),"")</f>
        <v>2400</v>
      </c>
      <c r="N396" s="675">
        <v>123</v>
      </c>
      <c r="O396" s="675" t="str" cm="1">
        <f t="array" ref="O396">IF(OR(INDEX($B$24:$B$1023,N396)="P10",INDEX($B$24:$B$1023,N396)="P11",INDEX($B$24:$B$1023,N396)="P12",INDEX($B$24:$B$1023,N396)="P13"),"C",IF(OR(INDEX($B$24:$B$1023,N396)="P14",INDEX($B$24:$B$1023,N396)="P15",INDEX($B$24:$B$1023,N396)="P16"),"N","O"))&amp;IF(MOD(N396,100)&lt;20,1,IF(MOD(N396,100)&lt;70,2,3))</f>
        <v>N2</v>
      </c>
    </row>
    <row r="397" spans="1:15" ht="16.5" thickBot="1">
      <c r="A397" s="662">
        <v>374</v>
      </c>
      <c r="B397" s="661" t="str" cm="1">
        <f t="array" ref="B397">"P"&amp;INDEX(X!$CL$2:$CL$12,'Scratch Sheet'!H396+1)+9</f>
        <v>P13</v>
      </c>
      <c r="C397" s="661">
        <v>1</v>
      </c>
      <c r="D397" s="755">
        <f t="shared" si="20"/>
        <v>3600</v>
      </c>
      <c r="E397" s="682" t="str">
        <f t="shared" si="21"/>
        <v>C3</v>
      </c>
      <c r="F397" s="683">
        <f t="shared" si="22"/>
        <v>5</v>
      </c>
      <c r="H397" s="13">
        <v>341</v>
      </c>
      <c r="I397" s="13">
        <f>VLOOKUP(VLOOKUP(H397,$A$24:$B$1023,2,FALSE),'Scratch Sheet'!$U$23:$X$32,3,FALSE)</f>
        <v>5</v>
      </c>
      <c r="K397" s="13">
        <f t="shared" si="23"/>
        <v>364</v>
      </c>
      <c r="L397" s="13">
        <f>IFERROR(VLOOKUP(VLOOKUP(K397,$A$24:$B$1023,2,FALSE),'Scratch Sheet'!$U$23:$Y$32,5,FALSE)*VLOOKUP(VLOOKUP(K397,$A$24:$E$1023,5,FALSE),'Scratch Sheet'!$L$22:$M$30,2,FALSE),"")</f>
        <v>4500</v>
      </c>
      <c r="N397" s="675">
        <v>133</v>
      </c>
      <c r="O397" s="675" t="str" cm="1">
        <f t="array" ref="O397">IF(OR(INDEX($B$24:$B$1023,N397)="P10",INDEX($B$24:$B$1023,N397)="P11",INDEX($B$24:$B$1023,N397)="P12",INDEX($B$24:$B$1023,N397)="P13"),"C",IF(OR(INDEX($B$24:$B$1023,N397)="P14",INDEX($B$24:$B$1023,N397)="P15",INDEX($B$24:$B$1023,N397)="P16"),"N","O"))&amp;IF(MOD(N397,100)&lt;20,1,IF(MOD(N397,100)&lt;70,2,3))</f>
        <v>O2</v>
      </c>
    </row>
    <row r="398" spans="1:15" ht="16.5" thickBot="1">
      <c r="A398" s="662">
        <v>375</v>
      </c>
      <c r="B398" s="661" t="str" cm="1">
        <f t="array" ref="B398">"P"&amp;INDEX(X!$CL$2:$CL$12,'Scratch Sheet'!H397+1)+9</f>
        <v>P13</v>
      </c>
      <c r="C398" s="661">
        <v>1</v>
      </c>
      <c r="D398" s="755">
        <f t="shared" si="20"/>
        <v>3600</v>
      </c>
      <c r="E398" s="682" t="str">
        <f t="shared" si="21"/>
        <v>C3</v>
      </c>
      <c r="F398" s="683">
        <f t="shared" si="22"/>
        <v>5</v>
      </c>
      <c r="H398" s="13">
        <v>30</v>
      </c>
      <c r="I398" s="13">
        <f>VLOOKUP(VLOOKUP(H398,$A$24:$B$1023,2,FALSE),'Scratch Sheet'!$U$23:$X$32,3,FALSE)</f>
        <v>5</v>
      </c>
      <c r="K398" s="13">
        <f t="shared" si="23"/>
        <v>366</v>
      </c>
      <c r="L398" s="13">
        <f>IFERROR(VLOOKUP(VLOOKUP(K398,$A$24:$B$1023,2,FALSE),'Scratch Sheet'!$U$23:$Y$32,5,FALSE)*VLOOKUP(VLOOKUP(K398,$A$24:$E$1023,5,FALSE),'Scratch Sheet'!$L$22:$M$30,2,FALSE),"")</f>
        <v>11000</v>
      </c>
      <c r="N398" s="675">
        <v>140</v>
      </c>
      <c r="O398" s="675" t="str" cm="1">
        <f t="array" ref="O398">IF(OR(INDEX($B$24:$B$1023,N398)="P10",INDEX($B$24:$B$1023,N398)="P11",INDEX($B$24:$B$1023,N398)="P12",INDEX($B$24:$B$1023,N398)="P13"),"C",IF(OR(INDEX($B$24:$B$1023,N398)="P14",INDEX($B$24:$B$1023,N398)="P15",INDEX($B$24:$B$1023,N398)="P16"),"N","O"))&amp;IF(MOD(N398,100)&lt;20,1,IF(MOD(N398,100)&lt;70,2,3))</f>
        <v>N2</v>
      </c>
    </row>
    <row r="399" spans="1:15" ht="16.5" thickBot="1">
      <c r="A399" s="662">
        <v>376</v>
      </c>
      <c r="B399" s="661" t="str" cm="1">
        <f t="array" ref="B399">"P"&amp;INDEX(X!$CL$2:$CL$12,'Scratch Sheet'!H398+1)+9</f>
        <v>P10</v>
      </c>
      <c r="C399" s="661">
        <v>1</v>
      </c>
      <c r="D399" s="755">
        <f t="shared" si="20"/>
        <v>1920</v>
      </c>
      <c r="E399" s="682" t="str">
        <f t="shared" si="21"/>
        <v>C3</v>
      </c>
      <c r="F399" s="683">
        <f t="shared" si="22"/>
        <v>3</v>
      </c>
      <c r="H399" s="13">
        <v>199</v>
      </c>
      <c r="I399" s="13">
        <f>VLOOKUP(VLOOKUP(H399,$A$24:$B$1023,2,FALSE),'Scratch Sheet'!$U$23:$X$32,3,FALSE)</f>
        <v>3</v>
      </c>
      <c r="K399" s="13">
        <f t="shared" si="23"/>
        <v>365</v>
      </c>
      <c r="L399" s="13">
        <f>IFERROR(VLOOKUP(VLOOKUP(K399,$A$24:$B$1023,2,FALSE),'Scratch Sheet'!$U$23:$Y$32,5,FALSE)*VLOOKUP(VLOOKUP(K399,$A$24:$E$1023,5,FALSE),'Scratch Sheet'!$L$22:$M$30,2,FALSE),"")</f>
        <v>11000</v>
      </c>
      <c r="N399" s="675">
        <v>150</v>
      </c>
      <c r="O399" s="675" t="str" cm="1">
        <f t="array" ref="O399">IF(OR(INDEX($B$24:$B$1023,N399)="P10",INDEX($B$24:$B$1023,N399)="P11",INDEX($B$24:$B$1023,N399)="P12",INDEX($B$24:$B$1023,N399)="P13"),"C",IF(OR(INDEX($B$24:$B$1023,N399)="P14",INDEX($B$24:$B$1023,N399)="P15",INDEX($B$24:$B$1023,N399)="P16"),"N","O"))&amp;IF(MOD(N399,100)&lt;20,1,IF(MOD(N399,100)&lt;70,2,3))</f>
        <v>O2</v>
      </c>
    </row>
    <row r="400" spans="1:15" ht="16.5" thickBot="1">
      <c r="A400" s="662">
        <v>377</v>
      </c>
      <c r="B400" s="661" t="str" cm="1">
        <f t="array" ref="B400">"P"&amp;INDEX(X!$CL$2:$CL$12,'Scratch Sheet'!H399+1)+9</f>
        <v>P11</v>
      </c>
      <c r="C400" s="661">
        <v>1</v>
      </c>
      <c r="D400" s="755">
        <f t="shared" si="20"/>
        <v>8800</v>
      </c>
      <c r="E400" s="682" t="str">
        <f t="shared" si="21"/>
        <v>C3</v>
      </c>
      <c r="F400" s="683">
        <f t="shared" si="22"/>
        <v>11</v>
      </c>
      <c r="H400" s="13">
        <v>684</v>
      </c>
      <c r="I400" s="13">
        <f>VLOOKUP(VLOOKUP(H400,$A$24:$B$1023,2,FALSE),'Scratch Sheet'!$U$23:$X$32,3,FALSE)</f>
        <v>4</v>
      </c>
      <c r="K400" s="13">
        <f t="shared" si="23"/>
        <v>368</v>
      </c>
      <c r="L400" s="13">
        <f>IFERROR(VLOOKUP(VLOOKUP(K400,$A$24:$B$1023,2,FALSE),'Scratch Sheet'!$U$23:$Y$32,5,FALSE)*VLOOKUP(VLOOKUP(K400,$A$24:$E$1023,5,FALSE),'Scratch Sheet'!$L$22:$M$30,2,FALSE),"")</f>
        <v>2400</v>
      </c>
      <c r="N400" s="675">
        <v>157</v>
      </c>
      <c r="O400" s="675" t="str" cm="1">
        <f t="array" ref="O400">IF(OR(INDEX($B$24:$B$1023,N400)="P10",INDEX($B$24:$B$1023,N400)="P11",INDEX($B$24:$B$1023,N400)="P12",INDEX($B$24:$B$1023,N400)="P13"),"C",IF(OR(INDEX($B$24:$B$1023,N400)="P14",INDEX($B$24:$B$1023,N400)="P15",INDEX($B$24:$B$1023,N400)="P16"),"N","O"))&amp;IF(MOD(N400,100)&lt;20,1,IF(MOD(N400,100)&lt;70,2,3))</f>
        <v>N2</v>
      </c>
    </row>
    <row r="401" spans="1:15" ht="16.5" thickBot="1">
      <c r="A401" s="662">
        <v>378</v>
      </c>
      <c r="B401" s="661" t="str" cm="1">
        <f t="array" ref="B401">"P"&amp;INDEX(X!$CL$2:$CL$12,'Scratch Sheet'!H400+1)+9</f>
        <v>P16</v>
      </c>
      <c r="C401" s="661">
        <v>1</v>
      </c>
      <c r="D401" s="755">
        <f t="shared" si="20"/>
        <v>5200</v>
      </c>
      <c r="E401" s="682" t="str">
        <f t="shared" si="21"/>
        <v>N3</v>
      </c>
      <c r="F401" s="683">
        <f t="shared" si="22"/>
        <v>4</v>
      </c>
      <c r="H401" s="13">
        <v>814</v>
      </c>
      <c r="I401" s="13">
        <f>VLOOKUP(VLOOKUP(H401,$A$24:$B$1023,2,FALSE),'Scratch Sheet'!$U$23:$X$32,3,FALSE)</f>
        <v>8</v>
      </c>
      <c r="K401" s="13">
        <f t="shared" si="23"/>
        <v>363</v>
      </c>
      <c r="L401" s="13">
        <f>IFERROR(VLOOKUP(VLOOKUP(K401,$A$24:$B$1023,2,FALSE),'Scratch Sheet'!$U$23:$Y$32,5,FALSE)*VLOOKUP(VLOOKUP(K401,$A$24:$E$1023,5,FALSE),'Scratch Sheet'!$L$22:$M$30,2,FALSE),"")</f>
        <v>13200.000000000002</v>
      </c>
      <c r="N401" s="675">
        <v>174</v>
      </c>
      <c r="O401" s="675" t="str" cm="1">
        <f t="array" ref="O401">IF(OR(INDEX($B$24:$B$1023,N401)="P10",INDEX($B$24:$B$1023,N401)="P11",INDEX($B$24:$B$1023,N401)="P12",INDEX($B$24:$B$1023,N401)="P13"),"C",IF(OR(INDEX($B$24:$B$1023,N401)="P14",INDEX($B$24:$B$1023,N401)="P15",INDEX($B$24:$B$1023,N401)="P16"),"N","O"))&amp;IF(MOD(N401,100)&lt;20,1,IF(MOD(N401,100)&lt;70,2,3))</f>
        <v>N3</v>
      </c>
    </row>
    <row r="402" spans="1:15" ht="16.5" thickBot="1">
      <c r="A402" s="662">
        <v>379</v>
      </c>
      <c r="B402" s="661" t="str" cm="1">
        <f t="array" ref="B402">"P"&amp;INDEX(X!$CL$2:$CL$12,'Scratch Sheet'!H401+1)+9</f>
        <v>P17</v>
      </c>
      <c r="C402" s="661">
        <v>1</v>
      </c>
      <c r="D402" s="755">
        <f t="shared" si="20"/>
        <v>9600</v>
      </c>
      <c r="E402" s="682" t="str">
        <f t="shared" si="21"/>
        <v>O3</v>
      </c>
      <c r="F402" s="683">
        <f t="shared" si="22"/>
        <v>12</v>
      </c>
      <c r="H402" s="13">
        <v>710</v>
      </c>
      <c r="I402" s="13">
        <f>VLOOKUP(VLOOKUP(H402,$A$24:$B$1023,2,FALSE),'Scratch Sheet'!$U$23:$X$32,3,FALSE)</f>
        <v>11</v>
      </c>
      <c r="K402" s="13">
        <f t="shared" si="23"/>
        <v>362</v>
      </c>
      <c r="L402" s="13">
        <f>IFERROR(VLOOKUP(VLOOKUP(K402,$A$24:$B$1023,2,FALSE),'Scratch Sheet'!$U$23:$Y$32,5,FALSE)*VLOOKUP(VLOOKUP(K402,$A$24:$E$1023,5,FALSE),'Scratch Sheet'!$L$22:$M$30,2,FALSE),"")</f>
        <v>13200.000000000002</v>
      </c>
      <c r="N402" s="675">
        <v>191</v>
      </c>
      <c r="O402" s="675" t="str" cm="1">
        <f t="array" ref="O402">IF(OR(INDEX($B$24:$B$1023,N402)="P10",INDEX($B$24:$B$1023,N402)="P11",INDEX($B$24:$B$1023,N402)="P12",INDEX($B$24:$B$1023,N402)="P13"),"C",IF(OR(INDEX($B$24:$B$1023,N402)="P14",INDEX($B$24:$B$1023,N402)="P15",INDEX($B$24:$B$1023,N402)="P16"),"N","O"))&amp;IF(MOD(N402,100)&lt;20,1,IF(MOD(N402,100)&lt;70,2,3))</f>
        <v>N3</v>
      </c>
    </row>
    <row r="403" spans="1:15" ht="16.5" thickBot="1">
      <c r="A403" s="662">
        <v>380</v>
      </c>
      <c r="B403" s="661" t="str" cm="1">
        <f t="array" ref="B403">"P"&amp;INDEX(X!$CL$2:$CL$12,'Scratch Sheet'!H402+1)+9</f>
        <v>P17</v>
      </c>
      <c r="C403" s="661">
        <v>1</v>
      </c>
      <c r="D403" s="755">
        <f t="shared" si="20"/>
        <v>9600</v>
      </c>
      <c r="E403" s="682" t="str">
        <f t="shared" si="21"/>
        <v>O3</v>
      </c>
      <c r="F403" s="683">
        <f t="shared" si="22"/>
        <v>12</v>
      </c>
      <c r="H403" s="13">
        <v>926</v>
      </c>
      <c r="I403" s="13">
        <f>VLOOKUP(VLOOKUP(H403,$A$24:$B$1023,2,FALSE),'Scratch Sheet'!$U$23:$X$32,3,FALSE)</f>
        <v>11</v>
      </c>
      <c r="K403" s="13">
        <f t="shared" si="23"/>
        <v>375</v>
      </c>
      <c r="L403" s="13">
        <f>IFERROR(VLOOKUP(VLOOKUP(K403,$A$24:$B$1023,2,FALSE),'Scratch Sheet'!$U$23:$Y$32,5,FALSE)*VLOOKUP(VLOOKUP(K403,$A$24:$E$1023,5,FALSE),'Scratch Sheet'!$L$22:$M$30,2,FALSE),"")</f>
        <v>3600</v>
      </c>
      <c r="N403" s="675">
        <v>208</v>
      </c>
      <c r="O403" s="675" t="str" cm="1">
        <f t="array" ref="O403">IF(OR(INDEX($B$24:$B$1023,N403)="P10",INDEX($B$24:$B$1023,N403)="P11",INDEX($B$24:$B$1023,N403)="P12",INDEX($B$24:$B$1023,N403)="P13"),"C",IF(OR(INDEX($B$24:$B$1023,N403)="P14",INDEX($B$24:$B$1023,N403)="P15",INDEX($B$24:$B$1023,N403)="P16"),"N","O"))&amp;IF(MOD(N403,100)&lt;20,1,IF(MOD(N403,100)&lt;70,2,3))</f>
        <v>N1</v>
      </c>
    </row>
    <row r="404" spans="1:15" ht="16.5" thickBot="1">
      <c r="A404" s="662">
        <v>381</v>
      </c>
      <c r="B404" s="661" t="str" cm="1">
        <f t="array" ref="B404">"P"&amp;INDEX(X!$CL$2:$CL$12,'Scratch Sheet'!H403+1)+9</f>
        <v>P13</v>
      </c>
      <c r="C404" s="661">
        <v>1</v>
      </c>
      <c r="D404" s="755">
        <f t="shared" si="20"/>
        <v>3600</v>
      </c>
      <c r="E404" s="682" t="str">
        <f t="shared" si="21"/>
        <v>C3</v>
      </c>
      <c r="F404" s="683">
        <f t="shared" si="22"/>
        <v>5</v>
      </c>
      <c r="H404" s="13">
        <v>155</v>
      </c>
      <c r="I404" s="13">
        <f>VLOOKUP(VLOOKUP(H404,$A$24:$B$1023,2,FALSE),'Scratch Sheet'!$U$23:$X$32,3,FALSE)</f>
        <v>3</v>
      </c>
      <c r="K404" s="13">
        <f t="shared" si="23"/>
        <v>378</v>
      </c>
      <c r="L404" s="13">
        <f>IFERROR(VLOOKUP(VLOOKUP(K404,$A$24:$B$1023,2,FALSE),'Scratch Sheet'!$U$23:$Y$32,5,FALSE)*VLOOKUP(VLOOKUP(K404,$A$24:$E$1023,5,FALSE),'Scratch Sheet'!$L$22:$M$30,2,FALSE),"")</f>
        <v>5200</v>
      </c>
      <c r="N404" s="675">
        <v>225</v>
      </c>
      <c r="O404" s="675" t="str" cm="1">
        <f t="array" ref="O404">IF(OR(INDEX($B$24:$B$1023,N404)="P10",INDEX($B$24:$B$1023,N404)="P11",INDEX($B$24:$B$1023,N404)="P12",INDEX($B$24:$B$1023,N404)="P13"),"C",IF(OR(INDEX($B$24:$B$1023,N404)="P14",INDEX($B$24:$B$1023,N404)="P15",INDEX($B$24:$B$1023,N404)="P16"),"N","O"))&amp;IF(MOD(N404,100)&lt;20,1,IF(MOD(N404,100)&lt;70,2,3))</f>
        <v>N2</v>
      </c>
    </row>
    <row r="405" spans="1:15" ht="16.5" thickBot="1">
      <c r="A405" s="662">
        <v>382</v>
      </c>
      <c r="B405" s="661" t="str" cm="1">
        <f t="array" ref="B405">"P"&amp;INDEX(X!$CL$2:$CL$12,'Scratch Sheet'!H404+1)+9</f>
        <v>P11</v>
      </c>
      <c r="C405" s="661">
        <v>1</v>
      </c>
      <c r="D405" s="755">
        <f t="shared" si="20"/>
        <v>8800</v>
      </c>
      <c r="E405" s="682" t="str">
        <f t="shared" si="21"/>
        <v>C3</v>
      </c>
      <c r="F405" s="683">
        <f t="shared" si="22"/>
        <v>11</v>
      </c>
      <c r="H405" s="13">
        <v>575</v>
      </c>
      <c r="I405" s="13">
        <f>VLOOKUP(VLOOKUP(H405,$A$24:$B$1023,2,FALSE),'Scratch Sheet'!$U$23:$X$32,3,FALSE)</f>
        <v>6</v>
      </c>
      <c r="K405" s="13">
        <f t="shared" si="23"/>
        <v>377</v>
      </c>
      <c r="L405" s="13">
        <f>IFERROR(VLOOKUP(VLOOKUP(K405,$A$24:$B$1023,2,FALSE),'Scratch Sheet'!$U$23:$Y$32,5,FALSE)*VLOOKUP(VLOOKUP(K405,$A$24:$E$1023,5,FALSE),'Scratch Sheet'!$L$22:$M$30,2,FALSE),"")</f>
        <v>8800</v>
      </c>
      <c r="N405" s="675">
        <v>242</v>
      </c>
      <c r="O405" s="675" t="str" cm="1">
        <f t="array" ref="O405">IF(OR(INDEX($B$24:$B$1023,N405)="P10",INDEX($B$24:$B$1023,N405)="P11",INDEX($B$24:$B$1023,N405)="P12",INDEX($B$24:$B$1023,N405)="P13"),"C",IF(OR(INDEX($B$24:$B$1023,N405)="P14",INDEX($B$24:$B$1023,N405)="P15",INDEX($B$24:$B$1023,N405)="P16"),"N","O"))&amp;IF(MOD(N405,100)&lt;20,1,IF(MOD(N405,100)&lt;70,2,3))</f>
        <v>N2</v>
      </c>
    </row>
    <row r="406" spans="1:15" ht="16.5" thickBot="1">
      <c r="A406" s="662">
        <v>383</v>
      </c>
      <c r="B406" s="661" t="str" cm="1">
        <f t="array" ref="B406">"P"&amp;INDEX(X!$CL$2:$CL$12,'Scratch Sheet'!H405+1)+9</f>
        <v>P11</v>
      </c>
      <c r="C406" s="661">
        <v>1</v>
      </c>
      <c r="D406" s="755">
        <f t="shared" si="20"/>
        <v>8800</v>
      </c>
      <c r="E406" s="682" t="str">
        <f t="shared" si="21"/>
        <v>C3</v>
      </c>
      <c r="F406" s="683">
        <f t="shared" si="22"/>
        <v>11</v>
      </c>
      <c r="H406" s="13">
        <v>325</v>
      </c>
      <c r="I406" s="13">
        <f>VLOOKUP(VLOOKUP(H406,$A$24:$B$1023,2,FALSE),'Scratch Sheet'!$U$23:$X$32,3,FALSE)</f>
        <v>3</v>
      </c>
      <c r="K406" s="13">
        <f t="shared" si="23"/>
        <v>372</v>
      </c>
      <c r="L406" s="13">
        <f>IFERROR(VLOOKUP(VLOOKUP(K406,$A$24:$B$1023,2,FALSE),'Scratch Sheet'!$U$23:$Y$32,5,FALSE)*VLOOKUP(VLOOKUP(K406,$A$24:$E$1023,5,FALSE),'Scratch Sheet'!$L$22:$M$30,2,FALSE),"")</f>
        <v>7200</v>
      </c>
      <c r="N406" s="675">
        <v>167</v>
      </c>
      <c r="O406" s="675" t="str" cm="1">
        <f t="array" ref="O406">IF(OR(INDEX($B$24:$B$1023,N406)="P10",INDEX($B$24:$B$1023,N406)="P11",INDEX($B$24:$B$1023,N406)="P12",INDEX($B$24:$B$1023,N406)="P13"),"C",IF(OR(INDEX($B$24:$B$1023,N406)="P14",INDEX($B$24:$B$1023,N406)="P15",INDEX($B$24:$B$1023,N406)="P16"),"N","O"))&amp;IF(MOD(N406,100)&lt;20,1,IF(MOD(N406,100)&lt;70,2,3))</f>
        <v>O2</v>
      </c>
    </row>
    <row r="407" spans="1:15" ht="16.5" thickBot="1">
      <c r="A407" s="662">
        <v>384</v>
      </c>
      <c r="B407" s="661" t="str" cm="1">
        <f t="array" ref="B407">"P"&amp;INDEX(X!$CL$2:$CL$12,'Scratch Sheet'!H406+1)+9</f>
        <v>P12</v>
      </c>
      <c r="C407" s="661">
        <v>1</v>
      </c>
      <c r="D407" s="755">
        <f t="shared" si="20"/>
        <v>5460</v>
      </c>
      <c r="E407" s="682" t="str">
        <f t="shared" si="21"/>
        <v>C3</v>
      </c>
      <c r="F407" s="683">
        <f t="shared" si="22"/>
        <v>6.5</v>
      </c>
      <c r="H407" s="13">
        <v>516</v>
      </c>
      <c r="I407" s="13">
        <f>VLOOKUP(VLOOKUP(H407,$A$24:$B$1023,2,FALSE),'Scratch Sheet'!$U$23:$X$32,3,FALSE)</f>
        <v>12</v>
      </c>
      <c r="K407" s="13">
        <f t="shared" si="23"/>
        <v>374</v>
      </c>
      <c r="L407" s="13">
        <f>IFERROR(VLOOKUP(VLOOKUP(K407,$A$24:$B$1023,2,FALSE),'Scratch Sheet'!$U$23:$Y$32,5,FALSE)*VLOOKUP(VLOOKUP(K407,$A$24:$E$1023,5,FALSE),'Scratch Sheet'!$L$22:$M$30,2,FALSE),"")</f>
        <v>3600</v>
      </c>
      <c r="N407" s="675">
        <v>184</v>
      </c>
      <c r="O407" s="675" t="str" cm="1">
        <f t="array" ref="O407">IF(OR(INDEX($B$24:$B$1023,N407)="P10",INDEX($B$24:$B$1023,N407)="P11",INDEX($B$24:$B$1023,N407)="P12",INDEX($B$24:$B$1023,N407)="P13"),"C",IF(OR(INDEX($B$24:$B$1023,N407)="P14",INDEX($B$24:$B$1023,N407)="P15",INDEX($B$24:$B$1023,N407)="P16"),"N","O"))&amp;IF(MOD(N407,100)&lt;20,1,IF(MOD(N407,100)&lt;70,2,3))</f>
        <v>O3</v>
      </c>
    </row>
    <row r="408" spans="1:15" ht="16.5" thickBot="1">
      <c r="A408" s="662">
        <v>385</v>
      </c>
      <c r="B408" s="661" t="str" cm="1">
        <f t="array" ref="B408">"P"&amp;INDEX(X!$CL$2:$CL$12,'Scratch Sheet'!H407+1)+9</f>
        <v>P10</v>
      </c>
      <c r="C408" s="661">
        <v>1</v>
      </c>
      <c r="D408" s="755">
        <f t="shared" si="20"/>
        <v>1920</v>
      </c>
      <c r="E408" s="682" t="str">
        <f t="shared" si="21"/>
        <v>C3</v>
      </c>
      <c r="F408" s="683">
        <f t="shared" si="22"/>
        <v>3</v>
      </c>
      <c r="H408" s="13">
        <v>449</v>
      </c>
      <c r="I408" s="13">
        <f>VLOOKUP(VLOOKUP(H408,$A$24:$B$1023,2,FALSE),'Scratch Sheet'!$U$23:$X$32,3,FALSE)</f>
        <v>5</v>
      </c>
      <c r="K408" s="13">
        <f t="shared" si="23"/>
        <v>373</v>
      </c>
      <c r="L408" s="13">
        <f>IFERROR(VLOOKUP(VLOOKUP(K408,$A$24:$B$1023,2,FALSE),'Scratch Sheet'!$U$23:$Y$32,5,FALSE)*VLOOKUP(VLOOKUP(K408,$A$24:$E$1023,5,FALSE),'Scratch Sheet'!$L$22:$M$30,2,FALSE),"")</f>
        <v>1920</v>
      </c>
      <c r="N408" s="675">
        <v>201</v>
      </c>
      <c r="O408" s="675" t="str" cm="1">
        <f t="array" ref="O408">IF(OR(INDEX($B$24:$B$1023,N408)="P10",INDEX($B$24:$B$1023,N408)="P11",INDEX($B$24:$B$1023,N408)="P12",INDEX($B$24:$B$1023,N408)="P13"),"C",IF(OR(INDEX($B$24:$B$1023,N408)="P14",INDEX($B$24:$B$1023,N408)="P15",INDEX($B$24:$B$1023,N408)="P16"),"N","O"))&amp;IF(MOD(N408,100)&lt;20,1,IF(MOD(N408,100)&lt;70,2,3))</f>
        <v>O1</v>
      </c>
    </row>
    <row r="409" spans="1:15" ht="16.5" thickBot="1">
      <c r="A409" s="662">
        <v>386</v>
      </c>
      <c r="B409" s="661" t="str" cm="1">
        <f t="array" ref="B409">"P"&amp;INDEX(X!$CL$2:$CL$12,'Scratch Sheet'!H408+1)+9</f>
        <v>P10</v>
      </c>
      <c r="C409" s="661">
        <v>1</v>
      </c>
      <c r="D409" s="755">
        <f t="shared" ref="D409:D472" si="24">SUMIF($K$24:$K$1053, $A409, $L$24:$L$1053)</f>
        <v>1920</v>
      </c>
      <c r="E409" s="682" t="str">
        <f t="shared" ref="E409:E472" si="25">INDEX($O$24:$O$1023,MATCH($A409,$N$24:$N$1023,0))</f>
        <v>C3</v>
      </c>
      <c r="F409" s="683">
        <f t="shared" ref="F409:F472" si="26">VLOOKUP(A409, $H$24:$I$1023, 2, FALSE)</f>
        <v>3</v>
      </c>
      <c r="H409" s="13">
        <v>356</v>
      </c>
      <c r="I409" s="13">
        <f>VLOOKUP(VLOOKUP(H409,$A$24:$B$1023,2,FALSE),'Scratch Sheet'!$U$23:$X$32,3,FALSE)</f>
        <v>3</v>
      </c>
      <c r="K409" s="13">
        <f t="shared" si="23"/>
        <v>376</v>
      </c>
      <c r="L409" s="13">
        <f>IFERROR(VLOOKUP(VLOOKUP(K409,$A$24:$B$1023,2,FALSE),'Scratch Sheet'!$U$23:$Y$32,5,FALSE)*VLOOKUP(VLOOKUP(K409,$A$24:$E$1023,5,FALSE),'Scratch Sheet'!$L$22:$M$30,2,FALSE),"")</f>
        <v>1920</v>
      </c>
      <c r="N409" s="675">
        <v>218</v>
      </c>
      <c r="O409" s="675" t="str" cm="1">
        <f t="array" ref="O409">IF(OR(INDEX($B$24:$B$1023,N409)="P10",INDEX($B$24:$B$1023,N409)="P11",INDEX($B$24:$B$1023,N409)="P12",INDEX($B$24:$B$1023,N409)="P13"),"C",IF(OR(INDEX($B$24:$B$1023,N409)="P14",INDEX($B$24:$B$1023,N409)="P15",INDEX($B$24:$B$1023,N409)="P16"),"N","O"))&amp;IF(MOD(N409,100)&lt;20,1,IF(MOD(N409,100)&lt;70,2,3))</f>
        <v>O1</v>
      </c>
    </row>
    <row r="410" spans="1:15" ht="16.5" thickBot="1">
      <c r="A410" s="662">
        <v>387</v>
      </c>
      <c r="B410" s="661" t="str" cm="1">
        <f t="array" ref="B410">"P"&amp;INDEX(X!$CL$2:$CL$12,'Scratch Sheet'!H409+1)+9</f>
        <v>P11</v>
      </c>
      <c r="C410" s="661">
        <v>1</v>
      </c>
      <c r="D410" s="755">
        <f t="shared" si="24"/>
        <v>8800</v>
      </c>
      <c r="E410" s="682" t="str">
        <f t="shared" si="25"/>
        <v>C3</v>
      </c>
      <c r="F410" s="683">
        <f t="shared" si="26"/>
        <v>11</v>
      </c>
      <c r="H410" s="13">
        <v>312</v>
      </c>
      <c r="I410" s="13">
        <f>VLOOKUP(VLOOKUP(H410,$A$24:$B$1023,2,FALSE),'Scratch Sheet'!$U$23:$X$32,3,FALSE)</f>
        <v>12</v>
      </c>
      <c r="K410" s="13">
        <f t="shared" si="23"/>
        <v>371</v>
      </c>
      <c r="L410" s="13">
        <f>IFERROR(VLOOKUP(VLOOKUP(K410,$A$24:$B$1023,2,FALSE),'Scratch Sheet'!$U$23:$Y$32,5,FALSE)*VLOOKUP(VLOOKUP(K410,$A$24:$E$1023,5,FALSE),'Scratch Sheet'!$L$22:$M$30,2,FALSE),"")</f>
        <v>4320</v>
      </c>
      <c r="N410" s="675">
        <v>235</v>
      </c>
      <c r="O410" s="675" t="str" cm="1">
        <f t="array" ref="O410">IF(OR(INDEX($B$24:$B$1023,N410)="P10",INDEX($B$24:$B$1023,N410)="P11",INDEX($B$24:$B$1023,N410)="P12",INDEX($B$24:$B$1023,N410)="P13"),"C",IF(OR(INDEX($B$24:$B$1023,N410)="P14",INDEX($B$24:$B$1023,N410)="P15",INDEX($B$24:$B$1023,N410)="P16"),"N","O"))&amp;IF(MOD(N410,100)&lt;20,1,IF(MOD(N410,100)&lt;70,2,3))</f>
        <v>O2</v>
      </c>
    </row>
    <row r="411" spans="1:15" ht="16.5" thickBot="1">
      <c r="A411" s="662">
        <v>388</v>
      </c>
      <c r="B411" s="661" t="str" cm="1">
        <f t="array" ref="B411">"P"&amp;INDEX(X!$CL$2:$CL$12,'Scratch Sheet'!H410+1)+9</f>
        <v>P18</v>
      </c>
      <c r="C411" s="661">
        <v>1</v>
      </c>
      <c r="D411" s="755">
        <f t="shared" si="24"/>
        <v>4320</v>
      </c>
      <c r="E411" s="682" t="str">
        <f t="shared" si="25"/>
        <v>O3</v>
      </c>
      <c r="F411" s="683">
        <f t="shared" si="26"/>
        <v>6</v>
      </c>
      <c r="H411" s="13">
        <v>888</v>
      </c>
      <c r="I411" s="13">
        <f>VLOOKUP(VLOOKUP(H411,$A$24:$B$1023,2,FALSE),'Scratch Sheet'!$U$23:$X$32,3,FALSE)</f>
        <v>4</v>
      </c>
      <c r="K411" s="13">
        <f t="shared" si="23"/>
        <v>382</v>
      </c>
      <c r="L411" s="13">
        <f>IFERROR(VLOOKUP(VLOOKUP(K411,$A$24:$B$1023,2,FALSE),'Scratch Sheet'!$U$23:$Y$32,5,FALSE)*VLOOKUP(VLOOKUP(K411,$A$24:$E$1023,5,FALSE),'Scratch Sheet'!$L$22:$M$30,2,FALSE),"")</f>
        <v>8800</v>
      </c>
      <c r="N411" s="675">
        <v>252</v>
      </c>
      <c r="O411" s="675" t="str" cm="1">
        <f t="array" ref="O411">IF(OR(INDEX($B$24:$B$1023,N411)="P10",INDEX($B$24:$B$1023,N411)="P11",INDEX($B$24:$B$1023,N411)="P12",INDEX($B$24:$B$1023,N411)="P13"),"C",IF(OR(INDEX($B$24:$B$1023,N411)="P14",INDEX($B$24:$B$1023,N411)="P15",INDEX($B$24:$B$1023,N411)="P16"),"N","O"))&amp;IF(MOD(N411,100)&lt;20,1,IF(MOD(N411,100)&lt;70,2,3))</f>
        <v>O2</v>
      </c>
    </row>
    <row r="412" spans="1:15" ht="16.5" thickBot="1">
      <c r="A412" s="662">
        <v>389</v>
      </c>
      <c r="B412" s="661" t="str" cm="1">
        <f t="array" ref="B412">"P"&amp;INDEX(X!$CL$2:$CL$12,'Scratch Sheet'!H411+1)+9</f>
        <v>P14</v>
      </c>
      <c r="C412" s="661">
        <v>1</v>
      </c>
      <c r="D412" s="755">
        <f t="shared" si="24"/>
        <v>7200</v>
      </c>
      <c r="E412" s="682" t="str">
        <f t="shared" si="25"/>
        <v>N3</v>
      </c>
      <c r="F412" s="683">
        <f t="shared" si="26"/>
        <v>8</v>
      </c>
      <c r="H412" s="13">
        <v>245</v>
      </c>
      <c r="I412" s="13">
        <f>VLOOKUP(VLOOKUP(H412,$A$24:$B$1023,2,FALSE),'Scratch Sheet'!$U$23:$X$32,3,FALSE)</f>
        <v>5</v>
      </c>
      <c r="K412" s="13">
        <f t="shared" si="23"/>
        <v>385</v>
      </c>
      <c r="L412" s="13">
        <f>IFERROR(VLOOKUP(VLOOKUP(K412,$A$24:$B$1023,2,FALSE),'Scratch Sheet'!$U$23:$Y$32,5,FALSE)*VLOOKUP(VLOOKUP(K412,$A$24:$E$1023,5,FALSE),'Scratch Sheet'!$L$22:$M$30,2,FALSE),"")</f>
        <v>1920</v>
      </c>
      <c r="N412" s="675">
        <v>259</v>
      </c>
      <c r="O412" s="675" t="str" cm="1">
        <f t="array" ref="O412">IF(OR(INDEX($B$24:$B$1023,N412)="P10",INDEX($B$24:$B$1023,N412)="P11",INDEX($B$24:$B$1023,N412)="P12",INDEX($B$24:$B$1023,N412)="P13"),"C",IF(OR(INDEX($B$24:$B$1023,N412)="P14",INDEX($B$24:$B$1023,N412)="P15",INDEX($B$24:$B$1023,N412)="P16"),"N","O"))&amp;IF(MOD(N412,100)&lt;20,1,IF(MOD(N412,100)&lt;70,2,3))</f>
        <v>N2</v>
      </c>
    </row>
    <row r="413" spans="1:15" ht="16.5" thickBot="1">
      <c r="A413" s="662">
        <v>390</v>
      </c>
      <c r="B413" s="661" t="str" cm="1">
        <f t="array" ref="B413">"P"&amp;INDEX(X!$CL$2:$CL$12,'Scratch Sheet'!H412+1)+9</f>
        <v>P10</v>
      </c>
      <c r="C413" s="661">
        <v>1</v>
      </c>
      <c r="D413" s="755">
        <f t="shared" si="24"/>
        <v>1920</v>
      </c>
      <c r="E413" s="682" t="str">
        <f t="shared" si="25"/>
        <v>C3</v>
      </c>
      <c r="F413" s="683">
        <f t="shared" si="26"/>
        <v>3</v>
      </c>
      <c r="H413" s="13">
        <v>600</v>
      </c>
      <c r="I413" s="13">
        <f>VLOOKUP(VLOOKUP(H413,$A$24:$B$1023,2,FALSE),'Scratch Sheet'!$U$23:$X$32,3,FALSE)</f>
        <v>12</v>
      </c>
      <c r="K413" s="13">
        <f t="shared" si="23"/>
        <v>384</v>
      </c>
      <c r="L413" s="13">
        <f>IFERROR(VLOOKUP(VLOOKUP(K413,$A$24:$B$1023,2,FALSE),'Scratch Sheet'!$U$23:$Y$32,5,FALSE)*VLOOKUP(VLOOKUP(K413,$A$24:$E$1023,5,FALSE),'Scratch Sheet'!$L$22:$M$30,2,FALSE),"")</f>
        <v>5460</v>
      </c>
      <c r="N413" s="675">
        <v>269</v>
      </c>
      <c r="O413" s="675" t="str" cm="1">
        <f t="array" ref="O413">IF(OR(INDEX($B$24:$B$1023,N413)="P10",INDEX($B$24:$B$1023,N413)="P11",INDEX($B$24:$B$1023,N413)="P12",INDEX($B$24:$B$1023,N413)="P13"),"C",IF(OR(INDEX($B$24:$B$1023,N413)="P14",INDEX($B$24:$B$1023,N413)="P15",INDEX($B$24:$B$1023,N413)="P16"),"N","O"))&amp;IF(MOD(N413,100)&lt;20,1,IF(MOD(N413,100)&lt;70,2,3))</f>
        <v>O2</v>
      </c>
    </row>
    <row r="414" spans="1:15" ht="16.5" thickBot="1">
      <c r="A414" s="662">
        <v>391</v>
      </c>
      <c r="B414" s="661" t="str" cm="1">
        <f t="array" ref="B414">"P"&amp;INDEX(X!$CL$2:$CL$12,'Scratch Sheet'!H413+1)+9</f>
        <v>P13</v>
      </c>
      <c r="C414" s="661">
        <v>1</v>
      </c>
      <c r="D414" s="755">
        <f t="shared" si="24"/>
        <v>3600</v>
      </c>
      <c r="E414" s="682" t="str">
        <f t="shared" si="25"/>
        <v>C3</v>
      </c>
      <c r="F414" s="683">
        <f t="shared" si="26"/>
        <v>5</v>
      </c>
      <c r="H414" s="13">
        <v>669</v>
      </c>
      <c r="I414" s="13">
        <f>VLOOKUP(VLOOKUP(H414,$A$24:$B$1023,2,FALSE),'Scratch Sheet'!$U$23:$X$32,3,FALSE)</f>
        <v>12</v>
      </c>
      <c r="K414" s="13">
        <f t="shared" si="23"/>
        <v>379</v>
      </c>
      <c r="L414" s="13">
        <f>IFERROR(VLOOKUP(VLOOKUP(K414,$A$24:$B$1023,2,FALSE),'Scratch Sheet'!$U$23:$Y$32,5,FALSE)*VLOOKUP(VLOOKUP(K414,$A$24:$E$1023,5,FALSE),'Scratch Sheet'!$L$22:$M$30,2,FALSE),"")</f>
        <v>9600</v>
      </c>
      <c r="N414" s="675">
        <v>276</v>
      </c>
      <c r="O414" s="675" t="str" cm="1">
        <f t="array" ref="O414">IF(OR(INDEX($B$24:$B$1023,N414)="P10",INDEX($B$24:$B$1023,N414)="P11",INDEX($B$24:$B$1023,N414)="P12",INDEX($B$24:$B$1023,N414)="P13"),"C",IF(OR(INDEX($B$24:$B$1023,N414)="P14",INDEX($B$24:$B$1023,N414)="P15",INDEX($B$24:$B$1023,N414)="P16"),"N","O"))&amp;IF(MOD(N414,100)&lt;20,1,IF(MOD(N414,100)&lt;70,2,3))</f>
        <v>N3</v>
      </c>
    </row>
    <row r="415" spans="1:15" ht="16.5" thickBot="1">
      <c r="A415" s="662">
        <v>392</v>
      </c>
      <c r="B415" s="661" t="str" cm="1">
        <f t="array" ref="B415">"P"&amp;INDEX(X!$CL$2:$CL$12,'Scratch Sheet'!H414+1)+9</f>
        <v>P13</v>
      </c>
      <c r="C415" s="661">
        <v>1</v>
      </c>
      <c r="D415" s="755">
        <f t="shared" si="24"/>
        <v>3600</v>
      </c>
      <c r="E415" s="682" t="str">
        <f t="shared" si="25"/>
        <v>C3</v>
      </c>
      <c r="F415" s="683">
        <f t="shared" si="26"/>
        <v>5</v>
      </c>
      <c r="H415" s="13">
        <v>908</v>
      </c>
      <c r="I415" s="13">
        <f>VLOOKUP(VLOOKUP(H415,$A$24:$B$1023,2,FALSE),'Scratch Sheet'!$U$23:$X$32,3,FALSE)</f>
        <v>5</v>
      </c>
      <c r="K415" s="13">
        <f t="shared" si="23"/>
        <v>381</v>
      </c>
      <c r="L415" s="13">
        <f>IFERROR(VLOOKUP(VLOOKUP(K415,$A$24:$B$1023,2,FALSE),'Scratch Sheet'!$U$23:$Y$32,5,FALSE)*VLOOKUP(VLOOKUP(K415,$A$24:$E$1023,5,FALSE),'Scratch Sheet'!$L$22:$M$30,2,FALSE),"")</f>
        <v>3600</v>
      </c>
      <c r="N415" s="675">
        <v>286</v>
      </c>
      <c r="O415" s="675" t="str" cm="1">
        <f t="array" ref="O415">IF(OR(INDEX($B$24:$B$1023,N415)="P10",INDEX($B$24:$B$1023,N415)="P11",INDEX($B$24:$B$1023,N415)="P12",INDEX($B$24:$B$1023,N415)="P13"),"C",IF(OR(INDEX($B$24:$B$1023,N415)="P14",INDEX($B$24:$B$1023,N415)="P15",INDEX($B$24:$B$1023,N415)="P16"),"N","O"))&amp;IF(MOD(N415,100)&lt;20,1,IF(MOD(N415,100)&lt;70,2,3))</f>
        <v>O3</v>
      </c>
    </row>
    <row r="416" spans="1:15" ht="16.5" thickBot="1">
      <c r="A416" s="662">
        <v>393</v>
      </c>
      <c r="B416" s="661" t="str" cm="1">
        <f t="array" ref="B416">"P"&amp;INDEX(X!$CL$2:$CL$12,'Scratch Sheet'!H415+1)+9</f>
        <v>P10</v>
      </c>
      <c r="C416" s="661">
        <v>1</v>
      </c>
      <c r="D416" s="755">
        <f t="shared" si="24"/>
        <v>1920</v>
      </c>
      <c r="E416" s="682" t="str">
        <f t="shared" si="25"/>
        <v>C3</v>
      </c>
      <c r="F416" s="683">
        <f t="shared" si="26"/>
        <v>3</v>
      </c>
      <c r="H416" s="13">
        <v>413</v>
      </c>
      <c r="I416" s="13">
        <f>VLOOKUP(VLOOKUP(H416,$A$24:$B$1023,2,FALSE),'Scratch Sheet'!$U$23:$X$32,3,FALSE)</f>
        <v>12</v>
      </c>
      <c r="K416" s="13">
        <f t="shared" si="23"/>
        <v>380</v>
      </c>
      <c r="L416" s="13">
        <f>IFERROR(VLOOKUP(VLOOKUP(K416,$A$24:$B$1023,2,FALSE),'Scratch Sheet'!$U$23:$Y$32,5,FALSE)*VLOOKUP(VLOOKUP(K416,$A$24:$E$1023,5,FALSE),'Scratch Sheet'!$L$22:$M$30,2,FALSE),"")</f>
        <v>9600</v>
      </c>
      <c r="N416" s="675">
        <v>293</v>
      </c>
      <c r="O416" s="675" t="str" cm="1">
        <f t="array" ref="O416">IF(OR(INDEX($B$24:$B$1023,N416)="P10",INDEX($B$24:$B$1023,N416)="P11",INDEX($B$24:$B$1023,N416)="P12",INDEX($B$24:$B$1023,N416)="P13"),"C",IF(OR(INDEX($B$24:$B$1023,N416)="P14",INDEX($B$24:$B$1023,N416)="P15",INDEX($B$24:$B$1023,N416)="P16"),"N","O"))&amp;IF(MOD(N416,100)&lt;20,1,IF(MOD(N416,100)&lt;70,2,3))</f>
        <v>N3</v>
      </c>
    </row>
    <row r="417" spans="1:15" ht="16.5" thickBot="1">
      <c r="A417" s="662">
        <v>394</v>
      </c>
      <c r="B417" s="661" t="str" cm="1">
        <f t="array" ref="B417">"P"&amp;INDEX(X!$CL$2:$CL$12,'Scratch Sheet'!H416+1)+9</f>
        <v>P11</v>
      </c>
      <c r="C417" s="661">
        <v>1</v>
      </c>
      <c r="D417" s="755">
        <f t="shared" si="24"/>
        <v>17600</v>
      </c>
      <c r="E417" s="682" t="str">
        <f t="shared" si="25"/>
        <v>C3</v>
      </c>
      <c r="F417" s="683">
        <f t="shared" si="26"/>
        <v>11</v>
      </c>
      <c r="H417" s="13">
        <v>87</v>
      </c>
      <c r="I417" s="13">
        <f>VLOOKUP(VLOOKUP(H417,$A$24:$B$1023,2,FALSE),'Scratch Sheet'!$U$23:$X$32,3,FALSE)</f>
        <v>3</v>
      </c>
      <c r="K417" s="13">
        <f t="shared" si="23"/>
        <v>383</v>
      </c>
      <c r="L417" s="13">
        <f>IFERROR(VLOOKUP(VLOOKUP(K417,$A$24:$B$1023,2,FALSE),'Scratch Sheet'!$U$23:$Y$32,5,FALSE)*VLOOKUP(VLOOKUP(K417,$A$24:$E$1023,5,FALSE),'Scratch Sheet'!$L$22:$M$30,2,FALSE),"")</f>
        <v>8800</v>
      </c>
      <c r="N417" s="675">
        <v>303</v>
      </c>
      <c r="O417" s="675" t="str" cm="1">
        <f t="array" ref="O417">IF(OR(INDEX($B$24:$B$1023,N417)="P10",INDEX($B$24:$B$1023,N417)="P11",INDEX($B$24:$B$1023,N417)="P12",INDEX($B$24:$B$1023,N417)="P13"),"C",IF(OR(INDEX($B$24:$B$1023,N417)="P14",INDEX($B$24:$B$1023,N417)="P15",INDEX($B$24:$B$1023,N417)="P16"),"N","O"))&amp;IF(MOD(N417,100)&lt;20,1,IF(MOD(N417,100)&lt;70,2,3))</f>
        <v>O1</v>
      </c>
    </row>
    <row r="418" spans="1:15" ht="16.5" thickBot="1">
      <c r="A418" s="662">
        <v>395</v>
      </c>
      <c r="B418" s="661" t="str" cm="1">
        <f t="array" ref="B418">"P"&amp;INDEX(X!$CL$2:$CL$12,'Scratch Sheet'!H417+1)+9</f>
        <v>P16</v>
      </c>
      <c r="C418" s="661">
        <v>1</v>
      </c>
      <c r="D418" s="755">
        <f t="shared" si="24"/>
        <v>5200</v>
      </c>
      <c r="E418" s="682" t="str">
        <f t="shared" si="25"/>
        <v>N3</v>
      </c>
      <c r="F418" s="683">
        <f t="shared" si="26"/>
        <v>4</v>
      </c>
      <c r="H418" s="13">
        <v>807</v>
      </c>
      <c r="I418" s="13">
        <f>VLOOKUP(VLOOKUP(H418,$A$24:$B$1023,2,FALSE),'Scratch Sheet'!$U$23:$X$32,3,FALSE)</f>
        <v>11</v>
      </c>
      <c r="K418" s="13">
        <f t="shared" si="23"/>
        <v>389</v>
      </c>
      <c r="L418" s="13">
        <f>IFERROR(VLOOKUP(VLOOKUP(K418,$A$24:$B$1023,2,FALSE),'Scratch Sheet'!$U$23:$Y$32,5,FALSE)*VLOOKUP(VLOOKUP(K418,$A$24:$E$1023,5,FALSE),'Scratch Sheet'!$L$22:$M$30,2,FALSE),"")</f>
        <v>7200</v>
      </c>
      <c r="N418" s="675">
        <v>310</v>
      </c>
      <c r="O418" s="675" t="str" cm="1">
        <f t="array" ref="O418">IF(OR(INDEX($B$24:$B$1023,N418)="P10",INDEX($B$24:$B$1023,N418)="P11",INDEX($B$24:$B$1023,N418)="P12",INDEX($B$24:$B$1023,N418)="P13"),"C",IF(OR(INDEX($B$24:$B$1023,N418)="P14",INDEX($B$24:$B$1023,N418)="P15",INDEX($B$24:$B$1023,N418)="P16"),"N","O"))&amp;IF(MOD(N418,100)&lt;20,1,IF(MOD(N418,100)&lt;70,2,3))</f>
        <v>N1</v>
      </c>
    </row>
    <row r="419" spans="1:15" ht="16.5" thickBot="1">
      <c r="A419" s="662">
        <v>396</v>
      </c>
      <c r="B419" s="661" t="str" cm="1">
        <f t="array" ref="B419">"P"&amp;INDEX(X!$CL$2:$CL$12,'Scratch Sheet'!H418+1)+9</f>
        <v>P17</v>
      </c>
      <c r="C419" s="661">
        <v>1</v>
      </c>
      <c r="D419" s="755">
        <f t="shared" si="24"/>
        <v>9600</v>
      </c>
      <c r="E419" s="682" t="str">
        <f t="shared" si="25"/>
        <v>O3</v>
      </c>
      <c r="F419" s="683">
        <f t="shared" si="26"/>
        <v>12</v>
      </c>
      <c r="H419" s="13">
        <v>5</v>
      </c>
      <c r="I419" s="13">
        <f>VLOOKUP(VLOOKUP(H419,$A$24:$B$1023,2,FALSE),'Scratch Sheet'!$U$23:$X$32,3,FALSE)</f>
        <v>5</v>
      </c>
      <c r="K419" s="13">
        <f t="shared" si="23"/>
        <v>391</v>
      </c>
      <c r="L419" s="13">
        <f>IFERROR(VLOOKUP(VLOOKUP(K419,$A$24:$B$1023,2,FALSE),'Scratch Sheet'!$U$23:$Y$32,5,FALSE)*VLOOKUP(VLOOKUP(K419,$A$24:$E$1023,5,FALSE),'Scratch Sheet'!$L$22:$M$30,2,FALSE),"")</f>
        <v>3600</v>
      </c>
      <c r="N419" s="675">
        <v>320</v>
      </c>
      <c r="O419" s="675" t="str" cm="1">
        <f t="array" ref="O419">IF(OR(INDEX($B$24:$B$1023,N419)="P10",INDEX($B$24:$B$1023,N419)="P11",INDEX($B$24:$B$1023,N419)="P12",INDEX($B$24:$B$1023,N419)="P13"),"C",IF(OR(INDEX($B$24:$B$1023,N419)="P14",INDEX($B$24:$B$1023,N419)="P15",INDEX($B$24:$B$1023,N419)="P16"),"N","O"))&amp;IF(MOD(N419,100)&lt;20,1,IF(MOD(N419,100)&lt;70,2,3))</f>
        <v>O2</v>
      </c>
    </row>
    <row r="420" spans="1:15" ht="16.5" thickBot="1">
      <c r="A420" s="662">
        <v>397</v>
      </c>
      <c r="B420" s="661" t="str" cm="1">
        <f t="array" ref="B420">"P"&amp;INDEX(X!$CL$2:$CL$12,'Scratch Sheet'!H419+1)+9</f>
        <v>P17</v>
      </c>
      <c r="C420" s="661">
        <v>1</v>
      </c>
      <c r="D420" s="755">
        <f t="shared" si="24"/>
        <v>9600</v>
      </c>
      <c r="E420" s="682" t="str">
        <f t="shared" si="25"/>
        <v>O3</v>
      </c>
      <c r="F420" s="683">
        <f t="shared" si="26"/>
        <v>12</v>
      </c>
      <c r="H420" s="13">
        <v>13</v>
      </c>
      <c r="I420" s="13">
        <f>VLOOKUP(VLOOKUP(H420,$A$24:$B$1023,2,FALSE),'Scratch Sheet'!$U$23:$X$32,3,FALSE)</f>
        <v>11</v>
      </c>
      <c r="K420" s="13">
        <f t="shared" si="23"/>
        <v>390</v>
      </c>
      <c r="L420" s="13">
        <f>IFERROR(VLOOKUP(VLOOKUP(K420,$A$24:$B$1023,2,FALSE),'Scratch Sheet'!$U$23:$Y$32,5,FALSE)*VLOOKUP(VLOOKUP(K420,$A$24:$E$1023,5,FALSE),'Scratch Sheet'!$L$22:$M$30,2,FALSE),"")</f>
        <v>1920</v>
      </c>
      <c r="N420" s="675">
        <v>327</v>
      </c>
      <c r="O420" s="675" t="str" cm="1">
        <f t="array" ref="O420">IF(OR(INDEX($B$24:$B$1023,N420)="P10",INDEX($B$24:$B$1023,N420)="P11",INDEX($B$24:$B$1023,N420)="P12",INDEX($B$24:$B$1023,N420)="P13"),"C",IF(OR(INDEX($B$24:$B$1023,N420)="P14",INDEX($B$24:$B$1023,N420)="P15",INDEX($B$24:$B$1023,N420)="P16"),"N","O"))&amp;IF(MOD(N420,100)&lt;20,1,IF(MOD(N420,100)&lt;70,2,3))</f>
        <v>N2</v>
      </c>
    </row>
    <row r="421" spans="1:15" ht="16.5" thickBot="1">
      <c r="A421" s="662">
        <v>398</v>
      </c>
      <c r="B421" s="661" t="str" cm="1">
        <f t="array" ref="B421">"P"&amp;INDEX(X!$CL$2:$CL$12,'Scratch Sheet'!H420+1)+9</f>
        <v>P13</v>
      </c>
      <c r="C421" s="661">
        <v>1</v>
      </c>
      <c r="D421" s="755">
        <f t="shared" si="24"/>
        <v>3600</v>
      </c>
      <c r="E421" s="682" t="str">
        <f t="shared" si="25"/>
        <v>C3</v>
      </c>
      <c r="F421" s="683">
        <f t="shared" si="26"/>
        <v>5</v>
      </c>
      <c r="H421" s="13">
        <v>626</v>
      </c>
      <c r="I421" s="13">
        <f>VLOOKUP(VLOOKUP(H421,$A$24:$B$1023,2,FALSE),'Scratch Sheet'!$U$23:$X$32,3,FALSE)</f>
        <v>6</v>
      </c>
      <c r="K421" s="13">
        <f t="shared" si="23"/>
        <v>386</v>
      </c>
      <c r="L421" s="13">
        <f>IFERROR(VLOOKUP(VLOOKUP(K421,$A$24:$B$1023,2,FALSE),'Scratch Sheet'!$U$23:$Y$32,5,FALSE)*VLOOKUP(VLOOKUP(K421,$A$24:$E$1023,5,FALSE),'Scratch Sheet'!$L$22:$M$30,2,FALSE),"")</f>
        <v>1920</v>
      </c>
      <c r="N421" s="675">
        <v>337</v>
      </c>
      <c r="O421" s="675" t="str" cm="1">
        <f t="array" ref="O421">IF(OR(INDEX($B$24:$B$1023,N421)="P10",INDEX($B$24:$B$1023,N421)="P11",INDEX($B$24:$B$1023,N421)="P12",INDEX($B$24:$B$1023,N421)="P13"),"C",IF(OR(INDEX($B$24:$B$1023,N421)="P14",INDEX($B$24:$B$1023,N421)="P15",INDEX($B$24:$B$1023,N421)="P16"),"N","O"))&amp;IF(MOD(N421,100)&lt;20,1,IF(MOD(N421,100)&lt;70,2,3))</f>
        <v>O2</v>
      </c>
    </row>
    <row r="422" spans="1:15" ht="16.5" thickBot="1">
      <c r="A422" s="662">
        <v>399</v>
      </c>
      <c r="B422" s="661" t="str" cm="1">
        <f t="array" ref="B422">"P"&amp;INDEX(X!$CL$2:$CL$12,'Scratch Sheet'!H421+1)+9</f>
        <v>P11</v>
      </c>
      <c r="C422" s="661">
        <v>1</v>
      </c>
      <c r="D422" s="755">
        <f t="shared" si="24"/>
        <v>8800</v>
      </c>
      <c r="E422" s="682" t="str">
        <f t="shared" si="25"/>
        <v>C3</v>
      </c>
      <c r="F422" s="683">
        <f t="shared" si="26"/>
        <v>11</v>
      </c>
      <c r="H422" s="13">
        <v>110</v>
      </c>
      <c r="I422" s="13">
        <f>VLOOKUP(VLOOKUP(H422,$A$24:$B$1023,2,FALSE),'Scratch Sheet'!$U$23:$X$32,3,FALSE)</f>
        <v>11</v>
      </c>
      <c r="K422" s="13">
        <f t="shared" si="23"/>
        <v>388</v>
      </c>
      <c r="L422" s="13">
        <f>IFERROR(VLOOKUP(VLOOKUP(K422,$A$24:$B$1023,2,FALSE),'Scratch Sheet'!$U$23:$Y$32,5,FALSE)*VLOOKUP(VLOOKUP(K422,$A$24:$E$1023,5,FALSE),'Scratch Sheet'!$L$22:$M$30,2,FALSE),"")</f>
        <v>4320</v>
      </c>
      <c r="N422" s="675">
        <v>344</v>
      </c>
      <c r="O422" s="675" t="str" cm="1">
        <f t="array" ref="O422">IF(OR(INDEX($B$24:$B$1023,N422)="P10",INDEX($B$24:$B$1023,N422)="P11",INDEX($B$24:$B$1023,N422)="P12",INDEX($B$24:$B$1023,N422)="P13"),"C",IF(OR(INDEX($B$24:$B$1023,N422)="P14",INDEX($B$24:$B$1023,N422)="P15",INDEX($B$24:$B$1023,N422)="P16"),"N","O"))&amp;IF(MOD(N422,100)&lt;20,1,IF(MOD(N422,100)&lt;70,2,3))</f>
        <v>N2</v>
      </c>
    </row>
    <row r="423" spans="1:15" ht="16.5" thickBot="1">
      <c r="A423" s="662">
        <v>400</v>
      </c>
      <c r="B423" s="661" t="str" cm="1">
        <f t="array" ref="B423">"P"&amp;INDEX(X!$CL$2:$CL$12,'Scratch Sheet'!H422+1)+9</f>
        <v>P11</v>
      </c>
      <c r="C423" s="661">
        <v>1</v>
      </c>
      <c r="D423" s="755">
        <f t="shared" si="24"/>
        <v>13200</v>
      </c>
      <c r="E423" s="682" t="str">
        <f t="shared" si="25"/>
        <v>C1</v>
      </c>
      <c r="F423" s="683">
        <f t="shared" si="26"/>
        <v>11</v>
      </c>
      <c r="H423" s="13">
        <v>762</v>
      </c>
      <c r="I423" s="13">
        <f>VLOOKUP(VLOOKUP(H423,$A$24:$B$1023,2,FALSE),'Scratch Sheet'!$U$23:$X$32,3,FALSE)</f>
        <v>6</v>
      </c>
      <c r="K423" s="13">
        <f t="shared" si="23"/>
        <v>387</v>
      </c>
      <c r="L423" s="13">
        <f>IFERROR(VLOOKUP(VLOOKUP(K423,$A$24:$B$1023,2,FALSE),'Scratch Sheet'!$U$23:$Y$32,5,FALSE)*VLOOKUP(VLOOKUP(K423,$A$24:$E$1023,5,FALSE),'Scratch Sheet'!$L$22:$M$30,2,FALSE),"")</f>
        <v>8800</v>
      </c>
      <c r="N423" s="675">
        <v>354</v>
      </c>
      <c r="O423" s="675" t="str" cm="1">
        <f t="array" ref="O423">IF(OR(INDEX($B$24:$B$1023,N423)="P10",INDEX($B$24:$B$1023,N423)="P11",INDEX($B$24:$B$1023,N423)="P12",INDEX($B$24:$B$1023,N423)="P13"),"C",IF(OR(INDEX($B$24:$B$1023,N423)="P14",INDEX($B$24:$B$1023,N423)="P15",INDEX($B$24:$B$1023,N423)="P16"),"N","O"))&amp;IF(MOD(N423,100)&lt;20,1,IF(MOD(N423,100)&lt;70,2,3))</f>
        <v>O2</v>
      </c>
    </row>
    <row r="424" spans="1:15" ht="16.5" thickBot="1">
      <c r="A424" s="662">
        <v>401</v>
      </c>
      <c r="B424" s="661" t="str" cm="1">
        <f t="array" ref="B424">"P"&amp;INDEX(X!$CL$2:$CL$12,'Scratch Sheet'!H423+1)+9</f>
        <v>P12</v>
      </c>
      <c r="C424" s="661">
        <v>1</v>
      </c>
      <c r="D424" s="755">
        <f t="shared" si="24"/>
        <v>8190</v>
      </c>
      <c r="E424" s="682" t="str">
        <f t="shared" si="25"/>
        <v>C1</v>
      </c>
      <c r="F424" s="683">
        <f t="shared" si="26"/>
        <v>6.5</v>
      </c>
      <c r="H424" s="13">
        <v>240</v>
      </c>
      <c r="I424" s="13">
        <f>VLOOKUP(VLOOKUP(H424,$A$24:$B$1023,2,FALSE),'Scratch Sheet'!$U$23:$X$32,3,FALSE)</f>
        <v>3</v>
      </c>
      <c r="K424" s="13">
        <f t="shared" si="23"/>
        <v>394</v>
      </c>
      <c r="L424" s="13">
        <f>IFERROR(VLOOKUP(VLOOKUP(K424,$A$24:$B$1023,2,FALSE),'Scratch Sheet'!$U$23:$Y$32,5,FALSE)*VLOOKUP(VLOOKUP(K424,$A$24:$E$1023,5,FALSE),'Scratch Sheet'!$L$22:$M$30,2,FALSE),"")</f>
        <v>8800</v>
      </c>
      <c r="N424" s="675">
        <v>361</v>
      </c>
      <c r="O424" s="675" t="str" cm="1">
        <f t="array" ref="O424">IF(OR(INDEX($B$24:$B$1023,N424)="P10",INDEX($B$24:$B$1023,N424)="P11",INDEX($B$24:$B$1023,N424)="P12",INDEX($B$24:$B$1023,N424)="P13"),"C",IF(OR(INDEX($B$24:$B$1023,N424)="P14",INDEX($B$24:$B$1023,N424)="P15",INDEX($B$24:$B$1023,N424)="P16"),"N","O"))&amp;IF(MOD(N424,100)&lt;20,1,IF(MOD(N424,100)&lt;70,2,3))</f>
        <v>N2</v>
      </c>
    </row>
    <row r="425" spans="1:15" ht="16.5" thickBot="1">
      <c r="A425" s="662">
        <v>402</v>
      </c>
      <c r="B425" s="661" t="str" cm="1">
        <f t="array" ref="B425">"P"&amp;INDEX(X!$CL$2:$CL$12,'Scratch Sheet'!H424+1)+9</f>
        <v>P10</v>
      </c>
      <c r="C425" s="661">
        <v>1</v>
      </c>
      <c r="D425" s="755">
        <f t="shared" si="24"/>
        <v>2880</v>
      </c>
      <c r="E425" s="682" t="str">
        <f t="shared" si="25"/>
        <v>C1</v>
      </c>
      <c r="F425" s="683">
        <f t="shared" si="26"/>
        <v>3</v>
      </c>
      <c r="H425" s="13">
        <v>203</v>
      </c>
      <c r="I425" s="13">
        <f>VLOOKUP(VLOOKUP(H425,$A$24:$B$1023,2,FALSE),'Scratch Sheet'!$U$23:$X$32,3,FALSE)</f>
        <v>3</v>
      </c>
      <c r="K425" s="13">
        <f t="shared" si="23"/>
        <v>396</v>
      </c>
      <c r="L425" s="13">
        <f>IFERROR(VLOOKUP(VLOOKUP(K425,$A$24:$B$1023,2,FALSE),'Scratch Sheet'!$U$23:$Y$32,5,FALSE)*VLOOKUP(VLOOKUP(K425,$A$24:$E$1023,5,FALSE),'Scratch Sheet'!$L$22:$M$30,2,FALSE),"")</f>
        <v>9600</v>
      </c>
      <c r="N425" s="675">
        <v>371</v>
      </c>
      <c r="O425" s="675" t="str" cm="1">
        <f t="array" ref="O425">IF(OR(INDEX($B$24:$B$1023,N425)="P10",INDEX($B$24:$B$1023,N425)="P11",INDEX($B$24:$B$1023,N425)="P12",INDEX($B$24:$B$1023,N425)="P13"),"C",IF(OR(INDEX($B$24:$B$1023,N425)="P14",INDEX($B$24:$B$1023,N425)="P15",INDEX($B$24:$B$1023,N425)="P16"),"N","O"))&amp;IF(MOD(N425,100)&lt;20,1,IF(MOD(N425,100)&lt;70,2,3))</f>
        <v>O3</v>
      </c>
    </row>
    <row r="426" spans="1:15" ht="16.5" thickBot="1">
      <c r="A426" s="662">
        <v>403</v>
      </c>
      <c r="B426" s="661" t="str" cm="1">
        <f t="array" ref="B426">"P"&amp;INDEX(X!$CL$2:$CL$12,'Scratch Sheet'!H425+1)+9</f>
        <v>P10</v>
      </c>
      <c r="C426" s="661">
        <v>1</v>
      </c>
      <c r="D426" s="755">
        <f t="shared" si="24"/>
        <v>2880</v>
      </c>
      <c r="E426" s="682" t="str">
        <f t="shared" si="25"/>
        <v>C1</v>
      </c>
      <c r="F426" s="683">
        <f t="shared" si="26"/>
        <v>3</v>
      </c>
      <c r="H426" s="13">
        <v>389</v>
      </c>
      <c r="I426" s="13">
        <f>VLOOKUP(VLOOKUP(H426,$A$24:$B$1023,2,FALSE),'Scratch Sheet'!$U$23:$X$32,3,FALSE)</f>
        <v>8</v>
      </c>
      <c r="K426" s="13">
        <f t="shared" si="23"/>
        <v>395</v>
      </c>
      <c r="L426" s="13">
        <f>IFERROR(VLOOKUP(VLOOKUP(K426,$A$24:$B$1023,2,FALSE),'Scratch Sheet'!$U$23:$Y$32,5,FALSE)*VLOOKUP(VLOOKUP(K426,$A$24:$E$1023,5,FALSE),'Scratch Sheet'!$L$22:$M$30,2,FALSE),"")</f>
        <v>5200</v>
      </c>
      <c r="N426" s="675">
        <v>378</v>
      </c>
      <c r="O426" s="675" t="str" cm="1">
        <f t="array" ref="O426">IF(OR(INDEX($B$24:$B$1023,N426)="P10",INDEX($B$24:$B$1023,N426)="P11",INDEX($B$24:$B$1023,N426)="P12",INDEX($B$24:$B$1023,N426)="P13"),"C",IF(OR(INDEX($B$24:$B$1023,N426)="P14",INDEX($B$24:$B$1023,N426)="P15",INDEX($B$24:$B$1023,N426)="P16"),"N","O"))&amp;IF(MOD(N426,100)&lt;20,1,IF(MOD(N426,100)&lt;70,2,3))</f>
        <v>N3</v>
      </c>
    </row>
    <row r="427" spans="1:15" ht="16.5" thickBot="1">
      <c r="A427" s="662">
        <v>404</v>
      </c>
      <c r="B427" s="661" t="str" cm="1">
        <f t="array" ref="B427">"P"&amp;INDEX(X!$CL$2:$CL$12,'Scratch Sheet'!H426+1)+9</f>
        <v>P11</v>
      </c>
      <c r="C427" s="661">
        <v>1</v>
      </c>
      <c r="D427" s="755">
        <f t="shared" si="24"/>
        <v>13200</v>
      </c>
      <c r="E427" s="682" t="str">
        <f t="shared" si="25"/>
        <v>C1</v>
      </c>
      <c r="F427" s="683">
        <f t="shared" si="26"/>
        <v>11</v>
      </c>
      <c r="H427" s="13">
        <v>141</v>
      </c>
      <c r="I427" s="13">
        <f>VLOOKUP(VLOOKUP(H427,$A$24:$B$1023,2,FALSE),'Scratch Sheet'!$U$23:$X$32,3,FALSE)</f>
        <v>12</v>
      </c>
      <c r="K427" s="13">
        <f t="shared" si="23"/>
        <v>392</v>
      </c>
      <c r="L427" s="13">
        <f>IFERROR(VLOOKUP(VLOOKUP(K427,$A$24:$B$1023,2,FALSE),'Scratch Sheet'!$U$23:$Y$32,5,FALSE)*VLOOKUP(VLOOKUP(K427,$A$24:$E$1023,5,FALSE),'Scratch Sheet'!$L$22:$M$30,2,FALSE),"")</f>
        <v>3600</v>
      </c>
      <c r="N427" s="675">
        <v>388</v>
      </c>
      <c r="O427" s="675" t="str" cm="1">
        <f t="array" ref="O427">IF(OR(INDEX($B$24:$B$1023,N427)="P10",INDEX($B$24:$B$1023,N427)="P11",INDEX($B$24:$B$1023,N427)="P12",INDEX($B$24:$B$1023,N427)="P13"),"C",IF(OR(INDEX($B$24:$B$1023,N427)="P14",INDEX($B$24:$B$1023,N427)="P15",INDEX($B$24:$B$1023,N427)="P16"),"N","O"))&amp;IF(MOD(N427,100)&lt;20,1,IF(MOD(N427,100)&lt;70,2,3))</f>
        <v>O3</v>
      </c>
    </row>
    <row r="428" spans="1:15" ht="16.5" thickBot="1">
      <c r="A428" s="662">
        <v>405</v>
      </c>
      <c r="B428" s="661" t="str" cm="1">
        <f t="array" ref="B428">"P"&amp;INDEX(X!$CL$2:$CL$12,'Scratch Sheet'!H427+1)+9</f>
        <v>P18</v>
      </c>
      <c r="C428" s="661">
        <v>1</v>
      </c>
      <c r="D428" s="755">
        <f t="shared" si="24"/>
        <v>4860</v>
      </c>
      <c r="E428" s="682" t="str">
        <f t="shared" si="25"/>
        <v>O1</v>
      </c>
      <c r="F428" s="683">
        <f t="shared" si="26"/>
        <v>6</v>
      </c>
      <c r="H428" s="13">
        <v>991</v>
      </c>
      <c r="I428" s="13">
        <f>VLOOKUP(VLOOKUP(H428,$A$24:$B$1023,2,FALSE),'Scratch Sheet'!$U$23:$X$32,3,FALSE)</f>
        <v>12</v>
      </c>
      <c r="K428" s="13">
        <f t="shared" si="23"/>
        <v>393</v>
      </c>
      <c r="L428" s="13">
        <f>IFERROR(VLOOKUP(VLOOKUP(K428,$A$24:$B$1023,2,FALSE),'Scratch Sheet'!$U$23:$Y$32,5,FALSE)*VLOOKUP(VLOOKUP(K428,$A$24:$E$1023,5,FALSE),'Scratch Sheet'!$L$22:$M$30,2,FALSE),"")</f>
        <v>1920</v>
      </c>
      <c r="N428" s="675">
        <v>395</v>
      </c>
      <c r="O428" s="675" t="str" cm="1">
        <f t="array" ref="O428">IF(OR(INDEX($B$24:$B$1023,N428)="P10",INDEX($B$24:$B$1023,N428)="P11",INDEX($B$24:$B$1023,N428)="P12",INDEX($B$24:$B$1023,N428)="P13"),"C",IF(OR(INDEX($B$24:$B$1023,N428)="P14",INDEX($B$24:$B$1023,N428)="P15",INDEX($B$24:$B$1023,N428)="P16"),"N","O"))&amp;IF(MOD(N428,100)&lt;20,1,IF(MOD(N428,100)&lt;70,2,3))</f>
        <v>N3</v>
      </c>
    </row>
    <row r="429" spans="1:15" ht="16.5" thickBot="1">
      <c r="A429" s="662">
        <v>406</v>
      </c>
      <c r="B429" s="661" t="str" cm="1">
        <f t="array" ref="B429">"P"&amp;INDEX(X!$CL$2:$CL$12,'Scratch Sheet'!H428+1)+9</f>
        <v>P14</v>
      </c>
      <c r="C429" s="661">
        <v>1</v>
      </c>
      <c r="D429" s="755">
        <f t="shared" si="24"/>
        <v>10080</v>
      </c>
      <c r="E429" s="682" t="str">
        <f t="shared" si="25"/>
        <v>N1</v>
      </c>
      <c r="F429" s="683">
        <f t="shared" si="26"/>
        <v>8</v>
      </c>
      <c r="H429" s="13">
        <v>645</v>
      </c>
      <c r="I429" s="13">
        <f>VLOOKUP(VLOOKUP(H429,$A$24:$B$1023,2,FALSE),'Scratch Sheet'!$U$23:$X$32,3,FALSE)</f>
        <v>3</v>
      </c>
      <c r="K429" s="13">
        <f t="shared" si="23"/>
        <v>398</v>
      </c>
      <c r="L429" s="13">
        <f>IFERROR(VLOOKUP(VLOOKUP(K429,$A$24:$B$1023,2,FALSE),'Scratch Sheet'!$U$23:$Y$32,5,FALSE)*VLOOKUP(VLOOKUP(K429,$A$24:$E$1023,5,FALSE),'Scratch Sheet'!$L$22:$M$30,2,FALSE),"")</f>
        <v>3600</v>
      </c>
      <c r="N429" s="675">
        <v>405</v>
      </c>
      <c r="O429" s="675" t="str" cm="1">
        <f t="array" ref="O429">IF(OR(INDEX($B$24:$B$1023,N429)="P10",INDEX($B$24:$B$1023,N429)="P11",INDEX($B$24:$B$1023,N429)="P12",INDEX($B$24:$B$1023,N429)="P13"),"C",IF(OR(INDEX($B$24:$B$1023,N429)="P14",INDEX($B$24:$B$1023,N429)="P15",INDEX($B$24:$B$1023,N429)="P16"),"N","O"))&amp;IF(MOD(N429,100)&lt;20,1,IF(MOD(N429,100)&lt;70,2,3))</f>
        <v>O1</v>
      </c>
    </row>
    <row r="430" spans="1:15" ht="16.5" thickBot="1">
      <c r="A430" s="662">
        <v>407</v>
      </c>
      <c r="B430" s="661" t="str" cm="1">
        <f t="array" ref="B430">"P"&amp;INDEX(X!$CL$2:$CL$12,'Scratch Sheet'!H429+1)+9</f>
        <v>P10</v>
      </c>
      <c r="C430" s="661">
        <v>1</v>
      </c>
      <c r="D430" s="755">
        <f t="shared" si="24"/>
        <v>2880</v>
      </c>
      <c r="E430" s="682" t="str">
        <f t="shared" si="25"/>
        <v>C1</v>
      </c>
      <c r="F430" s="683">
        <f t="shared" si="26"/>
        <v>3</v>
      </c>
      <c r="H430" s="13">
        <v>681</v>
      </c>
      <c r="I430" s="13">
        <f>VLOOKUP(VLOOKUP(H430,$A$24:$B$1023,2,FALSE),'Scratch Sheet'!$U$23:$X$32,3,FALSE)</f>
        <v>5</v>
      </c>
      <c r="K430" s="13">
        <f t="shared" si="23"/>
        <v>400</v>
      </c>
      <c r="L430" s="13">
        <f>IFERROR(VLOOKUP(VLOOKUP(K430,$A$24:$B$1023,2,FALSE),'Scratch Sheet'!$U$23:$Y$32,5,FALSE)*VLOOKUP(VLOOKUP(K430,$A$24:$E$1023,5,FALSE),'Scratch Sheet'!$L$22:$M$30,2,FALSE),"")</f>
        <v>13200</v>
      </c>
      <c r="N430" s="675">
        <v>412</v>
      </c>
      <c r="O430" s="675" t="str" cm="1">
        <f t="array" ref="O430">IF(OR(INDEX($B$24:$B$1023,N430)="P10",INDEX($B$24:$B$1023,N430)="P11",INDEX($B$24:$B$1023,N430)="P12",INDEX($B$24:$B$1023,N430)="P13"),"C",IF(OR(INDEX($B$24:$B$1023,N430)="P14",INDEX($B$24:$B$1023,N430)="P15",INDEX($B$24:$B$1023,N430)="P16"),"N","O"))&amp;IF(MOD(N430,100)&lt;20,1,IF(MOD(N430,100)&lt;70,2,3))</f>
        <v>N1</v>
      </c>
    </row>
    <row r="431" spans="1:15" ht="16.5" thickBot="1">
      <c r="A431" s="662">
        <v>408</v>
      </c>
      <c r="B431" s="661" t="str" cm="1">
        <f t="array" ref="B431">"P"&amp;INDEX(X!$CL$2:$CL$12,'Scratch Sheet'!H430+1)+9</f>
        <v>P13</v>
      </c>
      <c r="C431" s="661">
        <v>1</v>
      </c>
      <c r="D431" s="755">
        <f t="shared" si="24"/>
        <v>5400</v>
      </c>
      <c r="E431" s="682" t="str">
        <f t="shared" si="25"/>
        <v>C1</v>
      </c>
      <c r="F431" s="683">
        <f t="shared" si="26"/>
        <v>5</v>
      </c>
      <c r="H431" s="13">
        <v>519</v>
      </c>
      <c r="I431" s="13">
        <f>VLOOKUP(VLOOKUP(H431,$A$24:$B$1023,2,FALSE),'Scratch Sheet'!$U$23:$X$32,3,FALSE)</f>
        <v>11</v>
      </c>
      <c r="K431" s="13">
        <f t="shared" si="23"/>
        <v>399</v>
      </c>
      <c r="L431" s="13">
        <f>IFERROR(VLOOKUP(VLOOKUP(K431,$A$24:$B$1023,2,FALSE),'Scratch Sheet'!$U$23:$Y$32,5,FALSE)*VLOOKUP(VLOOKUP(K431,$A$24:$E$1023,5,FALSE),'Scratch Sheet'!$L$22:$M$30,2,FALSE),"")</f>
        <v>8800</v>
      </c>
      <c r="N431" s="675">
        <v>422</v>
      </c>
      <c r="O431" s="675" t="str" cm="1">
        <f t="array" ref="O431">IF(OR(INDEX($B$24:$B$1023,N431)="P10",INDEX($B$24:$B$1023,N431)="P11",INDEX($B$24:$B$1023,N431)="P12",INDEX($B$24:$B$1023,N431)="P13"),"C",IF(OR(INDEX($B$24:$B$1023,N431)="P14",INDEX($B$24:$B$1023,N431)="P15",INDEX($B$24:$B$1023,N431)="P16"),"N","O"))&amp;IF(MOD(N431,100)&lt;20,1,IF(MOD(N431,100)&lt;70,2,3))</f>
        <v>O2</v>
      </c>
    </row>
    <row r="432" spans="1:15" ht="16.5" thickBot="1">
      <c r="A432" s="662">
        <v>409</v>
      </c>
      <c r="B432" s="661" t="str" cm="1">
        <f t="array" ref="B432">"P"&amp;INDEX(X!$CL$2:$CL$12,'Scratch Sheet'!H431+1)+9</f>
        <v>P13</v>
      </c>
      <c r="C432" s="661">
        <v>1</v>
      </c>
      <c r="D432" s="755">
        <f t="shared" si="24"/>
        <v>5400</v>
      </c>
      <c r="E432" s="682" t="str">
        <f t="shared" si="25"/>
        <v>C1</v>
      </c>
      <c r="F432" s="683">
        <f t="shared" si="26"/>
        <v>5</v>
      </c>
      <c r="H432" s="13">
        <v>192</v>
      </c>
      <c r="I432" s="13">
        <f>VLOOKUP(VLOOKUP(H432,$A$24:$B$1023,2,FALSE),'Scratch Sheet'!$U$23:$X$32,3,FALSE)</f>
        <v>12</v>
      </c>
      <c r="K432" s="13">
        <f t="shared" si="23"/>
        <v>397</v>
      </c>
      <c r="L432" s="13">
        <f>IFERROR(VLOOKUP(VLOOKUP(K432,$A$24:$B$1023,2,FALSE),'Scratch Sheet'!$U$23:$Y$32,5,FALSE)*VLOOKUP(VLOOKUP(K432,$A$24:$E$1023,5,FALSE),'Scratch Sheet'!$L$22:$M$30,2,FALSE),"")</f>
        <v>9600</v>
      </c>
      <c r="N432" s="675">
        <v>429</v>
      </c>
      <c r="O432" s="675" t="str" cm="1">
        <f t="array" ref="O432">IF(OR(INDEX($B$24:$B$1023,N432)="P10",INDEX($B$24:$B$1023,N432)="P11",INDEX($B$24:$B$1023,N432)="P12",INDEX($B$24:$B$1023,N432)="P13"),"C",IF(OR(INDEX($B$24:$B$1023,N432)="P14",INDEX($B$24:$B$1023,N432)="P15",INDEX($B$24:$B$1023,N432)="P16"),"N","O"))&amp;IF(MOD(N432,100)&lt;20,1,IF(MOD(N432,100)&lt;70,2,3))</f>
        <v>N2</v>
      </c>
    </row>
    <row r="433" spans="1:15" ht="16.5" thickBot="1">
      <c r="A433" s="662">
        <v>410</v>
      </c>
      <c r="B433" s="661" t="str" cm="1">
        <f t="array" ref="B433">"P"&amp;INDEX(X!$CL$2:$CL$12,'Scratch Sheet'!H432+1)+9</f>
        <v>P10</v>
      </c>
      <c r="C433" s="661">
        <v>1</v>
      </c>
      <c r="D433" s="755">
        <f t="shared" si="24"/>
        <v>2880</v>
      </c>
      <c r="E433" s="682" t="str">
        <f t="shared" si="25"/>
        <v>C1</v>
      </c>
      <c r="F433" s="683">
        <f t="shared" si="26"/>
        <v>3</v>
      </c>
      <c r="H433" s="13">
        <v>6</v>
      </c>
      <c r="I433" s="13">
        <f>VLOOKUP(VLOOKUP(H433,$A$24:$B$1023,2,FALSE),'Scratch Sheet'!$U$23:$X$32,3,FALSE)</f>
        <v>3</v>
      </c>
      <c r="K433" s="13">
        <f t="shared" si="23"/>
        <v>338</v>
      </c>
      <c r="L433" s="13">
        <f>IFERROR(VLOOKUP(VLOOKUP(K433,$A$24:$B$1023,2,FALSE),'Scratch Sheet'!$U$23:$Y$32,5,FALSE)*VLOOKUP(VLOOKUP(K433,$A$24:$E$1023,5,FALSE),'Scratch Sheet'!$L$22:$M$30,2,FALSE),"")</f>
        <v>6480</v>
      </c>
      <c r="N433" s="675">
        <v>439</v>
      </c>
      <c r="O433" s="675" t="str" cm="1">
        <f t="array" ref="O433">IF(OR(INDEX($B$24:$B$1023,N433)="P10",INDEX($B$24:$B$1023,N433)="P11",INDEX($B$24:$B$1023,N433)="P12",INDEX($B$24:$B$1023,N433)="P13"),"C",IF(OR(INDEX($B$24:$B$1023,N433)="P14",INDEX($B$24:$B$1023,N433)="P15",INDEX($B$24:$B$1023,N433)="P16"),"N","O"))&amp;IF(MOD(N433,100)&lt;20,1,IF(MOD(N433,100)&lt;70,2,3))</f>
        <v>O2</v>
      </c>
    </row>
    <row r="434" spans="1:15" ht="16.5" thickBot="1">
      <c r="A434" s="662">
        <v>411</v>
      </c>
      <c r="B434" s="661" t="str" cm="1">
        <f t="array" ref="B434">"P"&amp;INDEX(X!$CL$2:$CL$12,'Scratch Sheet'!H433+1)+9</f>
        <v>P11</v>
      </c>
      <c r="C434" s="661">
        <v>1</v>
      </c>
      <c r="D434" s="755">
        <f t="shared" si="24"/>
        <v>13200</v>
      </c>
      <c r="E434" s="682" t="str">
        <f t="shared" si="25"/>
        <v>C1</v>
      </c>
      <c r="F434" s="683">
        <f t="shared" si="26"/>
        <v>11</v>
      </c>
      <c r="H434" s="13">
        <v>57</v>
      </c>
      <c r="I434" s="13">
        <f>VLOOKUP(VLOOKUP(H434,$A$24:$B$1023,2,FALSE),'Scratch Sheet'!$U$23:$X$32,3,FALSE)</f>
        <v>5</v>
      </c>
      <c r="K434" s="13">
        <f t="shared" si="23"/>
        <v>353</v>
      </c>
      <c r="L434" s="13">
        <f>IFERROR(VLOOKUP(VLOOKUP(K434,$A$24:$B$1023,2,FALSE),'Scratch Sheet'!$U$23:$Y$32,5,FALSE)*VLOOKUP(VLOOKUP(K434,$A$24:$E$1023,5,FALSE),'Scratch Sheet'!$L$22:$M$30,2,FALSE),"")</f>
        <v>11000</v>
      </c>
      <c r="N434" s="675">
        <v>446</v>
      </c>
      <c r="O434" s="675" t="str" cm="1">
        <f t="array" ref="O434">IF(OR(INDEX($B$24:$B$1023,N434)="P10",INDEX($B$24:$B$1023,N434)="P11",INDEX($B$24:$B$1023,N434)="P12",INDEX($B$24:$B$1023,N434)="P13"),"C",IF(OR(INDEX($B$24:$B$1023,N434)="P14",INDEX($B$24:$B$1023,N434)="P15",INDEX($B$24:$B$1023,N434)="P16"),"N","O"))&amp;IF(MOD(N434,100)&lt;20,1,IF(MOD(N434,100)&lt;70,2,3))</f>
        <v>N2</v>
      </c>
    </row>
    <row r="435" spans="1:15" ht="16.5" thickBot="1">
      <c r="A435" s="662">
        <v>412</v>
      </c>
      <c r="B435" s="661" t="str" cm="1">
        <f t="array" ref="B435">"P"&amp;INDEX(X!$CL$2:$CL$12,'Scratch Sheet'!H434+1)+9</f>
        <v>P16</v>
      </c>
      <c r="C435" s="661">
        <v>1</v>
      </c>
      <c r="D435" s="755">
        <f t="shared" si="24"/>
        <v>7279.9999999999991</v>
      </c>
      <c r="E435" s="682" t="str">
        <f t="shared" si="25"/>
        <v>N1</v>
      </c>
      <c r="F435" s="683">
        <f t="shared" si="26"/>
        <v>4</v>
      </c>
      <c r="H435" s="13">
        <v>591</v>
      </c>
      <c r="I435" s="13">
        <f>VLOOKUP(VLOOKUP(H435,$A$24:$B$1023,2,FALSE),'Scratch Sheet'!$U$23:$X$32,3,FALSE)</f>
        <v>11</v>
      </c>
      <c r="K435" s="13">
        <f t="shared" si="23"/>
        <v>394</v>
      </c>
      <c r="L435" s="13">
        <f>IFERROR(VLOOKUP(VLOOKUP(K435,$A$24:$B$1023,2,FALSE),'Scratch Sheet'!$U$23:$Y$32,5,FALSE)*VLOOKUP(VLOOKUP(K435,$A$24:$E$1023,5,FALSE),'Scratch Sheet'!$L$22:$M$30,2,FALSE),"")</f>
        <v>8800</v>
      </c>
      <c r="N435" s="675">
        <v>456</v>
      </c>
      <c r="O435" s="675" t="str" cm="1">
        <f t="array" ref="O435">IF(OR(INDEX($B$24:$B$1023,N435)="P10",INDEX($B$24:$B$1023,N435)="P11",INDEX($B$24:$B$1023,N435)="P12",INDEX($B$24:$B$1023,N435)="P13"),"C",IF(OR(INDEX($B$24:$B$1023,N435)="P14",INDEX($B$24:$B$1023,N435)="P15",INDEX($B$24:$B$1023,N435)="P16"),"N","O"))&amp;IF(MOD(N435,100)&lt;20,1,IF(MOD(N435,100)&lt;70,2,3))</f>
        <v>O2</v>
      </c>
    </row>
    <row r="436" spans="1:15" ht="16.5" thickBot="1">
      <c r="A436" s="662">
        <v>413</v>
      </c>
      <c r="B436" s="661" t="str" cm="1">
        <f t="array" ref="B436">"P"&amp;INDEX(X!$CL$2:$CL$12,'Scratch Sheet'!H435+1)+9</f>
        <v>P17</v>
      </c>
      <c r="C436" s="661">
        <v>1</v>
      </c>
      <c r="D436" s="755">
        <f t="shared" si="24"/>
        <v>10800</v>
      </c>
      <c r="E436" s="682" t="str">
        <f t="shared" si="25"/>
        <v>O1</v>
      </c>
      <c r="F436" s="683">
        <f t="shared" si="26"/>
        <v>12</v>
      </c>
      <c r="H436" s="13">
        <v>987</v>
      </c>
      <c r="I436" s="13">
        <f>VLOOKUP(VLOOKUP(H436,$A$24:$B$1023,2,FALSE),'Scratch Sheet'!$U$23:$X$32,3,FALSE)</f>
        <v>5</v>
      </c>
      <c r="K436" s="13">
        <f t="shared" si="23"/>
        <v>410</v>
      </c>
      <c r="L436" s="13">
        <f>IFERROR(VLOOKUP(VLOOKUP(K436,$A$24:$B$1023,2,FALSE),'Scratch Sheet'!$U$23:$Y$32,5,FALSE)*VLOOKUP(VLOOKUP(K436,$A$24:$E$1023,5,FALSE),'Scratch Sheet'!$L$22:$M$30,2,FALSE),"")</f>
        <v>2880</v>
      </c>
      <c r="N436" s="675">
        <v>463</v>
      </c>
      <c r="O436" s="675" t="str" cm="1">
        <f t="array" ref="O436">IF(OR(INDEX($B$24:$B$1023,N436)="P10",INDEX($B$24:$B$1023,N436)="P11",INDEX($B$24:$B$1023,N436)="P12",INDEX($B$24:$B$1023,N436)="P13"),"C",IF(OR(INDEX($B$24:$B$1023,N436)="P14",INDEX($B$24:$B$1023,N436)="P15",INDEX($B$24:$B$1023,N436)="P16"),"N","O"))&amp;IF(MOD(N436,100)&lt;20,1,IF(MOD(N436,100)&lt;70,2,3))</f>
        <v>N2</v>
      </c>
    </row>
    <row r="437" spans="1:15" ht="16.5" thickBot="1">
      <c r="A437" s="662">
        <v>414</v>
      </c>
      <c r="B437" s="661" t="str" cm="1">
        <f t="array" ref="B437">"P"&amp;INDEX(X!$CL$2:$CL$12,'Scratch Sheet'!H436+1)+9</f>
        <v>P17</v>
      </c>
      <c r="C437" s="661">
        <v>1</v>
      </c>
      <c r="D437" s="755">
        <f t="shared" si="24"/>
        <v>10800</v>
      </c>
      <c r="E437" s="682" t="str">
        <f t="shared" si="25"/>
        <v>O1</v>
      </c>
      <c r="F437" s="683">
        <f t="shared" si="26"/>
        <v>12</v>
      </c>
      <c r="H437" s="13">
        <v>869</v>
      </c>
      <c r="I437" s="13">
        <f>VLOOKUP(VLOOKUP(H437,$A$24:$B$1023,2,FALSE),'Scratch Sheet'!$U$23:$X$32,3,FALSE)</f>
        <v>3</v>
      </c>
      <c r="K437" s="13">
        <f t="shared" si="23"/>
        <v>413</v>
      </c>
      <c r="L437" s="13">
        <f>IFERROR(VLOOKUP(VLOOKUP(K437,$A$24:$B$1023,2,FALSE),'Scratch Sheet'!$U$23:$Y$32,5,FALSE)*VLOOKUP(VLOOKUP(K437,$A$24:$E$1023,5,FALSE),'Scratch Sheet'!$L$22:$M$30,2,FALSE),"")</f>
        <v>10800</v>
      </c>
      <c r="N437" s="675">
        <v>473</v>
      </c>
      <c r="O437" s="675" t="str" cm="1">
        <f t="array" ref="O437">IF(OR(INDEX($B$24:$B$1023,N437)="P10",INDEX($B$24:$B$1023,N437)="P11",INDEX($B$24:$B$1023,N437)="P12",INDEX($B$24:$B$1023,N437)="P13"),"C",IF(OR(INDEX($B$24:$B$1023,N437)="P14",INDEX($B$24:$B$1023,N437)="P15",INDEX($B$24:$B$1023,N437)="P16"),"N","O"))&amp;IF(MOD(N437,100)&lt;20,1,IF(MOD(N437,100)&lt;70,2,3))</f>
        <v>O3</v>
      </c>
    </row>
    <row r="438" spans="1:15" ht="16.5" thickBot="1">
      <c r="A438" s="662">
        <v>415</v>
      </c>
      <c r="B438" s="661" t="str" cm="1">
        <f t="array" ref="B438">"P"&amp;INDEX(X!$CL$2:$CL$12,'Scratch Sheet'!H437+1)+9</f>
        <v>P13</v>
      </c>
      <c r="C438" s="661">
        <v>1</v>
      </c>
      <c r="D438" s="755">
        <f t="shared" si="24"/>
        <v>5400</v>
      </c>
      <c r="E438" s="682" t="str">
        <f t="shared" si="25"/>
        <v>C1</v>
      </c>
      <c r="F438" s="683">
        <f t="shared" si="26"/>
        <v>5</v>
      </c>
      <c r="H438" s="13">
        <v>164</v>
      </c>
      <c r="I438" s="13">
        <f>VLOOKUP(VLOOKUP(H438,$A$24:$B$1023,2,FALSE),'Scratch Sheet'!$U$23:$X$32,3,FALSE)</f>
        <v>3</v>
      </c>
      <c r="K438" s="13">
        <f t="shared" si="23"/>
        <v>412</v>
      </c>
      <c r="L438" s="13">
        <f>IFERROR(VLOOKUP(VLOOKUP(K438,$A$24:$B$1023,2,FALSE),'Scratch Sheet'!$U$23:$Y$32,5,FALSE)*VLOOKUP(VLOOKUP(K438,$A$24:$E$1023,5,FALSE),'Scratch Sheet'!$L$22:$M$30,2,FALSE),"")</f>
        <v>7279.9999999999991</v>
      </c>
      <c r="N438" s="675">
        <v>480</v>
      </c>
      <c r="O438" s="675" t="str" cm="1">
        <f t="array" ref="O438">IF(OR(INDEX($B$24:$B$1023,N438)="P10",INDEX($B$24:$B$1023,N438)="P11",INDEX($B$24:$B$1023,N438)="P12",INDEX($B$24:$B$1023,N438)="P13"),"C",IF(OR(INDEX($B$24:$B$1023,N438)="P14",INDEX($B$24:$B$1023,N438)="P15",INDEX($B$24:$B$1023,N438)="P16"),"N","O"))&amp;IF(MOD(N438,100)&lt;20,1,IF(MOD(N438,100)&lt;70,2,3))</f>
        <v>N3</v>
      </c>
    </row>
    <row r="439" spans="1:15" ht="16.5" thickBot="1">
      <c r="A439" s="662">
        <v>416</v>
      </c>
      <c r="B439" s="661" t="str" cm="1">
        <f t="array" ref="B439">"P"&amp;INDEX(X!$CL$2:$CL$12,'Scratch Sheet'!H438+1)+9</f>
        <v>P11</v>
      </c>
      <c r="C439" s="661">
        <v>1</v>
      </c>
      <c r="D439" s="755">
        <f t="shared" si="24"/>
        <v>13200</v>
      </c>
      <c r="E439" s="682" t="str">
        <f t="shared" si="25"/>
        <v>C1</v>
      </c>
      <c r="F439" s="683">
        <f t="shared" si="26"/>
        <v>11</v>
      </c>
      <c r="H439" s="13">
        <v>404</v>
      </c>
      <c r="I439" s="13">
        <f>VLOOKUP(VLOOKUP(H439,$A$24:$B$1023,2,FALSE),'Scratch Sheet'!$U$23:$X$32,3,FALSE)</f>
        <v>11</v>
      </c>
      <c r="K439" s="13">
        <f t="shared" si="23"/>
        <v>406</v>
      </c>
      <c r="L439" s="13">
        <f>IFERROR(VLOOKUP(VLOOKUP(K439,$A$24:$B$1023,2,FALSE),'Scratch Sheet'!$U$23:$Y$32,5,FALSE)*VLOOKUP(VLOOKUP(K439,$A$24:$E$1023,5,FALSE),'Scratch Sheet'!$L$22:$M$30,2,FALSE),"")</f>
        <v>10080</v>
      </c>
      <c r="N439" s="675">
        <v>490</v>
      </c>
      <c r="O439" s="675" t="str" cm="1">
        <f t="array" ref="O439">IF(OR(INDEX($B$24:$B$1023,N439)="P10",INDEX($B$24:$B$1023,N439)="P11",INDEX($B$24:$B$1023,N439)="P12",INDEX($B$24:$B$1023,N439)="P13"),"C",IF(OR(INDEX($B$24:$B$1023,N439)="P14",INDEX($B$24:$B$1023,N439)="P15",INDEX($B$24:$B$1023,N439)="P16"),"N","O"))&amp;IF(MOD(N439,100)&lt;20,1,IF(MOD(N439,100)&lt;70,2,3))</f>
        <v>O3</v>
      </c>
    </row>
    <row r="440" spans="1:15" ht="16.5" thickBot="1">
      <c r="A440" s="662">
        <v>417</v>
      </c>
      <c r="B440" s="661" t="str" cm="1">
        <f t="array" ref="B440">"P"&amp;INDEX(X!$CL$2:$CL$12,'Scratch Sheet'!H439+1)+9</f>
        <v>P11</v>
      </c>
      <c r="C440" s="661">
        <v>1</v>
      </c>
      <c r="D440" s="755">
        <f t="shared" si="24"/>
        <v>13200</v>
      </c>
      <c r="E440" s="682" t="str">
        <f t="shared" si="25"/>
        <v>C1</v>
      </c>
      <c r="F440" s="683">
        <f t="shared" si="26"/>
        <v>11</v>
      </c>
      <c r="H440" s="13">
        <v>91</v>
      </c>
      <c r="I440" s="13">
        <f>VLOOKUP(VLOOKUP(H440,$A$24:$B$1023,2,FALSE),'Scratch Sheet'!$U$23:$X$32,3,FALSE)</f>
        <v>12</v>
      </c>
      <c r="K440" s="13">
        <f t="shared" si="23"/>
        <v>409</v>
      </c>
      <c r="L440" s="13">
        <f>IFERROR(VLOOKUP(VLOOKUP(K440,$A$24:$B$1023,2,FALSE),'Scratch Sheet'!$U$23:$Y$32,5,FALSE)*VLOOKUP(VLOOKUP(K440,$A$24:$E$1023,5,FALSE),'Scratch Sheet'!$L$22:$M$30,2,FALSE),"")</f>
        <v>5400</v>
      </c>
      <c r="N440" s="675">
        <v>497</v>
      </c>
      <c r="O440" s="675" t="str" cm="1">
        <f t="array" ref="O440">IF(OR(INDEX($B$24:$B$1023,N440)="P10",INDEX($B$24:$B$1023,N440)="P11",INDEX($B$24:$B$1023,N440)="P12",INDEX($B$24:$B$1023,N440)="P13"),"C",IF(OR(INDEX($B$24:$B$1023,N440)="P14",INDEX($B$24:$B$1023,N440)="P15",INDEX($B$24:$B$1023,N440)="P16"),"N","O"))&amp;IF(MOD(N440,100)&lt;20,1,IF(MOD(N440,100)&lt;70,2,3))</f>
        <v>N3</v>
      </c>
    </row>
    <row r="441" spans="1:15" ht="16.5" thickBot="1">
      <c r="A441" s="662">
        <v>418</v>
      </c>
      <c r="B441" s="661" t="str" cm="1">
        <f t="array" ref="B441">"P"&amp;INDEX(X!$CL$2:$CL$12,'Scratch Sheet'!H440+1)+9</f>
        <v>P12</v>
      </c>
      <c r="C441" s="661">
        <v>1</v>
      </c>
      <c r="D441" s="755">
        <f t="shared" si="24"/>
        <v>8190</v>
      </c>
      <c r="E441" s="682" t="str">
        <f t="shared" si="25"/>
        <v>C1</v>
      </c>
      <c r="F441" s="683">
        <f t="shared" si="26"/>
        <v>6.5</v>
      </c>
      <c r="H441" s="13">
        <v>399</v>
      </c>
      <c r="I441" s="13">
        <f>VLOOKUP(VLOOKUP(H441,$A$24:$B$1023,2,FALSE),'Scratch Sheet'!$U$23:$X$32,3,FALSE)</f>
        <v>11</v>
      </c>
      <c r="K441" s="13">
        <f t="shared" si="23"/>
        <v>408</v>
      </c>
      <c r="L441" s="13">
        <f>IFERROR(VLOOKUP(VLOOKUP(K441,$A$24:$B$1023,2,FALSE),'Scratch Sheet'!$U$23:$Y$32,5,FALSE)*VLOOKUP(VLOOKUP(K441,$A$24:$E$1023,5,FALSE),'Scratch Sheet'!$L$22:$M$30,2,FALSE),"")</f>
        <v>5400</v>
      </c>
      <c r="N441" s="675">
        <v>507</v>
      </c>
      <c r="O441" s="675" t="str" cm="1">
        <f t="array" ref="O441">IF(OR(INDEX($B$24:$B$1023,N441)="P10",INDEX($B$24:$B$1023,N441)="P11",INDEX($B$24:$B$1023,N441)="P12",INDEX($B$24:$B$1023,N441)="P13"),"C",IF(OR(INDEX($B$24:$B$1023,N441)="P14",INDEX($B$24:$B$1023,N441)="P15",INDEX($B$24:$B$1023,N441)="P16"),"N","O"))&amp;IF(MOD(N441,100)&lt;20,1,IF(MOD(N441,100)&lt;70,2,3))</f>
        <v>O1</v>
      </c>
    </row>
    <row r="442" spans="1:15" ht="16.5" thickBot="1">
      <c r="A442" s="662">
        <v>419</v>
      </c>
      <c r="B442" s="661" t="str" cm="1">
        <f t="array" ref="B442">"P"&amp;INDEX(X!$CL$2:$CL$12,'Scratch Sheet'!H441+1)+9</f>
        <v>P10</v>
      </c>
      <c r="C442" s="661">
        <v>1</v>
      </c>
      <c r="D442" s="755">
        <f t="shared" si="24"/>
        <v>2880</v>
      </c>
      <c r="E442" s="682" t="str">
        <f t="shared" si="25"/>
        <v>C1</v>
      </c>
      <c r="F442" s="683">
        <f t="shared" si="26"/>
        <v>3</v>
      </c>
      <c r="H442" s="13">
        <v>856</v>
      </c>
      <c r="I442" s="13">
        <f>VLOOKUP(VLOOKUP(H442,$A$24:$B$1023,2,FALSE),'Scratch Sheet'!$U$23:$X$32,3,FALSE)</f>
        <v>12</v>
      </c>
      <c r="K442" s="13">
        <f t="shared" si="23"/>
        <v>411</v>
      </c>
      <c r="L442" s="13">
        <f>IFERROR(VLOOKUP(VLOOKUP(K442,$A$24:$B$1023,2,FALSE),'Scratch Sheet'!$U$23:$Y$32,5,FALSE)*VLOOKUP(VLOOKUP(K442,$A$24:$E$1023,5,FALSE),'Scratch Sheet'!$L$22:$M$30,2,FALSE),"")</f>
        <v>13200</v>
      </c>
      <c r="N442" s="675">
        <v>524</v>
      </c>
      <c r="O442" s="675" t="str" cm="1">
        <f t="array" ref="O442">IF(OR(INDEX($B$24:$B$1023,N442)="P10",INDEX($B$24:$B$1023,N442)="P11",INDEX($B$24:$B$1023,N442)="P12",INDEX($B$24:$B$1023,N442)="P13"),"C",IF(OR(INDEX($B$24:$B$1023,N442)="P14",INDEX($B$24:$B$1023,N442)="P15",INDEX($B$24:$B$1023,N442)="P16"),"N","O"))&amp;IF(MOD(N442,100)&lt;20,1,IF(MOD(N442,100)&lt;70,2,3))</f>
        <v>O2</v>
      </c>
    </row>
    <row r="443" spans="1:15" ht="16.5" thickBot="1">
      <c r="A443" s="662">
        <v>420</v>
      </c>
      <c r="B443" s="661" t="str" cm="1">
        <f t="array" ref="B443">"P"&amp;INDEX(X!$CL$2:$CL$12,'Scratch Sheet'!H442+1)+9</f>
        <v>P10</v>
      </c>
      <c r="C443" s="661">
        <v>1</v>
      </c>
      <c r="D443" s="755">
        <f t="shared" si="24"/>
        <v>2400</v>
      </c>
      <c r="E443" s="682" t="str">
        <f t="shared" si="25"/>
        <v>C2</v>
      </c>
      <c r="F443" s="683">
        <f t="shared" si="26"/>
        <v>3</v>
      </c>
      <c r="H443" s="13">
        <v>221</v>
      </c>
      <c r="I443" s="13">
        <f>VLOOKUP(VLOOKUP(H443,$A$24:$B$1023,2,FALSE),'Scratch Sheet'!$U$23:$X$32,3,FALSE)</f>
        <v>5</v>
      </c>
      <c r="K443" s="13">
        <f t="shared" si="23"/>
        <v>405</v>
      </c>
      <c r="L443" s="13">
        <f>IFERROR(VLOOKUP(VLOOKUP(K443,$A$24:$B$1023,2,FALSE),'Scratch Sheet'!$U$23:$Y$32,5,FALSE)*VLOOKUP(VLOOKUP(K443,$A$24:$E$1023,5,FALSE),'Scratch Sheet'!$L$22:$M$30,2,FALSE),"")</f>
        <v>4860</v>
      </c>
      <c r="N443" s="675">
        <v>541</v>
      </c>
      <c r="O443" s="675" t="str" cm="1">
        <f t="array" ref="O443">IF(OR(INDEX($B$24:$B$1023,N443)="P10",INDEX($B$24:$B$1023,N443)="P11",INDEX($B$24:$B$1023,N443)="P12",INDEX($B$24:$B$1023,N443)="P13"),"C",IF(OR(INDEX($B$24:$B$1023,N443)="P14",INDEX($B$24:$B$1023,N443)="P15",INDEX($B$24:$B$1023,N443)="P16"),"N","O"))&amp;IF(MOD(N443,100)&lt;20,1,IF(MOD(N443,100)&lt;70,2,3))</f>
        <v>O2</v>
      </c>
    </row>
    <row r="444" spans="1:15" ht="16.5" thickBot="1">
      <c r="A444" s="662">
        <v>421</v>
      </c>
      <c r="B444" s="661" t="str" cm="1">
        <f t="array" ref="B444">"P"&amp;INDEX(X!$CL$2:$CL$12,'Scratch Sheet'!H443+1)+9</f>
        <v>P11</v>
      </c>
      <c r="C444" s="661">
        <v>1</v>
      </c>
      <c r="D444" s="755">
        <f t="shared" si="24"/>
        <v>11000</v>
      </c>
      <c r="E444" s="682" t="str">
        <f t="shared" si="25"/>
        <v>C2</v>
      </c>
      <c r="F444" s="683">
        <f t="shared" si="26"/>
        <v>11</v>
      </c>
      <c r="H444" s="13">
        <v>25</v>
      </c>
      <c r="I444" s="13">
        <f>VLOOKUP(VLOOKUP(H444,$A$24:$B$1023,2,FALSE),'Scratch Sheet'!$U$23:$X$32,3,FALSE)</f>
        <v>6.5</v>
      </c>
      <c r="K444" s="13">
        <f t="shared" si="23"/>
        <v>403</v>
      </c>
      <c r="L444" s="13">
        <f>IFERROR(VLOOKUP(VLOOKUP(K444,$A$24:$B$1023,2,FALSE),'Scratch Sheet'!$U$23:$Y$32,5,FALSE)*VLOOKUP(VLOOKUP(K444,$A$24:$E$1023,5,FALSE),'Scratch Sheet'!$L$22:$M$30,2,FALSE),"")</f>
        <v>2880</v>
      </c>
      <c r="N444" s="675">
        <v>558</v>
      </c>
      <c r="O444" s="675" t="str" cm="1">
        <f t="array" ref="O444">IF(OR(INDEX($B$24:$B$1023,N444)="P10",INDEX($B$24:$B$1023,N444)="P11",INDEX($B$24:$B$1023,N444)="P12",INDEX($B$24:$B$1023,N444)="P13"),"C",IF(OR(INDEX($B$24:$B$1023,N444)="P14",INDEX($B$24:$B$1023,N444)="P15",INDEX($B$24:$B$1023,N444)="P16"),"N","O"))&amp;IF(MOD(N444,100)&lt;20,1,IF(MOD(N444,100)&lt;70,2,3))</f>
        <v>O2</v>
      </c>
    </row>
    <row r="445" spans="1:15" ht="16.5" thickBot="1">
      <c r="A445" s="662">
        <v>422</v>
      </c>
      <c r="B445" s="661" t="str" cm="1">
        <f t="array" ref="B445">"P"&amp;INDEX(X!$CL$2:$CL$12,'Scratch Sheet'!H444+1)+9</f>
        <v>P18</v>
      </c>
      <c r="C445" s="661">
        <v>1</v>
      </c>
      <c r="D445" s="755">
        <f t="shared" si="24"/>
        <v>5940.0000000000009</v>
      </c>
      <c r="E445" s="682" t="str">
        <f t="shared" si="25"/>
        <v>O2</v>
      </c>
      <c r="F445" s="683">
        <f t="shared" si="26"/>
        <v>6</v>
      </c>
      <c r="H445" s="13">
        <v>804</v>
      </c>
      <c r="I445" s="13">
        <f>VLOOKUP(VLOOKUP(H445,$A$24:$B$1023,2,FALSE),'Scratch Sheet'!$U$23:$X$32,3,FALSE)</f>
        <v>12</v>
      </c>
      <c r="K445" s="13">
        <f t="shared" si="23"/>
        <v>404</v>
      </c>
      <c r="L445" s="13">
        <f>IFERROR(VLOOKUP(VLOOKUP(K445,$A$24:$B$1023,2,FALSE),'Scratch Sheet'!$U$23:$Y$32,5,FALSE)*VLOOKUP(VLOOKUP(K445,$A$24:$E$1023,5,FALSE),'Scratch Sheet'!$L$22:$M$30,2,FALSE),"")</f>
        <v>13200</v>
      </c>
      <c r="N445" s="675">
        <v>575</v>
      </c>
      <c r="O445" s="675" t="str" cm="1">
        <f t="array" ref="O445">IF(OR(INDEX($B$24:$B$1023,N445)="P10",INDEX($B$24:$B$1023,N445)="P11",INDEX($B$24:$B$1023,N445)="P12",INDEX($B$24:$B$1023,N445)="P13"),"C",IF(OR(INDEX($B$24:$B$1023,N445)="P14",INDEX($B$24:$B$1023,N445)="P15",INDEX($B$24:$B$1023,N445)="P16"),"N","O"))&amp;IF(MOD(N445,100)&lt;20,1,IF(MOD(N445,100)&lt;70,2,3))</f>
        <v>O3</v>
      </c>
    </row>
    <row r="446" spans="1:15" ht="16.5" thickBot="1">
      <c r="A446" s="662">
        <v>423</v>
      </c>
      <c r="B446" s="661" t="str" cm="1">
        <f t="array" ref="B446">"P"&amp;INDEX(X!$CL$2:$CL$12,'Scratch Sheet'!H445+1)+9</f>
        <v>P14</v>
      </c>
      <c r="C446" s="661">
        <v>1</v>
      </c>
      <c r="D446" s="755">
        <f t="shared" si="24"/>
        <v>6480</v>
      </c>
      <c r="E446" s="682" t="str">
        <f t="shared" si="25"/>
        <v>N2</v>
      </c>
      <c r="F446" s="683">
        <f t="shared" si="26"/>
        <v>8</v>
      </c>
      <c r="H446" s="13">
        <v>598</v>
      </c>
      <c r="I446" s="13">
        <f>VLOOKUP(VLOOKUP(H446,$A$24:$B$1023,2,FALSE),'Scratch Sheet'!$U$23:$X$32,3,FALSE)</f>
        <v>11</v>
      </c>
      <c r="K446" s="13">
        <f t="shared" si="23"/>
        <v>402</v>
      </c>
      <c r="L446" s="13">
        <f>IFERROR(VLOOKUP(VLOOKUP(K446,$A$24:$B$1023,2,FALSE),'Scratch Sheet'!$U$23:$Y$32,5,FALSE)*VLOOKUP(VLOOKUP(K446,$A$24:$E$1023,5,FALSE),'Scratch Sheet'!$L$22:$M$30,2,FALSE),"")</f>
        <v>2880</v>
      </c>
      <c r="N446" s="675">
        <v>592</v>
      </c>
      <c r="O446" s="675" t="str" cm="1">
        <f t="array" ref="O446">IF(OR(INDEX($B$24:$B$1023,N446)="P10",INDEX($B$24:$B$1023,N446)="P11",INDEX($B$24:$B$1023,N446)="P12",INDEX($B$24:$B$1023,N446)="P13"),"C",IF(OR(INDEX($B$24:$B$1023,N446)="P14",INDEX($B$24:$B$1023,N446)="P15",INDEX($B$24:$B$1023,N446)="P16"),"N","O"))&amp;IF(MOD(N446,100)&lt;20,1,IF(MOD(N446,100)&lt;70,2,3))</f>
        <v>O3</v>
      </c>
    </row>
    <row r="447" spans="1:15" ht="16.5" thickBot="1">
      <c r="A447" s="662">
        <v>424</v>
      </c>
      <c r="B447" s="661" t="str" cm="1">
        <f t="array" ref="B447">"P"&amp;INDEX(X!$CL$2:$CL$12,'Scratch Sheet'!H446+1)+9</f>
        <v>P10</v>
      </c>
      <c r="C447" s="661">
        <v>1</v>
      </c>
      <c r="D447" s="755">
        <f t="shared" si="24"/>
        <v>2400</v>
      </c>
      <c r="E447" s="682" t="str">
        <f t="shared" si="25"/>
        <v>C2</v>
      </c>
      <c r="F447" s="683">
        <f t="shared" si="26"/>
        <v>3</v>
      </c>
      <c r="H447" s="13">
        <v>581</v>
      </c>
      <c r="I447" s="13">
        <f>VLOOKUP(VLOOKUP(H447,$A$24:$B$1023,2,FALSE),'Scratch Sheet'!$U$23:$X$32,3,FALSE)</f>
        <v>11</v>
      </c>
      <c r="K447" s="13">
        <f t="shared" ref="K447:K510" si="27">K344+100</f>
        <v>401</v>
      </c>
      <c r="L447" s="13">
        <f>IFERROR(VLOOKUP(VLOOKUP(K447,$A$24:$B$1023,2,FALSE),'Scratch Sheet'!$U$23:$Y$32,5,FALSE)*VLOOKUP(VLOOKUP(K447,$A$24:$E$1023,5,FALSE),'Scratch Sheet'!$L$22:$M$30,2,FALSE),"")</f>
        <v>8190</v>
      </c>
      <c r="N447" s="675">
        <v>609</v>
      </c>
      <c r="O447" s="675" t="str" cm="1">
        <f t="array" ref="O447">IF(OR(INDEX($B$24:$B$1023,N447)="P10",INDEX($B$24:$B$1023,N447)="P11",INDEX($B$24:$B$1023,N447)="P12",INDEX($B$24:$B$1023,N447)="P13"),"C",IF(OR(INDEX($B$24:$B$1023,N447)="P14",INDEX($B$24:$B$1023,N447)="P15",INDEX($B$24:$B$1023,N447)="P16"),"N","O"))&amp;IF(MOD(N447,100)&lt;20,1,IF(MOD(N447,100)&lt;70,2,3))</f>
        <v>O1</v>
      </c>
    </row>
    <row r="448" spans="1:15" ht="16.5" thickBot="1">
      <c r="A448" s="662">
        <v>425</v>
      </c>
      <c r="B448" s="661" t="str" cm="1">
        <f t="array" ref="B448">"P"&amp;INDEX(X!$CL$2:$CL$12,'Scratch Sheet'!H447+1)+9</f>
        <v>P13</v>
      </c>
      <c r="C448" s="661">
        <v>1</v>
      </c>
      <c r="D448" s="755">
        <f t="shared" si="24"/>
        <v>4500</v>
      </c>
      <c r="E448" s="682" t="str">
        <f t="shared" si="25"/>
        <v>C2</v>
      </c>
      <c r="F448" s="683">
        <f t="shared" si="26"/>
        <v>5</v>
      </c>
      <c r="H448" s="13">
        <v>772</v>
      </c>
      <c r="I448" s="13">
        <f>VLOOKUP(VLOOKUP(H448,$A$24:$B$1023,2,FALSE),'Scratch Sheet'!$U$23:$X$32,3,FALSE)</f>
        <v>5</v>
      </c>
      <c r="K448" s="13">
        <f t="shared" si="27"/>
        <v>414</v>
      </c>
      <c r="L448" s="13">
        <f>IFERROR(VLOOKUP(VLOOKUP(K448,$A$24:$B$1023,2,FALSE),'Scratch Sheet'!$U$23:$Y$32,5,FALSE)*VLOOKUP(VLOOKUP(K448,$A$24:$E$1023,5,FALSE),'Scratch Sheet'!$L$22:$M$30,2,FALSE),"")</f>
        <v>10800</v>
      </c>
      <c r="N448" s="675">
        <v>626</v>
      </c>
      <c r="O448" s="675" t="str" cm="1">
        <f t="array" ref="O448">IF(OR(INDEX($B$24:$B$1023,N448)="P10",INDEX($B$24:$B$1023,N448)="P11",INDEX($B$24:$B$1023,N448)="P12",INDEX($B$24:$B$1023,N448)="P13"),"C",IF(OR(INDEX($B$24:$B$1023,N448)="P14",INDEX($B$24:$B$1023,N448)="P15",INDEX($B$24:$B$1023,N448)="P16"),"N","O"))&amp;IF(MOD(N448,100)&lt;20,1,IF(MOD(N448,100)&lt;70,2,3))</f>
        <v>O2</v>
      </c>
    </row>
    <row r="449" spans="1:15" ht="16.5" thickBot="1">
      <c r="A449" s="662">
        <v>426</v>
      </c>
      <c r="B449" s="661" t="str" cm="1">
        <f t="array" ref="B449">"P"&amp;INDEX(X!$CL$2:$CL$12,'Scratch Sheet'!H448+1)+9</f>
        <v>P13</v>
      </c>
      <c r="C449" s="661">
        <v>1</v>
      </c>
      <c r="D449" s="755">
        <f t="shared" si="24"/>
        <v>4500</v>
      </c>
      <c r="E449" s="682" t="str">
        <f t="shared" si="25"/>
        <v>C2</v>
      </c>
      <c r="F449" s="683">
        <f t="shared" si="26"/>
        <v>5</v>
      </c>
      <c r="H449" s="13">
        <v>377</v>
      </c>
      <c r="I449" s="13">
        <f>VLOOKUP(VLOOKUP(H449,$A$24:$B$1023,2,FALSE),'Scratch Sheet'!$U$23:$X$32,3,FALSE)</f>
        <v>11</v>
      </c>
      <c r="K449" s="13">
        <f t="shared" si="27"/>
        <v>407</v>
      </c>
      <c r="L449" s="13">
        <f>IFERROR(VLOOKUP(VLOOKUP(K449,$A$24:$B$1023,2,FALSE),'Scratch Sheet'!$U$23:$Y$32,5,FALSE)*VLOOKUP(VLOOKUP(K449,$A$24:$E$1023,5,FALSE),'Scratch Sheet'!$L$22:$M$30,2,FALSE),"")</f>
        <v>2880</v>
      </c>
      <c r="N449" s="675">
        <v>643</v>
      </c>
      <c r="O449" s="675" t="str" cm="1">
        <f t="array" ref="O449">IF(OR(INDEX($B$24:$B$1023,N449)="P10",INDEX($B$24:$B$1023,N449)="P11",INDEX($B$24:$B$1023,N449)="P12",INDEX($B$24:$B$1023,N449)="P13"),"C",IF(OR(INDEX($B$24:$B$1023,N449)="P14",INDEX($B$24:$B$1023,N449)="P15",INDEX($B$24:$B$1023,N449)="P16"),"N","O"))&amp;IF(MOD(N449,100)&lt;20,1,IF(MOD(N449,100)&lt;70,2,3))</f>
        <v>O2</v>
      </c>
    </row>
    <row r="450" spans="1:15" ht="16.5" thickBot="1">
      <c r="A450" s="662">
        <v>427</v>
      </c>
      <c r="B450" s="661" t="str" cm="1">
        <f t="array" ref="B450">"P"&amp;INDEX(X!$CL$2:$CL$12,'Scratch Sheet'!H449+1)+9</f>
        <v>P10</v>
      </c>
      <c r="C450" s="661">
        <v>1</v>
      </c>
      <c r="D450" s="755">
        <f t="shared" si="24"/>
        <v>2400</v>
      </c>
      <c r="E450" s="682" t="str">
        <f t="shared" si="25"/>
        <v>C2</v>
      </c>
      <c r="F450" s="683">
        <f t="shared" si="26"/>
        <v>3</v>
      </c>
      <c r="H450" s="13">
        <v>4</v>
      </c>
      <c r="I450" s="13">
        <f>VLOOKUP(VLOOKUP(H450,$A$24:$B$1023,2,FALSE),'Scratch Sheet'!$U$23:$X$32,3,FALSE)</f>
        <v>11</v>
      </c>
      <c r="K450" s="13">
        <f t="shared" si="27"/>
        <v>423</v>
      </c>
      <c r="L450" s="13">
        <f>IFERROR(VLOOKUP(VLOOKUP(K450,$A$24:$B$1023,2,FALSE),'Scratch Sheet'!$U$23:$Y$32,5,FALSE)*VLOOKUP(VLOOKUP(K450,$A$24:$E$1023,5,FALSE),'Scratch Sheet'!$L$22:$M$30,2,FALSE),"")</f>
        <v>6480</v>
      </c>
      <c r="N450" s="675">
        <v>660</v>
      </c>
      <c r="O450" s="675" t="str" cm="1">
        <f t="array" ref="O450">IF(OR(INDEX($B$24:$B$1023,N450)="P10",INDEX($B$24:$B$1023,N450)="P11",INDEX($B$24:$B$1023,N450)="P12",INDEX($B$24:$B$1023,N450)="P13"),"C",IF(OR(INDEX($B$24:$B$1023,N450)="P14",INDEX($B$24:$B$1023,N450)="P15",INDEX($B$24:$B$1023,N450)="P16"),"N","O"))&amp;IF(MOD(N450,100)&lt;20,1,IF(MOD(N450,100)&lt;70,2,3))</f>
        <v>O2</v>
      </c>
    </row>
    <row r="451" spans="1:15" ht="16.5" thickBot="1">
      <c r="A451" s="662">
        <v>428</v>
      </c>
      <c r="B451" s="661" t="str" cm="1">
        <f t="array" ref="B451">"P"&amp;INDEX(X!$CL$2:$CL$12,'Scratch Sheet'!H450+1)+9</f>
        <v>P11</v>
      </c>
      <c r="C451" s="661">
        <v>1</v>
      </c>
      <c r="D451" s="755">
        <f t="shared" si="24"/>
        <v>11000</v>
      </c>
      <c r="E451" s="682" t="str">
        <f t="shared" si="25"/>
        <v>C2</v>
      </c>
      <c r="F451" s="683">
        <f t="shared" si="26"/>
        <v>11</v>
      </c>
      <c r="H451" s="13">
        <v>202</v>
      </c>
      <c r="I451" s="13">
        <f>VLOOKUP(VLOOKUP(H451,$A$24:$B$1023,2,FALSE),'Scratch Sheet'!$U$23:$X$32,3,FALSE)</f>
        <v>8</v>
      </c>
      <c r="K451" s="13">
        <f t="shared" si="27"/>
        <v>426</v>
      </c>
      <c r="L451" s="13">
        <f>IFERROR(VLOOKUP(VLOOKUP(K451,$A$24:$B$1023,2,FALSE),'Scratch Sheet'!$U$23:$Y$32,5,FALSE)*VLOOKUP(VLOOKUP(K451,$A$24:$E$1023,5,FALSE),'Scratch Sheet'!$L$22:$M$30,2,FALSE),"")</f>
        <v>4500</v>
      </c>
      <c r="N451" s="675">
        <v>677</v>
      </c>
      <c r="O451" s="675" t="str" cm="1">
        <f t="array" ref="O451">IF(OR(INDEX($B$24:$B$1023,N451)="P10",INDEX($B$24:$B$1023,N451)="P11",INDEX($B$24:$B$1023,N451)="P12",INDEX($B$24:$B$1023,N451)="P13"),"C",IF(OR(INDEX($B$24:$B$1023,N451)="P14",INDEX($B$24:$B$1023,N451)="P15",INDEX($B$24:$B$1023,N451)="P16"),"N","O"))&amp;IF(MOD(N451,100)&lt;20,1,IF(MOD(N451,100)&lt;70,2,3))</f>
        <v>O3</v>
      </c>
    </row>
    <row r="452" spans="1:15" ht="16.5" thickBot="1">
      <c r="A452" s="662">
        <v>429</v>
      </c>
      <c r="B452" s="661" t="str" cm="1">
        <f t="array" ref="B452">"P"&amp;INDEX(X!$CL$2:$CL$12,'Scratch Sheet'!H451+1)+9</f>
        <v>P16</v>
      </c>
      <c r="C452" s="661">
        <v>1</v>
      </c>
      <c r="D452" s="755">
        <f t="shared" si="24"/>
        <v>4680</v>
      </c>
      <c r="E452" s="682" t="str">
        <f t="shared" si="25"/>
        <v>N2</v>
      </c>
      <c r="F452" s="683">
        <f t="shared" si="26"/>
        <v>4</v>
      </c>
      <c r="H452" s="13">
        <v>93</v>
      </c>
      <c r="I452" s="13">
        <f>VLOOKUP(VLOOKUP(H452,$A$24:$B$1023,2,FALSE),'Scratch Sheet'!$U$23:$X$32,3,FALSE)</f>
        <v>11</v>
      </c>
      <c r="K452" s="13">
        <f t="shared" si="27"/>
        <v>425</v>
      </c>
      <c r="L452" s="13">
        <f>IFERROR(VLOOKUP(VLOOKUP(K452,$A$24:$B$1023,2,FALSE),'Scratch Sheet'!$U$23:$Y$32,5,FALSE)*VLOOKUP(VLOOKUP(K452,$A$24:$E$1023,5,FALSE),'Scratch Sheet'!$L$22:$M$30,2,FALSE),"")</f>
        <v>4500</v>
      </c>
      <c r="N452" s="675">
        <v>694</v>
      </c>
      <c r="O452" s="675" t="str" cm="1">
        <f t="array" ref="O452">IF(OR(INDEX($B$24:$B$1023,N452)="P10",INDEX($B$24:$B$1023,N452)="P11",INDEX($B$24:$B$1023,N452)="P12",INDEX($B$24:$B$1023,N452)="P13"),"C",IF(OR(INDEX($B$24:$B$1023,N452)="P14",INDEX($B$24:$B$1023,N452)="P15",INDEX($B$24:$B$1023,N452)="P16"),"N","O"))&amp;IF(MOD(N452,100)&lt;20,1,IF(MOD(N452,100)&lt;70,2,3))</f>
        <v>O3</v>
      </c>
    </row>
    <row r="453" spans="1:15" ht="16.5" thickBot="1">
      <c r="A453" s="662">
        <v>430</v>
      </c>
      <c r="B453" s="661" t="str" cm="1">
        <f t="array" ref="B453">"P"&amp;INDEX(X!$CL$2:$CL$12,'Scratch Sheet'!H452+1)+9</f>
        <v>P17</v>
      </c>
      <c r="C453" s="661">
        <v>1</v>
      </c>
      <c r="D453" s="755">
        <f t="shared" si="24"/>
        <v>13200.000000000002</v>
      </c>
      <c r="E453" s="682" t="str">
        <f t="shared" si="25"/>
        <v>O2</v>
      </c>
      <c r="F453" s="683">
        <f t="shared" si="26"/>
        <v>12</v>
      </c>
      <c r="H453" s="13">
        <v>35</v>
      </c>
      <c r="I453" s="13">
        <f>VLOOKUP(VLOOKUP(H453,$A$24:$B$1023,2,FALSE),'Scratch Sheet'!$U$23:$X$32,3,FALSE)</f>
        <v>5</v>
      </c>
      <c r="K453" s="13">
        <f t="shared" si="27"/>
        <v>420</v>
      </c>
      <c r="L453" s="13">
        <f>IFERROR(VLOOKUP(VLOOKUP(K453,$A$24:$B$1023,2,FALSE),'Scratch Sheet'!$U$23:$Y$32,5,FALSE)*VLOOKUP(VLOOKUP(K453,$A$24:$E$1023,5,FALSE),'Scratch Sheet'!$L$22:$M$30,2,FALSE),"")</f>
        <v>2400</v>
      </c>
      <c r="N453" s="675">
        <v>711</v>
      </c>
      <c r="O453" s="675" t="str" cm="1">
        <f t="array" ref="O453">IF(OR(INDEX($B$24:$B$1023,N453)="P10",INDEX($B$24:$B$1023,N453)="P11",INDEX($B$24:$B$1023,N453)="P12",INDEX($B$24:$B$1023,N453)="P13"),"C",IF(OR(INDEX($B$24:$B$1023,N453)="P14",INDEX($B$24:$B$1023,N453)="P15",INDEX($B$24:$B$1023,N453)="P16"),"N","O"))&amp;IF(MOD(N453,100)&lt;20,1,IF(MOD(N453,100)&lt;70,2,3))</f>
        <v>O1</v>
      </c>
    </row>
    <row r="454" spans="1:15" ht="16.5" thickBot="1">
      <c r="A454" s="662">
        <v>431</v>
      </c>
      <c r="B454" s="661" t="str" cm="1">
        <f t="array" ref="B454">"P"&amp;INDEX(X!$CL$2:$CL$12,'Scratch Sheet'!H453+1)+9</f>
        <v>P17</v>
      </c>
      <c r="C454" s="661">
        <v>1</v>
      </c>
      <c r="D454" s="755">
        <f t="shared" si="24"/>
        <v>13200.000000000002</v>
      </c>
      <c r="E454" s="682" t="str">
        <f t="shared" si="25"/>
        <v>O2</v>
      </c>
      <c r="F454" s="683">
        <f t="shared" si="26"/>
        <v>12</v>
      </c>
      <c r="H454" s="13">
        <v>735</v>
      </c>
      <c r="I454" s="13">
        <f>VLOOKUP(VLOOKUP(H454,$A$24:$B$1023,2,FALSE),'Scratch Sheet'!$U$23:$X$32,3,FALSE)</f>
        <v>4</v>
      </c>
      <c r="K454" s="13">
        <f t="shared" si="27"/>
        <v>422</v>
      </c>
      <c r="L454" s="13">
        <f>IFERROR(VLOOKUP(VLOOKUP(K454,$A$24:$B$1023,2,FALSE),'Scratch Sheet'!$U$23:$Y$32,5,FALSE)*VLOOKUP(VLOOKUP(K454,$A$24:$E$1023,5,FALSE),'Scratch Sheet'!$L$22:$M$30,2,FALSE),"")</f>
        <v>5940.0000000000009</v>
      </c>
      <c r="N454" s="675">
        <v>728</v>
      </c>
      <c r="O454" s="675" t="str" cm="1">
        <f t="array" ref="O454">IF(OR(INDEX($B$24:$B$1023,N454)="P10",INDEX($B$24:$B$1023,N454)="P11",INDEX($B$24:$B$1023,N454)="P12",INDEX($B$24:$B$1023,N454)="P13"),"C",IF(OR(INDEX($B$24:$B$1023,N454)="P14",INDEX($B$24:$B$1023,N454)="P15",INDEX($B$24:$B$1023,N454)="P16"),"N","O"))&amp;IF(MOD(N454,100)&lt;20,1,IF(MOD(N454,100)&lt;70,2,3))</f>
        <v>O2</v>
      </c>
    </row>
    <row r="455" spans="1:15" ht="16.5" thickBot="1">
      <c r="A455" s="662">
        <v>432</v>
      </c>
      <c r="B455" s="661" t="str" cm="1">
        <f t="array" ref="B455">"P"&amp;INDEX(X!$CL$2:$CL$12,'Scratch Sheet'!H454+1)+9</f>
        <v>P13</v>
      </c>
      <c r="C455" s="661">
        <v>1</v>
      </c>
      <c r="D455" s="755">
        <f t="shared" si="24"/>
        <v>4500</v>
      </c>
      <c r="E455" s="682" t="str">
        <f t="shared" si="25"/>
        <v>C2</v>
      </c>
      <c r="F455" s="683">
        <f t="shared" si="26"/>
        <v>5</v>
      </c>
      <c r="H455" s="13">
        <v>458</v>
      </c>
      <c r="I455" s="13">
        <f>VLOOKUP(VLOOKUP(H455,$A$24:$B$1023,2,FALSE),'Scratch Sheet'!$U$23:$X$32,3,FALSE)</f>
        <v>3</v>
      </c>
      <c r="K455" s="13">
        <f t="shared" si="27"/>
        <v>421</v>
      </c>
      <c r="L455" s="13">
        <f>IFERROR(VLOOKUP(VLOOKUP(K455,$A$24:$B$1023,2,FALSE),'Scratch Sheet'!$U$23:$Y$32,5,FALSE)*VLOOKUP(VLOOKUP(K455,$A$24:$E$1023,5,FALSE),'Scratch Sheet'!$L$22:$M$30,2,FALSE),"")</f>
        <v>11000</v>
      </c>
      <c r="N455" s="675">
        <v>745</v>
      </c>
      <c r="O455" s="675" t="str" cm="1">
        <f t="array" ref="O455">IF(OR(INDEX($B$24:$B$1023,N455)="P10",INDEX($B$24:$B$1023,N455)="P11",INDEX($B$24:$B$1023,N455)="P12",INDEX($B$24:$B$1023,N455)="P13"),"C",IF(OR(INDEX($B$24:$B$1023,N455)="P14",INDEX($B$24:$B$1023,N455)="P15",INDEX($B$24:$B$1023,N455)="P16"),"N","O"))&amp;IF(MOD(N455,100)&lt;20,1,IF(MOD(N455,100)&lt;70,2,3))</f>
        <v>O2</v>
      </c>
    </row>
    <row r="456" spans="1:15" ht="16.5" thickBot="1">
      <c r="A456" s="662">
        <v>433</v>
      </c>
      <c r="B456" s="661" t="str" cm="1">
        <f t="array" ref="B456">"P"&amp;INDEX(X!$CL$2:$CL$12,'Scratch Sheet'!H455+1)+9</f>
        <v>P11</v>
      </c>
      <c r="C456" s="661">
        <v>1</v>
      </c>
      <c r="D456" s="755">
        <f t="shared" si="24"/>
        <v>11000</v>
      </c>
      <c r="E456" s="682" t="str">
        <f t="shared" si="25"/>
        <v>C2</v>
      </c>
      <c r="F456" s="683">
        <f t="shared" si="26"/>
        <v>11</v>
      </c>
      <c r="H456" s="13">
        <v>465</v>
      </c>
      <c r="I456" s="13">
        <f>VLOOKUP(VLOOKUP(H456,$A$24:$B$1023,2,FALSE),'Scratch Sheet'!$U$23:$X$32,3,FALSE)</f>
        <v>12</v>
      </c>
      <c r="K456" s="13">
        <f t="shared" si="27"/>
        <v>424</v>
      </c>
      <c r="L456" s="13">
        <f>IFERROR(VLOOKUP(VLOOKUP(K456,$A$24:$B$1023,2,FALSE),'Scratch Sheet'!$U$23:$Y$32,5,FALSE)*VLOOKUP(VLOOKUP(K456,$A$24:$E$1023,5,FALSE),'Scratch Sheet'!$L$22:$M$30,2,FALSE),"")</f>
        <v>2400</v>
      </c>
      <c r="N456" s="675">
        <v>762</v>
      </c>
      <c r="O456" s="675" t="str" cm="1">
        <f t="array" ref="O456">IF(OR(INDEX($B$24:$B$1023,N456)="P10",INDEX($B$24:$B$1023,N456)="P11",INDEX($B$24:$B$1023,N456)="P12",INDEX($B$24:$B$1023,N456)="P13"),"C",IF(OR(INDEX($B$24:$B$1023,N456)="P14",INDEX($B$24:$B$1023,N456)="P15",INDEX($B$24:$B$1023,N456)="P16"),"N","O"))&amp;IF(MOD(N456,100)&lt;20,1,IF(MOD(N456,100)&lt;70,2,3))</f>
        <v>O2</v>
      </c>
    </row>
    <row r="457" spans="1:15" ht="16.5" thickBot="1">
      <c r="A457" s="662">
        <v>434</v>
      </c>
      <c r="B457" s="661" t="str" cm="1">
        <f t="array" ref="B457">"P"&amp;INDEX(X!$CL$2:$CL$12,'Scratch Sheet'!H456+1)+9</f>
        <v>P11</v>
      </c>
      <c r="C457" s="661">
        <v>1</v>
      </c>
      <c r="D457" s="755">
        <f t="shared" si="24"/>
        <v>11000</v>
      </c>
      <c r="E457" s="682" t="str">
        <f t="shared" si="25"/>
        <v>C2</v>
      </c>
      <c r="F457" s="683">
        <f t="shared" si="26"/>
        <v>11</v>
      </c>
      <c r="H457" s="13">
        <v>568</v>
      </c>
      <c r="I457" s="13">
        <f>VLOOKUP(VLOOKUP(H457,$A$24:$B$1023,2,FALSE),'Scratch Sheet'!$U$23:$X$32,3,FALSE)</f>
        <v>5</v>
      </c>
      <c r="K457" s="13">
        <f t="shared" si="27"/>
        <v>419</v>
      </c>
      <c r="L457" s="13">
        <f>IFERROR(VLOOKUP(VLOOKUP(K457,$A$24:$B$1023,2,FALSE),'Scratch Sheet'!$U$23:$Y$32,5,FALSE)*VLOOKUP(VLOOKUP(K457,$A$24:$E$1023,5,FALSE),'Scratch Sheet'!$L$22:$M$30,2,FALSE),"")</f>
        <v>2880</v>
      </c>
      <c r="N457" s="675">
        <v>779</v>
      </c>
      <c r="O457" s="675" t="str" cm="1">
        <f t="array" ref="O457">IF(OR(INDEX($B$24:$B$1023,N457)="P10",INDEX($B$24:$B$1023,N457)="P11",INDEX($B$24:$B$1023,N457)="P12",INDEX($B$24:$B$1023,N457)="P13"),"C",IF(OR(INDEX($B$24:$B$1023,N457)="P14",INDEX($B$24:$B$1023,N457)="P15",INDEX($B$24:$B$1023,N457)="P16"),"N","O"))&amp;IF(MOD(N457,100)&lt;20,1,IF(MOD(N457,100)&lt;70,2,3))</f>
        <v>O3</v>
      </c>
    </row>
    <row r="458" spans="1:15" ht="16.5" thickBot="1">
      <c r="A458" s="662">
        <v>435</v>
      </c>
      <c r="B458" s="661" t="str" cm="1">
        <f t="array" ref="B458">"P"&amp;INDEX(X!$CL$2:$CL$12,'Scratch Sheet'!H457+1)+9</f>
        <v>P12</v>
      </c>
      <c r="C458" s="661">
        <v>1</v>
      </c>
      <c r="D458" s="755">
        <f t="shared" si="24"/>
        <v>6825</v>
      </c>
      <c r="E458" s="682" t="str">
        <f t="shared" si="25"/>
        <v>C2</v>
      </c>
      <c r="F458" s="683">
        <f t="shared" si="26"/>
        <v>6.5</v>
      </c>
      <c r="H458" s="13">
        <v>730</v>
      </c>
      <c r="I458" s="13">
        <f>VLOOKUP(VLOOKUP(H458,$A$24:$B$1023,2,FALSE),'Scratch Sheet'!$U$23:$X$32,3,FALSE)</f>
        <v>3</v>
      </c>
      <c r="K458" s="13">
        <f t="shared" si="27"/>
        <v>417</v>
      </c>
      <c r="L458" s="13">
        <f>IFERROR(VLOOKUP(VLOOKUP(K458,$A$24:$B$1023,2,FALSE),'Scratch Sheet'!$U$23:$Y$32,5,FALSE)*VLOOKUP(VLOOKUP(K458,$A$24:$E$1023,5,FALSE),'Scratch Sheet'!$L$22:$M$30,2,FALSE),"")</f>
        <v>13200</v>
      </c>
      <c r="N458" s="675">
        <v>796</v>
      </c>
      <c r="O458" s="675" t="str" cm="1">
        <f t="array" ref="O458">IF(OR(INDEX($B$24:$B$1023,N458)="P10",INDEX($B$24:$B$1023,N458)="P11",INDEX($B$24:$B$1023,N458)="P12",INDEX($B$24:$B$1023,N458)="P13"),"C",IF(OR(INDEX($B$24:$B$1023,N458)="P14",INDEX($B$24:$B$1023,N458)="P15",INDEX($B$24:$B$1023,N458)="P16"),"N","O"))&amp;IF(MOD(N458,100)&lt;20,1,IF(MOD(N458,100)&lt;70,2,3))</f>
        <v>O3</v>
      </c>
    </row>
    <row r="459" spans="1:15" ht="16.5" thickBot="1">
      <c r="A459" s="662">
        <v>436</v>
      </c>
      <c r="B459" s="661" t="str" cm="1">
        <f t="array" ref="B459">"P"&amp;INDEX(X!$CL$2:$CL$12,'Scratch Sheet'!H458+1)+9</f>
        <v>P10</v>
      </c>
      <c r="C459" s="661">
        <v>1</v>
      </c>
      <c r="D459" s="755">
        <f t="shared" si="24"/>
        <v>2400</v>
      </c>
      <c r="E459" s="682" t="str">
        <f t="shared" si="25"/>
        <v>C2</v>
      </c>
      <c r="F459" s="683">
        <f t="shared" si="26"/>
        <v>3</v>
      </c>
      <c r="H459" s="13">
        <v>144</v>
      </c>
      <c r="I459" s="13">
        <f>VLOOKUP(VLOOKUP(H459,$A$24:$B$1023,2,FALSE),'Scratch Sheet'!$U$23:$X$32,3,FALSE)</f>
        <v>11</v>
      </c>
      <c r="K459" s="13">
        <f t="shared" si="27"/>
        <v>418</v>
      </c>
      <c r="L459" s="13">
        <f>IFERROR(VLOOKUP(VLOOKUP(K459,$A$24:$B$1023,2,FALSE),'Scratch Sheet'!$U$23:$Y$32,5,FALSE)*VLOOKUP(VLOOKUP(K459,$A$24:$E$1023,5,FALSE),'Scratch Sheet'!$L$22:$M$30,2,FALSE),"")</f>
        <v>8190</v>
      </c>
      <c r="N459" s="675">
        <v>813</v>
      </c>
      <c r="O459" s="675" t="str" cm="1">
        <f t="array" ref="O459">IF(OR(INDEX($B$24:$B$1023,N459)="P10",INDEX($B$24:$B$1023,N459)="P11",INDEX($B$24:$B$1023,N459)="P12",INDEX($B$24:$B$1023,N459)="P13"),"C",IF(OR(INDEX($B$24:$B$1023,N459)="P14",INDEX($B$24:$B$1023,N459)="P15",INDEX($B$24:$B$1023,N459)="P16"),"N","O"))&amp;IF(MOD(N459,100)&lt;20,1,IF(MOD(N459,100)&lt;70,2,3))</f>
        <v>O1</v>
      </c>
    </row>
    <row r="460" spans="1:15" ht="16.5" thickBot="1">
      <c r="A460" s="662">
        <v>437</v>
      </c>
      <c r="B460" s="661" t="str" cm="1">
        <f t="array" ref="B460">"P"&amp;INDEX(X!$CL$2:$CL$12,'Scratch Sheet'!H459+1)+9</f>
        <v>P10</v>
      </c>
      <c r="C460" s="661">
        <v>1</v>
      </c>
      <c r="D460" s="755">
        <f t="shared" si="24"/>
        <v>2400</v>
      </c>
      <c r="E460" s="682" t="str">
        <f t="shared" si="25"/>
        <v>C2</v>
      </c>
      <c r="F460" s="683">
        <f t="shared" si="26"/>
        <v>3</v>
      </c>
      <c r="H460" s="13">
        <v>478</v>
      </c>
      <c r="I460" s="13">
        <f>VLOOKUP(VLOOKUP(H460,$A$24:$B$1023,2,FALSE),'Scratch Sheet'!$U$23:$X$32,3,FALSE)</f>
        <v>3</v>
      </c>
      <c r="K460" s="13">
        <f t="shared" si="27"/>
        <v>416</v>
      </c>
      <c r="L460" s="13">
        <f>IFERROR(VLOOKUP(VLOOKUP(K460,$A$24:$B$1023,2,FALSE),'Scratch Sheet'!$U$23:$Y$32,5,FALSE)*VLOOKUP(VLOOKUP(K460,$A$24:$E$1023,5,FALSE),'Scratch Sheet'!$L$22:$M$30,2,FALSE),"")</f>
        <v>13200</v>
      </c>
      <c r="N460" s="675">
        <v>830</v>
      </c>
      <c r="O460" s="675" t="str" cm="1">
        <f t="array" ref="O460">IF(OR(INDEX($B$24:$B$1023,N460)="P10",INDEX($B$24:$B$1023,N460)="P11",INDEX($B$24:$B$1023,N460)="P12",INDEX($B$24:$B$1023,N460)="P13"),"C",IF(OR(INDEX($B$24:$B$1023,N460)="P14",INDEX($B$24:$B$1023,N460)="P15",INDEX($B$24:$B$1023,N460)="P16"),"N","O"))&amp;IF(MOD(N460,100)&lt;20,1,IF(MOD(N460,100)&lt;70,2,3))</f>
        <v>O2</v>
      </c>
    </row>
    <row r="461" spans="1:15" ht="16.5" thickBot="1">
      <c r="A461" s="662">
        <v>438</v>
      </c>
      <c r="B461" s="661" t="str" cm="1">
        <f t="array" ref="B461">"P"&amp;INDEX(X!$CL$2:$CL$12,'Scratch Sheet'!H460+1)+9</f>
        <v>P11</v>
      </c>
      <c r="C461" s="661">
        <v>1</v>
      </c>
      <c r="D461" s="755">
        <f t="shared" si="24"/>
        <v>22000</v>
      </c>
      <c r="E461" s="682" t="str">
        <f t="shared" si="25"/>
        <v>C2</v>
      </c>
      <c r="F461" s="683">
        <f t="shared" si="26"/>
        <v>11</v>
      </c>
      <c r="H461" s="13">
        <v>895</v>
      </c>
      <c r="I461" s="13">
        <f>VLOOKUP(VLOOKUP(H461,$A$24:$B$1023,2,FALSE),'Scratch Sheet'!$U$23:$X$32,3,FALSE)</f>
        <v>3</v>
      </c>
      <c r="K461" s="13">
        <f t="shared" si="27"/>
        <v>415</v>
      </c>
      <c r="L461" s="13">
        <f>IFERROR(VLOOKUP(VLOOKUP(K461,$A$24:$B$1023,2,FALSE),'Scratch Sheet'!$U$23:$Y$32,5,FALSE)*VLOOKUP(VLOOKUP(K461,$A$24:$E$1023,5,FALSE),'Scratch Sheet'!$L$22:$M$30,2,FALSE),"")</f>
        <v>5400</v>
      </c>
      <c r="N461" s="675">
        <v>847</v>
      </c>
      <c r="O461" s="675" t="str" cm="1">
        <f t="array" ref="O461">IF(OR(INDEX($B$24:$B$1023,N461)="P10",INDEX($B$24:$B$1023,N461)="P11",INDEX($B$24:$B$1023,N461)="P12",INDEX($B$24:$B$1023,N461)="P13"),"C",IF(OR(INDEX($B$24:$B$1023,N461)="P14",INDEX($B$24:$B$1023,N461)="P15",INDEX($B$24:$B$1023,N461)="P16"),"N","O"))&amp;IF(MOD(N461,100)&lt;20,1,IF(MOD(N461,100)&lt;70,2,3))</f>
        <v>O2</v>
      </c>
    </row>
    <row r="462" spans="1:15" ht="16.5" thickBot="1">
      <c r="A462" s="662">
        <v>439</v>
      </c>
      <c r="B462" s="661" t="str" cm="1">
        <f t="array" ref="B462">"P"&amp;INDEX(X!$CL$2:$CL$12,'Scratch Sheet'!H461+1)+9</f>
        <v>P18</v>
      </c>
      <c r="C462" s="661">
        <v>1</v>
      </c>
      <c r="D462" s="755">
        <f t="shared" si="24"/>
        <v>5940.0000000000009</v>
      </c>
      <c r="E462" s="682" t="str">
        <f t="shared" si="25"/>
        <v>O2</v>
      </c>
      <c r="F462" s="683">
        <f t="shared" si="26"/>
        <v>6</v>
      </c>
      <c r="H462" s="13">
        <v>284</v>
      </c>
      <c r="I462" s="13">
        <f>VLOOKUP(VLOOKUP(H462,$A$24:$B$1023,2,FALSE),'Scratch Sheet'!$U$23:$X$32,3,FALSE)</f>
        <v>3</v>
      </c>
      <c r="K462" s="13">
        <f t="shared" si="27"/>
        <v>427</v>
      </c>
      <c r="L462" s="13">
        <f>IFERROR(VLOOKUP(VLOOKUP(K462,$A$24:$B$1023,2,FALSE),'Scratch Sheet'!$U$23:$Y$32,5,FALSE)*VLOOKUP(VLOOKUP(K462,$A$24:$E$1023,5,FALSE),'Scratch Sheet'!$L$22:$M$30,2,FALSE),"")</f>
        <v>2400</v>
      </c>
      <c r="N462" s="675">
        <v>57</v>
      </c>
      <c r="O462" s="675" t="str" cm="1">
        <f t="array" ref="O462">IF(OR(INDEX($B$24:$B$1023,N462)="P10",INDEX($B$24:$B$1023,N462)="P11",INDEX($B$24:$B$1023,N462)="P12",INDEX($B$24:$B$1023,N462)="P13"),"C",IF(OR(INDEX($B$24:$B$1023,N462)="P14",INDEX($B$24:$B$1023,N462)="P15",INDEX($B$24:$B$1023,N462)="P16"),"N","O"))&amp;IF(MOD(N462,100)&lt;20,1,IF(MOD(N462,100)&lt;70,2,3))</f>
        <v>N2</v>
      </c>
    </row>
    <row r="463" spans="1:15" ht="16.5" thickBot="1">
      <c r="A463" s="662">
        <v>440</v>
      </c>
      <c r="B463" s="661" t="str" cm="1">
        <f t="array" ref="B463">"P"&amp;INDEX(X!$CL$2:$CL$12,'Scratch Sheet'!H462+1)+9</f>
        <v>P14</v>
      </c>
      <c r="C463" s="661">
        <v>1</v>
      </c>
      <c r="D463" s="755">
        <f t="shared" si="24"/>
        <v>6480</v>
      </c>
      <c r="E463" s="682" t="str">
        <f t="shared" si="25"/>
        <v>N2</v>
      </c>
      <c r="F463" s="683">
        <f t="shared" si="26"/>
        <v>8</v>
      </c>
      <c r="H463" s="13">
        <v>594</v>
      </c>
      <c r="I463" s="13">
        <f>VLOOKUP(VLOOKUP(H463,$A$24:$B$1023,2,FALSE),'Scratch Sheet'!$U$23:$X$32,3,FALSE)</f>
        <v>3</v>
      </c>
      <c r="K463" s="13">
        <f t="shared" si="27"/>
        <v>436</v>
      </c>
      <c r="L463" s="13">
        <f>IFERROR(VLOOKUP(VLOOKUP(K463,$A$24:$B$1023,2,FALSE),'Scratch Sheet'!$U$23:$Y$32,5,FALSE)*VLOOKUP(VLOOKUP(K463,$A$24:$E$1023,5,FALSE),'Scratch Sheet'!$L$22:$M$30,2,FALSE),"")</f>
        <v>2400</v>
      </c>
      <c r="N463" s="675">
        <v>59</v>
      </c>
      <c r="O463" s="675" t="str" cm="1">
        <f t="array" ref="O463">IF(OR(INDEX($B$24:$B$1023,N463)="P10",INDEX($B$24:$B$1023,N463)="P11",INDEX($B$24:$B$1023,N463)="P12",INDEX($B$24:$B$1023,N463)="P13"),"C",IF(OR(INDEX($B$24:$B$1023,N463)="P14",INDEX($B$24:$B$1023,N463)="P15",INDEX($B$24:$B$1023,N463)="P16"),"N","O"))&amp;IF(MOD(N463,100)&lt;20,1,IF(MOD(N463,100)&lt;70,2,3))</f>
        <v>N2</v>
      </c>
    </row>
    <row r="464" spans="1:15" ht="16.5" thickBot="1">
      <c r="A464" s="662">
        <v>441</v>
      </c>
      <c r="B464" s="661" t="str" cm="1">
        <f t="array" ref="B464">"P"&amp;INDEX(X!$CL$2:$CL$12,'Scratch Sheet'!H463+1)+9</f>
        <v>P10</v>
      </c>
      <c r="C464" s="661">
        <v>1</v>
      </c>
      <c r="D464" s="755">
        <f t="shared" si="24"/>
        <v>2400</v>
      </c>
      <c r="E464" s="682" t="str">
        <f t="shared" si="25"/>
        <v>C2</v>
      </c>
      <c r="F464" s="683">
        <f t="shared" si="26"/>
        <v>3</v>
      </c>
      <c r="H464" s="13">
        <v>948</v>
      </c>
      <c r="I464" s="13">
        <f>VLOOKUP(VLOOKUP(H464,$A$24:$B$1023,2,FALSE),'Scratch Sheet'!$U$23:$X$32,3,FALSE)</f>
        <v>11</v>
      </c>
      <c r="K464" s="13">
        <f t="shared" si="27"/>
        <v>439</v>
      </c>
      <c r="L464" s="13">
        <f>IFERROR(VLOOKUP(VLOOKUP(K464,$A$24:$B$1023,2,FALSE),'Scratch Sheet'!$U$23:$Y$32,5,FALSE)*VLOOKUP(VLOOKUP(K464,$A$24:$E$1023,5,FALSE),'Scratch Sheet'!$L$22:$M$30,2,FALSE),"")</f>
        <v>5940.0000000000009</v>
      </c>
      <c r="N464" s="675">
        <v>66</v>
      </c>
      <c r="O464" s="675" t="str" cm="1">
        <f t="array" ref="O464">IF(OR(INDEX($B$24:$B$1023,N464)="P10",INDEX($B$24:$B$1023,N464)="P11",INDEX($B$24:$B$1023,N464)="P12",INDEX($B$24:$B$1023,N464)="P13"),"C",IF(OR(INDEX($B$24:$B$1023,N464)="P14",INDEX($B$24:$B$1023,N464)="P15",INDEX($B$24:$B$1023,N464)="P16"),"N","O"))&amp;IF(MOD(N464,100)&lt;20,1,IF(MOD(N464,100)&lt;70,2,3))</f>
        <v>N2</v>
      </c>
    </row>
    <row r="465" spans="1:15" ht="16.5" thickBot="1">
      <c r="A465" s="662">
        <v>442</v>
      </c>
      <c r="B465" s="661" t="str" cm="1">
        <f t="array" ref="B465">"P"&amp;INDEX(X!$CL$2:$CL$12,'Scratch Sheet'!H464+1)+9</f>
        <v>P13</v>
      </c>
      <c r="C465" s="661">
        <v>1</v>
      </c>
      <c r="D465" s="755">
        <f t="shared" si="24"/>
        <v>4500</v>
      </c>
      <c r="E465" s="682" t="str">
        <f t="shared" si="25"/>
        <v>C2</v>
      </c>
      <c r="F465" s="683">
        <f t="shared" si="26"/>
        <v>5</v>
      </c>
      <c r="H465" s="13">
        <v>881</v>
      </c>
      <c r="I465" s="13">
        <f>VLOOKUP(VLOOKUP(H465,$A$24:$B$1023,2,FALSE),'Scratch Sheet'!$U$23:$X$32,3,FALSE)</f>
        <v>6</v>
      </c>
      <c r="K465" s="13">
        <f t="shared" si="27"/>
        <v>438</v>
      </c>
      <c r="L465" s="13">
        <f>IFERROR(VLOOKUP(VLOOKUP(K465,$A$24:$B$1023,2,FALSE),'Scratch Sheet'!$U$23:$Y$32,5,FALSE)*VLOOKUP(VLOOKUP(K465,$A$24:$E$1023,5,FALSE),'Scratch Sheet'!$L$22:$M$30,2,FALSE),"")</f>
        <v>11000</v>
      </c>
      <c r="N465" s="675">
        <v>69</v>
      </c>
      <c r="O465" s="675" t="str" cm="1">
        <f t="array" ref="O465">IF(OR(INDEX($B$24:$B$1023,N465)="P10",INDEX($B$24:$B$1023,N465)="P11",INDEX($B$24:$B$1023,N465)="P12",INDEX($B$24:$B$1023,N465)="P13"),"C",IF(OR(INDEX($B$24:$B$1023,N465)="P14",INDEX($B$24:$B$1023,N465)="P15",INDEX($B$24:$B$1023,N465)="P16"),"N","O"))&amp;IF(MOD(N465,100)&lt;20,1,IF(MOD(N465,100)&lt;70,2,3))</f>
        <v>N2</v>
      </c>
    </row>
    <row r="466" spans="1:15" ht="16.5" thickBot="1">
      <c r="A466" s="662">
        <v>443</v>
      </c>
      <c r="B466" s="661" t="str" cm="1">
        <f t="array" ref="B466">"P"&amp;INDEX(X!$CL$2:$CL$12,'Scratch Sheet'!H465+1)+9</f>
        <v>P13</v>
      </c>
      <c r="C466" s="661">
        <v>1</v>
      </c>
      <c r="D466" s="755">
        <f t="shared" si="24"/>
        <v>4500</v>
      </c>
      <c r="E466" s="682" t="str">
        <f t="shared" si="25"/>
        <v>C2</v>
      </c>
      <c r="F466" s="683">
        <f t="shared" si="26"/>
        <v>5</v>
      </c>
      <c r="H466" s="13">
        <v>616</v>
      </c>
      <c r="I466" s="13">
        <f>VLOOKUP(VLOOKUP(H466,$A$24:$B$1023,2,FALSE),'Scratch Sheet'!$U$23:$X$32,3,FALSE)</f>
        <v>4</v>
      </c>
      <c r="K466" s="13">
        <f t="shared" si="27"/>
        <v>433</v>
      </c>
      <c r="L466" s="13">
        <f>IFERROR(VLOOKUP(VLOOKUP(K466,$A$24:$B$1023,2,FALSE),'Scratch Sheet'!$U$23:$Y$32,5,FALSE)*VLOOKUP(VLOOKUP(K466,$A$24:$E$1023,5,FALSE),'Scratch Sheet'!$L$22:$M$30,2,FALSE),"")</f>
        <v>11000</v>
      </c>
      <c r="N466" s="675">
        <v>74</v>
      </c>
      <c r="O466" s="675" t="str" cm="1">
        <f t="array" ref="O466">IF(OR(INDEX($B$24:$B$1023,N466)="P10",INDEX($B$24:$B$1023,N466)="P11",INDEX($B$24:$B$1023,N466)="P12",INDEX($B$24:$B$1023,N466)="P13"),"C",IF(OR(INDEX($B$24:$B$1023,N466)="P14",INDEX($B$24:$B$1023,N466)="P15",INDEX($B$24:$B$1023,N466)="P16"),"N","O"))&amp;IF(MOD(N466,100)&lt;20,1,IF(MOD(N466,100)&lt;70,2,3))</f>
        <v>N3</v>
      </c>
    </row>
    <row r="467" spans="1:15" ht="16.5" thickBot="1">
      <c r="A467" s="662">
        <v>444</v>
      </c>
      <c r="B467" s="661" t="str" cm="1">
        <f t="array" ref="B467">"P"&amp;INDEX(X!$CL$2:$CL$12,'Scratch Sheet'!H466+1)+9</f>
        <v>P10</v>
      </c>
      <c r="C467" s="661">
        <v>1</v>
      </c>
      <c r="D467" s="755">
        <f t="shared" si="24"/>
        <v>2400</v>
      </c>
      <c r="E467" s="682" t="str">
        <f t="shared" si="25"/>
        <v>C2</v>
      </c>
      <c r="F467" s="683">
        <f t="shared" si="26"/>
        <v>3</v>
      </c>
      <c r="H467" s="13">
        <v>837</v>
      </c>
      <c r="I467" s="13">
        <f>VLOOKUP(VLOOKUP(H467,$A$24:$B$1023,2,FALSE),'Scratch Sheet'!$U$23:$X$32,3,FALSE)</f>
        <v>4</v>
      </c>
      <c r="K467" s="13">
        <f t="shared" si="27"/>
        <v>435</v>
      </c>
      <c r="L467" s="13">
        <f>IFERROR(VLOOKUP(VLOOKUP(K467,$A$24:$B$1023,2,FALSE),'Scratch Sheet'!$U$23:$Y$32,5,FALSE)*VLOOKUP(VLOOKUP(K467,$A$24:$E$1023,5,FALSE),'Scratch Sheet'!$L$22:$M$30,2,FALSE),"")</f>
        <v>6825</v>
      </c>
      <c r="N467" s="675">
        <v>514</v>
      </c>
      <c r="O467" s="675" t="str" cm="1">
        <f t="array" ref="O467">IF(OR(INDEX($B$24:$B$1023,N467)="P10",INDEX($B$24:$B$1023,N467)="P11",INDEX($B$24:$B$1023,N467)="P12",INDEX($B$24:$B$1023,N467)="P13"),"C",IF(OR(INDEX($B$24:$B$1023,N467)="P14",INDEX($B$24:$B$1023,N467)="P15",INDEX($B$24:$B$1023,N467)="P16"),"N","O"))&amp;IF(MOD(N467,100)&lt;20,1,IF(MOD(N467,100)&lt;70,2,3))</f>
        <v>N1</v>
      </c>
    </row>
    <row r="468" spans="1:15" ht="16.5" thickBot="1">
      <c r="A468" s="662">
        <v>445</v>
      </c>
      <c r="B468" s="661" t="str" cm="1">
        <f t="array" ref="B468">"P"&amp;INDEX(X!$CL$2:$CL$12,'Scratch Sheet'!H467+1)+9</f>
        <v>P11</v>
      </c>
      <c r="C468" s="661">
        <v>1</v>
      </c>
      <c r="D468" s="755">
        <f t="shared" si="24"/>
        <v>11000</v>
      </c>
      <c r="E468" s="682" t="str">
        <f t="shared" si="25"/>
        <v>C2</v>
      </c>
      <c r="F468" s="683">
        <f t="shared" si="26"/>
        <v>11</v>
      </c>
      <c r="H468" s="13">
        <v>990</v>
      </c>
      <c r="I468" s="13">
        <f>VLOOKUP(VLOOKUP(H468,$A$24:$B$1023,2,FALSE),'Scratch Sheet'!$U$23:$X$32,3,FALSE)</f>
        <v>4</v>
      </c>
      <c r="K468" s="13">
        <f t="shared" si="27"/>
        <v>434</v>
      </c>
      <c r="L468" s="13">
        <f>IFERROR(VLOOKUP(VLOOKUP(K468,$A$24:$B$1023,2,FALSE),'Scratch Sheet'!$U$23:$Y$32,5,FALSE)*VLOOKUP(VLOOKUP(K468,$A$24:$E$1023,5,FALSE),'Scratch Sheet'!$L$22:$M$30,2,FALSE),"")</f>
        <v>11000</v>
      </c>
      <c r="N468" s="675">
        <v>531</v>
      </c>
      <c r="O468" s="675" t="str" cm="1">
        <f t="array" ref="O468">IF(OR(INDEX($B$24:$B$1023,N468)="P10",INDEX($B$24:$B$1023,N468)="P11",INDEX($B$24:$B$1023,N468)="P12",INDEX($B$24:$B$1023,N468)="P13"),"C",IF(OR(INDEX($B$24:$B$1023,N468)="P14",INDEX($B$24:$B$1023,N468)="P15",INDEX($B$24:$B$1023,N468)="P16"),"N","O"))&amp;IF(MOD(N468,100)&lt;20,1,IF(MOD(N468,100)&lt;70,2,3))</f>
        <v>N2</v>
      </c>
    </row>
    <row r="469" spans="1:15" ht="16.5" thickBot="1">
      <c r="A469" s="662">
        <v>446</v>
      </c>
      <c r="B469" s="661" t="str" cm="1">
        <f t="array" ref="B469">"P"&amp;INDEX(X!$CL$2:$CL$12,'Scratch Sheet'!H468+1)+9</f>
        <v>P16</v>
      </c>
      <c r="C469" s="661">
        <v>1</v>
      </c>
      <c r="D469" s="755">
        <f t="shared" si="24"/>
        <v>4680</v>
      </c>
      <c r="E469" s="682" t="str">
        <f t="shared" si="25"/>
        <v>N2</v>
      </c>
      <c r="F469" s="683">
        <f t="shared" si="26"/>
        <v>4</v>
      </c>
      <c r="H469" s="13">
        <v>700</v>
      </c>
      <c r="I469" s="13">
        <f>VLOOKUP(VLOOKUP(H469,$A$24:$B$1023,2,FALSE),'Scratch Sheet'!$U$23:$X$32,3,FALSE)</f>
        <v>11</v>
      </c>
      <c r="K469" s="13">
        <f t="shared" si="27"/>
        <v>437</v>
      </c>
      <c r="L469" s="13">
        <f>IFERROR(VLOOKUP(VLOOKUP(K469,$A$24:$B$1023,2,FALSE),'Scratch Sheet'!$U$23:$Y$32,5,FALSE)*VLOOKUP(VLOOKUP(K469,$A$24:$E$1023,5,FALSE),'Scratch Sheet'!$L$22:$M$30,2,FALSE),"")</f>
        <v>2400</v>
      </c>
      <c r="N469" s="675">
        <v>548</v>
      </c>
      <c r="O469" s="675" t="str" cm="1">
        <f t="array" ref="O469">IF(OR(INDEX($B$24:$B$1023,N469)="P10",INDEX($B$24:$B$1023,N469)="P11",INDEX($B$24:$B$1023,N469)="P12",INDEX($B$24:$B$1023,N469)="P13"),"C",IF(OR(INDEX($B$24:$B$1023,N469)="P14",INDEX($B$24:$B$1023,N469)="P15",INDEX($B$24:$B$1023,N469)="P16"),"N","O"))&amp;IF(MOD(N469,100)&lt;20,1,IF(MOD(N469,100)&lt;70,2,3))</f>
        <v>N2</v>
      </c>
    </row>
    <row r="470" spans="1:15" ht="16.5" thickBot="1">
      <c r="A470" s="662">
        <v>447</v>
      </c>
      <c r="B470" s="661" t="str" cm="1">
        <f t="array" ref="B470">"P"&amp;INDEX(X!$CL$2:$CL$12,'Scratch Sheet'!H469+1)+9</f>
        <v>P17</v>
      </c>
      <c r="C470" s="661">
        <v>1</v>
      </c>
      <c r="D470" s="755">
        <f t="shared" si="24"/>
        <v>13200.000000000002</v>
      </c>
      <c r="E470" s="682" t="str">
        <f t="shared" si="25"/>
        <v>O2</v>
      </c>
      <c r="F470" s="683">
        <f t="shared" si="26"/>
        <v>12</v>
      </c>
      <c r="H470" s="13">
        <v>323</v>
      </c>
      <c r="I470" s="13">
        <f>VLOOKUP(VLOOKUP(H470,$A$24:$B$1023,2,FALSE),'Scratch Sheet'!$U$23:$X$32,3,FALSE)</f>
        <v>5</v>
      </c>
      <c r="K470" s="13">
        <f t="shared" si="27"/>
        <v>432</v>
      </c>
      <c r="L470" s="13">
        <f>IFERROR(VLOOKUP(VLOOKUP(K470,$A$24:$B$1023,2,FALSE),'Scratch Sheet'!$U$23:$Y$32,5,FALSE)*VLOOKUP(VLOOKUP(K470,$A$24:$E$1023,5,FALSE),'Scratch Sheet'!$L$22:$M$30,2,FALSE),"")</f>
        <v>4500</v>
      </c>
      <c r="N470" s="675">
        <v>565</v>
      </c>
      <c r="O470" s="675" t="str" cm="1">
        <f t="array" ref="O470">IF(OR(INDEX($B$24:$B$1023,N470)="P10",INDEX($B$24:$B$1023,N470)="P11",INDEX($B$24:$B$1023,N470)="P12",INDEX($B$24:$B$1023,N470)="P13"),"C",IF(OR(INDEX($B$24:$B$1023,N470)="P14",INDEX($B$24:$B$1023,N470)="P15",INDEX($B$24:$B$1023,N470)="P16"),"N","O"))&amp;IF(MOD(N470,100)&lt;20,1,IF(MOD(N470,100)&lt;70,2,3))</f>
        <v>N2</v>
      </c>
    </row>
    <row r="471" spans="1:15" ht="16.5" thickBot="1">
      <c r="A471" s="662">
        <v>448</v>
      </c>
      <c r="B471" s="661" t="str" cm="1">
        <f t="array" ref="B471">"P"&amp;INDEX(X!$CL$2:$CL$12,'Scratch Sheet'!H470+1)+9</f>
        <v>P17</v>
      </c>
      <c r="C471" s="661">
        <v>1</v>
      </c>
      <c r="D471" s="755">
        <f t="shared" si="24"/>
        <v>13200.000000000002</v>
      </c>
      <c r="E471" s="682" t="str">
        <f t="shared" si="25"/>
        <v>O2</v>
      </c>
      <c r="F471" s="683">
        <f t="shared" si="26"/>
        <v>12</v>
      </c>
      <c r="H471" s="13">
        <v>534</v>
      </c>
      <c r="I471" s="13">
        <f>VLOOKUP(VLOOKUP(H471,$A$24:$B$1023,2,FALSE),'Scratch Sheet'!$U$23:$X$32,3,FALSE)</f>
        <v>5</v>
      </c>
      <c r="K471" s="13">
        <f t="shared" si="27"/>
        <v>430</v>
      </c>
      <c r="L471" s="13">
        <f>IFERROR(VLOOKUP(VLOOKUP(K471,$A$24:$B$1023,2,FALSE),'Scratch Sheet'!$U$23:$Y$32,5,FALSE)*VLOOKUP(VLOOKUP(K471,$A$24:$E$1023,5,FALSE),'Scratch Sheet'!$L$22:$M$30,2,FALSE),"")</f>
        <v>13200.000000000002</v>
      </c>
      <c r="N471" s="675">
        <v>582</v>
      </c>
      <c r="O471" s="675" t="str" cm="1">
        <f t="array" ref="O471">IF(OR(INDEX($B$24:$B$1023,N471)="P10",INDEX($B$24:$B$1023,N471)="P11",INDEX($B$24:$B$1023,N471)="P12",INDEX($B$24:$B$1023,N471)="P13"),"C",IF(OR(INDEX($B$24:$B$1023,N471)="P14",INDEX($B$24:$B$1023,N471)="P15",INDEX($B$24:$B$1023,N471)="P16"),"N","O"))&amp;IF(MOD(N471,100)&lt;20,1,IF(MOD(N471,100)&lt;70,2,3))</f>
        <v>N3</v>
      </c>
    </row>
    <row r="472" spans="1:15" ht="16.5" thickBot="1">
      <c r="A472" s="662">
        <v>449</v>
      </c>
      <c r="B472" s="661" t="str" cm="1">
        <f t="array" ref="B472">"P"&amp;INDEX(X!$CL$2:$CL$12,'Scratch Sheet'!H471+1)+9</f>
        <v>P13</v>
      </c>
      <c r="C472" s="661">
        <v>1</v>
      </c>
      <c r="D472" s="755">
        <f t="shared" si="24"/>
        <v>4500</v>
      </c>
      <c r="E472" s="682" t="str">
        <f t="shared" si="25"/>
        <v>C2</v>
      </c>
      <c r="F472" s="683">
        <f t="shared" si="26"/>
        <v>5</v>
      </c>
      <c r="H472" s="13">
        <v>605</v>
      </c>
      <c r="I472" s="13">
        <f>VLOOKUP(VLOOKUP(H472,$A$24:$B$1023,2,FALSE),'Scratch Sheet'!$U$23:$X$32,3,FALSE)</f>
        <v>6.5</v>
      </c>
      <c r="K472" s="13">
        <f t="shared" si="27"/>
        <v>431</v>
      </c>
      <c r="L472" s="13">
        <f>IFERROR(VLOOKUP(VLOOKUP(K472,$A$24:$B$1023,2,FALSE),'Scratch Sheet'!$U$23:$Y$32,5,FALSE)*VLOOKUP(VLOOKUP(K472,$A$24:$E$1023,5,FALSE),'Scratch Sheet'!$L$22:$M$30,2,FALSE),"")</f>
        <v>13200.000000000002</v>
      </c>
      <c r="N472" s="675">
        <v>599</v>
      </c>
      <c r="O472" s="675" t="str" cm="1">
        <f t="array" ref="O472">IF(OR(INDEX($B$24:$B$1023,N472)="P10",INDEX($B$24:$B$1023,N472)="P11",INDEX($B$24:$B$1023,N472)="P12",INDEX($B$24:$B$1023,N472)="P13"),"C",IF(OR(INDEX($B$24:$B$1023,N472)="P14",INDEX($B$24:$B$1023,N472)="P15",INDEX($B$24:$B$1023,N472)="P16"),"N","O"))&amp;IF(MOD(N472,100)&lt;20,1,IF(MOD(N472,100)&lt;70,2,3))</f>
        <v>N3</v>
      </c>
    </row>
    <row r="473" spans="1:15" ht="16.5" thickBot="1">
      <c r="A473" s="662">
        <v>450</v>
      </c>
      <c r="B473" s="661" t="str" cm="1">
        <f t="array" ref="B473">"P"&amp;INDEX(X!$CL$2:$CL$12,'Scratch Sheet'!H472+1)+9</f>
        <v>P11</v>
      </c>
      <c r="C473" s="661">
        <v>1</v>
      </c>
      <c r="D473" s="755">
        <f t="shared" ref="D473:D536" si="28">SUMIF($K$24:$K$1053, $A473, $L$24:$L$1053)</f>
        <v>11000</v>
      </c>
      <c r="E473" s="682" t="str">
        <f t="shared" ref="E473:E536" si="29">INDEX($O$24:$O$1023,MATCH($A473,$N$24:$N$1023,0))</f>
        <v>C2</v>
      </c>
      <c r="F473" s="683">
        <f t="shared" ref="F473:F536" si="30">VLOOKUP(A473, $H$24:$I$1023, 2, FALSE)</f>
        <v>11</v>
      </c>
      <c r="H473" s="13">
        <v>677</v>
      </c>
      <c r="I473" s="13">
        <f>VLOOKUP(VLOOKUP(H473,$A$24:$B$1023,2,FALSE),'Scratch Sheet'!$U$23:$X$32,3,FALSE)</f>
        <v>6</v>
      </c>
      <c r="K473" s="13">
        <f t="shared" si="27"/>
        <v>429</v>
      </c>
      <c r="L473" s="13">
        <f>IFERROR(VLOOKUP(VLOOKUP(K473,$A$24:$B$1023,2,FALSE),'Scratch Sheet'!$U$23:$Y$32,5,FALSE)*VLOOKUP(VLOOKUP(K473,$A$24:$E$1023,5,FALSE),'Scratch Sheet'!$L$22:$M$30,2,FALSE),"")</f>
        <v>4680</v>
      </c>
      <c r="N473" s="675">
        <v>616</v>
      </c>
      <c r="O473" s="675" t="str" cm="1">
        <f t="array" ref="O473">IF(OR(INDEX($B$24:$B$1023,N473)="P10",INDEX($B$24:$B$1023,N473)="P11",INDEX($B$24:$B$1023,N473)="P12",INDEX($B$24:$B$1023,N473)="P13"),"C",IF(OR(INDEX($B$24:$B$1023,N473)="P14",INDEX($B$24:$B$1023,N473)="P15",INDEX($B$24:$B$1023,N473)="P16"),"N","O"))&amp;IF(MOD(N473,100)&lt;20,1,IF(MOD(N473,100)&lt;70,2,3))</f>
        <v>N1</v>
      </c>
    </row>
    <row r="474" spans="1:15" ht="16.5" thickBot="1">
      <c r="A474" s="662">
        <v>451</v>
      </c>
      <c r="B474" s="661" t="str" cm="1">
        <f t="array" ref="B474">"P"&amp;INDEX(X!$CL$2:$CL$12,'Scratch Sheet'!H473+1)+9</f>
        <v>P11</v>
      </c>
      <c r="C474" s="661">
        <v>1</v>
      </c>
      <c r="D474" s="755">
        <f t="shared" si="28"/>
        <v>11000</v>
      </c>
      <c r="E474" s="682" t="str">
        <f t="shared" si="29"/>
        <v>C2</v>
      </c>
      <c r="F474" s="683">
        <f t="shared" si="30"/>
        <v>11</v>
      </c>
      <c r="H474" s="13">
        <v>965</v>
      </c>
      <c r="I474" s="13">
        <f>VLOOKUP(VLOOKUP(H474,$A$24:$B$1023,2,FALSE),'Scratch Sheet'!$U$23:$X$32,3,FALSE)</f>
        <v>11</v>
      </c>
      <c r="K474" s="13">
        <f t="shared" si="27"/>
        <v>428</v>
      </c>
      <c r="L474" s="13">
        <f>IFERROR(VLOOKUP(VLOOKUP(K474,$A$24:$B$1023,2,FALSE),'Scratch Sheet'!$U$23:$Y$32,5,FALSE)*VLOOKUP(VLOOKUP(K474,$A$24:$E$1023,5,FALSE),'Scratch Sheet'!$L$22:$M$30,2,FALSE),"")</f>
        <v>11000</v>
      </c>
      <c r="N474" s="675">
        <v>633</v>
      </c>
      <c r="O474" s="675" t="str" cm="1">
        <f t="array" ref="O474">IF(OR(INDEX($B$24:$B$1023,N474)="P10",INDEX($B$24:$B$1023,N474)="P11",INDEX($B$24:$B$1023,N474)="P12",INDEX($B$24:$B$1023,N474)="P13"),"C",IF(OR(INDEX($B$24:$B$1023,N474)="P14",INDEX($B$24:$B$1023,N474)="P15",INDEX($B$24:$B$1023,N474)="P16"),"N","O"))&amp;IF(MOD(N474,100)&lt;20,1,IF(MOD(N474,100)&lt;70,2,3))</f>
        <v>N2</v>
      </c>
    </row>
    <row r="475" spans="1:15" ht="16.5" thickBot="1">
      <c r="A475" s="662">
        <v>452</v>
      </c>
      <c r="B475" s="661" t="str" cm="1">
        <f t="array" ref="B475">"P"&amp;INDEX(X!$CL$2:$CL$12,'Scratch Sheet'!H474+1)+9</f>
        <v>P12</v>
      </c>
      <c r="C475" s="661">
        <v>1</v>
      </c>
      <c r="D475" s="755">
        <f t="shared" si="28"/>
        <v>6825</v>
      </c>
      <c r="E475" s="682" t="str">
        <f t="shared" si="29"/>
        <v>C2</v>
      </c>
      <c r="F475" s="683">
        <f t="shared" si="30"/>
        <v>6.5</v>
      </c>
      <c r="H475" s="13">
        <v>44</v>
      </c>
      <c r="I475" s="13">
        <f>VLOOKUP(VLOOKUP(H475,$A$24:$B$1023,2,FALSE),'Scratch Sheet'!$U$23:$X$32,3,FALSE)</f>
        <v>3</v>
      </c>
      <c r="K475" s="13">
        <f t="shared" si="27"/>
        <v>447</v>
      </c>
      <c r="L475" s="13">
        <f>IFERROR(VLOOKUP(VLOOKUP(K475,$A$24:$B$1023,2,FALSE),'Scratch Sheet'!$U$23:$Y$32,5,FALSE)*VLOOKUP(VLOOKUP(K475,$A$24:$E$1023,5,FALSE),'Scratch Sheet'!$L$22:$M$30,2,FALSE),"")</f>
        <v>13200.000000000002</v>
      </c>
      <c r="N475" s="675">
        <v>650</v>
      </c>
      <c r="O475" s="675" t="str" cm="1">
        <f t="array" ref="O475">IF(OR(INDEX($B$24:$B$1023,N475)="P10",INDEX($B$24:$B$1023,N475)="P11",INDEX($B$24:$B$1023,N475)="P12",INDEX($B$24:$B$1023,N475)="P13"),"C",IF(OR(INDEX($B$24:$B$1023,N475)="P14",INDEX($B$24:$B$1023,N475)="P15",INDEX($B$24:$B$1023,N475)="P16"),"N","O"))&amp;IF(MOD(N475,100)&lt;20,1,IF(MOD(N475,100)&lt;70,2,3))</f>
        <v>N2</v>
      </c>
    </row>
    <row r="476" spans="1:15" ht="16.5" thickBot="1">
      <c r="A476" s="662">
        <v>453</v>
      </c>
      <c r="B476" s="661" t="str" cm="1">
        <f t="array" ref="B476">"P"&amp;INDEX(X!$CL$2:$CL$12,'Scratch Sheet'!H475+1)+9</f>
        <v>P10</v>
      </c>
      <c r="C476" s="661">
        <v>1</v>
      </c>
      <c r="D476" s="755">
        <f t="shared" si="28"/>
        <v>4800</v>
      </c>
      <c r="E476" s="682" t="str">
        <f t="shared" si="29"/>
        <v>C2</v>
      </c>
      <c r="F476" s="683">
        <f t="shared" si="30"/>
        <v>3</v>
      </c>
      <c r="H476" s="13">
        <v>530</v>
      </c>
      <c r="I476" s="13">
        <f>VLOOKUP(VLOOKUP(H476,$A$24:$B$1023,2,FALSE),'Scratch Sheet'!$U$23:$X$32,3,FALSE)</f>
        <v>11</v>
      </c>
      <c r="K476" s="13">
        <f t="shared" si="27"/>
        <v>450</v>
      </c>
      <c r="L476" s="13">
        <f>IFERROR(VLOOKUP(VLOOKUP(K476,$A$24:$B$1023,2,FALSE),'Scratch Sheet'!$U$23:$Y$32,5,FALSE)*VLOOKUP(VLOOKUP(K476,$A$24:$E$1023,5,FALSE),'Scratch Sheet'!$L$22:$M$30,2,FALSE),"")</f>
        <v>11000</v>
      </c>
      <c r="N476" s="675">
        <v>667</v>
      </c>
      <c r="O476" s="675" t="str" cm="1">
        <f t="array" ref="O476">IF(OR(INDEX($B$24:$B$1023,N476)="P10",INDEX($B$24:$B$1023,N476)="P11",INDEX($B$24:$B$1023,N476)="P12",INDEX($B$24:$B$1023,N476)="P13"),"C",IF(OR(INDEX($B$24:$B$1023,N476)="P14",INDEX($B$24:$B$1023,N476)="P15",INDEX($B$24:$B$1023,N476)="P16"),"N","O"))&amp;IF(MOD(N476,100)&lt;20,1,IF(MOD(N476,100)&lt;70,2,3))</f>
        <v>N2</v>
      </c>
    </row>
    <row r="477" spans="1:15" ht="16.5" thickBot="1">
      <c r="A477" s="662">
        <v>454</v>
      </c>
      <c r="B477" s="661" t="str" cm="1">
        <f t="array" ref="B477">"P"&amp;INDEX(X!$CL$2:$CL$12,'Scratch Sheet'!H476+1)+9</f>
        <v>P10</v>
      </c>
      <c r="C477" s="661">
        <v>1</v>
      </c>
      <c r="D477" s="755">
        <f t="shared" si="28"/>
        <v>2400</v>
      </c>
      <c r="E477" s="682" t="str">
        <f t="shared" si="29"/>
        <v>C2</v>
      </c>
      <c r="F477" s="683">
        <f t="shared" si="30"/>
        <v>3</v>
      </c>
      <c r="H477" s="13">
        <v>835</v>
      </c>
      <c r="I477" s="13">
        <f>VLOOKUP(VLOOKUP(H477,$A$24:$B$1023,2,FALSE),'Scratch Sheet'!$U$23:$X$32,3,FALSE)</f>
        <v>3</v>
      </c>
      <c r="K477" s="13">
        <f t="shared" si="27"/>
        <v>449</v>
      </c>
      <c r="L477" s="13">
        <f>IFERROR(VLOOKUP(VLOOKUP(K477,$A$24:$B$1023,2,FALSE),'Scratch Sheet'!$U$23:$Y$32,5,FALSE)*VLOOKUP(VLOOKUP(K477,$A$24:$E$1023,5,FALSE),'Scratch Sheet'!$L$22:$M$30,2,FALSE),"")</f>
        <v>4500</v>
      </c>
      <c r="N477" s="675">
        <v>684</v>
      </c>
      <c r="O477" s="675" t="str" cm="1">
        <f t="array" ref="O477">IF(OR(INDEX($B$24:$B$1023,N477)="P10",INDEX($B$24:$B$1023,N477)="P11",INDEX($B$24:$B$1023,N477)="P12",INDEX($B$24:$B$1023,N477)="P13"),"C",IF(OR(INDEX($B$24:$B$1023,N477)="P14",INDEX($B$24:$B$1023,N477)="P15",INDEX($B$24:$B$1023,N477)="P16"),"N","O"))&amp;IF(MOD(N477,100)&lt;20,1,IF(MOD(N477,100)&lt;70,2,3))</f>
        <v>N3</v>
      </c>
    </row>
    <row r="478" spans="1:15" ht="16.5" thickBot="1">
      <c r="A478" s="662">
        <v>455</v>
      </c>
      <c r="B478" s="661" t="str" cm="1">
        <f t="array" ref="B478">"P"&amp;INDEX(X!$CL$2:$CL$12,'Scratch Sheet'!H477+1)+9</f>
        <v>P11</v>
      </c>
      <c r="C478" s="661">
        <v>1</v>
      </c>
      <c r="D478" s="755">
        <f t="shared" si="28"/>
        <v>11000</v>
      </c>
      <c r="E478" s="682" t="str">
        <f t="shared" si="29"/>
        <v>C2</v>
      </c>
      <c r="F478" s="683">
        <f t="shared" si="30"/>
        <v>11</v>
      </c>
      <c r="H478" s="13">
        <v>753</v>
      </c>
      <c r="I478" s="13">
        <f>VLOOKUP(VLOOKUP(H478,$A$24:$B$1023,2,FALSE),'Scratch Sheet'!$U$23:$X$32,3,FALSE)</f>
        <v>12</v>
      </c>
      <c r="K478" s="13">
        <f t="shared" si="27"/>
        <v>444</v>
      </c>
      <c r="L478" s="13">
        <f>IFERROR(VLOOKUP(VLOOKUP(K478,$A$24:$B$1023,2,FALSE),'Scratch Sheet'!$U$23:$Y$32,5,FALSE)*VLOOKUP(VLOOKUP(K478,$A$24:$E$1023,5,FALSE),'Scratch Sheet'!$L$22:$M$30,2,FALSE),"")</f>
        <v>2400</v>
      </c>
      <c r="N478" s="675">
        <v>701</v>
      </c>
      <c r="O478" s="675" t="str" cm="1">
        <f t="array" ref="O478">IF(OR(INDEX($B$24:$B$1023,N478)="P10",INDEX($B$24:$B$1023,N478)="P11",INDEX($B$24:$B$1023,N478)="P12",INDEX($B$24:$B$1023,N478)="P13"),"C",IF(OR(INDEX($B$24:$B$1023,N478)="P14",INDEX($B$24:$B$1023,N478)="P15",INDEX($B$24:$B$1023,N478)="P16"),"N","O"))&amp;IF(MOD(N478,100)&lt;20,1,IF(MOD(N478,100)&lt;70,2,3))</f>
        <v>N1</v>
      </c>
    </row>
    <row r="479" spans="1:15" ht="16.5" thickBot="1">
      <c r="A479" s="662">
        <v>456</v>
      </c>
      <c r="B479" s="661" t="str" cm="1">
        <f t="array" ref="B479">"P"&amp;INDEX(X!$CL$2:$CL$12,'Scratch Sheet'!H478+1)+9</f>
        <v>P18</v>
      </c>
      <c r="C479" s="661">
        <v>1</v>
      </c>
      <c r="D479" s="755">
        <f t="shared" si="28"/>
        <v>5940.0000000000009</v>
      </c>
      <c r="E479" s="682" t="str">
        <f t="shared" si="29"/>
        <v>O2</v>
      </c>
      <c r="F479" s="683">
        <f t="shared" si="30"/>
        <v>6</v>
      </c>
      <c r="H479" s="13">
        <v>584</v>
      </c>
      <c r="I479" s="13">
        <f>VLOOKUP(VLOOKUP(H479,$A$24:$B$1023,2,FALSE),'Scratch Sheet'!$U$23:$X$32,3,FALSE)</f>
        <v>12</v>
      </c>
      <c r="K479" s="13">
        <f t="shared" si="27"/>
        <v>446</v>
      </c>
      <c r="L479" s="13">
        <f>IFERROR(VLOOKUP(VLOOKUP(K479,$A$24:$B$1023,2,FALSE),'Scratch Sheet'!$U$23:$Y$32,5,FALSE)*VLOOKUP(VLOOKUP(K479,$A$24:$E$1023,5,FALSE),'Scratch Sheet'!$L$22:$M$30,2,FALSE),"")</f>
        <v>4680</v>
      </c>
      <c r="N479" s="675">
        <v>718</v>
      </c>
      <c r="O479" s="675" t="str" cm="1">
        <f t="array" ref="O479">IF(OR(INDEX($B$24:$B$1023,N479)="P10",INDEX($B$24:$B$1023,N479)="P11",INDEX($B$24:$B$1023,N479)="P12",INDEX($B$24:$B$1023,N479)="P13"),"C",IF(OR(INDEX($B$24:$B$1023,N479)="P14",INDEX($B$24:$B$1023,N479)="P15",INDEX($B$24:$B$1023,N479)="P16"),"N","O"))&amp;IF(MOD(N479,100)&lt;20,1,IF(MOD(N479,100)&lt;70,2,3))</f>
        <v>N1</v>
      </c>
    </row>
    <row r="480" spans="1:15" ht="16.5" thickBot="1">
      <c r="A480" s="662">
        <v>457</v>
      </c>
      <c r="B480" s="661" t="str" cm="1">
        <f t="array" ref="B480">"P"&amp;INDEX(X!$CL$2:$CL$12,'Scratch Sheet'!H479+1)+9</f>
        <v>P14</v>
      </c>
      <c r="C480" s="661">
        <v>1</v>
      </c>
      <c r="D480" s="755">
        <f t="shared" si="28"/>
        <v>6480</v>
      </c>
      <c r="E480" s="682" t="str">
        <f t="shared" si="29"/>
        <v>N2</v>
      </c>
      <c r="F480" s="683">
        <f t="shared" si="30"/>
        <v>8</v>
      </c>
      <c r="H480" s="13">
        <v>318</v>
      </c>
      <c r="I480" s="13">
        <f>VLOOKUP(VLOOKUP(H480,$A$24:$B$1023,2,FALSE),'Scratch Sheet'!$U$23:$X$32,3,FALSE)</f>
        <v>3</v>
      </c>
      <c r="K480" s="13">
        <f t="shared" si="27"/>
        <v>445</v>
      </c>
      <c r="L480" s="13">
        <f>IFERROR(VLOOKUP(VLOOKUP(K480,$A$24:$B$1023,2,FALSE),'Scratch Sheet'!$U$23:$Y$32,5,FALSE)*VLOOKUP(VLOOKUP(K480,$A$24:$E$1023,5,FALSE),'Scratch Sheet'!$L$22:$M$30,2,FALSE),"")</f>
        <v>11000</v>
      </c>
      <c r="N480" s="675">
        <v>735</v>
      </c>
      <c r="O480" s="675" t="str" cm="1">
        <f t="array" ref="O480">IF(OR(INDEX($B$24:$B$1023,N480)="P10",INDEX($B$24:$B$1023,N480)="P11",INDEX($B$24:$B$1023,N480)="P12",INDEX($B$24:$B$1023,N480)="P13"),"C",IF(OR(INDEX($B$24:$B$1023,N480)="P14",INDEX($B$24:$B$1023,N480)="P15",INDEX($B$24:$B$1023,N480)="P16"),"N","O"))&amp;IF(MOD(N480,100)&lt;20,1,IF(MOD(N480,100)&lt;70,2,3))</f>
        <v>N2</v>
      </c>
    </row>
    <row r="481" spans="1:15" ht="16.5" thickBot="1">
      <c r="A481" s="662">
        <v>458</v>
      </c>
      <c r="B481" s="661" t="str" cm="1">
        <f t="array" ref="B481">"P"&amp;INDEX(X!$CL$2:$CL$12,'Scratch Sheet'!H480+1)+9</f>
        <v>P10</v>
      </c>
      <c r="C481" s="661">
        <v>1</v>
      </c>
      <c r="D481" s="755">
        <f t="shared" si="28"/>
        <v>2400</v>
      </c>
      <c r="E481" s="682" t="str">
        <f t="shared" si="29"/>
        <v>C2</v>
      </c>
      <c r="F481" s="683">
        <f t="shared" si="30"/>
        <v>3</v>
      </c>
      <c r="H481" s="13">
        <v>823</v>
      </c>
      <c r="I481" s="13">
        <f>VLOOKUP(VLOOKUP(H481,$A$24:$B$1023,2,FALSE),'Scratch Sheet'!$U$23:$X$32,3,FALSE)</f>
        <v>5</v>
      </c>
      <c r="K481" s="13">
        <f t="shared" si="27"/>
        <v>448</v>
      </c>
      <c r="L481" s="13">
        <f>IFERROR(VLOOKUP(VLOOKUP(K481,$A$24:$B$1023,2,FALSE),'Scratch Sheet'!$U$23:$Y$32,5,FALSE)*VLOOKUP(VLOOKUP(K481,$A$24:$E$1023,5,FALSE),'Scratch Sheet'!$L$22:$M$30,2,FALSE),"")</f>
        <v>13200.000000000002</v>
      </c>
      <c r="N481" s="675">
        <v>752</v>
      </c>
      <c r="O481" s="675" t="str" cm="1">
        <f t="array" ref="O481">IF(OR(INDEX($B$24:$B$1023,N481)="P10",INDEX($B$24:$B$1023,N481)="P11",INDEX($B$24:$B$1023,N481)="P12",INDEX($B$24:$B$1023,N481)="P13"),"C",IF(OR(INDEX($B$24:$B$1023,N481)="P14",INDEX($B$24:$B$1023,N481)="P15",INDEX($B$24:$B$1023,N481)="P16"),"N","O"))&amp;IF(MOD(N481,100)&lt;20,1,IF(MOD(N481,100)&lt;70,2,3))</f>
        <v>N2</v>
      </c>
    </row>
    <row r="482" spans="1:15" ht="16.5" thickBot="1">
      <c r="A482" s="662">
        <v>459</v>
      </c>
      <c r="B482" s="661" t="str" cm="1">
        <f t="array" ref="B482">"P"&amp;INDEX(X!$CL$2:$CL$12,'Scratch Sheet'!H481+1)+9</f>
        <v>P13</v>
      </c>
      <c r="C482" s="661">
        <v>1</v>
      </c>
      <c r="D482" s="755">
        <f t="shared" si="28"/>
        <v>4500</v>
      </c>
      <c r="E482" s="682" t="str">
        <f t="shared" si="29"/>
        <v>C2</v>
      </c>
      <c r="F482" s="683">
        <f t="shared" si="30"/>
        <v>5</v>
      </c>
      <c r="H482" s="13">
        <v>631</v>
      </c>
      <c r="I482" s="13">
        <f>VLOOKUP(VLOOKUP(H482,$A$24:$B$1023,2,FALSE),'Scratch Sheet'!$U$23:$X$32,3,FALSE)</f>
        <v>3</v>
      </c>
      <c r="K482" s="13">
        <f t="shared" si="27"/>
        <v>443</v>
      </c>
      <c r="L482" s="13">
        <f>IFERROR(VLOOKUP(VLOOKUP(K482,$A$24:$B$1023,2,FALSE),'Scratch Sheet'!$U$23:$Y$32,5,FALSE)*VLOOKUP(VLOOKUP(K482,$A$24:$E$1023,5,FALSE),'Scratch Sheet'!$L$22:$M$30,2,FALSE),"")</f>
        <v>4500</v>
      </c>
      <c r="N482" s="675">
        <v>769</v>
      </c>
      <c r="O482" s="675" t="str" cm="1">
        <f t="array" ref="O482">IF(OR(INDEX($B$24:$B$1023,N482)="P10",INDEX($B$24:$B$1023,N482)="P11",INDEX($B$24:$B$1023,N482)="P12",INDEX($B$24:$B$1023,N482)="P13"),"C",IF(OR(INDEX($B$24:$B$1023,N482)="P14",INDEX($B$24:$B$1023,N482)="P15",INDEX($B$24:$B$1023,N482)="P16"),"N","O"))&amp;IF(MOD(N482,100)&lt;20,1,IF(MOD(N482,100)&lt;70,2,3))</f>
        <v>N2</v>
      </c>
    </row>
    <row r="483" spans="1:15" ht="16.5" thickBot="1">
      <c r="A483" s="662">
        <v>460</v>
      </c>
      <c r="B483" s="661" t="str" cm="1">
        <f t="array" ref="B483">"P"&amp;INDEX(X!$CL$2:$CL$12,'Scratch Sheet'!H482+1)+9</f>
        <v>P13</v>
      </c>
      <c r="C483" s="661">
        <v>1</v>
      </c>
      <c r="D483" s="755">
        <f t="shared" si="28"/>
        <v>4500</v>
      </c>
      <c r="E483" s="682" t="str">
        <f t="shared" si="29"/>
        <v>C2</v>
      </c>
      <c r="F483" s="683">
        <f t="shared" si="30"/>
        <v>5</v>
      </c>
      <c r="H483" s="13">
        <v>688</v>
      </c>
      <c r="I483" s="13">
        <f>VLOOKUP(VLOOKUP(H483,$A$24:$B$1023,2,FALSE),'Scratch Sheet'!$U$23:$X$32,3,FALSE)</f>
        <v>11</v>
      </c>
      <c r="K483" s="13">
        <f t="shared" si="27"/>
        <v>441</v>
      </c>
      <c r="L483" s="13">
        <f>IFERROR(VLOOKUP(VLOOKUP(K483,$A$24:$B$1023,2,FALSE),'Scratch Sheet'!$U$23:$Y$32,5,FALSE)*VLOOKUP(VLOOKUP(K483,$A$24:$E$1023,5,FALSE),'Scratch Sheet'!$L$22:$M$30,2,FALSE),"")</f>
        <v>2400</v>
      </c>
      <c r="N483" s="675">
        <v>786</v>
      </c>
      <c r="O483" s="675" t="str" cm="1">
        <f t="array" ref="O483">IF(OR(INDEX($B$24:$B$1023,N483)="P10",INDEX($B$24:$B$1023,N483)="P11",INDEX($B$24:$B$1023,N483)="P12",INDEX($B$24:$B$1023,N483)="P13"),"C",IF(OR(INDEX($B$24:$B$1023,N483)="P14",INDEX($B$24:$B$1023,N483)="P15",INDEX($B$24:$B$1023,N483)="P16"),"N","O"))&amp;IF(MOD(N483,100)&lt;20,1,IF(MOD(N483,100)&lt;70,2,3))</f>
        <v>N3</v>
      </c>
    </row>
    <row r="484" spans="1:15" ht="16.5" thickBot="1">
      <c r="A484" s="662">
        <v>461</v>
      </c>
      <c r="B484" s="661" t="str" cm="1">
        <f t="array" ref="B484">"P"&amp;INDEX(X!$CL$2:$CL$12,'Scratch Sheet'!H483+1)+9</f>
        <v>P10</v>
      </c>
      <c r="C484" s="661">
        <v>1</v>
      </c>
      <c r="D484" s="755">
        <f t="shared" si="28"/>
        <v>2400</v>
      </c>
      <c r="E484" s="682" t="str">
        <f t="shared" si="29"/>
        <v>C2</v>
      </c>
      <c r="F484" s="683">
        <f t="shared" si="30"/>
        <v>3</v>
      </c>
      <c r="H484" s="13">
        <v>372</v>
      </c>
      <c r="I484" s="13">
        <f>VLOOKUP(VLOOKUP(H484,$A$24:$B$1023,2,FALSE),'Scratch Sheet'!$U$23:$X$32,3,FALSE)</f>
        <v>8</v>
      </c>
      <c r="K484" s="13">
        <f t="shared" si="27"/>
        <v>442</v>
      </c>
      <c r="L484" s="13">
        <f>IFERROR(VLOOKUP(VLOOKUP(K484,$A$24:$B$1023,2,FALSE),'Scratch Sheet'!$U$23:$Y$32,5,FALSE)*VLOOKUP(VLOOKUP(K484,$A$24:$E$1023,5,FALSE),'Scratch Sheet'!$L$22:$M$30,2,FALSE),"")</f>
        <v>4500</v>
      </c>
      <c r="N484" s="675">
        <v>803</v>
      </c>
      <c r="O484" s="675" t="str" cm="1">
        <f t="array" ref="O484">IF(OR(INDEX($B$24:$B$1023,N484)="P10",INDEX($B$24:$B$1023,N484)="P11",INDEX($B$24:$B$1023,N484)="P12",INDEX($B$24:$B$1023,N484)="P13"),"C",IF(OR(INDEX($B$24:$B$1023,N484)="P14",INDEX($B$24:$B$1023,N484)="P15",INDEX($B$24:$B$1023,N484)="P16"),"N","O"))&amp;IF(MOD(N484,100)&lt;20,1,IF(MOD(N484,100)&lt;70,2,3))</f>
        <v>N1</v>
      </c>
    </row>
    <row r="485" spans="1:15" ht="16.5" thickBot="1">
      <c r="A485" s="662">
        <v>462</v>
      </c>
      <c r="B485" s="661" t="str" cm="1">
        <f t="array" ref="B485">"P"&amp;INDEX(X!$CL$2:$CL$12,'Scratch Sheet'!H484+1)+9</f>
        <v>P11</v>
      </c>
      <c r="C485" s="661">
        <v>1</v>
      </c>
      <c r="D485" s="755">
        <f t="shared" si="28"/>
        <v>11000</v>
      </c>
      <c r="E485" s="682" t="str">
        <f t="shared" si="29"/>
        <v>C2</v>
      </c>
      <c r="F485" s="683">
        <f t="shared" si="30"/>
        <v>11</v>
      </c>
      <c r="H485" s="13">
        <v>689</v>
      </c>
      <c r="I485" s="13">
        <f>VLOOKUP(VLOOKUP(H485,$A$24:$B$1023,2,FALSE),'Scratch Sheet'!$U$23:$X$32,3,FALSE)</f>
        <v>11</v>
      </c>
      <c r="K485" s="13">
        <f t="shared" si="27"/>
        <v>440</v>
      </c>
      <c r="L485" s="13">
        <f>IFERROR(VLOOKUP(VLOOKUP(K485,$A$24:$B$1023,2,FALSE),'Scratch Sheet'!$U$23:$Y$32,5,FALSE)*VLOOKUP(VLOOKUP(K485,$A$24:$E$1023,5,FALSE),'Scratch Sheet'!$L$22:$M$30,2,FALSE),"")</f>
        <v>6480</v>
      </c>
      <c r="N485" s="675">
        <v>820</v>
      </c>
      <c r="O485" s="675" t="str" cm="1">
        <f t="array" ref="O485">IF(OR(INDEX($B$24:$B$1023,N485)="P10",INDEX($B$24:$B$1023,N485)="P11",INDEX($B$24:$B$1023,N485)="P12",INDEX($B$24:$B$1023,N485)="P13"),"C",IF(OR(INDEX($B$24:$B$1023,N485)="P14",INDEX($B$24:$B$1023,N485)="P15",INDEX($B$24:$B$1023,N485)="P16"),"N","O"))&amp;IF(MOD(N485,100)&lt;20,1,IF(MOD(N485,100)&lt;70,2,3))</f>
        <v>N2</v>
      </c>
    </row>
    <row r="486" spans="1:15" ht="16.5" thickBot="1">
      <c r="A486" s="662">
        <v>463</v>
      </c>
      <c r="B486" s="661" t="str" cm="1">
        <f t="array" ref="B486">"P"&amp;INDEX(X!$CL$2:$CL$12,'Scratch Sheet'!H485+1)+9</f>
        <v>P16</v>
      </c>
      <c r="C486" s="661">
        <v>1</v>
      </c>
      <c r="D486" s="755">
        <f t="shared" si="28"/>
        <v>4680</v>
      </c>
      <c r="E486" s="682" t="str">
        <f t="shared" si="29"/>
        <v>N2</v>
      </c>
      <c r="F486" s="683">
        <f t="shared" si="30"/>
        <v>4</v>
      </c>
      <c r="H486" s="13">
        <v>148</v>
      </c>
      <c r="I486" s="13">
        <f>VLOOKUP(VLOOKUP(H486,$A$24:$B$1023,2,FALSE),'Scratch Sheet'!$U$23:$X$32,3,FALSE)</f>
        <v>3</v>
      </c>
      <c r="K486" s="13">
        <f t="shared" si="27"/>
        <v>458</v>
      </c>
      <c r="L486" s="13">
        <f>IFERROR(VLOOKUP(VLOOKUP(K486,$A$24:$B$1023,2,FALSE),'Scratch Sheet'!$U$23:$Y$32,5,FALSE)*VLOOKUP(VLOOKUP(K486,$A$24:$E$1023,5,FALSE),'Scratch Sheet'!$L$22:$M$30,2,FALSE),"")</f>
        <v>2400</v>
      </c>
      <c r="N486" s="675">
        <v>837</v>
      </c>
      <c r="O486" s="675" t="str" cm="1">
        <f t="array" ref="O486">IF(OR(INDEX($B$24:$B$1023,N486)="P10",INDEX($B$24:$B$1023,N486)="P11",INDEX($B$24:$B$1023,N486)="P12",INDEX($B$24:$B$1023,N486)="P13"),"C",IF(OR(INDEX($B$24:$B$1023,N486)="P14",INDEX($B$24:$B$1023,N486)="P15",INDEX($B$24:$B$1023,N486)="P16"),"N","O"))&amp;IF(MOD(N486,100)&lt;20,1,IF(MOD(N486,100)&lt;70,2,3))</f>
        <v>N2</v>
      </c>
    </row>
    <row r="487" spans="1:15" ht="16.5" thickBot="1">
      <c r="A487" s="662">
        <v>464</v>
      </c>
      <c r="B487" s="661" t="str" cm="1">
        <f t="array" ref="B487">"P"&amp;INDEX(X!$CL$2:$CL$12,'Scratch Sheet'!H486+1)+9</f>
        <v>P17</v>
      </c>
      <c r="C487" s="661">
        <v>1</v>
      </c>
      <c r="D487" s="755">
        <f t="shared" si="28"/>
        <v>13200.000000000002</v>
      </c>
      <c r="E487" s="682" t="str">
        <f t="shared" si="29"/>
        <v>O2</v>
      </c>
      <c r="F487" s="683">
        <f t="shared" si="30"/>
        <v>12</v>
      </c>
      <c r="H487" s="13">
        <v>39</v>
      </c>
      <c r="I487" s="13">
        <f>VLOOKUP(VLOOKUP(H487,$A$24:$B$1023,2,FALSE),'Scratch Sheet'!$U$23:$X$32,3,FALSE)</f>
        <v>12</v>
      </c>
      <c r="K487" s="13">
        <f t="shared" si="27"/>
        <v>461</v>
      </c>
      <c r="L487" s="13">
        <f>IFERROR(VLOOKUP(VLOOKUP(K487,$A$24:$B$1023,2,FALSE),'Scratch Sheet'!$U$23:$Y$32,5,FALSE)*VLOOKUP(VLOOKUP(K487,$A$24:$E$1023,5,FALSE),'Scratch Sheet'!$L$22:$M$30,2,FALSE),"")</f>
        <v>2400</v>
      </c>
      <c r="N487" s="675">
        <v>854</v>
      </c>
      <c r="O487" s="675" t="str" cm="1">
        <f t="array" ref="O487">IF(OR(INDEX($B$24:$B$1023,N487)="P10",INDEX($B$24:$B$1023,N487)="P11",INDEX($B$24:$B$1023,N487)="P12",INDEX($B$24:$B$1023,N487)="P13"),"C",IF(OR(INDEX($B$24:$B$1023,N487)="P14",INDEX($B$24:$B$1023,N487)="P15",INDEX($B$24:$B$1023,N487)="P16"),"N","O"))&amp;IF(MOD(N487,100)&lt;20,1,IF(MOD(N487,100)&lt;70,2,3))</f>
        <v>N2</v>
      </c>
    </row>
    <row r="488" spans="1:15" ht="16.5" thickBot="1">
      <c r="A488" s="662">
        <v>465</v>
      </c>
      <c r="B488" s="661" t="str" cm="1">
        <f t="array" ref="B488">"P"&amp;INDEX(X!$CL$2:$CL$12,'Scratch Sheet'!H487+1)+9</f>
        <v>P17</v>
      </c>
      <c r="C488" s="661">
        <v>1</v>
      </c>
      <c r="D488" s="755">
        <f t="shared" si="28"/>
        <v>13200.000000000002</v>
      </c>
      <c r="E488" s="682" t="str">
        <f t="shared" si="29"/>
        <v>O2</v>
      </c>
      <c r="F488" s="683">
        <f t="shared" si="30"/>
        <v>12</v>
      </c>
      <c r="H488" s="13">
        <v>813</v>
      </c>
      <c r="I488" s="13">
        <f>VLOOKUP(VLOOKUP(H488,$A$24:$B$1023,2,FALSE),'Scratch Sheet'!$U$23:$X$32,3,FALSE)</f>
        <v>6</v>
      </c>
      <c r="K488" s="13">
        <f t="shared" si="27"/>
        <v>460</v>
      </c>
      <c r="L488" s="13">
        <f>IFERROR(VLOOKUP(VLOOKUP(K488,$A$24:$B$1023,2,FALSE),'Scratch Sheet'!$U$23:$Y$32,5,FALSE)*VLOOKUP(VLOOKUP(K488,$A$24:$E$1023,5,FALSE),'Scratch Sheet'!$L$22:$M$30,2,FALSE),"")</f>
        <v>4500</v>
      </c>
      <c r="N488" s="675">
        <v>864</v>
      </c>
      <c r="O488" s="675" t="str" cm="1">
        <f t="array" ref="O488">IF(OR(INDEX($B$24:$B$1023,N488)="P10",INDEX($B$24:$B$1023,N488)="P11",INDEX($B$24:$B$1023,N488)="P12",INDEX($B$24:$B$1023,N488)="P13"),"C",IF(OR(INDEX($B$24:$B$1023,N488)="P14",INDEX($B$24:$B$1023,N488)="P15",INDEX($B$24:$B$1023,N488)="P16"),"N","O"))&amp;IF(MOD(N488,100)&lt;20,1,IF(MOD(N488,100)&lt;70,2,3))</f>
        <v>O2</v>
      </c>
    </row>
    <row r="489" spans="1:15" ht="16.5" thickBot="1">
      <c r="A489" s="662">
        <v>466</v>
      </c>
      <c r="B489" s="661" t="str" cm="1">
        <f t="array" ref="B489">"P"&amp;INDEX(X!$CL$2:$CL$12,'Scratch Sheet'!H488+1)+9</f>
        <v>P13</v>
      </c>
      <c r="C489" s="661">
        <v>1</v>
      </c>
      <c r="D489" s="755">
        <f t="shared" si="28"/>
        <v>4500</v>
      </c>
      <c r="E489" s="682" t="str">
        <f t="shared" si="29"/>
        <v>C2</v>
      </c>
      <c r="F489" s="683">
        <f t="shared" si="30"/>
        <v>5</v>
      </c>
      <c r="H489" s="13">
        <v>718</v>
      </c>
      <c r="I489" s="13">
        <f>VLOOKUP(VLOOKUP(H489,$A$24:$B$1023,2,FALSE),'Scratch Sheet'!$U$23:$X$32,3,FALSE)</f>
        <v>4</v>
      </c>
      <c r="K489" s="13">
        <f t="shared" si="27"/>
        <v>455</v>
      </c>
      <c r="L489" s="13">
        <f>IFERROR(VLOOKUP(VLOOKUP(K489,$A$24:$B$1023,2,FALSE),'Scratch Sheet'!$U$23:$Y$32,5,FALSE)*VLOOKUP(VLOOKUP(K489,$A$24:$E$1023,5,FALSE),'Scratch Sheet'!$L$22:$M$30,2,FALSE),"")</f>
        <v>11000</v>
      </c>
      <c r="N489" s="675">
        <v>871</v>
      </c>
      <c r="O489" s="675" t="str" cm="1">
        <f t="array" ref="O489">IF(OR(INDEX($B$24:$B$1023,N489)="P10",INDEX($B$24:$B$1023,N489)="P11",INDEX($B$24:$B$1023,N489)="P12",INDEX($B$24:$B$1023,N489)="P13"),"C",IF(OR(INDEX($B$24:$B$1023,N489)="P14",INDEX($B$24:$B$1023,N489)="P15",INDEX($B$24:$B$1023,N489)="P16"),"N","O"))&amp;IF(MOD(N489,100)&lt;20,1,IF(MOD(N489,100)&lt;70,2,3))</f>
        <v>N3</v>
      </c>
    </row>
    <row r="490" spans="1:15" ht="16.5" thickBot="1">
      <c r="A490" s="662">
        <v>467</v>
      </c>
      <c r="B490" s="661" t="str" cm="1">
        <f t="array" ref="B490">"P"&amp;INDEX(X!$CL$2:$CL$12,'Scratch Sheet'!H489+1)+9</f>
        <v>P11</v>
      </c>
      <c r="C490" s="661">
        <v>1</v>
      </c>
      <c r="D490" s="755">
        <f t="shared" si="28"/>
        <v>11000</v>
      </c>
      <c r="E490" s="682" t="str">
        <f t="shared" si="29"/>
        <v>C2</v>
      </c>
      <c r="F490" s="683">
        <f t="shared" si="30"/>
        <v>11</v>
      </c>
      <c r="H490" s="13">
        <v>281</v>
      </c>
      <c r="I490" s="13">
        <f>VLOOKUP(VLOOKUP(H490,$A$24:$B$1023,2,FALSE),'Scratch Sheet'!$U$23:$X$32,3,FALSE)</f>
        <v>11</v>
      </c>
      <c r="K490" s="13">
        <f t="shared" si="27"/>
        <v>457</v>
      </c>
      <c r="L490" s="13">
        <f>IFERROR(VLOOKUP(VLOOKUP(K490,$A$24:$B$1023,2,FALSE),'Scratch Sheet'!$U$23:$Y$32,5,FALSE)*VLOOKUP(VLOOKUP(K490,$A$24:$E$1023,5,FALSE),'Scratch Sheet'!$L$22:$M$30,2,FALSE),"")</f>
        <v>6480</v>
      </c>
      <c r="N490" s="675">
        <v>881</v>
      </c>
      <c r="O490" s="675" t="str" cm="1">
        <f t="array" ref="O490">IF(OR(INDEX($B$24:$B$1023,N490)="P10",INDEX($B$24:$B$1023,N490)="P11",INDEX($B$24:$B$1023,N490)="P12",INDEX($B$24:$B$1023,N490)="P13"),"C",IF(OR(INDEX($B$24:$B$1023,N490)="P14",INDEX($B$24:$B$1023,N490)="P15",INDEX($B$24:$B$1023,N490)="P16"),"N","O"))&amp;IF(MOD(N490,100)&lt;20,1,IF(MOD(N490,100)&lt;70,2,3))</f>
        <v>O3</v>
      </c>
    </row>
    <row r="491" spans="1:15" ht="16.5" thickBot="1">
      <c r="A491" s="662">
        <v>468</v>
      </c>
      <c r="B491" s="661" t="str" cm="1">
        <f t="array" ref="B491">"P"&amp;INDEX(X!$CL$2:$CL$12,'Scratch Sheet'!H490+1)+9</f>
        <v>P11</v>
      </c>
      <c r="C491" s="661">
        <v>1</v>
      </c>
      <c r="D491" s="755">
        <f t="shared" si="28"/>
        <v>11000</v>
      </c>
      <c r="E491" s="682" t="str">
        <f t="shared" si="29"/>
        <v>C2</v>
      </c>
      <c r="F491" s="683">
        <f t="shared" si="30"/>
        <v>11</v>
      </c>
      <c r="H491" s="13">
        <v>225</v>
      </c>
      <c r="I491" s="13">
        <f>VLOOKUP(VLOOKUP(H491,$A$24:$B$1023,2,FALSE),'Scratch Sheet'!$U$23:$X$32,3,FALSE)</f>
        <v>4</v>
      </c>
      <c r="K491" s="13">
        <f t="shared" si="27"/>
        <v>456</v>
      </c>
      <c r="L491" s="13">
        <f>IFERROR(VLOOKUP(VLOOKUP(K491,$A$24:$B$1023,2,FALSE),'Scratch Sheet'!$U$23:$Y$32,5,FALSE)*VLOOKUP(VLOOKUP(K491,$A$24:$E$1023,5,FALSE),'Scratch Sheet'!$L$22:$M$30,2,FALSE),"")</f>
        <v>5940.0000000000009</v>
      </c>
      <c r="N491" s="675">
        <v>888</v>
      </c>
      <c r="O491" s="675" t="str" cm="1">
        <f t="array" ref="O491">IF(OR(INDEX($B$24:$B$1023,N491)="P10",INDEX($B$24:$B$1023,N491)="P11",INDEX($B$24:$B$1023,N491)="P12",INDEX($B$24:$B$1023,N491)="P13"),"C",IF(OR(INDEX($B$24:$B$1023,N491)="P14",INDEX($B$24:$B$1023,N491)="P15",INDEX($B$24:$B$1023,N491)="P16"),"N","O"))&amp;IF(MOD(N491,100)&lt;20,1,IF(MOD(N491,100)&lt;70,2,3))</f>
        <v>N3</v>
      </c>
    </row>
    <row r="492" spans="1:15" ht="16.5" thickBot="1">
      <c r="A492" s="662">
        <v>469</v>
      </c>
      <c r="B492" s="661" t="str" cm="1">
        <f t="array" ref="B492">"P"&amp;INDEX(X!$CL$2:$CL$12,'Scratch Sheet'!H491+1)+9</f>
        <v>P12</v>
      </c>
      <c r="C492" s="661">
        <v>1</v>
      </c>
      <c r="D492" s="755">
        <f t="shared" si="28"/>
        <v>6825</v>
      </c>
      <c r="E492" s="682" t="str">
        <f t="shared" si="29"/>
        <v>C2</v>
      </c>
      <c r="F492" s="683">
        <f t="shared" si="30"/>
        <v>6.5</v>
      </c>
      <c r="H492" s="13">
        <v>361</v>
      </c>
      <c r="I492" s="13">
        <f>VLOOKUP(VLOOKUP(H492,$A$24:$B$1023,2,FALSE),'Scratch Sheet'!$U$23:$X$32,3,FALSE)</f>
        <v>4</v>
      </c>
      <c r="K492" s="13">
        <f t="shared" si="27"/>
        <v>459</v>
      </c>
      <c r="L492" s="13">
        <f>IFERROR(VLOOKUP(VLOOKUP(K492,$A$24:$B$1023,2,FALSE),'Scratch Sheet'!$U$23:$Y$32,5,FALSE)*VLOOKUP(VLOOKUP(K492,$A$24:$E$1023,5,FALSE),'Scratch Sheet'!$L$22:$M$30,2,FALSE),"")</f>
        <v>4500</v>
      </c>
      <c r="N492" s="675">
        <v>898</v>
      </c>
      <c r="O492" s="675" t="str" cm="1">
        <f t="array" ref="O492">IF(OR(INDEX($B$24:$B$1023,N492)="P10",INDEX($B$24:$B$1023,N492)="P11",INDEX($B$24:$B$1023,N492)="P12",INDEX($B$24:$B$1023,N492)="P13"),"C",IF(OR(INDEX($B$24:$B$1023,N492)="P14",INDEX($B$24:$B$1023,N492)="P15",INDEX($B$24:$B$1023,N492)="P16"),"N","O"))&amp;IF(MOD(N492,100)&lt;20,1,IF(MOD(N492,100)&lt;70,2,3))</f>
        <v>O3</v>
      </c>
    </row>
    <row r="493" spans="1:15" ht="16.5" thickBot="1">
      <c r="A493" s="662">
        <v>470</v>
      </c>
      <c r="B493" s="661" t="str" cm="1">
        <f t="array" ref="B493">"P"&amp;INDEX(X!$CL$2:$CL$12,'Scratch Sheet'!H492+1)+9</f>
        <v>P10</v>
      </c>
      <c r="C493" s="661">
        <v>1</v>
      </c>
      <c r="D493" s="755">
        <f t="shared" si="28"/>
        <v>1920</v>
      </c>
      <c r="E493" s="682" t="str">
        <f t="shared" si="29"/>
        <v>C3</v>
      </c>
      <c r="F493" s="683">
        <f t="shared" si="30"/>
        <v>3</v>
      </c>
      <c r="H493" s="13">
        <v>103</v>
      </c>
      <c r="I493" s="13">
        <f>VLOOKUP(VLOOKUP(H493,$A$24:$B$1023,2,FALSE),'Scratch Sheet'!$U$23:$X$32,3,FALSE)</f>
        <v>5</v>
      </c>
      <c r="K493" s="13">
        <f t="shared" si="27"/>
        <v>454</v>
      </c>
      <c r="L493" s="13">
        <f>IFERROR(VLOOKUP(VLOOKUP(K493,$A$24:$B$1023,2,FALSE),'Scratch Sheet'!$U$23:$Y$32,5,FALSE)*VLOOKUP(VLOOKUP(K493,$A$24:$E$1023,5,FALSE),'Scratch Sheet'!$L$22:$M$30,2,FALSE),"")</f>
        <v>2400</v>
      </c>
      <c r="N493" s="675">
        <v>905</v>
      </c>
      <c r="O493" s="675" t="str" cm="1">
        <f t="array" ref="O493">IF(OR(INDEX($B$24:$B$1023,N493)="P10",INDEX($B$24:$B$1023,N493)="P11",INDEX($B$24:$B$1023,N493)="P12",INDEX($B$24:$B$1023,N493)="P13"),"C",IF(OR(INDEX($B$24:$B$1023,N493)="P14",INDEX($B$24:$B$1023,N493)="P15",INDEX($B$24:$B$1023,N493)="P16"),"N","O"))&amp;IF(MOD(N493,100)&lt;20,1,IF(MOD(N493,100)&lt;70,2,3))</f>
        <v>N1</v>
      </c>
    </row>
    <row r="494" spans="1:15" ht="16.5" thickBot="1">
      <c r="A494" s="662">
        <v>471</v>
      </c>
      <c r="B494" s="661" t="str" cm="1">
        <f t="array" ref="B494">"P"&amp;INDEX(X!$CL$2:$CL$12,'Scratch Sheet'!H493+1)+9</f>
        <v>P10</v>
      </c>
      <c r="C494" s="661">
        <v>1</v>
      </c>
      <c r="D494" s="755">
        <f t="shared" si="28"/>
        <v>1920</v>
      </c>
      <c r="E494" s="682" t="str">
        <f t="shared" si="29"/>
        <v>C3</v>
      </c>
      <c r="F494" s="683">
        <f t="shared" si="30"/>
        <v>3</v>
      </c>
      <c r="H494" s="13">
        <v>54</v>
      </c>
      <c r="I494" s="13">
        <f>VLOOKUP(VLOOKUP(H494,$A$24:$B$1023,2,FALSE),'Scratch Sheet'!$U$23:$X$32,3,FALSE)</f>
        <v>5</v>
      </c>
      <c r="K494" s="13">
        <f t="shared" si="27"/>
        <v>452</v>
      </c>
      <c r="L494" s="13">
        <f>IFERROR(VLOOKUP(VLOOKUP(K494,$A$24:$B$1023,2,FALSE),'Scratch Sheet'!$U$23:$Y$32,5,FALSE)*VLOOKUP(VLOOKUP(K494,$A$24:$E$1023,5,FALSE),'Scratch Sheet'!$L$22:$M$30,2,FALSE),"")</f>
        <v>6825</v>
      </c>
      <c r="N494" s="675">
        <v>915</v>
      </c>
      <c r="O494" s="675" t="str" cm="1">
        <f t="array" ref="O494">IF(OR(INDEX($B$24:$B$1023,N494)="P10",INDEX($B$24:$B$1023,N494)="P11",INDEX($B$24:$B$1023,N494)="P12",INDEX($B$24:$B$1023,N494)="P13"),"C",IF(OR(INDEX($B$24:$B$1023,N494)="P14",INDEX($B$24:$B$1023,N494)="P15",INDEX($B$24:$B$1023,N494)="P16"),"N","O"))&amp;IF(MOD(N494,100)&lt;20,1,IF(MOD(N494,100)&lt;70,2,3))</f>
        <v>O1</v>
      </c>
    </row>
    <row r="495" spans="1:15" ht="16.5" thickBot="1">
      <c r="A495" s="662">
        <v>472</v>
      </c>
      <c r="B495" s="661" t="str" cm="1">
        <f t="array" ref="B495">"P"&amp;INDEX(X!$CL$2:$CL$12,'Scratch Sheet'!H494+1)+9</f>
        <v>P11</v>
      </c>
      <c r="C495" s="661">
        <v>1</v>
      </c>
      <c r="D495" s="755">
        <f t="shared" si="28"/>
        <v>8800</v>
      </c>
      <c r="E495" s="682" t="str">
        <f t="shared" si="29"/>
        <v>C3</v>
      </c>
      <c r="F495" s="683">
        <f t="shared" si="30"/>
        <v>11</v>
      </c>
      <c r="H495" s="13">
        <v>608</v>
      </c>
      <c r="I495" s="13">
        <f>VLOOKUP(VLOOKUP(H495,$A$24:$B$1023,2,FALSE),'Scratch Sheet'!$U$23:$X$32,3,FALSE)</f>
        <v>11</v>
      </c>
      <c r="K495" s="13">
        <f t="shared" si="27"/>
        <v>453</v>
      </c>
      <c r="L495" s="13">
        <f>IFERROR(VLOOKUP(VLOOKUP(K495,$A$24:$B$1023,2,FALSE),'Scratch Sheet'!$U$23:$Y$32,5,FALSE)*VLOOKUP(VLOOKUP(K495,$A$24:$E$1023,5,FALSE),'Scratch Sheet'!$L$22:$M$30,2,FALSE),"")</f>
        <v>2400</v>
      </c>
      <c r="N495" s="675">
        <v>922</v>
      </c>
      <c r="O495" s="675" t="str" cm="1">
        <f t="array" ref="O495">IF(OR(INDEX($B$24:$B$1023,N495)="P10",INDEX($B$24:$B$1023,N495)="P11",INDEX($B$24:$B$1023,N495)="P12",INDEX($B$24:$B$1023,N495)="P13"),"C",IF(OR(INDEX($B$24:$B$1023,N495)="P14",INDEX($B$24:$B$1023,N495)="P15",INDEX($B$24:$B$1023,N495)="P16"),"N","O"))&amp;IF(MOD(N495,100)&lt;20,1,IF(MOD(N495,100)&lt;70,2,3))</f>
        <v>N2</v>
      </c>
    </row>
    <row r="496" spans="1:15" ht="16.5" thickBot="1">
      <c r="A496" s="662">
        <v>473</v>
      </c>
      <c r="B496" s="661" t="str" cm="1">
        <f t="array" ref="B496">"P"&amp;INDEX(X!$CL$2:$CL$12,'Scratch Sheet'!H495+1)+9</f>
        <v>P18</v>
      </c>
      <c r="C496" s="661">
        <v>1</v>
      </c>
      <c r="D496" s="755">
        <f t="shared" si="28"/>
        <v>4320</v>
      </c>
      <c r="E496" s="682" t="str">
        <f t="shared" si="29"/>
        <v>O3</v>
      </c>
      <c r="F496" s="683">
        <f t="shared" si="30"/>
        <v>6</v>
      </c>
      <c r="H496" s="13">
        <v>609</v>
      </c>
      <c r="I496" s="13">
        <f>VLOOKUP(VLOOKUP(H496,$A$24:$B$1023,2,FALSE),'Scratch Sheet'!$U$23:$X$32,3,FALSE)</f>
        <v>6</v>
      </c>
      <c r="K496" s="13">
        <f t="shared" si="27"/>
        <v>451</v>
      </c>
      <c r="L496" s="13">
        <f>IFERROR(VLOOKUP(VLOOKUP(K496,$A$24:$B$1023,2,FALSE),'Scratch Sheet'!$U$23:$Y$32,5,FALSE)*VLOOKUP(VLOOKUP(K496,$A$24:$E$1023,5,FALSE),'Scratch Sheet'!$L$22:$M$30,2,FALSE),"")</f>
        <v>11000</v>
      </c>
      <c r="N496" s="675">
        <v>932</v>
      </c>
      <c r="O496" s="675" t="str" cm="1">
        <f t="array" ref="O496">IF(OR(INDEX($B$24:$B$1023,N496)="P10",INDEX($B$24:$B$1023,N496)="P11",INDEX($B$24:$B$1023,N496)="P12",INDEX($B$24:$B$1023,N496)="P13"),"C",IF(OR(INDEX($B$24:$B$1023,N496)="P14",INDEX($B$24:$B$1023,N496)="P15",INDEX($B$24:$B$1023,N496)="P16"),"N","O"))&amp;IF(MOD(N496,100)&lt;20,1,IF(MOD(N496,100)&lt;70,2,3))</f>
        <v>O2</v>
      </c>
    </row>
    <row r="497" spans="1:15" ht="16.5" thickBot="1">
      <c r="A497" s="662">
        <v>474</v>
      </c>
      <c r="B497" s="661" t="str" cm="1">
        <f t="array" ref="B497">"P"&amp;INDEX(X!$CL$2:$CL$12,'Scratch Sheet'!H496+1)+9</f>
        <v>P14</v>
      </c>
      <c r="C497" s="661">
        <v>1</v>
      </c>
      <c r="D497" s="755">
        <f t="shared" si="28"/>
        <v>7200</v>
      </c>
      <c r="E497" s="682" t="str">
        <f t="shared" si="29"/>
        <v>N3</v>
      </c>
      <c r="F497" s="683">
        <f t="shared" si="30"/>
        <v>8</v>
      </c>
      <c r="H497" s="13">
        <v>920</v>
      </c>
      <c r="I497" s="13">
        <f>VLOOKUP(VLOOKUP(H497,$A$24:$B$1023,2,FALSE),'Scratch Sheet'!$U$23:$X$32,3,FALSE)</f>
        <v>3</v>
      </c>
      <c r="K497" s="13">
        <f t="shared" si="27"/>
        <v>467</v>
      </c>
      <c r="L497" s="13">
        <f>IFERROR(VLOOKUP(VLOOKUP(K497,$A$24:$B$1023,2,FALSE),'Scratch Sheet'!$U$23:$Y$32,5,FALSE)*VLOOKUP(VLOOKUP(K497,$A$24:$E$1023,5,FALSE),'Scratch Sheet'!$L$22:$M$30,2,FALSE),"")</f>
        <v>11000</v>
      </c>
      <c r="N497" s="675">
        <v>939</v>
      </c>
      <c r="O497" s="675" t="str" cm="1">
        <f t="array" ref="O497">IF(OR(INDEX($B$24:$B$1023,N497)="P10",INDEX($B$24:$B$1023,N497)="P11",INDEX($B$24:$B$1023,N497)="P12",INDEX($B$24:$B$1023,N497)="P13"),"C",IF(OR(INDEX($B$24:$B$1023,N497)="P14",INDEX($B$24:$B$1023,N497)="P15",INDEX($B$24:$B$1023,N497)="P16"),"N","O"))&amp;IF(MOD(N497,100)&lt;20,1,IF(MOD(N497,100)&lt;70,2,3))</f>
        <v>N2</v>
      </c>
    </row>
    <row r="498" spans="1:15" ht="16.5" thickBot="1">
      <c r="A498" s="662">
        <v>475</v>
      </c>
      <c r="B498" s="661" t="str" cm="1">
        <f t="array" ref="B498">"P"&amp;INDEX(X!$CL$2:$CL$12,'Scratch Sheet'!H497+1)+9</f>
        <v>P10</v>
      </c>
      <c r="C498" s="661">
        <v>1</v>
      </c>
      <c r="D498" s="755">
        <f t="shared" si="28"/>
        <v>1920</v>
      </c>
      <c r="E498" s="682" t="str">
        <f t="shared" si="29"/>
        <v>C3</v>
      </c>
      <c r="F498" s="683">
        <f t="shared" si="30"/>
        <v>3</v>
      </c>
      <c r="H498" s="13">
        <v>76</v>
      </c>
      <c r="I498" s="13">
        <f>VLOOKUP(VLOOKUP(H498,$A$24:$B$1023,2,FALSE),'Scratch Sheet'!$U$23:$X$32,3,FALSE)</f>
        <v>11</v>
      </c>
      <c r="K498" s="13">
        <f t="shared" si="27"/>
        <v>470</v>
      </c>
      <c r="L498" s="13">
        <f>IFERROR(VLOOKUP(VLOOKUP(K498,$A$24:$B$1023,2,FALSE),'Scratch Sheet'!$U$23:$Y$32,5,FALSE)*VLOOKUP(VLOOKUP(K498,$A$24:$E$1023,5,FALSE),'Scratch Sheet'!$L$22:$M$30,2,FALSE),"")</f>
        <v>1920</v>
      </c>
      <c r="N498" s="675">
        <v>949</v>
      </c>
      <c r="O498" s="675" t="str" cm="1">
        <f t="array" ref="O498">IF(OR(INDEX($B$24:$B$1023,N498)="P10",INDEX($B$24:$B$1023,N498)="P11",INDEX($B$24:$B$1023,N498)="P12",INDEX($B$24:$B$1023,N498)="P13"),"C",IF(OR(INDEX($B$24:$B$1023,N498)="P14",INDEX($B$24:$B$1023,N498)="P15",INDEX($B$24:$B$1023,N498)="P16"),"N","O"))&amp;IF(MOD(N498,100)&lt;20,1,IF(MOD(N498,100)&lt;70,2,3))</f>
        <v>O2</v>
      </c>
    </row>
    <row r="499" spans="1:15" ht="16.5" thickBot="1">
      <c r="A499" s="662">
        <v>476</v>
      </c>
      <c r="B499" s="661" t="str" cm="1">
        <f t="array" ref="B499">"P"&amp;INDEX(X!$CL$2:$CL$12,'Scratch Sheet'!H498+1)+9</f>
        <v>P13</v>
      </c>
      <c r="C499" s="661">
        <v>1</v>
      </c>
      <c r="D499" s="755">
        <f t="shared" si="28"/>
        <v>3600</v>
      </c>
      <c r="E499" s="682" t="str">
        <f t="shared" si="29"/>
        <v>C3</v>
      </c>
      <c r="F499" s="683">
        <f t="shared" si="30"/>
        <v>5</v>
      </c>
      <c r="H499" s="13">
        <v>401</v>
      </c>
      <c r="I499" s="13">
        <f>VLOOKUP(VLOOKUP(H499,$A$24:$B$1023,2,FALSE),'Scratch Sheet'!$U$23:$X$32,3,FALSE)</f>
        <v>6.5</v>
      </c>
      <c r="K499" s="13">
        <f t="shared" si="27"/>
        <v>469</v>
      </c>
      <c r="L499" s="13">
        <f>IFERROR(VLOOKUP(VLOOKUP(K499,$A$24:$B$1023,2,FALSE),'Scratch Sheet'!$U$23:$Y$32,5,FALSE)*VLOOKUP(VLOOKUP(K499,$A$24:$E$1023,5,FALSE),'Scratch Sheet'!$L$22:$M$30,2,FALSE),"")</f>
        <v>6825</v>
      </c>
      <c r="N499" s="675">
        <v>956</v>
      </c>
      <c r="O499" s="675" t="str" cm="1">
        <f t="array" ref="O499">IF(OR(INDEX($B$24:$B$1023,N499)="P10",INDEX($B$24:$B$1023,N499)="P11",INDEX($B$24:$B$1023,N499)="P12",INDEX($B$24:$B$1023,N499)="P13"),"C",IF(OR(INDEX($B$24:$B$1023,N499)="P14",INDEX($B$24:$B$1023,N499)="P15",INDEX($B$24:$B$1023,N499)="P16"),"N","O"))&amp;IF(MOD(N499,100)&lt;20,1,IF(MOD(N499,100)&lt;70,2,3))</f>
        <v>N2</v>
      </c>
    </row>
    <row r="500" spans="1:15" ht="16.5" thickBot="1">
      <c r="A500" s="662">
        <v>477</v>
      </c>
      <c r="B500" s="661" t="str" cm="1">
        <f t="array" ref="B500">"P"&amp;INDEX(X!$CL$2:$CL$12,'Scratch Sheet'!H499+1)+9</f>
        <v>P13</v>
      </c>
      <c r="C500" s="661">
        <v>1</v>
      </c>
      <c r="D500" s="755">
        <f t="shared" si="28"/>
        <v>3600</v>
      </c>
      <c r="E500" s="682" t="str">
        <f t="shared" si="29"/>
        <v>C3</v>
      </c>
      <c r="F500" s="683">
        <f t="shared" si="30"/>
        <v>5</v>
      </c>
      <c r="H500" s="13">
        <v>468</v>
      </c>
      <c r="I500" s="13">
        <f>VLOOKUP(VLOOKUP(H500,$A$24:$B$1023,2,FALSE),'Scratch Sheet'!$U$23:$X$32,3,FALSE)</f>
        <v>11</v>
      </c>
      <c r="K500" s="13">
        <f t="shared" si="27"/>
        <v>464</v>
      </c>
      <c r="L500" s="13">
        <f>IFERROR(VLOOKUP(VLOOKUP(K500,$A$24:$B$1023,2,FALSE),'Scratch Sheet'!$U$23:$Y$32,5,FALSE)*VLOOKUP(VLOOKUP(K500,$A$24:$E$1023,5,FALSE),'Scratch Sheet'!$L$22:$M$30,2,FALSE),"")</f>
        <v>13200.000000000002</v>
      </c>
      <c r="N500" s="675">
        <v>966</v>
      </c>
      <c r="O500" s="675" t="str" cm="1">
        <f t="array" ref="O500">IF(OR(INDEX($B$24:$B$1023,N500)="P10",INDEX($B$24:$B$1023,N500)="P11",INDEX($B$24:$B$1023,N500)="P12",INDEX($B$24:$B$1023,N500)="P13"),"C",IF(OR(INDEX($B$24:$B$1023,N500)="P14",INDEX($B$24:$B$1023,N500)="P15",INDEX($B$24:$B$1023,N500)="P16"),"N","O"))&amp;IF(MOD(N500,100)&lt;20,1,IF(MOD(N500,100)&lt;70,2,3))</f>
        <v>O2</v>
      </c>
    </row>
    <row r="501" spans="1:15" ht="16.5" thickBot="1">
      <c r="A501" s="662">
        <v>478</v>
      </c>
      <c r="B501" s="661" t="str" cm="1">
        <f t="array" ref="B501">"P"&amp;INDEX(X!$CL$2:$CL$12,'Scratch Sheet'!H500+1)+9</f>
        <v>P10</v>
      </c>
      <c r="C501" s="661">
        <v>1</v>
      </c>
      <c r="D501" s="755">
        <f t="shared" si="28"/>
        <v>1920</v>
      </c>
      <c r="E501" s="682" t="str">
        <f t="shared" si="29"/>
        <v>C3</v>
      </c>
      <c r="F501" s="683">
        <f t="shared" si="30"/>
        <v>3</v>
      </c>
      <c r="H501" s="13">
        <v>951</v>
      </c>
      <c r="I501" s="13">
        <f>VLOOKUP(VLOOKUP(H501,$A$24:$B$1023,2,FALSE),'Scratch Sheet'!$U$23:$X$32,3,FALSE)</f>
        <v>3</v>
      </c>
      <c r="K501" s="13">
        <f t="shared" si="27"/>
        <v>466</v>
      </c>
      <c r="L501" s="13">
        <f>IFERROR(VLOOKUP(VLOOKUP(K501,$A$24:$B$1023,2,FALSE),'Scratch Sheet'!$U$23:$Y$32,5,FALSE)*VLOOKUP(VLOOKUP(K501,$A$24:$E$1023,5,FALSE),'Scratch Sheet'!$L$22:$M$30,2,FALSE),"")</f>
        <v>4500</v>
      </c>
      <c r="N501" s="675">
        <v>973</v>
      </c>
      <c r="O501" s="675" t="str" cm="1">
        <f t="array" ref="O501">IF(OR(INDEX($B$24:$B$1023,N501)="P10",INDEX($B$24:$B$1023,N501)="P11",INDEX($B$24:$B$1023,N501)="P12",INDEX($B$24:$B$1023,N501)="P13"),"C",IF(OR(INDEX($B$24:$B$1023,N501)="P14",INDEX($B$24:$B$1023,N501)="P15",INDEX($B$24:$B$1023,N501)="P16"),"N","O"))&amp;IF(MOD(N501,100)&lt;20,1,IF(MOD(N501,100)&lt;70,2,3))</f>
        <v>N3</v>
      </c>
    </row>
    <row r="502" spans="1:15" ht="16.5" thickBot="1">
      <c r="A502" s="662">
        <v>479</v>
      </c>
      <c r="B502" s="661" t="str" cm="1">
        <f t="array" ref="B502">"P"&amp;INDEX(X!$CL$2:$CL$12,'Scratch Sheet'!H501+1)+9</f>
        <v>P11</v>
      </c>
      <c r="C502" s="661">
        <v>1</v>
      </c>
      <c r="D502" s="755">
        <f t="shared" si="28"/>
        <v>8800</v>
      </c>
      <c r="E502" s="682" t="str">
        <f t="shared" si="29"/>
        <v>C3</v>
      </c>
      <c r="F502" s="683">
        <f t="shared" si="30"/>
        <v>11</v>
      </c>
      <c r="H502" s="13">
        <v>818</v>
      </c>
      <c r="I502" s="13">
        <f>VLOOKUP(VLOOKUP(H502,$A$24:$B$1023,2,FALSE),'Scratch Sheet'!$U$23:$X$32,3,FALSE)</f>
        <v>3</v>
      </c>
      <c r="K502" s="13">
        <f t="shared" si="27"/>
        <v>465</v>
      </c>
      <c r="L502" s="13">
        <f>IFERROR(VLOOKUP(VLOOKUP(K502,$A$24:$B$1023,2,FALSE),'Scratch Sheet'!$U$23:$Y$32,5,FALSE)*VLOOKUP(VLOOKUP(K502,$A$24:$E$1023,5,FALSE),'Scratch Sheet'!$L$22:$M$30,2,FALSE),"")</f>
        <v>13200.000000000002</v>
      </c>
      <c r="N502" s="675">
        <v>983</v>
      </c>
      <c r="O502" s="675" t="str" cm="1">
        <f t="array" ref="O502">IF(OR(INDEX($B$24:$B$1023,N502)="P10",INDEX($B$24:$B$1023,N502)="P11",INDEX($B$24:$B$1023,N502)="P12",INDEX($B$24:$B$1023,N502)="P13"),"C",IF(OR(INDEX($B$24:$B$1023,N502)="P14",INDEX($B$24:$B$1023,N502)="P15",INDEX($B$24:$B$1023,N502)="P16"),"N","O"))&amp;IF(MOD(N502,100)&lt;20,1,IF(MOD(N502,100)&lt;70,2,3))</f>
        <v>O3</v>
      </c>
    </row>
    <row r="503" spans="1:15" ht="16.5" thickBot="1">
      <c r="A503" s="662">
        <v>480</v>
      </c>
      <c r="B503" s="661" t="str" cm="1">
        <f t="array" ref="B503">"P"&amp;INDEX(X!$CL$2:$CL$12,'Scratch Sheet'!H502+1)+9</f>
        <v>P16</v>
      </c>
      <c r="C503" s="661">
        <v>1</v>
      </c>
      <c r="D503" s="755">
        <f t="shared" si="28"/>
        <v>5200</v>
      </c>
      <c r="E503" s="682" t="str">
        <f t="shared" si="29"/>
        <v>N3</v>
      </c>
      <c r="F503" s="683">
        <f t="shared" si="30"/>
        <v>4</v>
      </c>
      <c r="H503" s="13">
        <v>496</v>
      </c>
      <c r="I503" s="13">
        <f>VLOOKUP(VLOOKUP(H503,$A$24:$B$1023,2,FALSE),'Scratch Sheet'!$U$23:$X$32,3,FALSE)</f>
        <v>11</v>
      </c>
      <c r="K503" s="13">
        <f t="shared" si="27"/>
        <v>468</v>
      </c>
      <c r="L503" s="13">
        <f>IFERROR(VLOOKUP(VLOOKUP(K503,$A$24:$B$1023,2,FALSE),'Scratch Sheet'!$U$23:$Y$32,5,FALSE)*VLOOKUP(VLOOKUP(K503,$A$24:$E$1023,5,FALSE),'Scratch Sheet'!$L$22:$M$30,2,FALSE),"")</f>
        <v>11000</v>
      </c>
      <c r="N503" s="675">
        <v>990</v>
      </c>
      <c r="O503" s="675" t="str" cm="1">
        <f t="array" ref="O503">IF(OR(INDEX($B$24:$B$1023,N503)="P10",INDEX($B$24:$B$1023,N503)="P11",INDEX($B$24:$B$1023,N503)="P12",INDEX($B$24:$B$1023,N503)="P13"),"C",IF(OR(INDEX($B$24:$B$1023,N503)="P14",INDEX($B$24:$B$1023,N503)="P15",INDEX($B$24:$B$1023,N503)="P16"),"N","O"))&amp;IF(MOD(N503,100)&lt;20,1,IF(MOD(N503,100)&lt;70,2,3))</f>
        <v>N3</v>
      </c>
    </row>
    <row r="504" spans="1:15" ht="16.5" thickBot="1">
      <c r="A504" s="662">
        <v>481</v>
      </c>
      <c r="B504" s="661" t="str" cm="1">
        <f t="array" ref="B504">"P"&amp;INDEX(X!$CL$2:$CL$12,'Scratch Sheet'!H503+1)+9</f>
        <v>P17</v>
      </c>
      <c r="C504" s="661">
        <v>1</v>
      </c>
      <c r="D504" s="755">
        <f t="shared" si="28"/>
        <v>9600</v>
      </c>
      <c r="E504" s="682" t="str">
        <f t="shared" si="29"/>
        <v>O3</v>
      </c>
      <c r="F504" s="683">
        <f t="shared" si="30"/>
        <v>12</v>
      </c>
      <c r="H504" s="13">
        <v>474</v>
      </c>
      <c r="I504" s="13">
        <f>VLOOKUP(VLOOKUP(H504,$A$24:$B$1023,2,FALSE),'Scratch Sheet'!$U$23:$X$32,3,FALSE)</f>
        <v>8</v>
      </c>
      <c r="K504" s="13">
        <f t="shared" si="27"/>
        <v>463</v>
      </c>
      <c r="L504" s="13">
        <f>IFERROR(VLOOKUP(VLOOKUP(K504,$A$24:$B$1023,2,FALSE),'Scratch Sheet'!$U$23:$Y$32,5,FALSE)*VLOOKUP(VLOOKUP(K504,$A$24:$E$1023,5,FALSE),'Scratch Sheet'!$L$22:$M$30,2,FALSE),"")</f>
        <v>4680</v>
      </c>
      <c r="N504" s="675">
        <v>1000</v>
      </c>
      <c r="O504" s="675" t="str" cm="1">
        <f t="array" ref="O504">IF(OR(INDEX($B$24:$B$1023,N504)="P10",INDEX($B$24:$B$1023,N504)="P11",INDEX($B$24:$B$1023,N504)="P12",INDEX($B$24:$B$1023,N504)="P13"),"C",IF(OR(INDEX($B$24:$B$1023,N504)="P14",INDEX($B$24:$B$1023,N504)="P15",INDEX($B$24:$B$1023,N504)="P16"),"N","O"))&amp;IF(MOD(N504,100)&lt;20,1,IF(MOD(N504,100)&lt;70,2,3))</f>
        <v>O1</v>
      </c>
    </row>
    <row r="505" spans="1:15" ht="16.5" thickBot="1">
      <c r="A505" s="662">
        <v>482</v>
      </c>
      <c r="B505" s="661" t="str" cm="1">
        <f t="array" ref="B505">"P"&amp;INDEX(X!$CL$2:$CL$12,'Scratch Sheet'!H504+1)+9</f>
        <v>P17</v>
      </c>
      <c r="C505" s="661">
        <v>1</v>
      </c>
      <c r="D505" s="755">
        <f t="shared" si="28"/>
        <v>9600</v>
      </c>
      <c r="E505" s="682" t="str">
        <f t="shared" si="29"/>
        <v>O3</v>
      </c>
      <c r="F505" s="683">
        <f t="shared" si="30"/>
        <v>12</v>
      </c>
      <c r="H505" s="13">
        <v>722</v>
      </c>
      <c r="I505" s="13">
        <f>VLOOKUP(VLOOKUP(H505,$A$24:$B$1023,2,FALSE),'Scratch Sheet'!$U$23:$X$32,3,FALSE)</f>
        <v>11</v>
      </c>
      <c r="K505" s="13">
        <f t="shared" si="27"/>
        <v>462</v>
      </c>
      <c r="L505" s="13">
        <f>IFERROR(VLOOKUP(VLOOKUP(K505,$A$24:$B$1023,2,FALSE),'Scratch Sheet'!$U$23:$Y$32,5,FALSE)*VLOOKUP(VLOOKUP(K505,$A$24:$E$1023,5,FALSE),'Scratch Sheet'!$L$22:$M$30,2,FALSE),"")</f>
        <v>11000</v>
      </c>
      <c r="N505" s="675">
        <v>4</v>
      </c>
      <c r="O505" s="675" t="str" cm="1">
        <f t="array" ref="O505">IF(OR(INDEX($B$24:$B$1023,N505)="P10",INDEX($B$24:$B$1023,N505)="P11",INDEX($B$24:$B$1023,N505)="P12",INDEX($B$24:$B$1023,N505)="P13"),"C",IF(OR(INDEX($B$24:$B$1023,N505)="P14",INDEX($B$24:$B$1023,N505)="P15",INDEX($B$24:$B$1023,N505)="P16"),"N","O"))&amp;IF(MOD(N505,100)&lt;20,1,IF(MOD(N505,100)&lt;70,2,3))</f>
        <v>C1</v>
      </c>
    </row>
    <row r="506" spans="1:15" ht="16.5" thickBot="1">
      <c r="A506" s="662">
        <v>483</v>
      </c>
      <c r="B506" s="661" t="str" cm="1">
        <f t="array" ref="B506">"P"&amp;INDEX(X!$CL$2:$CL$12,'Scratch Sheet'!H505+1)+9</f>
        <v>P13</v>
      </c>
      <c r="C506" s="661">
        <v>1</v>
      </c>
      <c r="D506" s="755">
        <f t="shared" si="28"/>
        <v>3600</v>
      </c>
      <c r="E506" s="682" t="str">
        <f t="shared" si="29"/>
        <v>C3</v>
      </c>
      <c r="F506" s="683">
        <f t="shared" si="30"/>
        <v>5</v>
      </c>
      <c r="H506" s="13">
        <v>794</v>
      </c>
      <c r="I506" s="13">
        <f>VLOOKUP(VLOOKUP(H506,$A$24:$B$1023,2,FALSE),'Scratch Sheet'!$U$23:$X$32,3,FALSE)</f>
        <v>3</v>
      </c>
      <c r="K506" s="13">
        <f t="shared" si="27"/>
        <v>475</v>
      </c>
      <c r="L506" s="13">
        <f>IFERROR(VLOOKUP(VLOOKUP(K506,$A$24:$B$1023,2,FALSE),'Scratch Sheet'!$U$23:$Y$32,5,FALSE)*VLOOKUP(VLOOKUP(K506,$A$24:$E$1023,5,FALSE),'Scratch Sheet'!$L$22:$M$30,2,FALSE),"")</f>
        <v>1920</v>
      </c>
      <c r="N506" s="675">
        <v>8</v>
      </c>
      <c r="O506" s="675" t="str" cm="1">
        <f t="array" ref="O506">IF(OR(INDEX($B$24:$B$1023,N506)="P10",INDEX($B$24:$B$1023,N506)="P11",INDEX($B$24:$B$1023,N506)="P12",INDEX($B$24:$B$1023,N506)="P13"),"C",IF(OR(INDEX($B$24:$B$1023,N506)="P14",INDEX($B$24:$B$1023,N506)="P15",INDEX($B$24:$B$1023,N506)="P16"),"N","O"))&amp;IF(MOD(N506,100)&lt;20,1,IF(MOD(N506,100)&lt;70,2,3))</f>
        <v>C1</v>
      </c>
    </row>
    <row r="507" spans="1:15" ht="16.5" thickBot="1">
      <c r="A507" s="662">
        <v>484</v>
      </c>
      <c r="B507" s="661" t="str" cm="1">
        <f t="array" ref="B507">"P"&amp;INDEX(X!$CL$2:$CL$12,'Scratch Sheet'!H506+1)+9</f>
        <v>P11</v>
      </c>
      <c r="C507" s="661">
        <v>1</v>
      </c>
      <c r="D507" s="755">
        <f t="shared" si="28"/>
        <v>8800</v>
      </c>
      <c r="E507" s="682" t="str">
        <f t="shared" si="29"/>
        <v>C3</v>
      </c>
      <c r="F507" s="683">
        <f t="shared" si="30"/>
        <v>11</v>
      </c>
      <c r="H507" s="13">
        <v>266</v>
      </c>
      <c r="I507" s="13">
        <f>VLOOKUP(VLOOKUP(H507,$A$24:$B$1023,2,FALSE),'Scratch Sheet'!$U$23:$X$32,3,FALSE)</f>
        <v>3</v>
      </c>
      <c r="K507" s="13">
        <f t="shared" si="27"/>
        <v>478</v>
      </c>
      <c r="L507" s="13">
        <f>IFERROR(VLOOKUP(VLOOKUP(K507,$A$24:$B$1023,2,FALSE),'Scratch Sheet'!$U$23:$Y$32,5,FALSE)*VLOOKUP(VLOOKUP(K507,$A$24:$E$1023,5,FALSE),'Scratch Sheet'!$L$22:$M$30,2,FALSE),"")</f>
        <v>1920</v>
      </c>
      <c r="N507" s="675">
        <v>9</v>
      </c>
      <c r="O507" s="675" t="str" cm="1">
        <f t="array" ref="O507">IF(OR(INDEX($B$24:$B$1023,N507)="P10",INDEX($B$24:$B$1023,N507)="P11",INDEX($B$24:$B$1023,N507)="P12",INDEX($B$24:$B$1023,N507)="P13"),"C",IF(OR(INDEX($B$24:$B$1023,N507)="P14",INDEX($B$24:$B$1023,N507)="P15",INDEX($B$24:$B$1023,N507)="P16"),"N","O"))&amp;IF(MOD(N507,100)&lt;20,1,IF(MOD(N507,100)&lt;70,2,3))</f>
        <v>C1</v>
      </c>
    </row>
    <row r="508" spans="1:15" ht="16.5" thickBot="1">
      <c r="A508" s="662">
        <v>485</v>
      </c>
      <c r="B508" s="661" t="str" cm="1">
        <f t="array" ref="B508">"P"&amp;INDEX(X!$CL$2:$CL$12,'Scratch Sheet'!H507+1)+9</f>
        <v>P11</v>
      </c>
      <c r="C508" s="661">
        <v>1</v>
      </c>
      <c r="D508" s="755">
        <f t="shared" si="28"/>
        <v>8800</v>
      </c>
      <c r="E508" s="682" t="str">
        <f t="shared" si="29"/>
        <v>C3</v>
      </c>
      <c r="F508" s="683">
        <f t="shared" si="30"/>
        <v>11</v>
      </c>
      <c r="H508" s="13">
        <v>42</v>
      </c>
      <c r="I508" s="13">
        <f>VLOOKUP(VLOOKUP(H508,$A$24:$B$1023,2,FALSE),'Scratch Sheet'!$U$23:$X$32,3,FALSE)</f>
        <v>11</v>
      </c>
      <c r="K508" s="13">
        <f t="shared" si="27"/>
        <v>477</v>
      </c>
      <c r="L508" s="13">
        <f>IFERROR(VLOOKUP(VLOOKUP(K508,$A$24:$B$1023,2,FALSE),'Scratch Sheet'!$U$23:$Y$32,5,FALSE)*VLOOKUP(VLOOKUP(K508,$A$24:$E$1023,5,FALSE),'Scratch Sheet'!$L$22:$M$30,2,FALSE),"")</f>
        <v>3600</v>
      </c>
      <c r="N508" s="675">
        <v>13</v>
      </c>
      <c r="O508" s="675" t="str" cm="1">
        <f t="array" ref="O508">IF(OR(INDEX($B$24:$B$1023,N508)="P10",INDEX($B$24:$B$1023,N508)="P11",INDEX($B$24:$B$1023,N508)="P12",INDEX($B$24:$B$1023,N508)="P13"),"C",IF(OR(INDEX($B$24:$B$1023,N508)="P14",INDEX($B$24:$B$1023,N508)="P15",INDEX($B$24:$B$1023,N508)="P16"),"N","O"))&amp;IF(MOD(N508,100)&lt;20,1,IF(MOD(N508,100)&lt;70,2,3))</f>
        <v>C1</v>
      </c>
    </row>
    <row r="509" spans="1:15" ht="16.5" thickBot="1">
      <c r="A509" s="662">
        <v>486</v>
      </c>
      <c r="B509" s="661" t="str" cm="1">
        <f t="array" ref="B509">"P"&amp;INDEX(X!$CL$2:$CL$12,'Scratch Sheet'!H508+1)+9</f>
        <v>P12</v>
      </c>
      <c r="C509" s="661">
        <v>1</v>
      </c>
      <c r="D509" s="755">
        <f t="shared" si="28"/>
        <v>5460</v>
      </c>
      <c r="E509" s="682" t="str">
        <f t="shared" si="29"/>
        <v>C3</v>
      </c>
      <c r="F509" s="683">
        <f t="shared" si="30"/>
        <v>6.5</v>
      </c>
      <c r="H509" s="13">
        <v>577</v>
      </c>
      <c r="I509" s="13">
        <f>VLOOKUP(VLOOKUP(H509,$A$24:$B$1023,2,FALSE),'Scratch Sheet'!$U$23:$X$32,3,FALSE)</f>
        <v>3</v>
      </c>
      <c r="K509" s="13">
        <f t="shared" si="27"/>
        <v>472</v>
      </c>
      <c r="L509" s="13">
        <f>IFERROR(VLOOKUP(VLOOKUP(K509,$A$24:$B$1023,2,FALSE),'Scratch Sheet'!$U$23:$Y$32,5,FALSE)*VLOOKUP(VLOOKUP(K509,$A$24:$E$1023,5,FALSE),'Scratch Sheet'!$L$22:$M$30,2,FALSE),"")</f>
        <v>8800</v>
      </c>
      <c r="N509" s="675">
        <v>15</v>
      </c>
      <c r="O509" s="675" t="str" cm="1">
        <f t="array" ref="O509">IF(OR(INDEX($B$24:$B$1023,N509)="P10",INDEX($B$24:$B$1023,N509)="P11",INDEX($B$24:$B$1023,N509)="P12",INDEX($B$24:$B$1023,N509)="P13"),"C",IF(OR(INDEX($B$24:$B$1023,N509)="P14",INDEX($B$24:$B$1023,N509)="P15",INDEX($B$24:$B$1023,N509)="P16"),"N","O"))&amp;IF(MOD(N509,100)&lt;20,1,IF(MOD(N509,100)&lt;70,2,3))</f>
        <v>C1</v>
      </c>
    </row>
    <row r="510" spans="1:15" ht="16.5" thickBot="1">
      <c r="A510" s="662">
        <v>487</v>
      </c>
      <c r="B510" s="661" t="str" cm="1">
        <f t="array" ref="B510">"P"&amp;INDEX(X!$CL$2:$CL$12,'Scratch Sheet'!H509+1)+9</f>
        <v>P10</v>
      </c>
      <c r="C510" s="661">
        <v>1</v>
      </c>
      <c r="D510" s="755">
        <f t="shared" si="28"/>
        <v>1920</v>
      </c>
      <c r="E510" s="682" t="str">
        <f t="shared" si="29"/>
        <v>C3</v>
      </c>
      <c r="F510" s="683">
        <f t="shared" si="30"/>
        <v>3</v>
      </c>
      <c r="H510" s="13">
        <v>748</v>
      </c>
      <c r="I510" s="13">
        <f>VLOOKUP(VLOOKUP(H510,$A$24:$B$1023,2,FALSE),'Scratch Sheet'!$U$23:$X$32,3,FALSE)</f>
        <v>5</v>
      </c>
      <c r="K510" s="13">
        <f t="shared" si="27"/>
        <v>474</v>
      </c>
      <c r="L510" s="13">
        <f>IFERROR(VLOOKUP(VLOOKUP(K510,$A$24:$B$1023,2,FALSE),'Scratch Sheet'!$U$23:$Y$32,5,FALSE)*VLOOKUP(VLOOKUP(K510,$A$24:$E$1023,5,FALSE),'Scratch Sheet'!$L$22:$M$30,2,FALSE),"")</f>
        <v>7200</v>
      </c>
      <c r="N510" s="675">
        <v>21</v>
      </c>
      <c r="O510" s="675" t="str" cm="1">
        <f t="array" ref="O510">IF(OR(INDEX($B$24:$B$1023,N510)="P10",INDEX($B$24:$B$1023,N510)="P11",INDEX($B$24:$B$1023,N510)="P12",INDEX($B$24:$B$1023,N510)="P13"),"C",IF(OR(INDEX($B$24:$B$1023,N510)="P14",INDEX($B$24:$B$1023,N510)="P15",INDEX($B$24:$B$1023,N510)="P16"),"N","O"))&amp;IF(MOD(N510,100)&lt;20,1,IF(MOD(N510,100)&lt;70,2,3))</f>
        <v>C2</v>
      </c>
    </row>
    <row r="511" spans="1:15" ht="16.5" thickBot="1">
      <c r="A511" s="662">
        <v>488</v>
      </c>
      <c r="B511" s="661" t="str" cm="1">
        <f t="array" ref="B511">"P"&amp;INDEX(X!$CL$2:$CL$12,'Scratch Sheet'!H510+1)+9</f>
        <v>P10</v>
      </c>
      <c r="C511" s="661">
        <v>1</v>
      </c>
      <c r="D511" s="755">
        <f t="shared" si="28"/>
        <v>1920</v>
      </c>
      <c r="E511" s="682" t="str">
        <f t="shared" si="29"/>
        <v>C3</v>
      </c>
      <c r="F511" s="683">
        <f t="shared" si="30"/>
        <v>3</v>
      </c>
      <c r="H511" s="13">
        <v>19</v>
      </c>
      <c r="I511" s="13">
        <f>VLOOKUP(VLOOKUP(H511,$A$24:$B$1023,2,FALSE),'Scratch Sheet'!$U$23:$X$32,3,FALSE)</f>
        <v>11</v>
      </c>
      <c r="K511" s="13">
        <f t="shared" ref="K511:K574" si="31">K408+100</f>
        <v>473</v>
      </c>
      <c r="L511" s="13">
        <f>IFERROR(VLOOKUP(VLOOKUP(K511,$A$24:$B$1023,2,FALSE),'Scratch Sheet'!$U$23:$Y$32,5,FALSE)*VLOOKUP(VLOOKUP(K511,$A$24:$E$1023,5,FALSE),'Scratch Sheet'!$L$22:$M$30,2,FALSE),"")</f>
        <v>4320</v>
      </c>
      <c r="N511" s="675">
        <v>22</v>
      </c>
      <c r="O511" s="675" t="str" cm="1">
        <f t="array" ref="O511">IF(OR(INDEX($B$24:$B$1023,N511)="P10",INDEX($B$24:$B$1023,N511)="P11",INDEX($B$24:$B$1023,N511)="P12",INDEX($B$24:$B$1023,N511)="P13"),"C",IF(OR(INDEX($B$24:$B$1023,N511)="P14",INDEX($B$24:$B$1023,N511)="P15",INDEX($B$24:$B$1023,N511)="P16"),"N","O"))&amp;IF(MOD(N511,100)&lt;20,1,IF(MOD(N511,100)&lt;70,2,3))</f>
        <v>C2</v>
      </c>
    </row>
    <row r="512" spans="1:15" ht="16.5" thickBot="1">
      <c r="A512" s="662">
        <v>489</v>
      </c>
      <c r="B512" s="661" t="str" cm="1">
        <f t="array" ref="B512">"P"&amp;INDEX(X!$CL$2:$CL$12,'Scratch Sheet'!H511+1)+9</f>
        <v>P11</v>
      </c>
      <c r="C512" s="661">
        <v>1</v>
      </c>
      <c r="D512" s="755">
        <f t="shared" si="28"/>
        <v>8800</v>
      </c>
      <c r="E512" s="682" t="str">
        <f t="shared" si="29"/>
        <v>C3</v>
      </c>
      <c r="F512" s="683">
        <f t="shared" si="30"/>
        <v>11</v>
      </c>
      <c r="H512" s="13">
        <v>460</v>
      </c>
      <c r="I512" s="13">
        <f>VLOOKUP(VLOOKUP(H512,$A$24:$B$1023,2,FALSE),'Scratch Sheet'!$U$23:$X$32,3,FALSE)</f>
        <v>5</v>
      </c>
      <c r="K512" s="13">
        <f t="shared" si="31"/>
        <v>476</v>
      </c>
      <c r="L512" s="13">
        <f>IFERROR(VLOOKUP(VLOOKUP(K512,$A$24:$B$1023,2,FALSE),'Scratch Sheet'!$U$23:$Y$32,5,FALSE)*VLOOKUP(VLOOKUP(K512,$A$24:$E$1023,5,FALSE),'Scratch Sheet'!$L$22:$M$30,2,FALSE),"")</f>
        <v>3600</v>
      </c>
      <c r="N512" s="675">
        <v>24</v>
      </c>
      <c r="O512" s="675" t="str" cm="1">
        <f t="array" ref="O512">IF(OR(INDEX($B$24:$B$1023,N512)="P10",INDEX($B$24:$B$1023,N512)="P11",INDEX($B$24:$B$1023,N512)="P12",INDEX($B$24:$B$1023,N512)="P13"),"C",IF(OR(INDEX($B$24:$B$1023,N512)="P14",INDEX($B$24:$B$1023,N512)="P15",INDEX($B$24:$B$1023,N512)="P16"),"N","O"))&amp;IF(MOD(N512,100)&lt;20,1,IF(MOD(N512,100)&lt;70,2,3))</f>
        <v>C2</v>
      </c>
    </row>
    <row r="513" spans="1:15" ht="16.5" thickBot="1">
      <c r="A513" s="662">
        <v>490</v>
      </c>
      <c r="B513" s="661" t="str" cm="1">
        <f t="array" ref="B513">"P"&amp;INDEX(X!$CL$2:$CL$12,'Scratch Sheet'!H512+1)+9</f>
        <v>P18</v>
      </c>
      <c r="C513" s="661">
        <v>1</v>
      </c>
      <c r="D513" s="755">
        <f t="shared" si="28"/>
        <v>4320</v>
      </c>
      <c r="E513" s="682" t="str">
        <f t="shared" si="29"/>
        <v>O3</v>
      </c>
      <c r="F513" s="683">
        <f t="shared" si="30"/>
        <v>6</v>
      </c>
      <c r="H513" s="13">
        <v>90</v>
      </c>
      <c r="I513" s="13">
        <f>VLOOKUP(VLOOKUP(H513,$A$24:$B$1023,2,FALSE),'Scratch Sheet'!$U$23:$X$32,3,FALSE)</f>
        <v>12</v>
      </c>
      <c r="K513" s="13">
        <f t="shared" si="31"/>
        <v>471</v>
      </c>
      <c r="L513" s="13">
        <f>IFERROR(VLOOKUP(VLOOKUP(K513,$A$24:$B$1023,2,FALSE),'Scratch Sheet'!$U$23:$Y$32,5,FALSE)*VLOOKUP(VLOOKUP(K513,$A$24:$E$1023,5,FALSE),'Scratch Sheet'!$L$22:$M$30,2,FALSE),"")</f>
        <v>1920</v>
      </c>
      <c r="N513" s="675">
        <v>25</v>
      </c>
      <c r="O513" s="675" t="str" cm="1">
        <f t="array" ref="O513">IF(OR(INDEX($B$24:$B$1023,N513)="P10",INDEX($B$24:$B$1023,N513)="P11",INDEX($B$24:$B$1023,N513)="P12",INDEX($B$24:$B$1023,N513)="P13"),"C",IF(OR(INDEX($B$24:$B$1023,N513)="P14",INDEX($B$24:$B$1023,N513)="P15",INDEX($B$24:$B$1023,N513)="P16"),"N","O"))&amp;IF(MOD(N513,100)&lt;20,1,IF(MOD(N513,100)&lt;70,2,3))</f>
        <v>C2</v>
      </c>
    </row>
    <row r="514" spans="1:15" ht="16.5" thickBot="1">
      <c r="A514" s="662">
        <v>491</v>
      </c>
      <c r="B514" s="661" t="str" cm="1">
        <f t="array" ref="B514">"P"&amp;INDEX(X!$CL$2:$CL$12,'Scratch Sheet'!H513+1)+9</f>
        <v>P14</v>
      </c>
      <c r="C514" s="661">
        <v>1</v>
      </c>
      <c r="D514" s="755">
        <f t="shared" si="28"/>
        <v>7200</v>
      </c>
      <c r="E514" s="682" t="str">
        <f t="shared" si="29"/>
        <v>N3</v>
      </c>
      <c r="F514" s="683">
        <f t="shared" si="30"/>
        <v>8</v>
      </c>
      <c r="H514" s="13">
        <v>390</v>
      </c>
      <c r="I514" s="13">
        <f>VLOOKUP(VLOOKUP(H514,$A$24:$B$1023,2,FALSE),'Scratch Sheet'!$U$23:$X$32,3,FALSE)</f>
        <v>3</v>
      </c>
      <c r="K514" s="13">
        <f t="shared" si="31"/>
        <v>482</v>
      </c>
      <c r="L514" s="13">
        <f>IFERROR(VLOOKUP(VLOOKUP(K514,$A$24:$B$1023,2,FALSE),'Scratch Sheet'!$U$23:$Y$32,5,FALSE)*VLOOKUP(VLOOKUP(K514,$A$24:$E$1023,5,FALSE),'Scratch Sheet'!$L$22:$M$30,2,FALSE),"")</f>
        <v>9600</v>
      </c>
      <c r="N514" s="675">
        <v>28</v>
      </c>
      <c r="O514" s="675" t="str" cm="1">
        <f t="array" ref="O514">IF(OR(INDEX($B$24:$B$1023,N514)="P10",INDEX($B$24:$B$1023,N514)="P11",INDEX($B$24:$B$1023,N514)="P12",INDEX($B$24:$B$1023,N514)="P13"),"C",IF(OR(INDEX($B$24:$B$1023,N514)="P14",INDEX($B$24:$B$1023,N514)="P15",INDEX($B$24:$B$1023,N514)="P16"),"N","O"))&amp;IF(MOD(N514,100)&lt;20,1,IF(MOD(N514,100)&lt;70,2,3))</f>
        <v>C2</v>
      </c>
    </row>
    <row r="515" spans="1:15" ht="16.5" thickBot="1">
      <c r="A515" s="662">
        <v>492</v>
      </c>
      <c r="B515" s="661" t="str" cm="1">
        <f t="array" ref="B515">"P"&amp;INDEX(X!$CL$2:$CL$12,'Scratch Sheet'!H514+1)+9</f>
        <v>P10</v>
      </c>
      <c r="C515" s="661">
        <v>1</v>
      </c>
      <c r="D515" s="755">
        <f t="shared" si="28"/>
        <v>1920</v>
      </c>
      <c r="E515" s="682" t="str">
        <f t="shared" si="29"/>
        <v>C3</v>
      </c>
      <c r="F515" s="683">
        <f t="shared" si="30"/>
        <v>3</v>
      </c>
      <c r="H515" s="13">
        <v>650</v>
      </c>
      <c r="I515" s="13">
        <f>VLOOKUP(VLOOKUP(H515,$A$24:$B$1023,2,FALSE),'Scratch Sheet'!$U$23:$X$32,3,FALSE)</f>
        <v>4</v>
      </c>
      <c r="K515" s="13">
        <f t="shared" si="31"/>
        <v>485</v>
      </c>
      <c r="L515" s="13">
        <f>IFERROR(VLOOKUP(VLOOKUP(K515,$A$24:$B$1023,2,FALSE),'Scratch Sheet'!$U$23:$Y$32,5,FALSE)*VLOOKUP(VLOOKUP(K515,$A$24:$E$1023,5,FALSE),'Scratch Sheet'!$L$22:$M$30,2,FALSE),"")</f>
        <v>8800</v>
      </c>
      <c r="N515" s="675">
        <v>30</v>
      </c>
      <c r="O515" s="675" t="str" cm="1">
        <f t="array" ref="O515">IF(OR(INDEX($B$24:$B$1023,N515)="P10",INDEX($B$24:$B$1023,N515)="P11",INDEX($B$24:$B$1023,N515)="P12",INDEX($B$24:$B$1023,N515)="P13"),"C",IF(OR(INDEX($B$24:$B$1023,N515)="P14",INDEX($B$24:$B$1023,N515)="P15",INDEX($B$24:$B$1023,N515)="P16"),"N","O"))&amp;IF(MOD(N515,100)&lt;20,1,IF(MOD(N515,100)&lt;70,2,3))</f>
        <v>C2</v>
      </c>
    </row>
    <row r="516" spans="1:15" ht="16.5" thickBot="1">
      <c r="A516" s="662">
        <v>493</v>
      </c>
      <c r="B516" s="661" t="str" cm="1">
        <f t="array" ref="B516">"P"&amp;INDEX(X!$CL$2:$CL$12,'Scratch Sheet'!H515+1)+9</f>
        <v>P13</v>
      </c>
      <c r="C516" s="661">
        <v>1</v>
      </c>
      <c r="D516" s="755">
        <f t="shared" si="28"/>
        <v>3600</v>
      </c>
      <c r="E516" s="682" t="str">
        <f t="shared" si="29"/>
        <v>C3</v>
      </c>
      <c r="F516" s="683">
        <f t="shared" si="30"/>
        <v>5</v>
      </c>
      <c r="H516" s="13">
        <v>440</v>
      </c>
      <c r="I516" s="13">
        <f>VLOOKUP(VLOOKUP(H516,$A$24:$B$1023,2,FALSE),'Scratch Sheet'!$U$23:$X$32,3,FALSE)</f>
        <v>8</v>
      </c>
      <c r="K516" s="13">
        <f t="shared" si="31"/>
        <v>484</v>
      </c>
      <c r="L516" s="13">
        <f>IFERROR(VLOOKUP(VLOOKUP(K516,$A$24:$B$1023,2,FALSE),'Scratch Sheet'!$U$23:$Y$32,5,FALSE)*VLOOKUP(VLOOKUP(K516,$A$24:$E$1023,5,FALSE),'Scratch Sheet'!$L$22:$M$30,2,FALSE),"")</f>
        <v>8800</v>
      </c>
      <c r="N516" s="675">
        <v>31</v>
      </c>
      <c r="O516" s="675" t="str" cm="1">
        <f t="array" ref="O516">IF(OR(INDEX($B$24:$B$1023,N516)="P10",INDEX($B$24:$B$1023,N516)="P11",INDEX($B$24:$B$1023,N516)="P12",INDEX($B$24:$B$1023,N516)="P13"),"C",IF(OR(INDEX($B$24:$B$1023,N516)="P14",INDEX($B$24:$B$1023,N516)="P15",INDEX($B$24:$B$1023,N516)="P16"),"N","O"))&amp;IF(MOD(N516,100)&lt;20,1,IF(MOD(N516,100)&lt;70,2,3))</f>
        <v>C2</v>
      </c>
    </row>
    <row r="517" spans="1:15" ht="16.5" thickBot="1">
      <c r="A517" s="662">
        <v>494</v>
      </c>
      <c r="B517" s="661" t="str" cm="1">
        <f t="array" ref="B517">"P"&amp;INDEX(X!$CL$2:$CL$12,'Scratch Sheet'!H516+1)+9</f>
        <v>P13</v>
      </c>
      <c r="C517" s="661">
        <v>1</v>
      </c>
      <c r="D517" s="755">
        <f t="shared" si="28"/>
        <v>7200</v>
      </c>
      <c r="E517" s="682" t="str">
        <f t="shared" si="29"/>
        <v>C3</v>
      </c>
      <c r="F517" s="683">
        <f t="shared" si="30"/>
        <v>5</v>
      </c>
      <c r="H517" s="13">
        <v>403</v>
      </c>
      <c r="I517" s="13">
        <f>VLOOKUP(VLOOKUP(H517,$A$24:$B$1023,2,FALSE),'Scratch Sheet'!$U$23:$X$32,3,FALSE)</f>
        <v>3</v>
      </c>
      <c r="K517" s="13">
        <f t="shared" si="31"/>
        <v>479</v>
      </c>
      <c r="L517" s="13">
        <f>IFERROR(VLOOKUP(VLOOKUP(K517,$A$24:$B$1023,2,FALSE),'Scratch Sheet'!$U$23:$Y$32,5,FALSE)*VLOOKUP(VLOOKUP(K517,$A$24:$E$1023,5,FALSE),'Scratch Sheet'!$L$22:$M$30,2,FALSE),"")</f>
        <v>8800</v>
      </c>
      <c r="N517" s="675">
        <v>32</v>
      </c>
      <c r="O517" s="675" t="str" cm="1">
        <f t="array" ref="O517">IF(OR(INDEX($B$24:$B$1023,N517)="P10",INDEX($B$24:$B$1023,N517)="P11",INDEX($B$24:$B$1023,N517)="P12",INDEX($B$24:$B$1023,N517)="P13"),"C",IF(OR(INDEX($B$24:$B$1023,N517)="P14",INDEX($B$24:$B$1023,N517)="P15",INDEX($B$24:$B$1023,N517)="P16"),"N","O"))&amp;IF(MOD(N517,100)&lt;20,1,IF(MOD(N517,100)&lt;70,2,3))</f>
        <v>C2</v>
      </c>
    </row>
    <row r="518" spans="1:15" ht="16.5" thickBot="1">
      <c r="A518" s="662">
        <v>495</v>
      </c>
      <c r="B518" s="661" t="str" cm="1">
        <f t="array" ref="B518">"P"&amp;INDEX(X!$CL$2:$CL$12,'Scratch Sheet'!H517+1)+9</f>
        <v>P10</v>
      </c>
      <c r="C518" s="661">
        <v>1</v>
      </c>
      <c r="D518" s="755">
        <f t="shared" si="28"/>
        <v>1920</v>
      </c>
      <c r="E518" s="682" t="str">
        <f t="shared" si="29"/>
        <v>C3</v>
      </c>
      <c r="F518" s="683">
        <f t="shared" si="30"/>
        <v>3</v>
      </c>
      <c r="H518" s="13">
        <v>469</v>
      </c>
      <c r="I518" s="13">
        <f>VLOOKUP(VLOOKUP(H518,$A$24:$B$1023,2,FALSE),'Scratch Sheet'!$U$23:$X$32,3,FALSE)</f>
        <v>6.5</v>
      </c>
      <c r="K518" s="13">
        <f t="shared" si="31"/>
        <v>481</v>
      </c>
      <c r="L518" s="13">
        <f>IFERROR(VLOOKUP(VLOOKUP(K518,$A$24:$B$1023,2,FALSE),'Scratch Sheet'!$U$23:$Y$32,5,FALSE)*VLOOKUP(VLOOKUP(K518,$A$24:$E$1023,5,FALSE),'Scratch Sheet'!$L$22:$M$30,2,FALSE),"")</f>
        <v>9600</v>
      </c>
      <c r="N518" s="675">
        <v>37</v>
      </c>
      <c r="O518" s="675" t="str" cm="1">
        <f t="array" ref="O518">IF(OR(INDEX($B$24:$B$1023,N518)="P10",INDEX($B$24:$B$1023,N518)="P11",INDEX($B$24:$B$1023,N518)="P12",INDEX($B$24:$B$1023,N518)="P13"),"C",IF(OR(INDEX($B$24:$B$1023,N518)="P14",INDEX($B$24:$B$1023,N518)="P15",INDEX($B$24:$B$1023,N518)="P16"),"N","O"))&amp;IF(MOD(N518,100)&lt;20,1,IF(MOD(N518,100)&lt;70,2,3))</f>
        <v>C2</v>
      </c>
    </row>
    <row r="519" spans="1:15" ht="16.5" thickBot="1">
      <c r="A519" s="662">
        <v>496</v>
      </c>
      <c r="B519" s="661" t="str" cm="1">
        <f t="array" ref="B519">"P"&amp;INDEX(X!$CL$2:$CL$12,'Scratch Sheet'!H518+1)+9</f>
        <v>P11</v>
      </c>
      <c r="C519" s="661">
        <v>1</v>
      </c>
      <c r="D519" s="755">
        <f t="shared" si="28"/>
        <v>8800</v>
      </c>
      <c r="E519" s="682" t="str">
        <f t="shared" si="29"/>
        <v>C3</v>
      </c>
      <c r="F519" s="683">
        <f t="shared" si="30"/>
        <v>11</v>
      </c>
      <c r="H519" s="13">
        <v>445</v>
      </c>
      <c r="I519" s="13">
        <f>VLOOKUP(VLOOKUP(H519,$A$24:$B$1023,2,FALSE),'Scratch Sheet'!$U$23:$X$32,3,FALSE)</f>
        <v>11</v>
      </c>
      <c r="K519" s="13">
        <f t="shared" si="31"/>
        <v>480</v>
      </c>
      <c r="L519" s="13">
        <f>IFERROR(VLOOKUP(VLOOKUP(K519,$A$24:$B$1023,2,FALSE),'Scratch Sheet'!$U$23:$Y$32,5,FALSE)*VLOOKUP(VLOOKUP(K519,$A$24:$E$1023,5,FALSE),'Scratch Sheet'!$L$22:$M$30,2,FALSE),"")</f>
        <v>5200</v>
      </c>
      <c r="N519" s="675">
        <v>38</v>
      </c>
      <c r="O519" s="675" t="str" cm="1">
        <f t="array" ref="O519">IF(OR(INDEX($B$24:$B$1023,N519)="P10",INDEX($B$24:$B$1023,N519)="P11",INDEX($B$24:$B$1023,N519)="P12",INDEX($B$24:$B$1023,N519)="P13"),"C",IF(OR(INDEX($B$24:$B$1023,N519)="P14",INDEX($B$24:$B$1023,N519)="P15",INDEX($B$24:$B$1023,N519)="P16"),"N","O"))&amp;IF(MOD(N519,100)&lt;20,1,IF(MOD(N519,100)&lt;70,2,3))</f>
        <v>C2</v>
      </c>
    </row>
    <row r="520" spans="1:15" ht="16.5" thickBot="1">
      <c r="A520" s="662">
        <v>497</v>
      </c>
      <c r="B520" s="661" t="str" cm="1">
        <f t="array" ref="B520">"P"&amp;INDEX(X!$CL$2:$CL$12,'Scratch Sheet'!H519+1)+9</f>
        <v>P16</v>
      </c>
      <c r="C520" s="661">
        <v>1</v>
      </c>
      <c r="D520" s="755">
        <f t="shared" si="28"/>
        <v>5200</v>
      </c>
      <c r="E520" s="682" t="str">
        <f t="shared" si="29"/>
        <v>N3</v>
      </c>
      <c r="F520" s="683">
        <f t="shared" si="30"/>
        <v>4</v>
      </c>
      <c r="H520" s="13">
        <v>640</v>
      </c>
      <c r="I520" s="13">
        <f>VLOOKUP(VLOOKUP(H520,$A$24:$B$1023,2,FALSE),'Scratch Sheet'!$U$23:$X$32,3,FALSE)</f>
        <v>3</v>
      </c>
      <c r="K520" s="13">
        <f t="shared" si="31"/>
        <v>483</v>
      </c>
      <c r="L520" s="13">
        <f>IFERROR(VLOOKUP(VLOOKUP(K520,$A$24:$B$1023,2,FALSE),'Scratch Sheet'!$U$23:$Y$32,5,FALSE)*VLOOKUP(VLOOKUP(K520,$A$24:$E$1023,5,FALSE),'Scratch Sheet'!$L$22:$M$30,2,FALSE),"")</f>
        <v>3600</v>
      </c>
      <c r="N520" s="675">
        <v>40</v>
      </c>
      <c r="O520" s="675" t="str" cm="1">
        <f t="array" ref="O520">IF(OR(INDEX($B$24:$B$1023,N520)="P10",INDEX($B$24:$B$1023,N520)="P11",INDEX($B$24:$B$1023,N520)="P12",INDEX($B$24:$B$1023,N520)="P13"),"C",IF(OR(INDEX($B$24:$B$1023,N520)="P14",INDEX($B$24:$B$1023,N520)="P15",INDEX($B$24:$B$1023,N520)="P16"),"N","O"))&amp;IF(MOD(N520,100)&lt;20,1,IF(MOD(N520,100)&lt;70,2,3))</f>
        <v>C2</v>
      </c>
    </row>
    <row r="521" spans="1:15" ht="16.5" thickBot="1">
      <c r="A521" s="662">
        <v>498</v>
      </c>
      <c r="B521" s="661" t="str" cm="1">
        <f t="array" ref="B521">"P"&amp;INDEX(X!$CL$2:$CL$12,'Scratch Sheet'!H520+1)+9</f>
        <v>P17</v>
      </c>
      <c r="C521" s="661">
        <v>1</v>
      </c>
      <c r="D521" s="755">
        <f t="shared" si="28"/>
        <v>9600</v>
      </c>
      <c r="E521" s="682" t="str">
        <f t="shared" si="29"/>
        <v>O3</v>
      </c>
      <c r="F521" s="683">
        <f t="shared" si="30"/>
        <v>12</v>
      </c>
      <c r="H521" s="13">
        <v>249</v>
      </c>
      <c r="I521" s="13">
        <f>VLOOKUP(VLOOKUP(H521,$A$24:$B$1023,2,FALSE),'Scratch Sheet'!$U$23:$X$32,3,FALSE)</f>
        <v>3</v>
      </c>
      <c r="K521" s="13">
        <f t="shared" si="31"/>
        <v>489</v>
      </c>
      <c r="L521" s="13">
        <f>IFERROR(VLOOKUP(VLOOKUP(K521,$A$24:$B$1023,2,FALSE),'Scratch Sheet'!$U$23:$Y$32,5,FALSE)*VLOOKUP(VLOOKUP(K521,$A$24:$E$1023,5,FALSE),'Scratch Sheet'!$L$22:$M$30,2,FALSE),"")</f>
        <v>8800</v>
      </c>
      <c r="N521" s="675">
        <v>42</v>
      </c>
      <c r="O521" s="675" t="str" cm="1">
        <f t="array" ref="O521">IF(OR(INDEX($B$24:$B$1023,N521)="P10",INDEX($B$24:$B$1023,N521)="P11",INDEX($B$24:$B$1023,N521)="P12",INDEX($B$24:$B$1023,N521)="P13"),"C",IF(OR(INDEX($B$24:$B$1023,N521)="P14",INDEX($B$24:$B$1023,N521)="P15",INDEX($B$24:$B$1023,N521)="P16"),"N","O"))&amp;IF(MOD(N521,100)&lt;20,1,IF(MOD(N521,100)&lt;70,2,3))</f>
        <v>C2</v>
      </c>
    </row>
    <row r="522" spans="1:15" ht="16.5" thickBot="1">
      <c r="A522" s="662">
        <v>499</v>
      </c>
      <c r="B522" s="661" t="str" cm="1">
        <f t="array" ref="B522">"P"&amp;INDEX(X!$CL$2:$CL$12,'Scratch Sheet'!H521+1)+9</f>
        <v>P17</v>
      </c>
      <c r="C522" s="661">
        <v>1</v>
      </c>
      <c r="D522" s="755">
        <f t="shared" si="28"/>
        <v>9600</v>
      </c>
      <c r="E522" s="682" t="str">
        <f t="shared" si="29"/>
        <v>O3</v>
      </c>
      <c r="F522" s="683">
        <f t="shared" si="30"/>
        <v>12</v>
      </c>
      <c r="H522" s="13">
        <v>59</v>
      </c>
      <c r="I522" s="13">
        <f>VLOOKUP(VLOOKUP(H522,$A$24:$B$1023,2,FALSE),'Scratch Sheet'!$U$23:$X$32,3,FALSE)</f>
        <v>5</v>
      </c>
      <c r="K522" s="13">
        <f t="shared" si="31"/>
        <v>491</v>
      </c>
      <c r="L522" s="13">
        <f>IFERROR(VLOOKUP(VLOOKUP(K522,$A$24:$B$1023,2,FALSE),'Scratch Sheet'!$U$23:$Y$32,5,FALSE)*VLOOKUP(VLOOKUP(K522,$A$24:$E$1023,5,FALSE),'Scratch Sheet'!$L$22:$M$30,2,FALSE),"")</f>
        <v>7200</v>
      </c>
      <c r="N522" s="675">
        <v>43</v>
      </c>
      <c r="O522" s="675" t="str" cm="1">
        <f t="array" ref="O522">IF(OR(INDEX($B$24:$B$1023,N522)="P10",INDEX($B$24:$B$1023,N522)="P11",INDEX($B$24:$B$1023,N522)="P12",INDEX($B$24:$B$1023,N522)="P13"),"C",IF(OR(INDEX($B$24:$B$1023,N522)="P14",INDEX($B$24:$B$1023,N522)="P15",INDEX($B$24:$B$1023,N522)="P16"),"N","O"))&amp;IF(MOD(N522,100)&lt;20,1,IF(MOD(N522,100)&lt;70,2,3))</f>
        <v>N2</v>
      </c>
    </row>
    <row r="523" spans="1:15" ht="16.5" thickBot="1">
      <c r="A523" s="662">
        <v>500</v>
      </c>
      <c r="B523" s="661" t="str" cm="1">
        <f t="array" ref="B523">"P"&amp;INDEX(X!$CL$2:$CL$12,'Scratch Sheet'!H522+1)+9</f>
        <v>P13</v>
      </c>
      <c r="C523" s="661">
        <v>1</v>
      </c>
      <c r="D523" s="755">
        <f t="shared" si="28"/>
        <v>5400</v>
      </c>
      <c r="E523" s="682" t="str">
        <f t="shared" si="29"/>
        <v>C1</v>
      </c>
      <c r="F523" s="683">
        <f t="shared" si="30"/>
        <v>5</v>
      </c>
      <c r="H523" s="13">
        <v>277</v>
      </c>
      <c r="I523" s="13">
        <f>VLOOKUP(VLOOKUP(H523,$A$24:$B$1023,2,FALSE),'Scratch Sheet'!$U$23:$X$32,3,FALSE)</f>
        <v>12</v>
      </c>
      <c r="K523" s="13">
        <f t="shared" si="31"/>
        <v>490</v>
      </c>
      <c r="L523" s="13">
        <f>IFERROR(VLOOKUP(VLOOKUP(K523,$A$24:$B$1023,2,FALSE),'Scratch Sheet'!$U$23:$Y$32,5,FALSE)*VLOOKUP(VLOOKUP(K523,$A$24:$E$1023,5,FALSE),'Scratch Sheet'!$L$22:$M$30,2,FALSE),"")</f>
        <v>4320</v>
      </c>
      <c r="N523" s="675">
        <v>45</v>
      </c>
      <c r="O523" s="675" t="str" cm="1">
        <f t="array" ref="O523">IF(OR(INDEX($B$24:$B$1023,N523)="P10",INDEX($B$24:$B$1023,N523)="P11",INDEX($B$24:$B$1023,N523)="P12",INDEX($B$24:$B$1023,N523)="P13"),"C",IF(OR(INDEX($B$24:$B$1023,N523)="P14",INDEX($B$24:$B$1023,N523)="P15",INDEX($B$24:$B$1023,N523)="P16"),"N","O"))&amp;IF(MOD(N523,100)&lt;20,1,IF(MOD(N523,100)&lt;70,2,3))</f>
        <v>C2</v>
      </c>
    </row>
    <row r="524" spans="1:15" ht="16.5" thickBot="1">
      <c r="A524" s="662">
        <v>501</v>
      </c>
      <c r="B524" s="661" t="str" cm="1">
        <f t="array" ref="B524">"P"&amp;INDEX(X!$CL$2:$CL$12,'Scratch Sheet'!H523+1)+9</f>
        <v>P11</v>
      </c>
      <c r="C524" s="661">
        <v>1</v>
      </c>
      <c r="D524" s="755">
        <f t="shared" si="28"/>
        <v>13200</v>
      </c>
      <c r="E524" s="682" t="str">
        <f t="shared" si="29"/>
        <v>C1</v>
      </c>
      <c r="F524" s="683">
        <f t="shared" si="30"/>
        <v>11</v>
      </c>
      <c r="H524" s="13">
        <v>112</v>
      </c>
      <c r="I524" s="13">
        <f>VLOOKUP(VLOOKUP(H524,$A$24:$B$1023,2,FALSE),'Scratch Sheet'!$U$23:$X$32,3,FALSE)</f>
        <v>6.5</v>
      </c>
      <c r="K524" s="13">
        <f t="shared" si="31"/>
        <v>486</v>
      </c>
      <c r="L524" s="13">
        <f>IFERROR(VLOOKUP(VLOOKUP(K524,$A$24:$B$1023,2,FALSE),'Scratch Sheet'!$U$23:$Y$32,5,FALSE)*VLOOKUP(VLOOKUP(K524,$A$24:$E$1023,5,FALSE),'Scratch Sheet'!$L$22:$M$30,2,FALSE),"")</f>
        <v>5460</v>
      </c>
      <c r="N524" s="675">
        <v>47</v>
      </c>
      <c r="O524" s="675" t="str" cm="1">
        <f t="array" ref="O524">IF(OR(INDEX($B$24:$B$1023,N524)="P10",INDEX($B$24:$B$1023,N524)="P11",INDEX($B$24:$B$1023,N524)="P12",INDEX($B$24:$B$1023,N524)="P13"),"C",IF(OR(INDEX($B$24:$B$1023,N524)="P14",INDEX($B$24:$B$1023,N524)="P15",INDEX($B$24:$B$1023,N524)="P16"),"N","O"))&amp;IF(MOD(N524,100)&lt;20,1,IF(MOD(N524,100)&lt;70,2,3))</f>
        <v>N2</v>
      </c>
    </row>
    <row r="525" spans="1:15" ht="16.5" thickBot="1">
      <c r="A525" s="662">
        <v>502</v>
      </c>
      <c r="B525" s="661" t="str" cm="1">
        <f t="array" ref="B525">"P"&amp;INDEX(X!$CL$2:$CL$12,'Scratch Sheet'!H524+1)+9</f>
        <v>P11</v>
      </c>
      <c r="C525" s="661">
        <v>1</v>
      </c>
      <c r="D525" s="755">
        <f t="shared" si="28"/>
        <v>13200</v>
      </c>
      <c r="E525" s="682" t="str">
        <f t="shared" si="29"/>
        <v>C1</v>
      </c>
      <c r="F525" s="683">
        <f t="shared" si="30"/>
        <v>11</v>
      </c>
      <c r="H525" s="13">
        <v>635</v>
      </c>
      <c r="I525" s="13">
        <f>VLOOKUP(VLOOKUP(H525,$A$24:$B$1023,2,FALSE),'Scratch Sheet'!$U$23:$X$32,3,FALSE)</f>
        <v>12</v>
      </c>
      <c r="K525" s="13">
        <f t="shared" si="31"/>
        <v>488</v>
      </c>
      <c r="L525" s="13">
        <f>IFERROR(VLOOKUP(VLOOKUP(K525,$A$24:$B$1023,2,FALSE),'Scratch Sheet'!$U$23:$Y$32,5,FALSE)*VLOOKUP(VLOOKUP(K525,$A$24:$E$1023,5,FALSE),'Scratch Sheet'!$L$22:$M$30,2,FALSE),"")</f>
        <v>1920</v>
      </c>
      <c r="N525" s="675">
        <v>48</v>
      </c>
      <c r="O525" s="675" t="str" cm="1">
        <f t="array" ref="O525">IF(OR(INDEX($B$24:$B$1023,N525)="P10",INDEX($B$24:$B$1023,N525)="P11",INDEX($B$24:$B$1023,N525)="P12",INDEX($B$24:$B$1023,N525)="P13"),"C",IF(OR(INDEX($B$24:$B$1023,N525)="P14",INDEX($B$24:$B$1023,N525)="P15",INDEX($B$24:$B$1023,N525)="P16"),"N","O"))&amp;IF(MOD(N525,100)&lt;20,1,IF(MOD(N525,100)&lt;70,2,3))</f>
        <v>N2</v>
      </c>
    </row>
    <row r="526" spans="1:15" ht="16.5" thickBot="1">
      <c r="A526" s="662">
        <v>503</v>
      </c>
      <c r="B526" s="661" t="str" cm="1">
        <f t="array" ref="B526">"P"&amp;INDEX(X!$CL$2:$CL$12,'Scratch Sheet'!H525+1)+9</f>
        <v>P12</v>
      </c>
      <c r="C526" s="661">
        <v>1</v>
      </c>
      <c r="D526" s="755">
        <f t="shared" si="28"/>
        <v>8190</v>
      </c>
      <c r="E526" s="682" t="str">
        <f t="shared" si="29"/>
        <v>C1</v>
      </c>
      <c r="F526" s="683">
        <f t="shared" si="30"/>
        <v>6.5</v>
      </c>
      <c r="H526" s="13">
        <v>828</v>
      </c>
      <c r="I526" s="13">
        <f>VLOOKUP(VLOOKUP(H526,$A$24:$B$1023,2,FALSE),'Scratch Sheet'!$U$23:$X$32,3,FALSE)</f>
        <v>3</v>
      </c>
      <c r="K526" s="13">
        <f t="shared" si="31"/>
        <v>487</v>
      </c>
      <c r="L526" s="13">
        <f>IFERROR(VLOOKUP(VLOOKUP(K526,$A$24:$B$1023,2,FALSE),'Scratch Sheet'!$U$23:$Y$32,5,FALSE)*VLOOKUP(VLOOKUP(K526,$A$24:$E$1023,5,FALSE),'Scratch Sheet'!$L$22:$M$30,2,FALSE),"")</f>
        <v>1920</v>
      </c>
      <c r="N526" s="675">
        <v>50</v>
      </c>
      <c r="O526" s="675" t="str" cm="1">
        <f t="array" ref="O526">IF(OR(INDEX($B$24:$B$1023,N526)="P10",INDEX($B$24:$B$1023,N526)="P11",INDEX($B$24:$B$1023,N526)="P12",INDEX($B$24:$B$1023,N526)="P13"),"C",IF(OR(INDEX($B$24:$B$1023,N526)="P14",INDEX($B$24:$B$1023,N526)="P15",INDEX($B$24:$B$1023,N526)="P16"),"N","O"))&amp;IF(MOD(N526,100)&lt;20,1,IF(MOD(N526,100)&lt;70,2,3))</f>
        <v>C2</v>
      </c>
    </row>
    <row r="527" spans="1:15" ht="16.5" thickBot="1">
      <c r="A527" s="662">
        <v>504</v>
      </c>
      <c r="B527" s="661" t="str" cm="1">
        <f t="array" ref="B527">"P"&amp;INDEX(X!$CL$2:$CL$12,'Scratch Sheet'!H526+1)+9</f>
        <v>P10</v>
      </c>
      <c r="C527" s="661">
        <v>1</v>
      </c>
      <c r="D527" s="755">
        <f t="shared" si="28"/>
        <v>2880</v>
      </c>
      <c r="E527" s="682" t="str">
        <f t="shared" si="29"/>
        <v>C1</v>
      </c>
      <c r="F527" s="683">
        <f t="shared" si="30"/>
        <v>3</v>
      </c>
      <c r="H527" s="13">
        <v>876</v>
      </c>
      <c r="I527" s="13">
        <f>VLOOKUP(VLOOKUP(H527,$A$24:$B$1023,2,FALSE),'Scratch Sheet'!$U$23:$X$32,3,FALSE)</f>
        <v>11</v>
      </c>
      <c r="K527" s="13">
        <f t="shared" si="31"/>
        <v>494</v>
      </c>
      <c r="L527" s="13">
        <f>IFERROR(VLOOKUP(VLOOKUP(K527,$A$24:$B$1023,2,FALSE),'Scratch Sheet'!$U$23:$Y$32,5,FALSE)*VLOOKUP(VLOOKUP(K527,$A$24:$E$1023,5,FALSE),'Scratch Sheet'!$L$22:$M$30,2,FALSE),"")</f>
        <v>3600</v>
      </c>
      <c r="N527" s="675">
        <v>54</v>
      </c>
      <c r="O527" s="675" t="str" cm="1">
        <f t="array" ref="O527">IF(OR(INDEX($B$24:$B$1023,N527)="P10",INDEX($B$24:$B$1023,N527)="P11",INDEX($B$24:$B$1023,N527)="P12",INDEX($B$24:$B$1023,N527)="P13"),"C",IF(OR(INDEX($B$24:$B$1023,N527)="P14",INDEX($B$24:$B$1023,N527)="P15",INDEX($B$24:$B$1023,N527)="P16"),"N","O"))&amp;IF(MOD(N527,100)&lt;20,1,IF(MOD(N527,100)&lt;70,2,3))</f>
        <v>C2</v>
      </c>
    </row>
    <row r="528" spans="1:15" ht="16.5" thickBot="1">
      <c r="A528" s="662">
        <v>505</v>
      </c>
      <c r="B528" s="661" t="str" cm="1">
        <f t="array" ref="B528">"P"&amp;INDEX(X!$CL$2:$CL$12,'Scratch Sheet'!H527+1)+9</f>
        <v>P10</v>
      </c>
      <c r="C528" s="661">
        <v>1</v>
      </c>
      <c r="D528" s="755">
        <f t="shared" si="28"/>
        <v>2880</v>
      </c>
      <c r="E528" s="682" t="str">
        <f t="shared" si="29"/>
        <v>C1</v>
      </c>
      <c r="F528" s="683">
        <f t="shared" si="30"/>
        <v>3</v>
      </c>
      <c r="H528" s="13">
        <v>417</v>
      </c>
      <c r="I528" s="13">
        <f>VLOOKUP(VLOOKUP(H528,$A$24:$B$1023,2,FALSE),'Scratch Sheet'!$U$23:$X$32,3,FALSE)</f>
        <v>11</v>
      </c>
      <c r="K528" s="13">
        <f t="shared" si="31"/>
        <v>496</v>
      </c>
      <c r="L528" s="13">
        <f>IFERROR(VLOOKUP(VLOOKUP(K528,$A$24:$B$1023,2,FALSE),'Scratch Sheet'!$U$23:$Y$32,5,FALSE)*VLOOKUP(VLOOKUP(K528,$A$24:$E$1023,5,FALSE),'Scratch Sheet'!$L$22:$M$30,2,FALSE),"")</f>
        <v>8800</v>
      </c>
      <c r="N528" s="675">
        <v>58</v>
      </c>
      <c r="O528" s="675" t="str" cm="1">
        <f t="array" ref="O528">IF(OR(INDEX($B$24:$B$1023,N528)="P10",INDEX($B$24:$B$1023,N528)="P11",INDEX($B$24:$B$1023,N528)="P12",INDEX($B$24:$B$1023,N528)="P13"),"C",IF(OR(INDEX($B$24:$B$1023,N528)="P14",INDEX($B$24:$B$1023,N528)="P15",INDEX($B$24:$B$1023,N528)="P16"),"N","O"))&amp;IF(MOD(N528,100)&lt;20,1,IF(MOD(N528,100)&lt;70,2,3))</f>
        <v>N2</v>
      </c>
    </row>
    <row r="529" spans="1:15" ht="16.5" thickBot="1">
      <c r="A529" s="662">
        <v>506</v>
      </c>
      <c r="B529" s="661" t="str" cm="1">
        <f t="array" ref="B529">"P"&amp;INDEX(X!$CL$2:$CL$12,'Scratch Sheet'!H528+1)+9</f>
        <v>P11</v>
      </c>
      <c r="C529" s="661">
        <v>1</v>
      </c>
      <c r="D529" s="755">
        <f t="shared" si="28"/>
        <v>13200</v>
      </c>
      <c r="E529" s="682" t="str">
        <f t="shared" si="29"/>
        <v>C1</v>
      </c>
      <c r="F529" s="683">
        <f t="shared" si="30"/>
        <v>11</v>
      </c>
      <c r="H529" s="13">
        <v>276</v>
      </c>
      <c r="I529" s="13">
        <f>VLOOKUP(VLOOKUP(H529,$A$24:$B$1023,2,FALSE),'Scratch Sheet'!$U$23:$X$32,3,FALSE)</f>
        <v>4</v>
      </c>
      <c r="K529" s="13">
        <f t="shared" si="31"/>
        <v>495</v>
      </c>
      <c r="L529" s="13">
        <f>IFERROR(VLOOKUP(VLOOKUP(K529,$A$24:$B$1023,2,FALSE),'Scratch Sheet'!$U$23:$Y$32,5,FALSE)*VLOOKUP(VLOOKUP(K529,$A$24:$E$1023,5,FALSE),'Scratch Sheet'!$L$22:$M$30,2,FALSE),"")</f>
        <v>1920</v>
      </c>
      <c r="N529" s="675">
        <v>60</v>
      </c>
      <c r="O529" s="675" t="str" cm="1">
        <f t="array" ref="O529">IF(OR(INDEX($B$24:$B$1023,N529)="P10",INDEX($B$24:$B$1023,N529)="P11",INDEX($B$24:$B$1023,N529)="P12",INDEX($B$24:$B$1023,N529)="P13"),"C",IF(OR(INDEX($B$24:$B$1023,N529)="P14",INDEX($B$24:$B$1023,N529)="P15",INDEX($B$24:$B$1023,N529)="P16"),"N","O"))&amp;IF(MOD(N529,100)&lt;20,1,IF(MOD(N529,100)&lt;70,2,3))</f>
        <v>C2</v>
      </c>
    </row>
    <row r="530" spans="1:15" ht="16.5" thickBot="1">
      <c r="A530" s="662">
        <v>507</v>
      </c>
      <c r="B530" s="661" t="str" cm="1">
        <f t="array" ref="B530">"P"&amp;INDEX(X!$CL$2:$CL$12,'Scratch Sheet'!H529+1)+9</f>
        <v>P18</v>
      </c>
      <c r="C530" s="661">
        <v>1</v>
      </c>
      <c r="D530" s="755">
        <f t="shared" si="28"/>
        <v>4860</v>
      </c>
      <c r="E530" s="682" t="str">
        <f t="shared" si="29"/>
        <v>O1</v>
      </c>
      <c r="F530" s="683">
        <f t="shared" si="30"/>
        <v>6</v>
      </c>
      <c r="H530" s="13">
        <v>145</v>
      </c>
      <c r="I530" s="13">
        <f>VLOOKUP(VLOOKUP(H530,$A$24:$B$1023,2,FALSE),'Scratch Sheet'!$U$23:$X$32,3,FALSE)</f>
        <v>11</v>
      </c>
      <c r="K530" s="13">
        <f t="shared" si="31"/>
        <v>492</v>
      </c>
      <c r="L530" s="13">
        <f>IFERROR(VLOOKUP(VLOOKUP(K530,$A$24:$B$1023,2,FALSE),'Scratch Sheet'!$U$23:$Y$32,5,FALSE)*VLOOKUP(VLOOKUP(K530,$A$24:$E$1023,5,FALSE),'Scratch Sheet'!$L$22:$M$30,2,FALSE),"")</f>
        <v>1920</v>
      </c>
      <c r="N530" s="675">
        <v>62</v>
      </c>
      <c r="O530" s="675" t="str" cm="1">
        <f t="array" ref="O530">IF(OR(INDEX($B$24:$B$1023,N530)="P10",INDEX($B$24:$B$1023,N530)="P11",INDEX($B$24:$B$1023,N530)="P12",INDEX($B$24:$B$1023,N530)="P13"),"C",IF(OR(INDEX($B$24:$B$1023,N530)="P14",INDEX($B$24:$B$1023,N530)="P15",INDEX($B$24:$B$1023,N530)="P16"),"N","O"))&amp;IF(MOD(N530,100)&lt;20,1,IF(MOD(N530,100)&lt;70,2,3))</f>
        <v>C2</v>
      </c>
    </row>
    <row r="531" spans="1:15" ht="16.5" thickBot="1">
      <c r="A531" s="662">
        <v>508</v>
      </c>
      <c r="B531" s="661" t="str" cm="1">
        <f t="array" ref="B531">"P"&amp;INDEX(X!$CL$2:$CL$12,'Scratch Sheet'!H530+1)+9</f>
        <v>P14</v>
      </c>
      <c r="C531" s="661">
        <v>1</v>
      </c>
      <c r="D531" s="755">
        <f t="shared" si="28"/>
        <v>10080</v>
      </c>
      <c r="E531" s="682" t="str">
        <f t="shared" si="29"/>
        <v>N1</v>
      </c>
      <c r="F531" s="683">
        <f t="shared" si="30"/>
        <v>8</v>
      </c>
      <c r="H531" s="13">
        <v>918</v>
      </c>
      <c r="I531" s="13">
        <f>VLOOKUP(VLOOKUP(H531,$A$24:$B$1023,2,FALSE),'Scratch Sheet'!$U$23:$X$32,3,FALSE)</f>
        <v>5</v>
      </c>
      <c r="K531" s="13">
        <f t="shared" si="31"/>
        <v>493</v>
      </c>
      <c r="L531" s="13">
        <f>IFERROR(VLOOKUP(VLOOKUP(K531,$A$24:$B$1023,2,FALSE),'Scratch Sheet'!$U$23:$Y$32,5,FALSE)*VLOOKUP(VLOOKUP(K531,$A$24:$E$1023,5,FALSE),'Scratch Sheet'!$L$22:$M$30,2,FALSE),"")</f>
        <v>3600</v>
      </c>
      <c r="N531" s="675">
        <v>63</v>
      </c>
      <c r="O531" s="675" t="str" cm="1">
        <f t="array" ref="O531">IF(OR(INDEX($B$24:$B$1023,N531)="P10",INDEX($B$24:$B$1023,N531)="P11",INDEX($B$24:$B$1023,N531)="P12",INDEX($B$24:$B$1023,N531)="P13"),"C",IF(OR(INDEX($B$24:$B$1023,N531)="P14",INDEX($B$24:$B$1023,N531)="P15",INDEX($B$24:$B$1023,N531)="P16"),"N","O"))&amp;IF(MOD(N531,100)&lt;20,1,IF(MOD(N531,100)&lt;70,2,3))</f>
        <v>C2</v>
      </c>
    </row>
    <row r="532" spans="1:15" ht="16.5" thickBot="1">
      <c r="A532" s="662">
        <v>509</v>
      </c>
      <c r="B532" s="661" t="str" cm="1">
        <f t="array" ref="B532">"P"&amp;INDEX(X!$CL$2:$CL$12,'Scratch Sheet'!H531+1)+9</f>
        <v>P10</v>
      </c>
      <c r="C532" s="661">
        <v>1</v>
      </c>
      <c r="D532" s="755">
        <f t="shared" si="28"/>
        <v>2880</v>
      </c>
      <c r="E532" s="682" t="str">
        <f t="shared" si="29"/>
        <v>C1</v>
      </c>
      <c r="F532" s="683">
        <f t="shared" si="30"/>
        <v>3</v>
      </c>
      <c r="H532" s="13">
        <v>171</v>
      </c>
      <c r="I532" s="13">
        <f>VLOOKUP(VLOOKUP(H532,$A$24:$B$1023,2,FALSE),'Scratch Sheet'!$U$23:$X$32,3,FALSE)</f>
        <v>5</v>
      </c>
      <c r="K532" s="13">
        <f t="shared" si="31"/>
        <v>498</v>
      </c>
      <c r="L532" s="13">
        <f>IFERROR(VLOOKUP(VLOOKUP(K532,$A$24:$B$1023,2,FALSE),'Scratch Sheet'!$U$23:$Y$32,5,FALSE)*VLOOKUP(VLOOKUP(K532,$A$24:$E$1023,5,FALSE),'Scratch Sheet'!$L$22:$M$30,2,FALSE),"")</f>
        <v>9600</v>
      </c>
      <c r="N532" s="675">
        <v>65</v>
      </c>
      <c r="O532" s="675" t="str" cm="1">
        <f t="array" ref="O532">IF(OR(INDEX($B$24:$B$1023,N532)="P10",INDEX($B$24:$B$1023,N532)="P11",INDEX($B$24:$B$1023,N532)="P12",INDEX($B$24:$B$1023,N532)="P13"),"C",IF(OR(INDEX($B$24:$B$1023,N532)="P14",INDEX($B$24:$B$1023,N532)="P15",INDEX($B$24:$B$1023,N532)="P16"),"N","O"))&amp;IF(MOD(N532,100)&lt;20,1,IF(MOD(N532,100)&lt;70,2,3))</f>
        <v>C2</v>
      </c>
    </row>
    <row r="533" spans="1:15" ht="16.5" thickBot="1">
      <c r="A533" s="662">
        <v>510</v>
      </c>
      <c r="B533" s="661" t="str" cm="1">
        <f t="array" ref="B533">"P"&amp;INDEX(X!$CL$2:$CL$12,'Scratch Sheet'!H532+1)+9</f>
        <v>P13</v>
      </c>
      <c r="C533" s="661">
        <v>1</v>
      </c>
      <c r="D533" s="755">
        <f t="shared" si="28"/>
        <v>5400</v>
      </c>
      <c r="E533" s="682" t="str">
        <f t="shared" si="29"/>
        <v>C1</v>
      </c>
      <c r="F533" s="683">
        <f t="shared" si="30"/>
        <v>5</v>
      </c>
      <c r="H533" s="13">
        <v>586</v>
      </c>
      <c r="I533" s="13">
        <f>VLOOKUP(VLOOKUP(H533,$A$24:$B$1023,2,FALSE),'Scratch Sheet'!$U$23:$X$32,3,FALSE)</f>
        <v>11</v>
      </c>
      <c r="K533" s="13">
        <f t="shared" si="31"/>
        <v>500</v>
      </c>
      <c r="L533" s="13">
        <f>IFERROR(VLOOKUP(VLOOKUP(K533,$A$24:$B$1023,2,FALSE),'Scratch Sheet'!$U$23:$Y$32,5,FALSE)*VLOOKUP(VLOOKUP(K533,$A$24:$E$1023,5,FALSE),'Scratch Sheet'!$L$22:$M$30,2,FALSE),"")</f>
        <v>5400</v>
      </c>
      <c r="N533" s="675">
        <v>70</v>
      </c>
      <c r="O533" s="675" t="str" cm="1">
        <f t="array" ref="O533">IF(OR(INDEX($B$24:$B$1023,N533)="P10",INDEX($B$24:$B$1023,N533)="P11",INDEX($B$24:$B$1023,N533)="P12",INDEX($B$24:$B$1023,N533)="P13"),"C",IF(OR(INDEX($B$24:$B$1023,N533)="P14",INDEX($B$24:$B$1023,N533)="P15",INDEX($B$24:$B$1023,N533)="P16"),"N","O"))&amp;IF(MOD(N533,100)&lt;20,1,IF(MOD(N533,100)&lt;70,2,3))</f>
        <v>C3</v>
      </c>
    </row>
    <row r="534" spans="1:15" ht="16.5" thickBot="1">
      <c r="A534" s="662">
        <v>511</v>
      </c>
      <c r="B534" s="661" t="str" cm="1">
        <f t="array" ref="B534">"P"&amp;INDEX(X!$CL$2:$CL$12,'Scratch Sheet'!H533+1)+9</f>
        <v>P13</v>
      </c>
      <c r="C534" s="661">
        <v>1</v>
      </c>
      <c r="D534" s="755">
        <f t="shared" si="28"/>
        <v>5400</v>
      </c>
      <c r="E534" s="682" t="str">
        <f t="shared" si="29"/>
        <v>C1</v>
      </c>
      <c r="F534" s="683">
        <f t="shared" si="30"/>
        <v>5</v>
      </c>
      <c r="H534" s="13">
        <v>38</v>
      </c>
      <c r="I534" s="13">
        <f>VLOOKUP(VLOOKUP(H534,$A$24:$B$1023,2,FALSE),'Scratch Sheet'!$U$23:$X$32,3,FALSE)</f>
        <v>6.5</v>
      </c>
      <c r="K534" s="13">
        <f t="shared" si="31"/>
        <v>499</v>
      </c>
      <c r="L534" s="13">
        <f>IFERROR(VLOOKUP(VLOOKUP(K534,$A$24:$B$1023,2,FALSE),'Scratch Sheet'!$U$23:$Y$32,5,FALSE)*VLOOKUP(VLOOKUP(K534,$A$24:$E$1023,5,FALSE),'Scratch Sheet'!$L$22:$M$30,2,FALSE),"")</f>
        <v>9600</v>
      </c>
      <c r="N534" s="675">
        <v>72</v>
      </c>
      <c r="O534" s="675" t="str" cm="1">
        <f t="array" ref="O534">IF(OR(INDEX($B$24:$B$1023,N534)="P10",INDEX($B$24:$B$1023,N534)="P11",INDEX($B$24:$B$1023,N534)="P12",INDEX($B$24:$B$1023,N534)="P13"),"C",IF(OR(INDEX($B$24:$B$1023,N534)="P14",INDEX($B$24:$B$1023,N534)="P15",INDEX($B$24:$B$1023,N534)="P16"),"N","O"))&amp;IF(MOD(N534,100)&lt;20,1,IF(MOD(N534,100)&lt;70,2,3))</f>
        <v>C3</v>
      </c>
    </row>
    <row r="535" spans="1:15" ht="16.5" thickBot="1">
      <c r="A535" s="662">
        <v>512</v>
      </c>
      <c r="B535" s="661" t="str" cm="1">
        <f t="array" ref="B535">"P"&amp;INDEX(X!$CL$2:$CL$12,'Scratch Sheet'!H534+1)+9</f>
        <v>P10</v>
      </c>
      <c r="C535" s="661">
        <v>1</v>
      </c>
      <c r="D535" s="755">
        <f t="shared" si="28"/>
        <v>2880</v>
      </c>
      <c r="E535" s="682" t="str">
        <f t="shared" si="29"/>
        <v>C1</v>
      </c>
      <c r="F535" s="683">
        <f t="shared" si="30"/>
        <v>3</v>
      </c>
      <c r="H535" s="13">
        <v>247</v>
      </c>
      <c r="I535" s="13">
        <f>VLOOKUP(VLOOKUP(H535,$A$24:$B$1023,2,FALSE),'Scratch Sheet'!$U$23:$X$32,3,FALSE)</f>
        <v>11</v>
      </c>
      <c r="K535" s="13">
        <f t="shared" si="31"/>
        <v>497</v>
      </c>
      <c r="L535" s="13">
        <f>IFERROR(VLOOKUP(VLOOKUP(K535,$A$24:$B$1023,2,FALSE),'Scratch Sheet'!$U$23:$Y$32,5,FALSE)*VLOOKUP(VLOOKUP(K535,$A$24:$E$1023,5,FALSE),'Scratch Sheet'!$L$22:$M$30,2,FALSE),"")</f>
        <v>5200</v>
      </c>
      <c r="N535" s="675">
        <v>73</v>
      </c>
      <c r="O535" s="675" t="str" cm="1">
        <f t="array" ref="O535">IF(OR(INDEX($B$24:$B$1023,N535)="P10",INDEX($B$24:$B$1023,N535)="P11",INDEX($B$24:$B$1023,N535)="P12",INDEX($B$24:$B$1023,N535)="P13"),"C",IF(OR(INDEX($B$24:$B$1023,N535)="P14",INDEX($B$24:$B$1023,N535)="P15",INDEX($B$24:$B$1023,N535)="P16"),"N","O"))&amp;IF(MOD(N535,100)&lt;20,1,IF(MOD(N535,100)&lt;70,2,3))</f>
        <v>C3</v>
      </c>
    </row>
    <row r="536" spans="1:15" ht="16.5" thickBot="1">
      <c r="A536" s="662">
        <v>513</v>
      </c>
      <c r="B536" s="661" t="str" cm="1">
        <f t="array" ref="B536">"P"&amp;INDEX(X!$CL$2:$CL$12,'Scratch Sheet'!H535+1)+9</f>
        <v>P11</v>
      </c>
      <c r="C536" s="661">
        <v>1</v>
      </c>
      <c r="D536" s="755">
        <f t="shared" si="28"/>
        <v>13200</v>
      </c>
      <c r="E536" s="682" t="str">
        <f t="shared" si="29"/>
        <v>C1</v>
      </c>
      <c r="F536" s="683">
        <f t="shared" si="30"/>
        <v>11</v>
      </c>
      <c r="H536" s="13">
        <v>500</v>
      </c>
      <c r="I536" s="13">
        <f>VLOOKUP(VLOOKUP(H536,$A$24:$B$1023,2,FALSE),'Scratch Sheet'!$U$23:$X$32,3,FALSE)</f>
        <v>5</v>
      </c>
      <c r="K536" s="13">
        <f t="shared" si="31"/>
        <v>438</v>
      </c>
      <c r="L536" s="13">
        <f>IFERROR(VLOOKUP(VLOOKUP(K536,$A$24:$B$1023,2,FALSE),'Scratch Sheet'!$U$23:$Y$32,5,FALSE)*VLOOKUP(VLOOKUP(K536,$A$24:$E$1023,5,FALSE),'Scratch Sheet'!$L$22:$M$30,2,FALSE),"")</f>
        <v>11000</v>
      </c>
      <c r="N536" s="675">
        <v>76</v>
      </c>
      <c r="O536" s="675" t="str" cm="1">
        <f t="array" ref="O536">IF(OR(INDEX($B$24:$B$1023,N536)="P10",INDEX($B$24:$B$1023,N536)="P11",INDEX($B$24:$B$1023,N536)="P12",INDEX($B$24:$B$1023,N536)="P13"),"C",IF(OR(INDEX($B$24:$B$1023,N536)="P14",INDEX($B$24:$B$1023,N536)="P15",INDEX($B$24:$B$1023,N536)="P16"),"N","O"))&amp;IF(MOD(N536,100)&lt;20,1,IF(MOD(N536,100)&lt;70,2,3))</f>
        <v>C3</v>
      </c>
    </row>
    <row r="537" spans="1:15" ht="16.5" thickBot="1">
      <c r="A537" s="662">
        <v>514</v>
      </c>
      <c r="B537" s="661" t="str" cm="1">
        <f t="array" ref="B537">"P"&amp;INDEX(X!$CL$2:$CL$12,'Scratch Sheet'!H536+1)+9</f>
        <v>P16</v>
      </c>
      <c r="C537" s="661">
        <v>1</v>
      </c>
      <c r="D537" s="755">
        <f t="shared" ref="D537:D600" si="32">SUMIF($K$24:$K$1053, $A537, $L$24:$L$1053)</f>
        <v>7279.9999999999991</v>
      </c>
      <c r="E537" s="682" t="str">
        <f t="shared" ref="E537:E600" si="33">INDEX($O$24:$O$1023,MATCH($A537,$N$24:$N$1023,0))</f>
        <v>N1</v>
      </c>
      <c r="F537" s="683">
        <f t="shared" ref="F537:F600" si="34">VLOOKUP(A537, $H$24:$I$1023, 2, FALSE)</f>
        <v>4</v>
      </c>
      <c r="H537" s="13">
        <v>702</v>
      </c>
      <c r="I537" s="13">
        <f>VLOOKUP(VLOOKUP(H537,$A$24:$B$1023,2,FALSE),'Scratch Sheet'!$U$23:$X$32,3,FALSE)</f>
        <v>12</v>
      </c>
      <c r="K537" s="13">
        <f t="shared" si="31"/>
        <v>453</v>
      </c>
      <c r="L537" s="13">
        <f>IFERROR(VLOOKUP(VLOOKUP(K537,$A$24:$B$1023,2,FALSE),'Scratch Sheet'!$U$23:$Y$32,5,FALSE)*VLOOKUP(VLOOKUP(K537,$A$24:$E$1023,5,FALSE),'Scratch Sheet'!$L$22:$M$30,2,FALSE),"")</f>
        <v>2400</v>
      </c>
      <c r="N537" s="675">
        <v>79</v>
      </c>
      <c r="O537" s="675" t="str" cm="1">
        <f t="array" ref="O537">IF(OR(INDEX($B$24:$B$1023,N537)="P10",INDEX($B$24:$B$1023,N537)="P11",INDEX($B$24:$B$1023,N537)="P12",INDEX($B$24:$B$1023,N537)="P13"),"C",IF(OR(INDEX($B$24:$B$1023,N537)="P14",INDEX($B$24:$B$1023,N537)="P15",INDEX($B$24:$B$1023,N537)="P16"),"N","O"))&amp;IF(MOD(N537,100)&lt;20,1,IF(MOD(N537,100)&lt;70,2,3))</f>
        <v>C3</v>
      </c>
    </row>
    <row r="538" spans="1:15" ht="16.5" thickBot="1">
      <c r="A538" s="662">
        <v>515</v>
      </c>
      <c r="B538" s="661" t="str" cm="1">
        <f t="array" ref="B538">"P"&amp;INDEX(X!$CL$2:$CL$12,'Scratch Sheet'!H537+1)+9</f>
        <v>P17</v>
      </c>
      <c r="C538" s="661">
        <v>1</v>
      </c>
      <c r="D538" s="755">
        <f t="shared" si="32"/>
        <v>10800</v>
      </c>
      <c r="E538" s="682" t="str">
        <f t="shared" si="33"/>
        <v>O1</v>
      </c>
      <c r="F538" s="683">
        <f t="shared" si="34"/>
        <v>12</v>
      </c>
      <c r="H538" s="13">
        <v>393</v>
      </c>
      <c r="I538" s="13">
        <f>VLOOKUP(VLOOKUP(H538,$A$24:$B$1023,2,FALSE),'Scratch Sheet'!$U$23:$X$32,3,FALSE)</f>
        <v>3</v>
      </c>
      <c r="K538" s="13">
        <f t="shared" si="31"/>
        <v>494</v>
      </c>
      <c r="L538" s="13">
        <f>IFERROR(VLOOKUP(VLOOKUP(K538,$A$24:$B$1023,2,FALSE),'Scratch Sheet'!$U$23:$Y$32,5,FALSE)*VLOOKUP(VLOOKUP(K538,$A$24:$E$1023,5,FALSE),'Scratch Sheet'!$L$22:$M$30,2,FALSE),"")</f>
        <v>3600</v>
      </c>
      <c r="N538" s="675">
        <v>82</v>
      </c>
      <c r="O538" s="675" t="str" cm="1">
        <f t="array" ref="O538">IF(OR(INDEX($B$24:$B$1023,N538)="P10",INDEX($B$24:$B$1023,N538)="P11",INDEX($B$24:$B$1023,N538)="P12",INDEX($B$24:$B$1023,N538)="P13"),"C",IF(OR(INDEX($B$24:$B$1023,N538)="P14",INDEX($B$24:$B$1023,N538)="P15",INDEX($B$24:$B$1023,N538)="P16"),"N","O"))&amp;IF(MOD(N538,100)&lt;20,1,IF(MOD(N538,100)&lt;70,2,3))</f>
        <v>C3</v>
      </c>
    </row>
    <row r="539" spans="1:15" ht="16.5" thickBot="1">
      <c r="A539" s="662">
        <v>516</v>
      </c>
      <c r="B539" s="661" t="str" cm="1">
        <f t="array" ref="B539">"P"&amp;INDEX(X!$CL$2:$CL$12,'Scratch Sheet'!H538+1)+9</f>
        <v>P17</v>
      </c>
      <c r="C539" s="661">
        <v>1</v>
      </c>
      <c r="D539" s="755">
        <f t="shared" si="32"/>
        <v>10800</v>
      </c>
      <c r="E539" s="682" t="str">
        <f t="shared" si="33"/>
        <v>O1</v>
      </c>
      <c r="F539" s="683">
        <f t="shared" si="34"/>
        <v>12</v>
      </c>
      <c r="H539" s="13">
        <v>679</v>
      </c>
      <c r="I539" s="13">
        <f>VLOOKUP(VLOOKUP(H539,$A$24:$B$1023,2,FALSE),'Scratch Sheet'!$U$23:$X$32,3,FALSE)</f>
        <v>3</v>
      </c>
      <c r="K539" s="13">
        <f t="shared" si="31"/>
        <v>510</v>
      </c>
      <c r="L539" s="13">
        <f>IFERROR(VLOOKUP(VLOOKUP(K539,$A$24:$B$1023,2,FALSE),'Scratch Sheet'!$U$23:$Y$32,5,FALSE)*VLOOKUP(VLOOKUP(K539,$A$24:$E$1023,5,FALSE),'Scratch Sheet'!$L$22:$M$30,2,FALSE),"")</f>
        <v>5400</v>
      </c>
      <c r="N539" s="675">
        <v>85</v>
      </c>
      <c r="O539" s="675" t="str" cm="1">
        <f t="array" ref="O539">IF(OR(INDEX($B$24:$B$1023,N539)="P10",INDEX($B$24:$B$1023,N539)="P11",INDEX($B$24:$B$1023,N539)="P12",INDEX($B$24:$B$1023,N539)="P13"),"C",IF(OR(INDEX($B$24:$B$1023,N539)="P14",INDEX($B$24:$B$1023,N539)="P15",INDEX($B$24:$B$1023,N539)="P16"),"N","O"))&amp;IF(MOD(N539,100)&lt;20,1,IF(MOD(N539,100)&lt;70,2,3))</f>
        <v>C3</v>
      </c>
    </row>
    <row r="540" spans="1:15" ht="16.5" thickBot="1">
      <c r="A540" s="662">
        <v>517</v>
      </c>
      <c r="B540" s="661" t="str" cm="1">
        <f t="array" ref="B540">"P"&amp;INDEX(X!$CL$2:$CL$12,'Scratch Sheet'!H539+1)+9</f>
        <v>P13</v>
      </c>
      <c r="C540" s="661">
        <v>1</v>
      </c>
      <c r="D540" s="755">
        <f t="shared" si="32"/>
        <v>5400</v>
      </c>
      <c r="E540" s="682" t="str">
        <f t="shared" si="33"/>
        <v>C1</v>
      </c>
      <c r="F540" s="683">
        <f t="shared" si="34"/>
        <v>5</v>
      </c>
      <c r="H540" s="13">
        <v>599</v>
      </c>
      <c r="I540" s="13">
        <f>VLOOKUP(VLOOKUP(H540,$A$24:$B$1023,2,FALSE),'Scratch Sheet'!$U$23:$X$32,3,FALSE)</f>
        <v>4</v>
      </c>
      <c r="K540" s="13">
        <f t="shared" si="31"/>
        <v>513</v>
      </c>
      <c r="L540" s="13">
        <f>IFERROR(VLOOKUP(VLOOKUP(K540,$A$24:$B$1023,2,FALSE),'Scratch Sheet'!$U$23:$Y$32,5,FALSE)*VLOOKUP(VLOOKUP(K540,$A$24:$E$1023,5,FALSE),'Scratch Sheet'!$L$22:$M$30,2,FALSE),"")</f>
        <v>13200</v>
      </c>
      <c r="N540" s="675">
        <v>86</v>
      </c>
      <c r="O540" s="675" t="str" cm="1">
        <f t="array" ref="O540">IF(OR(INDEX($B$24:$B$1023,N540)="P10",INDEX($B$24:$B$1023,N540)="P11",INDEX($B$24:$B$1023,N540)="P12",INDEX($B$24:$B$1023,N540)="P13"),"C",IF(OR(INDEX($B$24:$B$1023,N540)="P14",INDEX($B$24:$B$1023,N540)="P15",INDEX($B$24:$B$1023,N540)="P16"),"N","O"))&amp;IF(MOD(N540,100)&lt;20,1,IF(MOD(N540,100)&lt;70,2,3))</f>
        <v>C3</v>
      </c>
    </row>
    <row r="541" spans="1:15" ht="16.5" thickBot="1">
      <c r="A541" s="662">
        <v>518</v>
      </c>
      <c r="B541" s="661" t="str" cm="1">
        <f t="array" ref="B541">"P"&amp;INDEX(X!$CL$2:$CL$12,'Scratch Sheet'!H540+1)+9</f>
        <v>P11</v>
      </c>
      <c r="C541" s="661">
        <v>1</v>
      </c>
      <c r="D541" s="755">
        <f t="shared" si="32"/>
        <v>13200</v>
      </c>
      <c r="E541" s="682" t="str">
        <f t="shared" si="33"/>
        <v>C1</v>
      </c>
      <c r="F541" s="683">
        <f t="shared" si="34"/>
        <v>11</v>
      </c>
      <c r="H541" s="13">
        <v>360</v>
      </c>
      <c r="I541" s="13">
        <f>VLOOKUP(VLOOKUP(H541,$A$24:$B$1023,2,FALSE),'Scratch Sheet'!$U$23:$X$32,3,FALSE)</f>
        <v>11</v>
      </c>
      <c r="K541" s="13">
        <f t="shared" si="31"/>
        <v>512</v>
      </c>
      <c r="L541" s="13">
        <f>IFERROR(VLOOKUP(VLOOKUP(K541,$A$24:$B$1023,2,FALSE),'Scratch Sheet'!$U$23:$Y$32,5,FALSE)*VLOOKUP(VLOOKUP(K541,$A$24:$E$1023,5,FALSE),'Scratch Sheet'!$L$22:$M$30,2,FALSE),"")</f>
        <v>2880</v>
      </c>
      <c r="N541" s="675">
        <v>88</v>
      </c>
      <c r="O541" s="675" t="str" cm="1">
        <f t="array" ref="O541">IF(OR(INDEX($B$24:$B$1023,N541)="P10",INDEX($B$24:$B$1023,N541)="P11",INDEX($B$24:$B$1023,N541)="P12",INDEX($B$24:$B$1023,N541)="P13"),"C",IF(OR(INDEX($B$24:$B$1023,N541)="P14",INDEX($B$24:$B$1023,N541)="P15",INDEX($B$24:$B$1023,N541)="P16"),"N","O"))&amp;IF(MOD(N541,100)&lt;20,1,IF(MOD(N541,100)&lt;70,2,3))</f>
        <v>C3</v>
      </c>
    </row>
    <row r="542" spans="1:15" ht="16.5" thickBot="1">
      <c r="A542" s="662">
        <v>519</v>
      </c>
      <c r="B542" s="661" t="str" cm="1">
        <f t="array" ref="B542">"P"&amp;INDEX(X!$CL$2:$CL$12,'Scratch Sheet'!H541+1)+9</f>
        <v>P11</v>
      </c>
      <c r="C542" s="661">
        <v>1</v>
      </c>
      <c r="D542" s="755">
        <f t="shared" si="32"/>
        <v>13200</v>
      </c>
      <c r="E542" s="682" t="str">
        <f t="shared" si="33"/>
        <v>C1</v>
      </c>
      <c r="F542" s="683">
        <f t="shared" si="34"/>
        <v>11</v>
      </c>
      <c r="H542" s="13">
        <v>487</v>
      </c>
      <c r="I542" s="13">
        <f>VLOOKUP(VLOOKUP(H542,$A$24:$B$1023,2,FALSE),'Scratch Sheet'!$U$23:$X$32,3,FALSE)</f>
        <v>3</v>
      </c>
      <c r="K542" s="13">
        <f t="shared" si="31"/>
        <v>506</v>
      </c>
      <c r="L542" s="13">
        <f>IFERROR(VLOOKUP(VLOOKUP(K542,$A$24:$B$1023,2,FALSE),'Scratch Sheet'!$U$23:$Y$32,5,FALSE)*VLOOKUP(VLOOKUP(K542,$A$24:$E$1023,5,FALSE),'Scratch Sheet'!$L$22:$M$30,2,FALSE),"")</f>
        <v>13200</v>
      </c>
      <c r="N542" s="675">
        <v>92</v>
      </c>
      <c r="O542" s="675" t="str" cm="1">
        <f t="array" ref="O542">IF(OR(INDEX($B$24:$B$1023,N542)="P10",INDEX($B$24:$B$1023,N542)="P11",INDEX($B$24:$B$1023,N542)="P12",INDEX($B$24:$B$1023,N542)="P13"),"C",IF(OR(INDEX($B$24:$B$1023,N542)="P14",INDEX($B$24:$B$1023,N542)="P15",INDEX($B$24:$B$1023,N542)="P16"),"N","O"))&amp;IF(MOD(N542,100)&lt;20,1,IF(MOD(N542,100)&lt;70,2,3))</f>
        <v>C3</v>
      </c>
    </row>
    <row r="543" spans="1:15" ht="16.5" thickBot="1">
      <c r="A543" s="662">
        <v>520</v>
      </c>
      <c r="B543" s="661" t="str" cm="1">
        <f t="array" ref="B543">"P"&amp;INDEX(X!$CL$2:$CL$12,'Scratch Sheet'!H542+1)+9</f>
        <v>P12</v>
      </c>
      <c r="C543" s="661">
        <v>1</v>
      </c>
      <c r="D543" s="755">
        <f t="shared" si="32"/>
        <v>6825</v>
      </c>
      <c r="E543" s="682" t="str">
        <f t="shared" si="33"/>
        <v>C2</v>
      </c>
      <c r="F543" s="683">
        <f t="shared" si="34"/>
        <v>6.5</v>
      </c>
      <c r="H543" s="13">
        <v>321</v>
      </c>
      <c r="I543" s="13">
        <f>VLOOKUP(VLOOKUP(H543,$A$24:$B$1023,2,FALSE),'Scratch Sheet'!$U$23:$X$32,3,FALSE)</f>
        <v>8</v>
      </c>
      <c r="K543" s="13">
        <f t="shared" si="31"/>
        <v>509</v>
      </c>
      <c r="L543" s="13">
        <f>IFERROR(VLOOKUP(VLOOKUP(K543,$A$24:$B$1023,2,FALSE),'Scratch Sheet'!$U$23:$Y$32,5,FALSE)*VLOOKUP(VLOOKUP(K543,$A$24:$E$1023,5,FALSE),'Scratch Sheet'!$L$22:$M$30,2,FALSE),"")</f>
        <v>2880</v>
      </c>
      <c r="N543" s="675">
        <v>93</v>
      </c>
      <c r="O543" s="675" t="str" cm="1">
        <f t="array" ref="O543">IF(OR(INDEX($B$24:$B$1023,N543)="P10",INDEX($B$24:$B$1023,N543)="P11",INDEX($B$24:$B$1023,N543)="P12",INDEX($B$24:$B$1023,N543)="P13"),"C",IF(OR(INDEX($B$24:$B$1023,N543)="P14",INDEX($B$24:$B$1023,N543)="P15",INDEX($B$24:$B$1023,N543)="P16"),"N","O"))&amp;IF(MOD(N543,100)&lt;20,1,IF(MOD(N543,100)&lt;70,2,3))</f>
        <v>C3</v>
      </c>
    </row>
    <row r="544" spans="1:15" ht="16.5" thickBot="1">
      <c r="A544" s="662">
        <v>521</v>
      </c>
      <c r="B544" s="661" t="str" cm="1">
        <f t="array" ref="B544">"P"&amp;INDEX(X!$CL$2:$CL$12,'Scratch Sheet'!H543+1)+9</f>
        <v>P10</v>
      </c>
      <c r="C544" s="661">
        <v>1</v>
      </c>
      <c r="D544" s="755">
        <f t="shared" si="32"/>
        <v>2400</v>
      </c>
      <c r="E544" s="682" t="str">
        <f t="shared" si="33"/>
        <v>C2</v>
      </c>
      <c r="F544" s="683">
        <f t="shared" si="34"/>
        <v>3</v>
      </c>
      <c r="H544" s="13">
        <v>28</v>
      </c>
      <c r="I544" s="13">
        <f>VLOOKUP(VLOOKUP(H544,$A$24:$B$1023,2,FALSE),'Scratch Sheet'!$U$23:$X$32,3,FALSE)</f>
        <v>11</v>
      </c>
      <c r="K544" s="13">
        <f t="shared" si="31"/>
        <v>508</v>
      </c>
      <c r="L544" s="13">
        <f>IFERROR(VLOOKUP(VLOOKUP(K544,$A$24:$B$1023,2,FALSE),'Scratch Sheet'!$U$23:$Y$32,5,FALSE)*VLOOKUP(VLOOKUP(K544,$A$24:$E$1023,5,FALSE),'Scratch Sheet'!$L$22:$M$30,2,FALSE),"")</f>
        <v>10080</v>
      </c>
      <c r="N544" s="675">
        <v>94</v>
      </c>
      <c r="O544" s="675" t="str" cm="1">
        <f t="array" ref="O544">IF(OR(INDEX($B$24:$B$1023,N544)="P10",INDEX($B$24:$B$1023,N544)="P11",INDEX($B$24:$B$1023,N544)="P12",INDEX($B$24:$B$1023,N544)="P13"),"C",IF(OR(INDEX($B$24:$B$1023,N544)="P14",INDEX($B$24:$B$1023,N544)="P15",INDEX($B$24:$B$1023,N544)="P16"),"N","O"))&amp;IF(MOD(N544,100)&lt;20,1,IF(MOD(N544,100)&lt;70,2,3))</f>
        <v>C3</v>
      </c>
    </row>
    <row r="545" spans="1:15" ht="16.5" thickBot="1">
      <c r="A545" s="662">
        <v>522</v>
      </c>
      <c r="B545" s="661" t="str" cm="1">
        <f t="array" ref="B545">"P"&amp;INDEX(X!$CL$2:$CL$12,'Scratch Sheet'!H544+1)+9</f>
        <v>P10</v>
      </c>
      <c r="C545" s="661">
        <v>1</v>
      </c>
      <c r="D545" s="755">
        <f t="shared" si="32"/>
        <v>2400</v>
      </c>
      <c r="E545" s="682" t="str">
        <f t="shared" si="33"/>
        <v>C2</v>
      </c>
      <c r="F545" s="683">
        <f t="shared" si="34"/>
        <v>3</v>
      </c>
      <c r="H545" s="13">
        <v>89</v>
      </c>
      <c r="I545" s="13">
        <f>VLOOKUP(VLOOKUP(H545,$A$24:$B$1023,2,FALSE),'Scratch Sheet'!$U$23:$X$32,3,FALSE)</f>
        <v>4</v>
      </c>
      <c r="K545" s="13">
        <f t="shared" si="31"/>
        <v>511</v>
      </c>
      <c r="L545" s="13">
        <f>IFERROR(VLOOKUP(VLOOKUP(K545,$A$24:$B$1023,2,FALSE),'Scratch Sheet'!$U$23:$Y$32,5,FALSE)*VLOOKUP(VLOOKUP(K545,$A$24:$E$1023,5,FALSE),'Scratch Sheet'!$L$22:$M$30,2,FALSE),"")</f>
        <v>5400</v>
      </c>
      <c r="N545" s="675">
        <v>95</v>
      </c>
      <c r="O545" s="675" t="str" cm="1">
        <f t="array" ref="O545">IF(OR(INDEX($B$24:$B$1023,N545)="P10",INDEX($B$24:$B$1023,N545)="P11",INDEX($B$24:$B$1023,N545)="P12",INDEX($B$24:$B$1023,N545)="P13"),"C",IF(OR(INDEX($B$24:$B$1023,N545)="P14",INDEX($B$24:$B$1023,N545)="P15",INDEX($B$24:$B$1023,N545)="P16"),"N","O"))&amp;IF(MOD(N545,100)&lt;20,1,IF(MOD(N545,100)&lt;70,2,3))</f>
        <v>C3</v>
      </c>
    </row>
    <row r="546" spans="1:15" ht="16.5" thickBot="1">
      <c r="A546" s="662">
        <v>523</v>
      </c>
      <c r="B546" s="661" t="str" cm="1">
        <f t="array" ref="B546">"P"&amp;INDEX(X!$CL$2:$CL$12,'Scratch Sheet'!H545+1)+9</f>
        <v>P11</v>
      </c>
      <c r="C546" s="661">
        <v>1</v>
      </c>
      <c r="D546" s="755">
        <f t="shared" si="32"/>
        <v>11000</v>
      </c>
      <c r="E546" s="682" t="str">
        <f t="shared" si="33"/>
        <v>C2</v>
      </c>
      <c r="F546" s="683">
        <f t="shared" si="34"/>
        <v>11</v>
      </c>
      <c r="H546" s="13">
        <v>123</v>
      </c>
      <c r="I546" s="13">
        <f>VLOOKUP(VLOOKUP(H546,$A$24:$B$1023,2,FALSE),'Scratch Sheet'!$U$23:$X$32,3,FALSE)</f>
        <v>4</v>
      </c>
      <c r="K546" s="13">
        <f t="shared" si="31"/>
        <v>505</v>
      </c>
      <c r="L546" s="13">
        <f>IFERROR(VLOOKUP(VLOOKUP(K546,$A$24:$B$1023,2,FALSE),'Scratch Sheet'!$U$23:$Y$32,5,FALSE)*VLOOKUP(VLOOKUP(K546,$A$24:$E$1023,5,FALSE),'Scratch Sheet'!$L$22:$M$30,2,FALSE),"")</f>
        <v>2880</v>
      </c>
      <c r="N546" s="675">
        <v>98</v>
      </c>
      <c r="O546" s="675" t="str" cm="1">
        <f t="array" ref="O546">IF(OR(INDEX($B$24:$B$1023,N546)="P10",INDEX($B$24:$B$1023,N546)="P11",INDEX($B$24:$B$1023,N546)="P12",INDEX($B$24:$B$1023,N546)="P13"),"C",IF(OR(INDEX($B$24:$B$1023,N546)="P14",INDEX($B$24:$B$1023,N546)="P15",INDEX($B$24:$B$1023,N546)="P16"),"N","O"))&amp;IF(MOD(N546,100)&lt;20,1,IF(MOD(N546,100)&lt;70,2,3))</f>
        <v>C3</v>
      </c>
    </row>
    <row r="547" spans="1:15" ht="16.5" thickBot="1">
      <c r="A547" s="662">
        <v>524</v>
      </c>
      <c r="B547" s="661" t="str" cm="1">
        <f t="array" ref="B547">"P"&amp;INDEX(X!$CL$2:$CL$12,'Scratch Sheet'!H546+1)+9</f>
        <v>P18</v>
      </c>
      <c r="C547" s="661">
        <v>1</v>
      </c>
      <c r="D547" s="755">
        <f t="shared" si="32"/>
        <v>5940.0000000000009</v>
      </c>
      <c r="E547" s="682" t="str">
        <f t="shared" si="33"/>
        <v>O2</v>
      </c>
      <c r="F547" s="683">
        <f t="shared" si="34"/>
        <v>6</v>
      </c>
      <c r="H547" s="13">
        <v>489</v>
      </c>
      <c r="I547" s="13">
        <f>VLOOKUP(VLOOKUP(H547,$A$24:$B$1023,2,FALSE),'Scratch Sheet'!$U$23:$X$32,3,FALSE)</f>
        <v>11</v>
      </c>
      <c r="K547" s="13">
        <f t="shared" si="31"/>
        <v>503</v>
      </c>
      <c r="L547" s="13">
        <f>IFERROR(VLOOKUP(VLOOKUP(K547,$A$24:$B$1023,2,FALSE),'Scratch Sheet'!$U$23:$Y$32,5,FALSE)*VLOOKUP(VLOOKUP(K547,$A$24:$E$1023,5,FALSE),'Scratch Sheet'!$L$22:$M$30,2,FALSE),"")</f>
        <v>8190</v>
      </c>
      <c r="N547" s="675">
        <v>100</v>
      </c>
      <c r="O547" s="675" t="str" cm="1">
        <f t="array" ref="O547">IF(OR(INDEX($B$24:$B$1023,N547)="P10",INDEX($B$24:$B$1023,N547)="P11",INDEX($B$24:$B$1023,N547)="P12",INDEX($B$24:$B$1023,N547)="P13"),"C",IF(OR(INDEX($B$24:$B$1023,N547)="P14",INDEX($B$24:$B$1023,N547)="P15",INDEX($B$24:$B$1023,N547)="P16"),"N","O"))&amp;IF(MOD(N547,100)&lt;20,1,IF(MOD(N547,100)&lt;70,2,3))</f>
        <v>N1</v>
      </c>
    </row>
    <row r="548" spans="1:15" ht="16.5" thickBot="1">
      <c r="A548" s="662">
        <v>525</v>
      </c>
      <c r="B548" s="661" t="str" cm="1">
        <f t="array" ref="B548">"P"&amp;INDEX(X!$CL$2:$CL$12,'Scratch Sheet'!H547+1)+9</f>
        <v>P14</v>
      </c>
      <c r="C548" s="661">
        <v>1</v>
      </c>
      <c r="D548" s="755">
        <f t="shared" si="32"/>
        <v>6480</v>
      </c>
      <c r="E548" s="682" t="str">
        <f t="shared" si="33"/>
        <v>N2</v>
      </c>
      <c r="F548" s="683">
        <f t="shared" si="34"/>
        <v>8</v>
      </c>
      <c r="H548" s="13">
        <v>335</v>
      </c>
      <c r="I548" s="13">
        <f>VLOOKUP(VLOOKUP(H548,$A$24:$B$1023,2,FALSE),'Scratch Sheet'!$U$23:$X$32,3,FALSE)</f>
        <v>3</v>
      </c>
      <c r="K548" s="13">
        <f t="shared" si="31"/>
        <v>504</v>
      </c>
      <c r="L548" s="13">
        <f>IFERROR(VLOOKUP(VLOOKUP(K548,$A$24:$B$1023,2,FALSE),'Scratch Sheet'!$U$23:$Y$32,5,FALSE)*VLOOKUP(VLOOKUP(K548,$A$24:$E$1023,5,FALSE),'Scratch Sheet'!$L$22:$M$30,2,FALSE),"")</f>
        <v>2880</v>
      </c>
      <c r="N548" s="675">
        <v>102</v>
      </c>
      <c r="O548" s="675" t="str" cm="1">
        <f t="array" ref="O548">IF(OR(INDEX($B$24:$B$1023,N548)="P10",INDEX($B$24:$B$1023,N548)="P11",INDEX($B$24:$B$1023,N548)="P12",INDEX($B$24:$B$1023,N548)="P13"),"C",IF(OR(INDEX($B$24:$B$1023,N548)="P14",INDEX($B$24:$B$1023,N548)="P15",INDEX($B$24:$B$1023,N548)="P16"),"N","O"))&amp;IF(MOD(N548,100)&lt;20,1,IF(MOD(N548,100)&lt;70,2,3))</f>
        <v>C1</v>
      </c>
    </row>
    <row r="549" spans="1:15" ht="16.5" thickBot="1">
      <c r="A549" s="662">
        <v>526</v>
      </c>
      <c r="B549" s="661" t="str" cm="1">
        <f t="array" ref="B549">"P"&amp;INDEX(X!$CL$2:$CL$12,'Scratch Sheet'!H548+1)+9</f>
        <v>P10</v>
      </c>
      <c r="C549" s="661">
        <v>1</v>
      </c>
      <c r="D549" s="755">
        <f t="shared" si="32"/>
        <v>2400</v>
      </c>
      <c r="E549" s="682" t="str">
        <f t="shared" si="33"/>
        <v>C2</v>
      </c>
      <c r="F549" s="683">
        <f t="shared" si="34"/>
        <v>3</v>
      </c>
      <c r="H549" s="13">
        <v>518</v>
      </c>
      <c r="I549" s="13">
        <f>VLOOKUP(VLOOKUP(H549,$A$24:$B$1023,2,FALSE),'Scratch Sheet'!$U$23:$X$32,3,FALSE)</f>
        <v>11</v>
      </c>
      <c r="K549" s="13">
        <f t="shared" si="31"/>
        <v>502</v>
      </c>
      <c r="L549" s="13">
        <f>IFERROR(VLOOKUP(VLOOKUP(K549,$A$24:$B$1023,2,FALSE),'Scratch Sheet'!$U$23:$Y$32,5,FALSE)*VLOOKUP(VLOOKUP(K549,$A$24:$E$1023,5,FALSE),'Scratch Sheet'!$L$22:$M$30,2,FALSE),"")</f>
        <v>13200</v>
      </c>
      <c r="N549" s="675">
        <v>103</v>
      </c>
      <c r="O549" s="675" t="str" cm="1">
        <f t="array" ref="O549">IF(OR(INDEX($B$24:$B$1023,N549)="P10",INDEX($B$24:$B$1023,N549)="P11",INDEX($B$24:$B$1023,N549)="P12",INDEX($B$24:$B$1023,N549)="P13"),"C",IF(OR(INDEX($B$24:$B$1023,N549)="P14",INDEX($B$24:$B$1023,N549)="P15",INDEX($B$24:$B$1023,N549)="P16"),"N","O"))&amp;IF(MOD(N549,100)&lt;20,1,IF(MOD(N549,100)&lt;70,2,3))</f>
        <v>C1</v>
      </c>
    </row>
    <row r="550" spans="1:15" ht="16.5" thickBot="1">
      <c r="A550" s="662">
        <v>527</v>
      </c>
      <c r="B550" s="661" t="str" cm="1">
        <f t="array" ref="B550">"P"&amp;INDEX(X!$CL$2:$CL$12,'Scratch Sheet'!H549+1)+9</f>
        <v>P13</v>
      </c>
      <c r="C550" s="661">
        <v>1</v>
      </c>
      <c r="D550" s="755">
        <f t="shared" si="32"/>
        <v>4500</v>
      </c>
      <c r="E550" s="682" t="str">
        <f t="shared" si="33"/>
        <v>C2</v>
      </c>
      <c r="F550" s="683">
        <f t="shared" si="34"/>
        <v>5</v>
      </c>
      <c r="H550" s="13">
        <v>654</v>
      </c>
      <c r="I550" s="13">
        <f>VLOOKUP(VLOOKUP(H550,$A$24:$B$1023,2,FALSE),'Scratch Sheet'!$U$23:$X$32,3,FALSE)</f>
        <v>11</v>
      </c>
      <c r="K550" s="13">
        <f t="shared" si="31"/>
        <v>501</v>
      </c>
      <c r="L550" s="13">
        <f>IFERROR(VLOOKUP(VLOOKUP(K550,$A$24:$B$1023,2,FALSE),'Scratch Sheet'!$U$23:$Y$32,5,FALSE)*VLOOKUP(VLOOKUP(K550,$A$24:$E$1023,5,FALSE),'Scratch Sheet'!$L$22:$M$30,2,FALSE),"")</f>
        <v>13200</v>
      </c>
      <c r="N550" s="675">
        <v>105</v>
      </c>
      <c r="O550" s="675" t="str" cm="1">
        <f t="array" ref="O550">IF(OR(INDEX($B$24:$B$1023,N550)="P10",INDEX($B$24:$B$1023,N550)="P11",INDEX($B$24:$B$1023,N550)="P12",INDEX($B$24:$B$1023,N550)="P13"),"C",IF(OR(INDEX($B$24:$B$1023,N550)="P14",INDEX($B$24:$B$1023,N550)="P15",INDEX($B$24:$B$1023,N550)="P16"),"N","O"))&amp;IF(MOD(N550,100)&lt;20,1,IF(MOD(N550,100)&lt;70,2,3))</f>
        <v>C1</v>
      </c>
    </row>
    <row r="551" spans="1:15" ht="16.5" thickBot="1">
      <c r="A551" s="662">
        <v>528</v>
      </c>
      <c r="B551" s="661" t="str" cm="1">
        <f t="array" ref="B551">"P"&amp;INDEX(X!$CL$2:$CL$12,'Scratch Sheet'!H550+1)+9</f>
        <v>P13</v>
      </c>
      <c r="C551" s="661">
        <v>1</v>
      </c>
      <c r="D551" s="755">
        <f t="shared" si="32"/>
        <v>4500</v>
      </c>
      <c r="E551" s="682" t="str">
        <f t="shared" si="33"/>
        <v>C2</v>
      </c>
      <c r="F551" s="683">
        <f t="shared" si="34"/>
        <v>5</v>
      </c>
      <c r="H551" s="13">
        <v>444</v>
      </c>
      <c r="I551" s="13">
        <f>VLOOKUP(VLOOKUP(H551,$A$24:$B$1023,2,FALSE),'Scratch Sheet'!$U$23:$X$32,3,FALSE)</f>
        <v>3</v>
      </c>
      <c r="K551" s="13">
        <f t="shared" si="31"/>
        <v>514</v>
      </c>
      <c r="L551" s="13">
        <f>IFERROR(VLOOKUP(VLOOKUP(K551,$A$24:$B$1023,2,FALSE),'Scratch Sheet'!$U$23:$Y$32,5,FALSE)*VLOOKUP(VLOOKUP(K551,$A$24:$E$1023,5,FALSE),'Scratch Sheet'!$L$22:$M$30,2,FALSE),"")</f>
        <v>7279.9999999999991</v>
      </c>
      <c r="N551" s="675">
        <v>109</v>
      </c>
      <c r="O551" s="675" t="str" cm="1">
        <f t="array" ref="O551">IF(OR(INDEX($B$24:$B$1023,N551)="P10",INDEX($B$24:$B$1023,N551)="P11",INDEX($B$24:$B$1023,N551)="P12",INDEX($B$24:$B$1023,N551)="P13"),"C",IF(OR(INDEX($B$24:$B$1023,N551)="P14",INDEX($B$24:$B$1023,N551)="P15",INDEX($B$24:$B$1023,N551)="P16"),"N","O"))&amp;IF(MOD(N551,100)&lt;20,1,IF(MOD(N551,100)&lt;70,2,3))</f>
        <v>C1</v>
      </c>
    </row>
    <row r="552" spans="1:15" ht="16.5" thickBot="1">
      <c r="A552" s="662">
        <v>529</v>
      </c>
      <c r="B552" s="661" t="str" cm="1">
        <f t="array" ref="B552">"P"&amp;INDEX(X!$CL$2:$CL$12,'Scratch Sheet'!H551+1)+9</f>
        <v>P10</v>
      </c>
      <c r="C552" s="661">
        <v>1</v>
      </c>
      <c r="D552" s="755">
        <f t="shared" si="32"/>
        <v>2400</v>
      </c>
      <c r="E552" s="682" t="str">
        <f t="shared" si="33"/>
        <v>C2</v>
      </c>
      <c r="F552" s="683">
        <f t="shared" si="34"/>
        <v>3</v>
      </c>
      <c r="H552" s="13">
        <v>275</v>
      </c>
      <c r="I552" s="13">
        <f>VLOOKUP(VLOOKUP(H552,$A$24:$B$1023,2,FALSE),'Scratch Sheet'!$U$23:$X$32,3,FALSE)</f>
        <v>11</v>
      </c>
      <c r="K552" s="13">
        <f t="shared" si="31"/>
        <v>507</v>
      </c>
      <c r="L552" s="13">
        <f>IFERROR(VLOOKUP(VLOOKUP(K552,$A$24:$B$1023,2,FALSE),'Scratch Sheet'!$U$23:$Y$32,5,FALSE)*VLOOKUP(VLOOKUP(K552,$A$24:$E$1023,5,FALSE),'Scratch Sheet'!$L$22:$M$30,2,FALSE),"")</f>
        <v>4860</v>
      </c>
      <c r="N552" s="675">
        <v>110</v>
      </c>
      <c r="O552" s="675" t="str" cm="1">
        <f t="array" ref="O552">IF(OR(INDEX($B$24:$B$1023,N552)="P10",INDEX($B$24:$B$1023,N552)="P11",INDEX($B$24:$B$1023,N552)="P12",INDEX($B$24:$B$1023,N552)="P13"),"C",IF(OR(INDEX($B$24:$B$1023,N552)="P14",INDEX($B$24:$B$1023,N552)="P15",INDEX($B$24:$B$1023,N552)="P16"),"N","O"))&amp;IF(MOD(N552,100)&lt;20,1,IF(MOD(N552,100)&lt;70,2,3))</f>
        <v>C1</v>
      </c>
    </row>
    <row r="553" spans="1:15" ht="16.5" thickBot="1">
      <c r="A553" s="662">
        <v>530</v>
      </c>
      <c r="B553" s="661" t="str" cm="1">
        <f t="array" ref="B553">"P"&amp;INDEX(X!$CL$2:$CL$12,'Scratch Sheet'!H552+1)+9</f>
        <v>P11</v>
      </c>
      <c r="C553" s="661">
        <v>1</v>
      </c>
      <c r="D553" s="755">
        <f t="shared" si="32"/>
        <v>11000</v>
      </c>
      <c r="E553" s="682" t="str">
        <f t="shared" si="33"/>
        <v>C2</v>
      </c>
      <c r="F553" s="683">
        <f t="shared" si="34"/>
        <v>11</v>
      </c>
      <c r="H553" s="13">
        <v>840</v>
      </c>
      <c r="I553" s="13">
        <f>VLOOKUP(VLOOKUP(H553,$A$24:$B$1023,2,FALSE),'Scratch Sheet'!$U$23:$X$32,3,FALSE)</f>
        <v>5</v>
      </c>
      <c r="K553" s="13">
        <f t="shared" si="31"/>
        <v>523</v>
      </c>
      <c r="L553" s="13">
        <f>IFERROR(VLOOKUP(VLOOKUP(K553,$A$24:$B$1023,2,FALSE),'Scratch Sheet'!$U$23:$Y$32,5,FALSE)*VLOOKUP(VLOOKUP(K553,$A$24:$E$1023,5,FALSE),'Scratch Sheet'!$L$22:$M$30,2,FALSE),"")</f>
        <v>11000</v>
      </c>
      <c r="N553" s="675">
        <v>111</v>
      </c>
      <c r="O553" s="675" t="str" cm="1">
        <f t="array" ref="O553">IF(OR(INDEX($B$24:$B$1023,N553)="P10",INDEX($B$24:$B$1023,N553)="P11",INDEX($B$24:$B$1023,N553)="P12",INDEX($B$24:$B$1023,N553)="P13"),"C",IF(OR(INDEX($B$24:$B$1023,N553)="P14",INDEX($B$24:$B$1023,N553)="P15",INDEX($B$24:$B$1023,N553)="P16"),"N","O"))&amp;IF(MOD(N553,100)&lt;20,1,IF(MOD(N553,100)&lt;70,2,3))</f>
        <v>C1</v>
      </c>
    </row>
    <row r="554" spans="1:15" ht="16.5" thickBot="1">
      <c r="A554" s="662">
        <v>531</v>
      </c>
      <c r="B554" s="661" t="str" cm="1">
        <f t="array" ref="B554">"P"&amp;INDEX(X!$CL$2:$CL$12,'Scratch Sheet'!H553+1)+9</f>
        <v>P16</v>
      </c>
      <c r="C554" s="661">
        <v>1</v>
      </c>
      <c r="D554" s="755">
        <f t="shared" si="32"/>
        <v>4680</v>
      </c>
      <c r="E554" s="682" t="str">
        <f t="shared" si="33"/>
        <v>N2</v>
      </c>
      <c r="F554" s="683">
        <f t="shared" si="34"/>
        <v>4</v>
      </c>
      <c r="H554" s="13">
        <v>781</v>
      </c>
      <c r="I554" s="13">
        <f>VLOOKUP(VLOOKUP(H554,$A$24:$B$1023,2,FALSE),'Scratch Sheet'!$U$23:$X$32,3,FALSE)</f>
        <v>3</v>
      </c>
      <c r="K554" s="13">
        <f t="shared" si="31"/>
        <v>526</v>
      </c>
      <c r="L554" s="13">
        <f>IFERROR(VLOOKUP(VLOOKUP(K554,$A$24:$B$1023,2,FALSE),'Scratch Sheet'!$U$23:$Y$32,5,FALSE)*VLOOKUP(VLOOKUP(K554,$A$24:$E$1023,5,FALSE),'Scratch Sheet'!$L$22:$M$30,2,FALSE),"")</f>
        <v>2400</v>
      </c>
      <c r="N554" s="675">
        <v>112</v>
      </c>
      <c r="O554" s="675" t="str" cm="1">
        <f t="array" ref="O554">IF(OR(INDEX($B$24:$B$1023,N554)="P10",INDEX($B$24:$B$1023,N554)="P11",INDEX($B$24:$B$1023,N554)="P12",INDEX($B$24:$B$1023,N554)="P13"),"C",IF(OR(INDEX($B$24:$B$1023,N554)="P14",INDEX($B$24:$B$1023,N554)="P15",INDEX($B$24:$B$1023,N554)="P16"),"N","O"))&amp;IF(MOD(N554,100)&lt;20,1,IF(MOD(N554,100)&lt;70,2,3))</f>
        <v>C1</v>
      </c>
    </row>
    <row r="555" spans="1:15" ht="16.5" thickBot="1">
      <c r="A555" s="662">
        <v>532</v>
      </c>
      <c r="B555" s="661" t="str" cm="1">
        <f t="array" ref="B555">"P"&amp;INDEX(X!$CL$2:$CL$12,'Scratch Sheet'!H554+1)+9</f>
        <v>P17</v>
      </c>
      <c r="C555" s="661">
        <v>1</v>
      </c>
      <c r="D555" s="755">
        <f t="shared" si="32"/>
        <v>13200.000000000002</v>
      </c>
      <c r="E555" s="682" t="str">
        <f t="shared" si="33"/>
        <v>O2</v>
      </c>
      <c r="F555" s="683">
        <f t="shared" si="34"/>
        <v>12</v>
      </c>
      <c r="H555" s="13">
        <v>347</v>
      </c>
      <c r="I555" s="13">
        <f>VLOOKUP(VLOOKUP(H555,$A$24:$B$1023,2,FALSE),'Scratch Sheet'!$U$23:$X$32,3,FALSE)</f>
        <v>5</v>
      </c>
      <c r="K555" s="13">
        <f t="shared" si="31"/>
        <v>525</v>
      </c>
      <c r="L555" s="13">
        <f>IFERROR(VLOOKUP(VLOOKUP(K555,$A$24:$B$1023,2,FALSE),'Scratch Sheet'!$U$23:$Y$32,5,FALSE)*VLOOKUP(VLOOKUP(K555,$A$24:$E$1023,5,FALSE),'Scratch Sheet'!$L$22:$M$30,2,FALSE),"")</f>
        <v>6480</v>
      </c>
      <c r="N555" s="675">
        <v>115</v>
      </c>
      <c r="O555" s="675" t="str" cm="1">
        <f t="array" ref="O555">IF(OR(INDEX($B$24:$B$1023,N555)="P10",INDEX($B$24:$B$1023,N555)="P11",INDEX($B$24:$B$1023,N555)="P12",INDEX($B$24:$B$1023,N555)="P13"),"C",IF(OR(INDEX($B$24:$B$1023,N555)="P14",INDEX($B$24:$B$1023,N555)="P15",INDEX($B$24:$B$1023,N555)="P16"),"N","O"))&amp;IF(MOD(N555,100)&lt;20,1,IF(MOD(N555,100)&lt;70,2,3))</f>
        <v>C1</v>
      </c>
    </row>
    <row r="556" spans="1:15" ht="16.5" thickBot="1">
      <c r="A556" s="662">
        <v>533</v>
      </c>
      <c r="B556" s="661" t="str" cm="1">
        <f t="array" ref="B556">"P"&amp;INDEX(X!$CL$2:$CL$12,'Scratch Sheet'!H555+1)+9</f>
        <v>P17</v>
      </c>
      <c r="C556" s="661">
        <v>1</v>
      </c>
      <c r="D556" s="755">
        <f t="shared" si="32"/>
        <v>13200.000000000002</v>
      </c>
      <c r="E556" s="682" t="str">
        <f t="shared" si="33"/>
        <v>O2</v>
      </c>
      <c r="F556" s="683">
        <f t="shared" si="34"/>
        <v>12</v>
      </c>
      <c r="H556" s="13">
        <v>45</v>
      </c>
      <c r="I556" s="13">
        <f>VLOOKUP(VLOOKUP(H556,$A$24:$B$1023,2,FALSE),'Scratch Sheet'!$U$23:$X$32,3,FALSE)</f>
        <v>11</v>
      </c>
      <c r="K556" s="13">
        <f t="shared" si="31"/>
        <v>520</v>
      </c>
      <c r="L556" s="13">
        <f>IFERROR(VLOOKUP(VLOOKUP(K556,$A$24:$B$1023,2,FALSE),'Scratch Sheet'!$U$23:$Y$32,5,FALSE)*VLOOKUP(VLOOKUP(K556,$A$24:$E$1023,5,FALSE),'Scratch Sheet'!$L$22:$M$30,2,FALSE),"")</f>
        <v>6825</v>
      </c>
      <c r="N556" s="675">
        <v>117</v>
      </c>
      <c r="O556" s="675" t="str" cm="1">
        <f t="array" ref="O556">IF(OR(INDEX($B$24:$B$1023,N556)="P10",INDEX($B$24:$B$1023,N556)="P11",INDEX($B$24:$B$1023,N556)="P12",INDEX($B$24:$B$1023,N556)="P13"),"C",IF(OR(INDEX($B$24:$B$1023,N556)="P14",INDEX($B$24:$B$1023,N556)="P15",INDEX($B$24:$B$1023,N556)="P16"),"N","O"))&amp;IF(MOD(N556,100)&lt;20,1,IF(MOD(N556,100)&lt;70,2,3))</f>
        <v>N1</v>
      </c>
    </row>
    <row r="557" spans="1:15" ht="16.5" thickBot="1">
      <c r="A557" s="662">
        <v>534</v>
      </c>
      <c r="B557" s="661" t="str" cm="1">
        <f t="array" ref="B557">"P"&amp;INDEX(X!$CL$2:$CL$12,'Scratch Sheet'!H556+1)+9</f>
        <v>P13</v>
      </c>
      <c r="C557" s="661">
        <v>1</v>
      </c>
      <c r="D557" s="755">
        <f t="shared" si="32"/>
        <v>4500</v>
      </c>
      <c r="E557" s="682" t="str">
        <f t="shared" si="33"/>
        <v>C2</v>
      </c>
      <c r="F557" s="683">
        <f t="shared" si="34"/>
        <v>5</v>
      </c>
      <c r="H557" s="13">
        <v>867</v>
      </c>
      <c r="I557" s="13">
        <f>VLOOKUP(VLOOKUP(H557,$A$24:$B$1023,2,FALSE),'Scratch Sheet'!$U$23:$X$32,3,FALSE)</f>
        <v>5</v>
      </c>
      <c r="K557" s="13">
        <f t="shared" si="31"/>
        <v>522</v>
      </c>
      <c r="L557" s="13">
        <f>IFERROR(VLOOKUP(VLOOKUP(K557,$A$24:$B$1023,2,FALSE),'Scratch Sheet'!$U$23:$Y$32,5,FALSE)*VLOOKUP(VLOOKUP(K557,$A$24:$E$1023,5,FALSE),'Scratch Sheet'!$L$22:$M$30,2,FALSE),"")</f>
        <v>2400</v>
      </c>
      <c r="N557" s="675">
        <v>119</v>
      </c>
      <c r="O557" s="675" t="str" cm="1">
        <f t="array" ref="O557">IF(OR(INDEX($B$24:$B$1023,N557)="P10",INDEX($B$24:$B$1023,N557)="P11",INDEX($B$24:$B$1023,N557)="P12",INDEX($B$24:$B$1023,N557)="P13"),"C",IF(OR(INDEX($B$24:$B$1023,N557)="P14",INDEX($B$24:$B$1023,N557)="P15",INDEX($B$24:$B$1023,N557)="P16"),"N","O"))&amp;IF(MOD(N557,100)&lt;20,1,IF(MOD(N557,100)&lt;70,2,3))</f>
        <v>C1</v>
      </c>
    </row>
    <row r="558" spans="1:15" ht="16.5" thickBot="1">
      <c r="A558" s="662">
        <v>535</v>
      </c>
      <c r="B558" s="661" t="str" cm="1">
        <f t="array" ref="B558">"P"&amp;INDEX(X!$CL$2:$CL$12,'Scratch Sheet'!H557+1)+9</f>
        <v>P11</v>
      </c>
      <c r="C558" s="661">
        <v>1</v>
      </c>
      <c r="D558" s="755">
        <f t="shared" si="32"/>
        <v>11000</v>
      </c>
      <c r="E558" s="682" t="str">
        <f t="shared" si="33"/>
        <v>C2</v>
      </c>
      <c r="F558" s="683">
        <f t="shared" si="34"/>
        <v>11</v>
      </c>
      <c r="H558" s="13">
        <v>314</v>
      </c>
      <c r="I558" s="13">
        <f>VLOOKUP(VLOOKUP(H558,$A$24:$B$1023,2,FALSE),'Scratch Sheet'!$U$23:$X$32,3,FALSE)</f>
        <v>11</v>
      </c>
      <c r="K558" s="13">
        <f t="shared" si="31"/>
        <v>521</v>
      </c>
      <c r="L558" s="13">
        <f>IFERROR(VLOOKUP(VLOOKUP(K558,$A$24:$B$1023,2,FALSE),'Scratch Sheet'!$U$23:$Y$32,5,FALSE)*VLOOKUP(VLOOKUP(K558,$A$24:$E$1023,5,FALSE),'Scratch Sheet'!$L$22:$M$30,2,FALSE),"")</f>
        <v>2400</v>
      </c>
      <c r="N558" s="675">
        <v>120</v>
      </c>
      <c r="O558" s="675" t="str" cm="1">
        <f t="array" ref="O558">IF(OR(INDEX($B$24:$B$1023,N558)="P10",INDEX($B$24:$B$1023,N558)="P11",INDEX($B$24:$B$1023,N558)="P12",INDEX($B$24:$B$1023,N558)="P13"),"C",IF(OR(INDEX($B$24:$B$1023,N558)="P14",INDEX($B$24:$B$1023,N558)="P15",INDEX($B$24:$B$1023,N558)="P16"),"N","O"))&amp;IF(MOD(N558,100)&lt;20,1,IF(MOD(N558,100)&lt;70,2,3))</f>
        <v>C2</v>
      </c>
    </row>
    <row r="559" spans="1:15" ht="16.5" thickBot="1">
      <c r="A559" s="662">
        <v>536</v>
      </c>
      <c r="B559" s="661" t="str" cm="1">
        <f t="array" ref="B559">"P"&amp;INDEX(X!$CL$2:$CL$12,'Scratch Sheet'!H558+1)+9</f>
        <v>P11</v>
      </c>
      <c r="C559" s="661">
        <v>1</v>
      </c>
      <c r="D559" s="755">
        <f t="shared" si="32"/>
        <v>11000</v>
      </c>
      <c r="E559" s="682" t="str">
        <f t="shared" si="33"/>
        <v>C2</v>
      </c>
      <c r="F559" s="683">
        <f t="shared" si="34"/>
        <v>11</v>
      </c>
      <c r="H559" s="13">
        <v>610</v>
      </c>
      <c r="I559" s="13">
        <f>VLOOKUP(VLOOKUP(H559,$A$24:$B$1023,2,FALSE),'Scratch Sheet'!$U$23:$X$32,3,FALSE)</f>
        <v>8</v>
      </c>
      <c r="K559" s="13">
        <f t="shared" si="31"/>
        <v>524</v>
      </c>
      <c r="L559" s="13">
        <f>IFERROR(VLOOKUP(VLOOKUP(K559,$A$24:$B$1023,2,FALSE),'Scratch Sheet'!$U$23:$Y$32,5,FALSE)*VLOOKUP(VLOOKUP(K559,$A$24:$E$1023,5,FALSE),'Scratch Sheet'!$L$22:$M$30,2,FALSE),"")</f>
        <v>5940.0000000000009</v>
      </c>
      <c r="N559" s="675">
        <v>122</v>
      </c>
      <c r="O559" s="675" t="str" cm="1">
        <f t="array" ref="O559">IF(OR(INDEX($B$24:$B$1023,N559)="P10",INDEX($B$24:$B$1023,N559)="P11",INDEX($B$24:$B$1023,N559)="P12",INDEX($B$24:$B$1023,N559)="P13"),"C",IF(OR(INDEX($B$24:$B$1023,N559)="P14",INDEX($B$24:$B$1023,N559)="P15",INDEX($B$24:$B$1023,N559)="P16"),"N","O"))&amp;IF(MOD(N559,100)&lt;20,1,IF(MOD(N559,100)&lt;70,2,3))</f>
        <v>C2</v>
      </c>
    </row>
    <row r="560" spans="1:15" ht="16.5" thickBot="1">
      <c r="A560" s="662">
        <v>537</v>
      </c>
      <c r="B560" s="661" t="str" cm="1">
        <f t="array" ref="B560">"P"&amp;INDEX(X!$CL$2:$CL$12,'Scratch Sheet'!H559+1)+9</f>
        <v>P12</v>
      </c>
      <c r="C560" s="661">
        <v>1</v>
      </c>
      <c r="D560" s="755">
        <f t="shared" si="32"/>
        <v>6825</v>
      </c>
      <c r="E560" s="682" t="str">
        <f t="shared" si="33"/>
        <v>C2</v>
      </c>
      <c r="F560" s="683">
        <f t="shared" si="34"/>
        <v>6.5</v>
      </c>
      <c r="H560" s="13">
        <v>978</v>
      </c>
      <c r="I560" s="13">
        <f>VLOOKUP(VLOOKUP(H560,$A$24:$B$1023,2,FALSE),'Scratch Sheet'!$U$23:$X$32,3,FALSE)</f>
        <v>11</v>
      </c>
      <c r="K560" s="13">
        <f t="shared" si="31"/>
        <v>519</v>
      </c>
      <c r="L560" s="13">
        <f>IFERROR(VLOOKUP(VLOOKUP(K560,$A$24:$B$1023,2,FALSE),'Scratch Sheet'!$U$23:$Y$32,5,FALSE)*VLOOKUP(VLOOKUP(K560,$A$24:$E$1023,5,FALSE),'Scratch Sheet'!$L$22:$M$30,2,FALSE),"")</f>
        <v>13200</v>
      </c>
      <c r="N560" s="675">
        <v>126</v>
      </c>
      <c r="O560" s="675" t="str" cm="1">
        <f t="array" ref="O560">IF(OR(INDEX($B$24:$B$1023,N560)="P10",INDEX($B$24:$B$1023,N560)="P11",INDEX($B$24:$B$1023,N560)="P12",INDEX($B$24:$B$1023,N560)="P13"),"C",IF(OR(INDEX($B$24:$B$1023,N560)="P14",INDEX($B$24:$B$1023,N560)="P15",INDEX($B$24:$B$1023,N560)="P16"),"N","O"))&amp;IF(MOD(N560,100)&lt;20,1,IF(MOD(N560,100)&lt;70,2,3))</f>
        <v>C2</v>
      </c>
    </row>
    <row r="561" spans="1:15" ht="16.5" thickBot="1">
      <c r="A561" s="662">
        <v>538</v>
      </c>
      <c r="B561" s="661" t="str" cm="1">
        <f t="array" ref="B561">"P"&amp;INDEX(X!$CL$2:$CL$12,'Scratch Sheet'!H560+1)+9</f>
        <v>P10</v>
      </c>
      <c r="C561" s="661">
        <v>1</v>
      </c>
      <c r="D561" s="755">
        <f t="shared" si="32"/>
        <v>4800</v>
      </c>
      <c r="E561" s="682" t="str">
        <f t="shared" si="33"/>
        <v>C2</v>
      </c>
      <c r="F561" s="683">
        <f t="shared" si="34"/>
        <v>3</v>
      </c>
      <c r="H561" s="13">
        <v>927</v>
      </c>
      <c r="I561" s="13">
        <f>VLOOKUP(VLOOKUP(H561,$A$24:$B$1023,2,FALSE),'Scratch Sheet'!$U$23:$X$32,3,FALSE)</f>
        <v>11</v>
      </c>
      <c r="K561" s="13">
        <f t="shared" si="31"/>
        <v>517</v>
      </c>
      <c r="L561" s="13">
        <f>IFERROR(VLOOKUP(VLOOKUP(K561,$A$24:$B$1023,2,FALSE),'Scratch Sheet'!$U$23:$Y$32,5,FALSE)*VLOOKUP(VLOOKUP(K561,$A$24:$E$1023,5,FALSE),'Scratch Sheet'!$L$22:$M$30,2,FALSE),"")</f>
        <v>5400</v>
      </c>
      <c r="N561" s="675">
        <v>127</v>
      </c>
      <c r="O561" s="675" t="str" cm="1">
        <f t="array" ref="O561">IF(OR(INDEX($B$24:$B$1023,N561)="P10",INDEX($B$24:$B$1023,N561)="P11",INDEX($B$24:$B$1023,N561)="P12",INDEX($B$24:$B$1023,N561)="P13"),"C",IF(OR(INDEX($B$24:$B$1023,N561)="P14",INDEX($B$24:$B$1023,N561)="P15",INDEX($B$24:$B$1023,N561)="P16"),"N","O"))&amp;IF(MOD(N561,100)&lt;20,1,IF(MOD(N561,100)&lt;70,2,3))</f>
        <v>C2</v>
      </c>
    </row>
    <row r="562" spans="1:15" ht="16.5" thickBot="1">
      <c r="A562" s="662">
        <v>539</v>
      </c>
      <c r="B562" s="661" t="str" cm="1">
        <f t="array" ref="B562">"P"&amp;INDEX(X!$CL$2:$CL$12,'Scratch Sheet'!H561+1)+9</f>
        <v>P10</v>
      </c>
      <c r="C562" s="661">
        <v>1</v>
      </c>
      <c r="D562" s="755">
        <f t="shared" si="32"/>
        <v>2400</v>
      </c>
      <c r="E562" s="682" t="str">
        <f t="shared" si="33"/>
        <v>C2</v>
      </c>
      <c r="F562" s="683">
        <f t="shared" si="34"/>
        <v>3</v>
      </c>
      <c r="H562" s="13">
        <v>589</v>
      </c>
      <c r="I562" s="13">
        <f>VLOOKUP(VLOOKUP(H562,$A$24:$B$1023,2,FALSE),'Scratch Sheet'!$U$23:$X$32,3,FALSE)</f>
        <v>3</v>
      </c>
      <c r="K562" s="13">
        <f t="shared" si="31"/>
        <v>518</v>
      </c>
      <c r="L562" s="13">
        <f>IFERROR(VLOOKUP(VLOOKUP(K562,$A$24:$B$1023,2,FALSE),'Scratch Sheet'!$U$23:$Y$32,5,FALSE)*VLOOKUP(VLOOKUP(K562,$A$24:$E$1023,5,FALSE),'Scratch Sheet'!$L$22:$M$30,2,FALSE),"")</f>
        <v>13200</v>
      </c>
      <c r="N562" s="675">
        <v>128</v>
      </c>
      <c r="O562" s="675" t="str" cm="1">
        <f t="array" ref="O562">IF(OR(INDEX($B$24:$B$1023,N562)="P10",INDEX($B$24:$B$1023,N562)="P11",INDEX($B$24:$B$1023,N562)="P12",INDEX($B$24:$B$1023,N562)="P13"),"C",IF(OR(INDEX($B$24:$B$1023,N562)="P14",INDEX($B$24:$B$1023,N562)="P15",INDEX($B$24:$B$1023,N562)="P16"),"N","O"))&amp;IF(MOD(N562,100)&lt;20,1,IF(MOD(N562,100)&lt;70,2,3))</f>
        <v>C2</v>
      </c>
    </row>
    <row r="563" spans="1:15" ht="16.5" thickBot="1">
      <c r="A563" s="662">
        <v>540</v>
      </c>
      <c r="B563" s="661" t="str" cm="1">
        <f t="array" ref="B563">"P"&amp;INDEX(X!$CL$2:$CL$12,'Scratch Sheet'!H562+1)+9</f>
        <v>P11</v>
      </c>
      <c r="C563" s="661">
        <v>1</v>
      </c>
      <c r="D563" s="755">
        <f t="shared" si="32"/>
        <v>11000</v>
      </c>
      <c r="E563" s="682" t="str">
        <f t="shared" si="33"/>
        <v>C2</v>
      </c>
      <c r="F563" s="683">
        <f t="shared" si="34"/>
        <v>11</v>
      </c>
      <c r="H563" s="13">
        <v>871</v>
      </c>
      <c r="I563" s="13">
        <f>VLOOKUP(VLOOKUP(H563,$A$24:$B$1023,2,FALSE),'Scratch Sheet'!$U$23:$X$32,3,FALSE)</f>
        <v>4</v>
      </c>
      <c r="K563" s="13">
        <f t="shared" si="31"/>
        <v>516</v>
      </c>
      <c r="L563" s="13">
        <f>IFERROR(VLOOKUP(VLOOKUP(K563,$A$24:$B$1023,2,FALSE),'Scratch Sheet'!$U$23:$Y$32,5,FALSE)*VLOOKUP(VLOOKUP(K563,$A$24:$E$1023,5,FALSE),'Scratch Sheet'!$L$22:$M$30,2,FALSE),"")</f>
        <v>10800</v>
      </c>
      <c r="N563" s="675">
        <v>129</v>
      </c>
      <c r="O563" s="675" t="str" cm="1">
        <f t="array" ref="O563">IF(OR(INDEX($B$24:$B$1023,N563)="P10",INDEX($B$24:$B$1023,N563)="P11",INDEX($B$24:$B$1023,N563)="P12",INDEX($B$24:$B$1023,N563)="P13"),"C",IF(OR(INDEX($B$24:$B$1023,N563)="P14",INDEX($B$24:$B$1023,N563)="P15",INDEX($B$24:$B$1023,N563)="P16"),"N","O"))&amp;IF(MOD(N563,100)&lt;20,1,IF(MOD(N563,100)&lt;70,2,3))</f>
        <v>C2</v>
      </c>
    </row>
    <row r="564" spans="1:15" ht="16.5" thickBot="1">
      <c r="A564" s="662">
        <v>541</v>
      </c>
      <c r="B564" s="661" t="str" cm="1">
        <f t="array" ref="B564">"P"&amp;INDEX(X!$CL$2:$CL$12,'Scratch Sheet'!H563+1)+9</f>
        <v>P18</v>
      </c>
      <c r="C564" s="661">
        <v>1</v>
      </c>
      <c r="D564" s="755">
        <f t="shared" si="32"/>
        <v>5940.0000000000009</v>
      </c>
      <c r="E564" s="682" t="str">
        <f t="shared" si="33"/>
        <v>O2</v>
      </c>
      <c r="F564" s="683">
        <f t="shared" si="34"/>
        <v>6</v>
      </c>
      <c r="H564" s="13">
        <v>798</v>
      </c>
      <c r="I564" s="13">
        <f>VLOOKUP(VLOOKUP(H564,$A$24:$B$1023,2,FALSE),'Scratch Sheet'!$U$23:$X$32,3,FALSE)</f>
        <v>3</v>
      </c>
      <c r="K564" s="13">
        <f t="shared" si="31"/>
        <v>515</v>
      </c>
      <c r="L564" s="13">
        <f>IFERROR(VLOOKUP(VLOOKUP(K564,$A$24:$B$1023,2,FALSE),'Scratch Sheet'!$U$23:$Y$32,5,FALSE)*VLOOKUP(VLOOKUP(K564,$A$24:$E$1023,5,FALSE),'Scratch Sheet'!$L$22:$M$30,2,FALSE),"")</f>
        <v>10800</v>
      </c>
      <c r="N564" s="675">
        <v>132</v>
      </c>
      <c r="O564" s="675" t="str" cm="1">
        <f t="array" ref="O564">IF(OR(INDEX($B$24:$B$1023,N564)="P10",INDEX($B$24:$B$1023,N564)="P11",INDEX($B$24:$B$1023,N564)="P12",INDEX($B$24:$B$1023,N564)="P13"),"C",IF(OR(INDEX($B$24:$B$1023,N564)="P14",INDEX($B$24:$B$1023,N564)="P15",INDEX($B$24:$B$1023,N564)="P16"),"N","O"))&amp;IF(MOD(N564,100)&lt;20,1,IF(MOD(N564,100)&lt;70,2,3))</f>
        <v>C2</v>
      </c>
    </row>
    <row r="565" spans="1:15" ht="16.5" thickBot="1">
      <c r="A565" s="662">
        <v>542</v>
      </c>
      <c r="B565" s="661" t="str" cm="1">
        <f t="array" ref="B565">"P"&amp;INDEX(X!$CL$2:$CL$12,'Scratch Sheet'!H564+1)+9</f>
        <v>P14</v>
      </c>
      <c r="C565" s="661">
        <v>1</v>
      </c>
      <c r="D565" s="755">
        <f t="shared" si="32"/>
        <v>6480</v>
      </c>
      <c r="E565" s="682" t="str">
        <f t="shared" si="33"/>
        <v>N2</v>
      </c>
      <c r="F565" s="683">
        <f t="shared" si="34"/>
        <v>8</v>
      </c>
      <c r="H565" s="13">
        <v>949</v>
      </c>
      <c r="I565" s="13">
        <f>VLOOKUP(VLOOKUP(H565,$A$24:$B$1023,2,FALSE),'Scratch Sheet'!$U$23:$X$32,3,FALSE)</f>
        <v>6</v>
      </c>
      <c r="K565" s="13">
        <f t="shared" si="31"/>
        <v>527</v>
      </c>
      <c r="L565" s="13">
        <f>IFERROR(VLOOKUP(VLOOKUP(K565,$A$24:$B$1023,2,FALSE),'Scratch Sheet'!$U$23:$Y$32,5,FALSE)*VLOOKUP(VLOOKUP(K565,$A$24:$E$1023,5,FALSE),'Scratch Sheet'!$L$22:$M$30,2,FALSE),"")</f>
        <v>4500</v>
      </c>
      <c r="N565" s="675">
        <v>136</v>
      </c>
      <c r="O565" s="675" t="str" cm="1">
        <f t="array" ref="O565">IF(OR(INDEX($B$24:$B$1023,N565)="P10",INDEX($B$24:$B$1023,N565)="P11",INDEX($B$24:$B$1023,N565)="P12",INDEX($B$24:$B$1023,N565)="P13"),"C",IF(OR(INDEX($B$24:$B$1023,N565)="P14",INDEX($B$24:$B$1023,N565)="P15",INDEX($B$24:$B$1023,N565)="P16"),"N","O"))&amp;IF(MOD(N565,100)&lt;20,1,IF(MOD(N565,100)&lt;70,2,3))</f>
        <v>C2</v>
      </c>
    </row>
    <row r="566" spans="1:15" ht="16.5" thickBot="1">
      <c r="A566" s="662">
        <v>543</v>
      </c>
      <c r="B566" s="661" t="str" cm="1">
        <f t="array" ref="B566">"P"&amp;INDEX(X!$CL$2:$CL$12,'Scratch Sheet'!H565+1)+9</f>
        <v>P10</v>
      </c>
      <c r="C566" s="661">
        <v>1</v>
      </c>
      <c r="D566" s="755">
        <f t="shared" si="32"/>
        <v>2400</v>
      </c>
      <c r="E566" s="682" t="str">
        <f t="shared" si="33"/>
        <v>C2</v>
      </c>
      <c r="F566" s="683">
        <f t="shared" si="34"/>
        <v>3</v>
      </c>
      <c r="H566" s="13">
        <v>988</v>
      </c>
      <c r="I566" s="13">
        <f>VLOOKUP(VLOOKUP(H566,$A$24:$B$1023,2,FALSE),'Scratch Sheet'!$U$23:$X$32,3,FALSE)</f>
        <v>3</v>
      </c>
      <c r="K566" s="13">
        <f t="shared" si="31"/>
        <v>536</v>
      </c>
      <c r="L566" s="13">
        <f>IFERROR(VLOOKUP(VLOOKUP(K566,$A$24:$B$1023,2,FALSE),'Scratch Sheet'!$U$23:$Y$32,5,FALSE)*VLOOKUP(VLOOKUP(K566,$A$24:$E$1023,5,FALSE),'Scratch Sheet'!$L$22:$M$30,2,FALSE),"")</f>
        <v>11000</v>
      </c>
      <c r="N566" s="675">
        <v>137</v>
      </c>
      <c r="O566" s="675" t="str" cm="1">
        <f t="array" ref="O566">IF(OR(INDEX($B$24:$B$1023,N566)="P10",INDEX($B$24:$B$1023,N566)="P11",INDEX($B$24:$B$1023,N566)="P12",INDEX($B$24:$B$1023,N566)="P13"),"C",IF(OR(INDEX($B$24:$B$1023,N566)="P14",INDEX($B$24:$B$1023,N566)="P15",INDEX($B$24:$B$1023,N566)="P16"),"N","O"))&amp;IF(MOD(N566,100)&lt;20,1,IF(MOD(N566,100)&lt;70,2,3))</f>
        <v>C2</v>
      </c>
    </row>
    <row r="567" spans="1:15" ht="16.5" thickBot="1">
      <c r="A567" s="662">
        <v>544</v>
      </c>
      <c r="B567" s="661" t="str" cm="1">
        <f t="array" ref="B567">"P"&amp;INDEX(X!$CL$2:$CL$12,'Scratch Sheet'!H566+1)+9</f>
        <v>P13</v>
      </c>
      <c r="C567" s="661">
        <v>1</v>
      </c>
      <c r="D567" s="755">
        <f t="shared" si="32"/>
        <v>4500</v>
      </c>
      <c r="E567" s="682" t="str">
        <f t="shared" si="33"/>
        <v>C2</v>
      </c>
      <c r="F567" s="683">
        <f t="shared" si="34"/>
        <v>5</v>
      </c>
      <c r="H567" s="13">
        <v>565</v>
      </c>
      <c r="I567" s="13">
        <f>VLOOKUP(VLOOKUP(H567,$A$24:$B$1023,2,FALSE),'Scratch Sheet'!$U$23:$X$32,3,FALSE)</f>
        <v>4</v>
      </c>
      <c r="K567" s="13">
        <f t="shared" si="31"/>
        <v>539</v>
      </c>
      <c r="L567" s="13">
        <f>IFERROR(VLOOKUP(VLOOKUP(K567,$A$24:$B$1023,2,FALSE),'Scratch Sheet'!$U$23:$Y$32,5,FALSE)*VLOOKUP(VLOOKUP(K567,$A$24:$E$1023,5,FALSE),'Scratch Sheet'!$L$22:$M$30,2,FALSE),"")</f>
        <v>2400</v>
      </c>
      <c r="N567" s="675">
        <v>139</v>
      </c>
      <c r="O567" s="675" t="str" cm="1">
        <f t="array" ref="O567">IF(OR(INDEX($B$24:$B$1023,N567)="P10",INDEX($B$24:$B$1023,N567)="P11",INDEX($B$24:$B$1023,N567)="P12",INDEX($B$24:$B$1023,N567)="P13"),"C",IF(OR(INDEX($B$24:$B$1023,N567)="P14",INDEX($B$24:$B$1023,N567)="P15",INDEX($B$24:$B$1023,N567)="P16"),"N","O"))&amp;IF(MOD(N567,100)&lt;20,1,IF(MOD(N567,100)&lt;70,2,3))</f>
        <v>C2</v>
      </c>
    </row>
    <row r="568" spans="1:15" ht="16.5" thickBot="1">
      <c r="A568" s="662">
        <v>545</v>
      </c>
      <c r="B568" s="661" t="str" cm="1">
        <f t="array" ref="B568">"P"&amp;INDEX(X!$CL$2:$CL$12,'Scratch Sheet'!H567+1)+9</f>
        <v>P13</v>
      </c>
      <c r="C568" s="661">
        <v>1</v>
      </c>
      <c r="D568" s="755">
        <f t="shared" si="32"/>
        <v>4500</v>
      </c>
      <c r="E568" s="682" t="str">
        <f t="shared" si="33"/>
        <v>C2</v>
      </c>
      <c r="F568" s="683">
        <f t="shared" si="34"/>
        <v>5</v>
      </c>
      <c r="H568" s="13">
        <v>265</v>
      </c>
      <c r="I568" s="13">
        <f>VLOOKUP(VLOOKUP(H568,$A$24:$B$1023,2,FALSE),'Scratch Sheet'!$U$23:$X$32,3,FALSE)</f>
        <v>6.5</v>
      </c>
      <c r="K568" s="13">
        <f t="shared" si="31"/>
        <v>538</v>
      </c>
      <c r="L568" s="13">
        <f>IFERROR(VLOOKUP(VLOOKUP(K568,$A$24:$B$1023,2,FALSE),'Scratch Sheet'!$U$23:$Y$32,5,FALSE)*VLOOKUP(VLOOKUP(K568,$A$24:$E$1023,5,FALSE),'Scratch Sheet'!$L$22:$M$30,2,FALSE),"")</f>
        <v>2400</v>
      </c>
      <c r="N568" s="675">
        <v>143</v>
      </c>
      <c r="O568" s="675" t="str" cm="1">
        <f t="array" ref="O568">IF(OR(INDEX($B$24:$B$1023,N568)="P10",INDEX($B$24:$B$1023,N568)="P11",INDEX($B$24:$B$1023,N568)="P12",INDEX($B$24:$B$1023,N568)="P13"),"C",IF(OR(INDEX($B$24:$B$1023,N568)="P14",INDEX($B$24:$B$1023,N568)="P15",INDEX($B$24:$B$1023,N568)="P16"),"N","O"))&amp;IF(MOD(N568,100)&lt;20,1,IF(MOD(N568,100)&lt;70,2,3))</f>
        <v>C2</v>
      </c>
    </row>
    <row r="569" spans="1:15" ht="16.5" thickBot="1">
      <c r="A569" s="662">
        <v>546</v>
      </c>
      <c r="B569" s="661" t="str" cm="1">
        <f t="array" ref="B569">"P"&amp;INDEX(X!$CL$2:$CL$12,'Scratch Sheet'!H568+1)+9</f>
        <v>P10</v>
      </c>
      <c r="C569" s="661">
        <v>1</v>
      </c>
      <c r="D569" s="755">
        <f t="shared" si="32"/>
        <v>2400</v>
      </c>
      <c r="E569" s="682" t="str">
        <f t="shared" si="33"/>
        <v>C2</v>
      </c>
      <c r="F569" s="683">
        <f t="shared" si="34"/>
        <v>3</v>
      </c>
      <c r="H569" s="13">
        <v>795</v>
      </c>
      <c r="I569" s="13">
        <f>VLOOKUP(VLOOKUP(H569,$A$24:$B$1023,2,FALSE),'Scratch Sheet'!$U$23:$X$32,3,FALSE)</f>
        <v>11</v>
      </c>
      <c r="K569" s="13">
        <f t="shared" si="31"/>
        <v>533</v>
      </c>
      <c r="L569" s="13">
        <f>IFERROR(VLOOKUP(VLOOKUP(K569,$A$24:$B$1023,2,FALSE),'Scratch Sheet'!$U$23:$Y$32,5,FALSE)*VLOOKUP(VLOOKUP(K569,$A$24:$E$1023,5,FALSE),'Scratch Sheet'!$L$22:$M$30,2,FALSE),"")</f>
        <v>13200.000000000002</v>
      </c>
      <c r="N569" s="675">
        <v>144</v>
      </c>
      <c r="O569" s="675" t="str" cm="1">
        <f t="array" ref="O569">IF(OR(INDEX($B$24:$B$1023,N569)="P10",INDEX($B$24:$B$1023,N569)="P11",INDEX($B$24:$B$1023,N569)="P12",INDEX($B$24:$B$1023,N569)="P13"),"C",IF(OR(INDEX($B$24:$B$1023,N569)="P14",INDEX($B$24:$B$1023,N569)="P15",INDEX($B$24:$B$1023,N569)="P16"),"N","O"))&amp;IF(MOD(N569,100)&lt;20,1,IF(MOD(N569,100)&lt;70,2,3))</f>
        <v>C2</v>
      </c>
    </row>
    <row r="570" spans="1:15" ht="16.5" thickBot="1">
      <c r="A570" s="662">
        <v>547</v>
      </c>
      <c r="B570" s="661" t="str" cm="1">
        <f t="array" ref="B570">"P"&amp;INDEX(X!$CL$2:$CL$12,'Scratch Sheet'!H569+1)+9</f>
        <v>P11</v>
      </c>
      <c r="C570" s="661">
        <v>1</v>
      </c>
      <c r="D570" s="755">
        <f t="shared" si="32"/>
        <v>11000</v>
      </c>
      <c r="E570" s="682" t="str">
        <f t="shared" si="33"/>
        <v>C2</v>
      </c>
      <c r="F570" s="683">
        <f t="shared" si="34"/>
        <v>11</v>
      </c>
      <c r="H570" s="13">
        <v>211</v>
      </c>
      <c r="I570" s="13">
        <f>VLOOKUP(VLOOKUP(H570,$A$24:$B$1023,2,FALSE),'Scratch Sheet'!$U$23:$X$32,3,FALSE)</f>
        <v>5</v>
      </c>
      <c r="K570" s="13">
        <f t="shared" si="31"/>
        <v>535</v>
      </c>
      <c r="L570" s="13">
        <f>IFERROR(VLOOKUP(VLOOKUP(K570,$A$24:$B$1023,2,FALSE),'Scratch Sheet'!$U$23:$Y$32,5,FALSE)*VLOOKUP(VLOOKUP(K570,$A$24:$E$1023,5,FALSE),'Scratch Sheet'!$L$22:$M$30,2,FALSE),"")</f>
        <v>11000</v>
      </c>
      <c r="N570" s="675">
        <v>145</v>
      </c>
      <c r="O570" s="675" t="str" cm="1">
        <f t="array" ref="O570">IF(OR(INDEX($B$24:$B$1023,N570)="P10",INDEX($B$24:$B$1023,N570)="P11",INDEX($B$24:$B$1023,N570)="P12",INDEX($B$24:$B$1023,N570)="P13"),"C",IF(OR(INDEX($B$24:$B$1023,N570)="P14",INDEX($B$24:$B$1023,N570)="P15",INDEX($B$24:$B$1023,N570)="P16"),"N","O"))&amp;IF(MOD(N570,100)&lt;20,1,IF(MOD(N570,100)&lt;70,2,3))</f>
        <v>C2</v>
      </c>
    </row>
    <row r="571" spans="1:15" ht="16.5" thickBot="1">
      <c r="A571" s="662">
        <v>548</v>
      </c>
      <c r="B571" s="661" t="str" cm="1">
        <f t="array" ref="B571">"P"&amp;INDEX(X!$CL$2:$CL$12,'Scratch Sheet'!H570+1)+9</f>
        <v>P16</v>
      </c>
      <c r="C571" s="661">
        <v>1</v>
      </c>
      <c r="D571" s="755">
        <f t="shared" si="32"/>
        <v>4680</v>
      </c>
      <c r="E571" s="682" t="str">
        <f t="shared" si="33"/>
        <v>N2</v>
      </c>
      <c r="F571" s="683">
        <f t="shared" si="34"/>
        <v>4</v>
      </c>
      <c r="H571" s="13">
        <v>636</v>
      </c>
      <c r="I571" s="13">
        <f>VLOOKUP(VLOOKUP(H571,$A$24:$B$1023,2,FALSE),'Scratch Sheet'!$U$23:$X$32,3,FALSE)</f>
        <v>5</v>
      </c>
      <c r="K571" s="13">
        <f t="shared" si="31"/>
        <v>534</v>
      </c>
      <c r="L571" s="13">
        <f>IFERROR(VLOOKUP(VLOOKUP(K571,$A$24:$B$1023,2,FALSE),'Scratch Sheet'!$U$23:$Y$32,5,FALSE)*VLOOKUP(VLOOKUP(K571,$A$24:$E$1023,5,FALSE),'Scratch Sheet'!$L$22:$M$30,2,FALSE),"")</f>
        <v>4500</v>
      </c>
      <c r="N571" s="675">
        <v>146</v>
      </c>
      <c r="O571" s="675" t="str" cm="1">
        <f t="array" ref="O571">IF(OR(INDEX($B$24:$B$1023,N571)="P10",INDEX($B$24:$B$1023,N571)="P11",INDEX($B$24:$B$1023,N571)="P12",INDEX($B$24:$B$1023,N571)="P13"),"C",IF(OR(INDEX($B$24:$B$1023,N571)="P14",INDEX($B$24:$B$1023,N571)="P15",INDEX($B$24:$B$1023,N571)="P16"),"N","O"))&amp;IF(MOD(N571,100)&lt;20,1,IF(MOD(N571,100)&lt;70,2,3))</f>
        <v>C2</v>
      </c>
    </row>
    <row r="572" spans="1:15" ht="16.5" thickBot="1">
      <c r="A572" s="662">
        <v>549</v>
      </c>
      <c r="B572" s="661" t="str" cm="1">
        <f t="array" ref="B572">"P"&amp;INDEX(X!$CL$2:$CL$12,'Scratch Sheet'!H571+1)+9</f>
        <v>P17</v>
      </c>
      <c r="C572" s="661">
        <v>1</v>
      </c>
      <c r="D572" s="755">
        <f t="shared" si="32"/>
        <v>13200.000000000002</v>
      </c>
      <c r="E572" s="682" t="str">
        <f t="shared" si="33"/>
        <v>O2</v>
      </c>
      <c r="F572" s="683">
        <f t="shared" si="34"/>
        <v>12</v>
      </c>
      <c r="H572" s="13">
        <v>655</v>
      </c>
      <c r="I572" s="13">
        <f>VLOOKUP(VLOOKUP(H572,$A$24:$B$1023,2,FALSE),'Scratch Sheet'!$U$23:$X$32,3,FALSE)</f>
        <v>11</v>
      </c>
      <c r="K572" s="13">
        <f t="shared" si="31"/>
        <v>537</v>
      </c>
      <c r="L572" s="13">
        <f>IFERROR(VLOOKUP(VLOOKUP(K572,$A$24:$B$1023,2,FALSE),'Scratch Sheet'!$U$23:$Y$32,5,FALSE)*VLOOKUP(VLOOKUP(K572,$A$24:$E$1023,5,FALSE),'Scratch Sheet'!$L$22:$M$30,2,FALSE),"")</f>
        <v>6825</v>
      </c>
      <c r="N572" s="675">
        <v>149</v>
      </c>
      <c r="O572" s="675" t="str" cm="1">
        <f t="array" ref="O572">IF(OR(INDEX($B$24:$B$1023,N572)="P10",INDEX($B$24:$B$1023,N572)="P11",INDEX($B$24:$B$1023,N572)="P12",INDEX($B$24:$B$1023,N572)="P13"),"C",IF(OR(INDEX($B$24:$B$1023,N572)="P14",INDEX($B$24:$B$1023,N572)="P15",INDEX($B$24:$B$1023,N572)="P16"),"N","O"))&amp;IF(MOD(N572,100)&lt;20,1,IF(MOD(N572,100)&lt;70,2,3))</f>
        <v>C2</v>
      </c>
    </row>
    <row r="573" spans="1:15" ht="16.5" thickBot="1">
      <c r="A573" s="662">
        <v>550</v>
      </c>
      <c r="B573" s="661" t="str" cm="1">
        <f t="array" ref="B573">"P"&amp;INDEX(X!$CL$2:$CL$12,'Scratch Sheet'!H572+1)+9</f>
        <v>P17</v>
      </c>
      <c r="C573" s="661">
        <v>1</v>
      </c>
      <c r="D573" s="755">
        <f t="shared" si="32"/>
        <v>13200.000000000002</v>
      </c>
      <c r="E573" s="682" t="str">
        <f t="shared" si="33"/>
        <v>O2</v>
      </c>
      <c r="F573" s="683">
        <f t="shared" si="34"/>
        <v>12</v>
      </c>
      <c r="H573" s="13">
        <v>744</v>
      </c>
      <c r="I573" s="13">
        <f>VLOOKUP(VLOOKUP(H573,$A$24:$B$1023,2,FALSE),'Scratch Sheet'!$U$23:$X$32,3,FALSE)</f>
        <v>11</v>
      </c>
      <c r="K573" s="13">
        <f t="shared" si="31"/>
        <v>532</v>
      </c>
      <c r="L573" s="13">
        <f>IFERROR(VLOOKUP(VLOOKUP(K573,$A$24:$B$1023,2,FALSE),'Scratch Sheet'!$U$23:$Y$32,5,FALSE)*VLOOKUP(VLOOKUP(K573,$A$24:$E$1023,5,FALSE),'Scratch Sheet'!$L$22:$M$30,2,FALSE),"")</f>
        <v>13200.000000000002</v>
      </c>
      <c r="N573" s="675">
        <v>153</v>
      </c>
      <c r="O573" s="675" t="str" cm="1">
        <f t="array" ref="O573">IF(OR(INDEX($B$24:$B$1023,N573)="P10",INDEX($B$24:$B$1023,N573)="P11",INDEX($B$24:$B$1023,N573)="P12",INDEX($B$24:$B$1023,N573)="P13"),"C",IF(OR(INDEX($B$24:$B$1023,N573)="P14",INDEX($B$24:$B$1023,N573)="P15",INDEX($B$24:$B$1023,N573)="P16"),"N","O"))&amp;IF(MOD(N573,100)&lt;20,1,IF(MOD(N573,100)&lt;70,2,3))</f>
        <v>C2</v>
      </c>
    </row>
    <row r="574" spans="1:15" ht="16.5" thickBot="1">
      <c r="A574" s="662">
        <v>551</v>
      </c>
      <c r="B574" s="661" t="str" cm="1">
        <f t="array" ref="B574">"P"&amp;INDEX(X!$CL$2:$CL$12,'Scratch Sheet'!H573+1)+9</f>
        <v>P13</v>
      </c>
      <c r="C574" s="661">
        <v>1</v>
      </c>
      <c r="D574" s="755">
        <f t="shared" si="32"/>
        <v>4500</v>
      </c>
      <c r="E574" s="682" t="str">
        <f t="shared" si="33"/>
        <v>C2</v>
      </c>
      <c r="F574" s="683">
        <f t="shared" si="34"/>
        <v>5</v>
      </c>
      <c r="H574" s="13">
        <v>156</v>
      </c>
      <c r="I574" s="13">
        <f>VLOOKUP(VLOOKUP(H574,$A$24:$B$1023,2,FALSE),'Scratch Sheet'!$U$23:$X$32,3,FALSE)</f>
        <v>11</v>
      </c>
      <c r="K574" s="13">
        <f t="shared" si="31"/>
        <v>530</v>
      </c>
      <c r="L574" s="13">
        <f>IFERROR(VLOOKUP(VLOOKUP(K574,$A$24:$B$1023,2,FALSE),'Scratch Sheet'!$U$23:$Y$32,5,FALSE)*VLOOKUP(VLOOKUP(K574,$A$24:$E$1023,5,FALSE),'Scratch Sheet'!$L$22:$M$30,2,FALSE),"")</f>
        <v>11000</v>
      </c>
      <c r="N574" s="675">
        <v>154</v>
      </c>
      <c r="O574" s="675" t="str" cm="1">
        <f t="array" ref="O574">IF(OR(INDEX($B$24:$B$1023,N574)="P10",INDEX($B$24:$B$1023,N574)="P11",INDEX($B$24:$B$1023,N574)="P12",INDEX($B$24:$B$1023,N574)="P13"),"C",IF(OR(INDEX($B$24:$B$1023,N574)="P14",INDEX($B$24:$B$1023,N574)="P15",INDEX($B$24:$B$1023,N574)="P16"),"N","O"))&amp;IF(MOD(N574,100)&lt;20,1,IF(MOD(N574,100)&lt;70,2,3))</f>
        <v>C2</v>
      </c>
    </row>
    <row r="575" spans="1:15" ht="16.5" thickBot="1">
      <c r="A575" s="662">
        <v>552</v>
      </c>
      <c r="B575" s="661" t="str" cm="1">
        <f t="array" ref="B575">"P"&amp;INDEX(X!$CL$2:$CL$12,'Scratch Sheet'!H574+1)+9</f>
        <v>P11</v>
      </c>
      <c r="C575" s="661">
        <v>1</v>
      </c>
      <c r="D575" s="755">
        <f t="shared" si="32"/>
        <v>11000</v>
      </c>
      <c r="E575" s="682" t="str">
        <f t="shared" si="33"/>
        <v>C2</v>
      </c>
      <c r="F575" s="683">
        <f t="shared" si="34"/>
        <v>11</v>
      </c>
      <c r="H575" s="13">
        <v>140</v>
      </c>
      <c r="I575" s="13">
        <f>VLOOKUP(VLOOKUP(H575,$A$24:$B$1023,2,FALSE),'Scratch Sheet'!$U$23:$X$32,3,FALSE)</f>
        <v>4</v>
      </c>
      <c r="K575" s="13">
        <f t="shared" ref="K575:K638" si="35">K472+100</f>
        <v>531</v>
      </c>
      <c r="L575" s="13">
        <f>IFERROR(VLOOKUP(VLOOKUP(K575,$A$24:$B$1023,2,FALSE),'Scratch Sheet'!$U$23:$Y$32,5,FALSE)*VLOOKUP(VLOOKUP(K575,$A$24:$E$1023,5,FALSE),'Scratch Sheet'!$L$22:$M$30,2,FALSE),"")</f>
        <v>4680</v>
      </c>
      <c r="N575" s="675">
        <v>156</v>
      </c>
      <c r="O575" s="675" t="str" cm="1">
        <f t="array" ref="O575">IF(OR(INDEX($B$24:$B$1023,N575)="P10",INDEX($B$24:$B$1023,N575)="P11",INDEX($B$24:$B$1023,N575)="P12",INDEX($B$24:$B$1023,N575)="P13"),"C",IF(OR(INDEX($B$24:$B$1023,N575)="P14",INDEX($B$24:$B$1023,N575)="P15",INDEX($B$24:$B$1023,N575)="P16"),"N","O"))&amp;IF(MOD(N575,100)&lt;20,1,IF(MOD(N575,100)&lt;70,2,3))</f>
        <v>C2</v>
      </c>
    </row>
    <row r="576" spans="1:15" ht="16.5" thickBot="1">
      <c r="A576" s="662">
        <v>553</v>
      </c>
      <c r="B576" s="661" t="str" cm="1">
        <f t="array" ref="B576">"P"&amp;INDEX(X!$CL$2:$CL$12,'Scratch Sheet'!H575+1)+9</f>
        <v>P11</v>
      </c>
      <c r="C576" s="661">
        <v>1</v>
      </c>
      <c r="D576" s="755">
        <f t="shared" si="32"/>
        <v>22000</v>
      </c>
      <c r="E576" s="682" t="str">
        <f t="shared" si="33"/>
        <v>C2</v>
      </c>
      <c r="F576" s="683">
        <f t="shared" si="34"/>
        <v>11</v>
      </c>
      <c r="H576" s="13">
        <v>493</v>
      </c>
      <c r="I576" s="13">
        <f>VLOOKUP(VLOOKUP(H576,$A$24:$B$1023,2,FALSE),'Scratch Sheet'!$U$23:$X$32,3,FALSE)</f>
        <v>5</v>
      </c>
      <c r="K576" s="13">
        <f t="shared" si="35"/>
        <v>529</v>
      </c>
      <c r="L576" s="13">
        <f>IFERROR(VLOOKUP(VLOOKUP(K576,$A$24:$B$1023,2,FALSE),'Scratch Sheet'!$U$23:$Y$32,5,FALSE)*VLOOKUP(VLOOKUP(K576,$A$24:$E$1023,5,FALSE),'Scratch Sheet'!$L$22:$M$30,2,FALSE),"")</f>
        <v>2400</v>
      </c>
      <c r="N576" s="675">
        <v>160</v>
      </c>
      <c r="O576" s="675" t="str" cm="1">
        <f t="array" ref="O576">IF(OR(INDEX($B$24:$B$1023,N576)="P10",INDEX($B$24:$B$1023,N576)="P11",INDEX($B$24:$B$1023,N576)="P12",INDEX($B$24:$B$1023,N576)="P13"),"C",IF(OR(INDEX($B$24:$B$1023,N576)="P14",INDEX($B$24:$B$1023,N576)="P15",INDEX($B$24:$B$1023,N576)="P16"),"N","O"))&amp;IF(MOD(N576,100)&lt;20,1,IF(MOD(N576,100)&lt;70,2,3))</f>
        <v>C2</v>
      </c>
    </row>
    <row r="577" spans="1:15" ht="16.5" thickBot="1">
      <c r="A577" s="662">
        <v>554</v>
      </c>
      <c r="B577" s="661" t="str" cm="1">
        <f t="array" ref="B577">"P"&amp;INDEX(X!$CL$2:$CL$12,'Scratch Sheet'!H576+1)+9</f>
        <v>P12</v>
      </c>
      <c r="C577" s="661">
        <v>1</v>
      </c>
      <c r="D577" s="755">
        <f t="shared" si="32"/>
        <v>6825</v>
      </c>
      <c r="E577" s="682" t="str">
        <f t="shared" si="33"/>
        <v>C2</v>
      </c>
      <c r="F577" s="683">
        <f t="shared" si="34"/>
        <v>6.5</v>
      </c>
      <c r="H577" s="13">
        <v>727</v>
      </c>
      <c r="I577" s="13">
        <f>VLOOKUP(VLOOKUP(H577,$A$24:$B$1023,2,FALSE),'Scratch Sheet'!$U$23:$X$32,3,FALSE)</f>
        <v>11</v>
      </c>
      <c r="K577" s="13">
        <f t="shared" si="35"/>
        <v>528</v>
      </c>
      <c r="L577" s="13">
        <f>IFERROR(VLOOKUP(VLOOKUP(K577,$A$24:$B$1023,2,FALSE),'Scratch Sheet'!$U$23:$Y$32,5,FALSE)*VLOOKUP(VLOOKUP(K577,$A$24:$E$1023,5,FALSE),'Scratch Sheet'!$L$22:$M$30,2,FALSE),"")</f>
        <v>4500</v>
      </c>
      <c r="N577" s="675">
        <v>161</v>
      </c>
      <c r="O577" s="675" t="str" cm="1">
        <f t="array" ref="O577">IF(OR(INDEX($B$24:$B$1023,N577)="P10",INDEX($B$24:$B$1023,N577)="P11",INDEX($B$24:$B$1023,N577)="P12",INDEX($B$24:$B$1023,N577)="P13"),"C",IF(OR(INDEX($B$24:$B$1023,N577)="P14",INDEX($B$24:$B$1023,N577)="P15",INDEX($B$24:$B$1023,N577)="P16"),"N","O"))&amp;IF(MOD(N577,100)&lt;20,1,IF(MOD(N577,100)&lt;70,2,3))</f>
        <v>C2</v>
      </c>
    </row>
    <row r="578" spans="1:15" ht="16.5" thickBot="1">
      <c r="A578" s="662">
        <v>555</v>
      </c>
      <c r="B578" s="661" t="str" cm="1">
        <f t="array" ref="B578">"P"&amp;INDEX(X!$CL$2:$CL$12,'Scratch Sheet'!H577+1)+9</f>
        <v>P10</v>
      </c>
      <c r="C578" s="661">
        <v>1</v>
      </c>
      <c r="D578" s="755">
        <f t="shared" si="32"/>
        <v>2400</v>
      </c>
      <c r="E578" s="682" t="str">
        <f t="shared" si="33"/>
        <v>C2</v>
      </c>
      <c r="F578" s="683">
        <f t="shared" si="34"/>
        <v>3</v>
      </c>
      <c r="H578" s="13">
        <v>380</v>
      </c>
      <c r="I578" s="13">
        <f>VLOOKUP(VLOOKUP(H578,$A$24:$B$1023,2,FALSE),'Scratch Sheet'!$U$23:$X$32,3,FALSE)</f>
        <v>12</v>
      </c>
      <c r="K578" s="13">
        <f t="shared" si="35"/>
        <v>547</v>
      </c>
      <c r="L578" s="13">
        <f>IFERROR(VLOOKUP(VLOOKUP(K578,$A$24:$B$1023,2,FALSE),'Scratch Sheet'!$U$23:$Y$32,5,FALSE)*VLOOKUP(VLOOKUP(K578,$A$24:$E$1023,5,FALSE),'Scratch Sheet'!$L$22:$M$30,2,FALSE),"")</f>
        <v>11000</v>
      </c>
      <c r="N578" s="675">
        <v>162</v>
      </c>
      <c r="O578" s="675" t="str" cm="1">
        <f t="array" ref="O578">IF(OR(INDEX($B$24:$B$1023,N578)="P10",INDEX($B$24:$B$1023,N578)="P11",INDEX($B$24:$B$1023,N578)="P12",INDEX($B$24:$B$1023,N578)="P13"),"C",IF(OR(INDEX($B$24:$B$1023,N578)="P14",INDEX($B$24:$B$1023,N578)="P15",INDEX($B$24:$B$1023,N578)="P16"),"N","O"))&amp;IF(MOD(N578,100)&lt;20,1,IF(MOD(N578,100)&lt;70,2,3))</f>
        <v>C2</v>
      </c>
    </row>
    <row r="579" spans="1:15" ht="16.5" thickBot="1">
      <c r="A579" s="662">
        <v>556</v>
      </c>
      <c r="B579" s="661" t="str" cm="1">
        <f t="array" ref="B579">"P"&amp;INDEX(X!$CL$2:$CL$12,'Scratch Sheet'!H578+1)+9</f>
        <v>P10</v>
      </c>
      <c r="C579" s="661">
        <v>1</v>
      </c>
      <c r="D579" s="755">
        <f t="shared" si="32"/>
        <v>2400</v>
      </c>
      <c r="E579" s="682" t="str">
        <f t="shared" si="33"/>
        <v>C2</v>
      </c>
      <c r="F579" s="683">
        <f t="shared" si="34"/>
        <v>3</v>
      </c>
      <c r="H579" s="13">
        <v>12</v>
      </c>
      <c r="I579" s="13">
        <f>VLOOKUP(VLOOKUP(H579,$A$24:$B$1023,2,FALSE),'Scratch Sheet'!$U$23:$X$32,3,FALSE)</f>
        <v>12</v>
      </c>
      <c r="K579" s="13">
        <f t="shared" si="35"/>
        <v>550</v>
      </c>
      <c r="L579" s="13">
        <f>IFERROR(VLOOKUP(VLOOKUP(K579,$A$24:$B$1023,2,FALSE),'Scratch Sheet'!$U$23:$Y$32,5,FALSE)*VLOOKUP(VLOOKUP(K579,$A$24:$E$1023,5,FALSE),'Scratch Sheet'!$L$22:$M$30,2,FALSE),"")</f>
        <v>13200.000000000002</v>
      </c>
      <c r="N579" s="675">
        <v>163</v>
      </c>
      <c r="O579" s="675" t="str" cm="1">
        <f t="array" ref="O579">IF(OR(INDEX($B$24:$B$1023,N579)="P10",INDEX($B$24:$B$1023,N579)="P11",INDEX($B$24:$B$1023,N579)="P12",INDEX($B$24:$B$1023,N579)="P13"),"C",IF(OR(INDEX($B$24:$B$1023,N579)="P14",INDEX($B$24:$B$1023,N579)="P15",INDEX($B$24:$B$1023,N579)="P16"),"N","O"))&amp;IF(MOD(N579,100)&lt;20,1,IF(MOD(N579,100)&lt;70,2,3))</f>
        <v>C2</v>
      </c>
    </row>
    <row r="580" spans="1:15" ht="16.5" thickBot="1">
      <c r="A580" s="662">
        <v>557</v>
      </c>
      <c r="B580" s="661" t="str" cm="1">
        <f t="array" ref="B580">"P"&amp;INDEX(X!$CL$2:$CL$12,'Scratch Sheet'!H579+1)+9</f>
        <v>P11</v>
      </c>
      <c r="C580" s="661">
        <v>1</v>
      </c>
      <c r="D580" s="755">
        <f t="shared" si="32"/>
        <v>11000</v>
      </c>
      <c r="E580" s="682" t="str">
        <f t="shared" si="33"/>
        <v>C2</v>
      </c>
      <c r="F580" s="683">
        <f t="shared" si="34"/>
        <v>11</v>
      </c>
      <c r="H580" s="13">
        <v>21</v>
      </c>
      <c r="I580" s="13">
        <f>VLOOKUP(VLOOKUP(H580,$A$24:$B$1023,2,FALSE),'Scratch Sheet'!$U$23:$X$32,3,FALSE)</f>
        <v>5</v>
      </c>
      <c r="K580" s="13">
        <f t="shared" si="35"/>
        <v>549</v>
      </c>
      <c r="L580" s="13">
        <f>IFERROR(VLOOKUP(VLOOKUP(K580,$A$24:$B$1023,2,FALSE),'Scratch Sheet'!$U$23:$Y$32,5,FALSE)*VLOOKUP(VLOOKUP(K580,$A$24:$E$1023,5,FALSE),'Scratch Sheet'!$L$22:$M$30,2,FALSE),"")</f>
        <v>13200.000000000002</v>
      </c>
      <c r="N580" s="675">
        <v>166</v>
      </c>
      <c r="O580" s="675" t="str" cm="1">
        <f t="array" ref="O580">IF(OR(INDEX($B$24:$B$1023,N580)="P10",INDEX($B$24:$B$1023,N580)="P11",INDEX($B$24:$B$1023,N580)="P12",INDEX($B$24:$B$1023,N580)="P13"),"C",IF(OR(INDEX($B$24:$B$1023,N580)="P14",INDEX($B$24:$B$1023,N580)="P15",INDEX($B$24:$B$1023,N580)="P16"),"N","O"))&amp;IF(MOD(N580,100)&lt;20,1,IF(MOD(N580,100)&lt;70,2,3))</f>
        <v>C2</v>
      </c>
    </row>
    <row r="581" spans="1:15" ht="16.5" thickBot="1">
      <c r="A581" s="662">
        <v>558</v>
      </c>
      <c r="B581" s="661" t="str" cm="1">
        <f t="array" ref="B581">"P"&amp;INDEX(X!$CL$2:$CL$12,'Scratch Sheet'!H580+1)+9</f>
        <v>P18</v>
      </c>
      <c r="C581" s="661">
        <v>1</v>
      </c>
      <c r="D581" s="755">
        <f t="shared" si="32"/>
        <v>5940.0000000000009</v>
      </c>
      <c r="E581" s="682" t="str">
        <f t="shared" si="33"/>
        <v>O2</v>
      </c>
      <c r="F581" s="683">
        <f t="shared" si="34"/>
        <v>6</v>
      </c>
      <c r="H581" s="13">
        <v>67</v>
      </c>
      <c r="I581" s="13">
        <f>VLOOKUP(VLOOKUP(H581,$A$24:$B$1023,2,FALSE),'Scratch Sheet'!$U$23:$X$32,3,FALSE)</f>
        <v>6</v>
      </c>
      <c r="K581" s="13">
        <f t="shared" si="35"/>
        <v>544</v>
      </c>
      <c r="L581" s="13">
        <f>IFERROR(VLOOKUP(VLOOKUP(K581,$A$24:$B$1023,2,FALSE),'Scratch Sheet'!$U$23:$Y$32,5,FALSE)*VLOOKUP(VLOOKUP(K581,$A$24:$E$1023,5,FALSE),'Scratch Sheet'!$L$22:$M$30,2,FALSE),"")</f>
        <v>4500</v>
      </c>
      <c r="N581" s="675">
        <v>170</v>
      </c>
      <c r="O581" s="675" t="str" cm="1">
        <f t="array" ref="O581">IF(OR(INDEX($B$24:$B$1023,N581)="P10",INDEX($B$24:$B$1023,N581)="P11",INDEX($B$24:$B$1023,N581)="P12",INDEX($B$24:$B$1023,N581)="P13"),"C",IF(OR(INDEX($B$24:$B$1023,N581)="P14",INDEX($B$24:$B$1023,N581)="P15",INDEX($B$24:$B$1023,N581)="P16"),"N","O"))&amp;IF(MOD(N581,100)&lt;20,1,IF(MOD(N581,100)&lt;70,2,3))</f>
        <v>C3</v>
      </c>
    </row>
    <row r="582" spans="1:15" ht="16.5" thickBot="1">
      <c r="A582" s="662">
        <v>559</v>
      </c>
      <c r="B582" s="661" t="str" cm="1">
        <f t="array" ref="B582">"P"&amp;INDEX(X!$CL$2:$CL$12,'Scratch Sheet'!H581+1)+9</f>
        <v>P14</v>
      </c>
      <c r="C582" s="661">
        <v>1</v>
      </c>
      <c r="D582" s="755">
        <f t="shared" si="32"/>
        <v>6480</v>
      </c>
      <c r="E582" s="682" t="str">
        <f t="shared" si="33"/>
        <v>N2</v>
      </c>
      <c r="F582" s="683">
        <f t="shared" si="34"/>
        <v>8</v>
      </c>
      <c r="H582" s="13">
        <v>858</v>
      </c>
      <c r="I582" s="13">
        <f>VLOOKUP(VLOOKUP(H582,$A$24:$B$1023,2,FALSE),'Scratch Sheet'!$U$23:$X$32,3,FALSE)</f>
        <v>11</v>
      </c>
      <c r="K582" s="13">
        <f t="shared" si="35"/>
        <v>546</v>
      </c>
      <c r="L582" s="13">
        <f>IFERROR(VLOOKUP(VLOOKUP(K582,$A$24:$B$1023,2,FALSE),'Scratch Sheet'!$U$23:$Y$32,5,FALSE)*VLOOKUP(VLOOKUP(K582,$A$24:$E$1023,5,FALSE),'Scratch Sheet'!$L$22:$M$30,2,FALSE),"")</f>
        <v>2400</v>
      </c>
      <c r="N582" s="675">
        <v>171</v>
      </c>
      <c r="O582" s="675" t="str" cm="1">
        <f t="array" ref="O582">IF(OR(INDEX($B$24:$B$1023,N582)="P10",INDEX($B$24:$B$1023,N582)="P11",INDEX($B$24:$B$1023,N582)="P12",INDEX($B$24:$B$1023,N582)="P13"),"C",IF(OR(INDEX($B$24:$B$1023,N582)="P14",INDEX($B$24:$B$1023,N582)="P15",INDEX($B$24:$B$1023,N582)="P16"),"N","O"))&amp;IF(MOD(N582,100)&lt;20,1,IF(MOD(N582,100)&lt;70,2,3))</f>
        <v>C3</v>
      </c>
    </row>
    <row r="583" spans="1:15" ht="16.5" thickBot="1">
      <c r="A583" s="662">
        <v>560</v>
      </c>
      <c r="B583" s="661" t="str" cm="1">
        <f t="array" ref="B583">"P"&amp;INDEX(X!$CL$2:$CL$12,'Scratch Sheet'!H582+1)+9</f>
        <v>P10</v>
      </c>
      <c r="C583" s="661">
        <v>1</v>
      </c>
      <c r="D583" s="755">
        <f t="shared" si="32"/>
        <v>2400</v>
      </c>
      <c r="E583" s="682" t="str">
        <f t="shared" si="33"/>
        <v>C2</v>
      </c>
      <c r="F583" s="683">
        <f t="shared" si="34"/>
        <v>3</v>
      </c>
      <c r="H583" s="13">
        <v>595</v>
      </c>
      <c r="I583" s="13">
        <f>VLOOKUP(VLOOKUP(H583,$A$24:$B$1023,2,FALSE),'Scratch Sheet'!$U$23:$X$32,3,FALSE)</f>
        <v>5</v>
      </c>
      <c r="K583" s="13">
        <f t="shared" si="35"/>
        <v>545</v>
      </c>
      <c r="L583" s="13">
        <f>IFERROR(VLOOKUP(VLOOKUP(K583,$A$24:$B$1023,2,FALSE),'Scratch Sheet'!$U$23:$Y$32,5,FALSE)*VLOOKUP(VLOOKUP(K583,$A$24:$E$1023,5,FALSE),'Scratch Sheet'!$L$22:$M$30,2,FALSE),"")</f>
        <v>4500</v>
      </c>
      <c r="N583" s="675">
        <v>173</v>
      </c>
      <c r="O583" s="675" t="str" cm="1">
        <f t="array" ref="O583">IF(OR(INDEX($B$24:$B$1023,N583)="P10",INDEX($B$24:$B$1023,N583)="P11",INDEX($B$24:$B$1023,N583)="P12",INDEX($B$24:$B$1023,N583)="P13"),"C",IF(OR(INDEX($B$24:$B$1023,N583)="P14",INDEX($B$24:$B$1023,N583)="P15",INDEX($B$24:$B$1023,N583)="P16"),"N","O"))&amp;IF(MOD(N583,100)&lt;20,1,IF(MOD(N583,100)&lt;70,2,3))</f>
        <v>C3</v>
      </c>
    </row>
    <row r="584" spans="1:15" ht="16.5" thickBot="1">
      <c r="A584" s="662">
        <v>561</v>
      </c>
      <c r="B584" s="661" t="str" cm="1">
        <f t="array" ref="B584">"P"&amp;INDEX(X!$CL$2:$CL$12,'Scratch Sheet'!H583+1)+9</f>
        <v>P13</v>
      </c>
      <c r="C584" s="661">
        <v>1</v>
      </c>
      <c r="D584" s="755">
        <f t="shared" si="32"/>
        <v>4500</v>
      </c>
      <c r="E584" s="682" t="str">
        <f t="shared" si="33"/>
        <v>C2</v>
      </c>
      <c r="F584" s="683">
        <f t="shared" si="34"/>
        <v>5</v>
      </c>
      <c r="H584" s="13">
        <v>539</v>
      </c>
      <c r="I584" s="13">
        <f>VLOOKUP(VLOOKUP(H584,$A$24:$B$1023,2,FALSE),'Scratch Sheet'!$U$23:$X$32,3,FALSE)</f>
        <v>3</v>
      </c>
      <c r="K584" s="13">
        <f t="shared" si="35"/>
        <v>548</v>
      </c>
      <c r="L584" s="13">
        <f>IFERROR(VLOOKUP(VLOOKUP(K584,$A$24:$B$1023,2,FALSE),'Scratch Sheet'!$U$23:$Y$32,5,FALSE)*VLOOKUP(VLOOKUP(K584,$A$24:$E$1023,5,FALSE),'Scratch Sheet'!$L$22:$M$30,2,FALSE),"")</f>
        <v>4680</v>
      </c>
      <c r="N584" s="675">
        <v>177</v>
      </c>
      <c r="O584" s="675" t="str" cm="1">
        <f t="array" ref="O584">IF(OR(INDEX($B$24:$B$1023,N584)="P10",INDEX($B$24:$B$1023,N584)="P11",INDEX($B$24:$B$1023,N584)="P12",INDEX($B$24:$B$1023,N584)="P13"),"C",IF(OR(INDEX($B$24:$B$1023,N584)="P14",INDEX($B$24:$B$1023,N584)="P15",INDEX($B$24:$B$1023,N584)="P16"),"N","O"))&amp;IF(MOD(N584,100)&lt;20,1,IF(MOD(N584,100)&lt;70,2,3))</f>
        <v>C3</v>
      </c>
    </row>
    <row r="585" spans="1:15" ht="16.5" thickBot="1">
      <c r="A585" s="662">
        <v>562</v>
      </c>
      <c r="B585" s="661" t="str" cm="1">
        <f t="array" ref="B585">"P"&amp;INDEX(X!$CL$2:$CL$12,'Scratch Sheet'!H584+1)+9</f>
        <v>P13</v>
      </c>
      <c r="C585" s="661">
        <v>1</v>
      </c>
      <c r="D585" s="755">
        <f t="shared" si="32"/>
        <v>4500</v>
      </c>
      <c r="E585" s="682" t="str">
        <f t="shared" si="33"/>
        <v>C2</v>
      </c>
      <c r="F585" s="683">
        <f t="shared" si="34"/>
        <v>5</v>
      </c>
      <c r="H585" s="13">
        <v>304</v>
      </c>
      <c r="I585" s="13">
        <f>VLOOKUP(VLOOKUP(H585,$A$24:$B$1023,2,FALSE),'Scratch Sheet'!$U$23:$X$32,3,FALSE)</f>
        <v>8</v>
      </c>
      <c r="K585" s="13">
        <f t="shared" si="35"/>
        <v>543</v>
      </c>
      <c r="L585" s="13">
        <f>IFERROR(VLOOKUP(VLOOKUP(K585,$A$24:$B$1023,2,FALSE),'Scratch Sheet'!$U$23:$Y$32,5,FALSE)*VLOOKUP(VLOOKUP(K585,$A$24:$E$1023,5,FALSE),'Scratch Sheet'!$L$22:$M$30,2,FALSE),"")</f>
        <v>2400</v>
      </c>
      <c r="N585" s="675">
        <v>178</v>
      </c>
      <c r="O585" s="675" t="str" cm="1">
        <f t="array" ref="O585">IF(OR(INDEX($B$24:$B$1023,N585)="P10",INDEX($B$24:$B$1023,N585)="P11",INDEX($B$24:$B$1023,N585)="P12",INDEX($B$24:$B$1023,N585)="P13"),"C",IF(OR(INDEX($B$24:$B$1023,N585)="P14",INDEX($B$24:$B$1023,N585)="P15",INDEX($B$24:$B$1023,N585)="P16"),"N","O"))&amp;IF(MOD(N585,100)&lt;20,1,IF(MOD(N585,100)&lt;70,2,3))</f>
        <v>C3</v>
      </c>
    </row>
    <row r="586" spans="1:15" ht="16.5" thickBot="1">
      <c r="A586" s="662">
        <v>563</v>
      </c>
      <c r="B586" s="661" t="str" cm="1">
        <f t="array" ref="B586">"P"&amp;INDEX(X!$CL$2:$CL$12,'Scratch Sheet'!H585+1)+9</f>
        <v>P10</v>
      </c>
      <c r="C586" s="661">
        <v>1</v>
      </c>
      <c r="D586" s="755">
        <f t="shared" si="32"/>
        <v>2400</v>
      </c>
      <c r="E586" s="682" t="str">
        <f t="shared" si="33"/>
        <v>C2</v>
      </c>
      <c r="F586" s="683">
        <f t="shared" si="34"/>
        <v>3</v>
      </c>
      <c r="H586" s="13">
        <v>214</v>
      </c>
      <c r="I586" s="13">
        <f>VLOOKUP(VLOOKUP(H586,$A$24:$B$1023,2,FALSE),'Scratch Sheet'!$U$23:$X$32,3,FALSE)</f>
        <v>6.5</v>
      </c>
      <c r="K586" s="13">
        <f t="shared" si="35"/>
        <v>541</v>
      </c>
      <c r="L586" s="13">
        <f>IFERROR(VLOOKUP(VLOOKUP(K586,$A$24:$B$1023,2,FALSE),'Scratch Sheet'!$U$23:$Y$32,5,FALSE)*VLOOKUP(VLOOKUP(K586,$A$24:$E$1023,5,FALSE),'Scratch Sheet'!$L$22:$M$30,2,FALSE),"")</f>
        <v>5940.0000000000009</v>
      </c>
      <c r="N586" s="675">
        <v>179</v>
      </c>
      <c r="O586" s="675" t="str" cm="1">
        <f t="array" ref="O586">IF(OR(INDEX($B$24:$B$1023,N586)="P10",INDEX($B$24:$B$1023,N586)="P11",INDEX($B$24:$B$1023,N586)="P12",INDEX($B$24:$B$1023,N586)="P13"),"C",IF(OR(INDEX($B$24:$B$1023,N586)="P14",INDEX($B$24:$B$1023,N586)="P15",INDEX($B$24:$B$1023,N586)="P16"),"N","O"))&amp;IF(MOD(N586,100)&lt;20,1,IF(MOD(N586,100)&lt;70,2,3))</f>
        <v>C3</v>
      </c>
    </row>
    <row r="587" spans="1:15" ht="16.5" thickBot="1">
      <c r="A587" s="662">
        <v>564</v>
      </c>
      <c r="B587" s="661" t="str" cm="1">
        <f t="array" ref="B587">"P"&amp;INDEX(X!$CL$2:$CL$12,'Scratch Sheet'!H586+1)+9</f>
        <v>P11</v>
      </c>
      <c r="C587" s="661">
        <v>1</v>
      </c>
      <c r="D587" s="755">
        <f t="shared" si="32"/>
        <v>11000</v>
      </c>
      <c r="E587" s="682" t="str">
        <f t="shared" si="33"/>
        <v>C2</v>
      </c>
      <c r="F587" s="683">
        <f t="shared" si="34"/>
        <v>11</v>
      </c>
      <c r="H587" s="13">
        <v>3</v>
      </c>
      <c r="I587" s="13">
        <f>VLOOKUP(VLOOKUP(H587,$A$24:$B$1023,2,FALSE),'Scratch Sheet'!$U$23:$X$32,3,FALSE)</f>
        <v>6</v>
      </c>
      <c r="K587" s="13">
        <f t="shared" si="35"/>
        <v>542</v>
      </c>
      <c r="L587" s="13">
        <f>IFERROR(VLOOKUP(VLOOKUP(K587,$A$24:$B$1023,2,FALSE),'Scratch Sheet'!$U$23:$Y$32,5,FALSE)*VLOOKUP(VLOOKUP(K587,$A$24:$E$1023,5,FALSE),'Scratch Sheet'!$L$22:$M$30,2,FALSE),"")</f>
        <v>6480</v>
      </c>
      <c r="N587" s="675">
        <v>180</v>
      </c>
      <c r="O587" s="675" t="str" cm="1">
        <f t="array" ref="O587">IF(OR(INDEX($B$24:$B$1023,N587)="P10",INDEX($B$24:$B$1023,N587)="P11",INDEX($B$24:$B$1023,N587)="P12",INDEX($B$24:$B$1023,N587)="P13"),"C",IF(OR(INDEX($B$24:$B$1023,N587)="P14",INDEX($B$24:$B$1023,N587)="P15",INDEX($B$24:$B$1023,N587)="P16"),"N","O"))&amp;IF(MOD(N587,100)&lt;20,1,IF(MOD(N587,100)&lt;70,2,3))</f>
        <v>C3</v>
      </c>
    </row>
    <row r="588" spans="1:15" ht="16.5" thickBot="1">
      <c r="A588" s="662">
        <v>565</v>
      </c>
      <c r="B588" s="661" t="str" cm="1">
        <f t="array" ref="B588">"P"&amp;INDEX(X!$CL$2:$CL$12,'Scratch Sheet'!H587+1)+9</f>
        <v>P16</v>
      </c>
      <c r="C588" s="661">
        <v>1</v>
      </c>
      <c r="D588" s="755">
        <f t="shared" si="32"/>
        <v>4680</v>
      </c>
      <c r="E588" s="682" t="str">
        <f t="shared" si="33"/>
        <v>N2</v>
      </c>
      <c r="F588" s="683">
        <f t="shared" si="34"/>
        <v>4</v>
      </c>
      <c r="H588" s="13">
        <v>69</v>
      </c>
      <c r="I588" s="13">
        <f>VLOOKUP(VLOOKUP(H588,$A$24:$B$1023,2,FALSE),'Scratch Sheet'!$U$23:$X$32,3,FALSE)</f>
        <v>5</v>
      </c>
      <c r="K588" s="13">
        <f t="shared" si="35"/>
        <v>540</v>
      </c>
      <c r="L588" s="13">
        <f>IFERROR(VLOOKUP(VLOOKUP(K588,$A$24:$B$1023,2,FALSE),'Scratch Sheet'!$U$23:$Y$32,5,FALSE)*VLOOKUP(VLOOKUP(K588,$A$24:$E$1023,5,FALSE),'Scratch Sheet'!$L$22:$M$30,2,FALSE),"")</f>
        <v>11000</v>
      </c>
      <c r="N588" s="675">
        <v>183</v>
      </c>
      <c r="O588" s="675" t="str" cm="1">
        <f t="array" ref="O588">IF(OR(INDEX($B$24:$B$1023,N588)="P10",INDEX($B$24:$B$1023,N588)="P11",INDEX($B$24:$B$1023,N588)="P12",INDEX($B$24:$B$1023,N588)="P13"),"C",IF(OR(INDEX($B$24:$B$1023,N588)="P14",INDEX($B$24:$B$1023,N588)="P15",INDEX($B$24:$B$1023,N588)="P16"),"N","O"))&amp;IF(MOD(N588,100)&lt;20,1,IF(MOD(N588,100)&lt;70,2,3))</f>
        <v>C3</v>
      </c>
    </row>
    <row r="589" spans="1:15" ht="16.5" thickBot="1">
      <c r="A589" s="662">
        <v>566</v>
      </c>
      <c r="B589" s="661" t="str" cm="1">
        <f t="array" ref="B589">"P"&amp;INDEX(X!$CL$2:$CL$12,'Scratch Sheet'!H588+1)+9</f>
        <v>P17</v>
      </c>
      <c r="C589" s="661">
        <v>1</v>
      </c>
      <c r="D589" s="755">
        <f t="shared" si="32"/>
        <v>13200.000000000002</v>
      </c>
      <c r="E589" s="682" t="str">
        <f t="shared" si="33"/>
        <v>O2</v>
      </c>
      <c r="F589" s="683">
        <f t="shared" si="34"/>
        <v>12</v>
      </c>
      <c r="H589" s="13">
        <v>651</v>
      </c>
      <c r="I589" s="13">
        <f>VLOOKUP(VLOOKUP(H589,$A$24:$B$1023,2,FALSE),'Scratch Sheet'!$U$23:$X$32,3,FALSE)</f>
        <v>12</v>
      </c>
      <c r="K589" s="13">
        <f t="shared" si="35"/>
        <v>558</v>
      </c>
      <c r="L589" s="13">
        <f>IFERROR(VLOOKUP(VLOOKUP(K589,$A$24:$B$1023,2,FALSE),'Scratch Sheet'!$U$23:$Y$32,5,FALSE)*VLOOKUP(VLOOKUP(K589,$A$24:$E$1023,5,FALSE),'Scratch Sheet'!$L$22:$M$30,2,FALSE),"")</f>
        <v>5940.0000000000009</v>
      </c>
      <c r="N589" s="675">
        <v>187</v>
      </c>
      <c r="O589" s="675" t="str" cm="1">
        <f t="array" ref="O589">IF(OR(INDEX($B$24:$B$1023,N589)="P10",INDEX($B$24:$B$1023,N589)="P11",INDEX($B$24:$B$1023,N589)="P12",INDEX($B$24:$B$1023,N589)="P13"),"C",IF(OR(INDEX($B$24:$B$1023,N589)="P14",INDEX($B$24:$B$1023,N589)="P15",INDEX($B$24:$B$1023,N589)="P16"),"N","O"))&amp;IF(MOD(N589,100)&lt;20,1,IF(MOD(N589,100)&lt;70,2,3))</f>
        <v>C3</v>
      </c>
    </row>
    <row r="590" spans="1:15" ht="16.5" thickBot="1">
      <c r="A590" s="662">
        <v>567</v>
      </c>
      <c r="B590" s="661" t="str" cm="1">
        <f t="array" ref="B590">"P"&amp;INDEX(X!$CL$2:$CL$12,'Scratch Sheet'!H589+1)+9</f>
        <v>P17</v>
      </c>
      <c r="C590" s="661">
        <v>1</v>
      </c>
      <c r="D590" s="755">
        <f t="shared" si="32"/>
        <v>13200.000000000002</v>
      </c>
      <c r="E590" s="682" t="str">
        <f t="shared" si="33"/>
        <v>O2</v>
      </c>
      <c r="F590" s="683">
        <f t="shared" si="34"/>
        <v>12</v>
      </c>
      <c r="H590" s="13">
        <v>932</v>
      </c>
      <c r="I590" s="13">
        <f>VLOOKUP(VLOOKUP(H590,$A$24:$B$1023,2,FALSE),'Scratch Sheet'!$U$23:$X$32,3,FALSE)</f>
        <v>6</v>
      </c>
      <c r="K590" s="13">
        <f t="shared" si="35"/>
        <v>561</v>
      </c>
      <c r="L590" s="13">
        <f>IFERROR(VLOOKUP(VLOOKUP(K590,$A$24:$B$1023,2,FALSE),'Scratch Sheet'!$U$23:$Y$32,5,FALSE)*VLOOKUP(VLOOKUP(K590,$A$24:$E$1023,5,FALSE),'Scratch Sheet'!$L$22:$M$30,2,FALSE),"")</f>
        <v>4500</v>
      </c>
      <c r="N590" s="675">
        <v>188</v>
      </c>
      <c r="O590" s="675" t="str" cm="1">
        <f t="array" ref="O590">IF(OR(INDEX($B$24:$B$1023,N590)="P10",INDEX($B$24:$B$1023,N590)="P11",INDEX($B$24:$B$1023,N590)="P12",INDEX($B$24:$B$1023,N590)="P13"),"C",IF(OR(INDEX($B$24:$B$1023,N590)="P14",INDEX($B$24:$B$1023,N590)="P15",INDEX($B$24:$B$1023,N590)="P16"),"N","O"))&amp;IF(MOD(N590,100)&lt;20,1,IF(MOD(N590,100)&lt;70,2,3))</f>
        <v>C3</v>
      </c>
    </row>
    <row r="591" spans="1:15" ht="16.5" thickBot="1">
      <c r="A591" s="662">
        <v>568</v>
      </c>
      <c r="B591" s="661" t="str" cm="1">
        <f t="array" ref="B591">"P"&amp;INDEX(X!$CL$2:$CL$12,'Scratch Sheet'!H590+1)+9</f>
        <v>P13</v>
      </c>
      <c r="C591" s="661">
        <v>1</v>
      </c>
      <c r="D591" s="755">
        <f t="shared" si="32"/>
        <v>4500</v>
      </c>
      <c r="E591" s="682" t="str">
        <f t="shared" si="33"/>
        <v>C2</v>
      </c>
      <c r="F591" s="683">
        <f t="shared" si="34"/>
        <v>5</v>
      </c>
      <c r="H591" s="13">
        <v>769</v>
      </c>
      <c r="I591" s="13">
        <f>VLOOKUP(VLOOKUP(H591,$A$24:$B$1023,2,FALSE),'Scratch Sheet'!$U$23:$X$32,3,FALSE)</f>
        <v>4</v>
      </c>
      <c r="K591" s="13">
        <f t="shared" si="35"/>
        <v>560</v>
      </c>
      <c r="L591" s="13">
        <f>IFERROR(VLOOKUP(VLOOKUP(K591,$A$24:$B$1023,2,FALSE),'Scratch Sheet'!$U$23:$Y$32,5,FALSE)*VLOOKUP(VLOOKUP(K591,$A$24:$E$1023,5,FALSE),'Scratch Sheet'!$L$22:$M$30,2,FALSE),"")</f>
        <v>2400</v>
      </c>
      <c r="N591" s="675">
        <v>190</v>
      </c>
      <c r="O591" s="675" t="str" cm="1">
        <f t="array" ref="O591">IF(OR(INDEX($B$24:$B$1023,N591)="P10",INDEX($B$24:$B$1023,N591)="P11",INDEX($B$24:$B$1023,N591)="P12",INDEX($B$24:$B$1023,N591)="P13"),"C",IF(OR(INDEX($B$24:$B$1023,N591)="P14",INDEX($B$24:$B$1023,N591)="P15",INDEX($B$24:$B$1023,N591)="P16"),"N","O"))&amp;IF(MOD(N591,100)&lt;20,1,IF(MOD(N591,100)&lt;70,2,3))</f>
        <v>C3</v>
      </c>
    </row>
    <row r="592" spans="1:15" ht="16.5" thickBot="1">
      <c r="A592" s="662">
        <v>569</v>
      </c>
      <c r="B592" s="661" t="str" cm="1">
        <f t="array" ref="B592">"P"&amp;INDEX(X!$CL$2:$CL$12,'Scratch Sheet'!H591+1)+9</f>
        <v>P11</v>
      </c>
      <c r="C592" s="661">
        <v>1</v>
      </c>
      <c r="D592" s="755">
        <f t="shared" si="32"/>
        <v>11000</v>
      </c>
      <c r="E592" s="682" t="str">
        <f t="shared" si="33"/>
        <v>C2</v>
      </c>
      <c r="F592" s="683">
        <f t="shared" si="34"/>
        <v>11</v>
      </c>
      <c r="H592" s="13">
        <v>826</v>
      </c>
      <c r="I592" s="13">
        <f>VLOOKUP(VLOOKUP(H592,$A$24:$B$1023,2,FALSE),'Scratch Sheet'!$U$23:$X$32,3,FALSE)</f>
        <v>6.5</v>
      </c>
      <c r="K592" s="13">
        <f t="shared" si="35"/>
        <v>555</v>
      </c>
      <c r="L592" s="13">
        <f>IFERROR(VLOOKUP(VLOOKUP(K592,$A$24:$B$1023,2,FALSE),'Scratch Sheet'!$U$23:$Y$32,5,FALSE)*VLOOKUP(VLOOKUP(K592,$A$24:$E$1023,5,FALSE),'Scratch Sheet'!$L$22:$M$30,2,FALSE),"")</f>
        <v>2400</v>
      </c>
      <c r="N592" s="675">
        <v>195</v>
      </c>
      <c r="O592" s="675" t="str" cm="1">
        <f t="array" ref="O592">IF(OR(INDEX($B$24:$B$1023,N592)="P10",INDEX($B$24:$B$1023,N592)="P11",INDEX($B$24:$B$1023,N592)="P12",INDEX($B$24:$B$1023,N592)="P13"),"C",IF(OR(INDEX($B$24:$B$1023,N592)="P14",INDEX($B$24:$B$1023,N592)="P15",INDEX($B$24:$B$1023,N592)="P16"),"N","O"))&amp;IF(MOD(N592,100)&lt;20,1,IF(MOD(N592,100)&lt;70,2,3))</f>
        <v>C3</v>
      </c>
    </row>
    <row r="593" spans="1:15" ht="16.5" thickBot="1">
      <c r="A593" s="662">
        <v>570</v>
      </c>
      <c r="B593" s="661" t="str" cm="1">
        <f t="array" ref="B593">"P"&amp;INDEX(X!$CL$2:$CL$12,'Scratch Sheet'!H592+1)+9</f>
        <v>P11</v>
      </c>
      <c r="C593" s="661">
        <v>1</v>
      </c>
      <c r="D593" s="755">
        <f t="shared" si="32"/>
        <v>8800</v>
      </c>
      <c r="E593" s="682" t="str">
        <f t="shared" si="33"/>
        <v>C3</v>
      </c>
      <c r="F593" s="683">
        <f t="shared" si="34"/>
        <v>11</v>
      </c>
      <c r="H593" s="13">
        <v>939</v>
      </c>
      <c r="I593" s="13">
        <f>VLOOKUP(VLOOKUP(H593,$A$24:$B$1023,2,FALSE),'Scratch Sheet'!$U$23:$X$32,3,FALSE)</f>
        <v>4</v>
      </c>
      <c r="K593" s="13">
        <f t="shared" si="35"/>
        <v>557</v>
      </c>
      <c r="L593" s="13">
        <f>IFERROR(VLOOKUP(VLOOKUP(K593,$A$24:$B$1023,2,FALSE),'Scratch Sheet'!$U$23:$Y$32,5,FALSE)*VLOOKUP(VLOOKUP(K593,$A$24:$E$1023,5,FALSE),'Scratch Sheet'!$L$22:$M$30,2,FALSE),"")</f>
        <v>11000</v>
      </c>
      <c r="N593" s="675">
        <v>196</v>
      </c>
      <c r="O593" s="675" t="str" cm="1">
        <f t="array" ref="O593">IF(OR(INDEX($B$24:$B$1023,N593)="P10",INDEX($B$24:$B$1023,N593)="P11",INDEX($B$24:$B$1023,N593)="P12",INDEX($B$24:$B$1023,N593)="P13"),"C",IF(OR(INDEX($B$24:$B$1023,N593)="P14",INDEX($B$24:$B$1023,N593)="P15",INDEX($B$24:$B$1023,N593)="P16"),"N","O"))&amp;IF(MOD(N593,100)&lt;20,1,IF(MOD(N593,100)&lt;70,2,3))</f>
        <v>C3</v>
      </c>
    </row>
    <row r="594" spans="1:15" ht="16.5" thickBot="1">
      <c r="A594" s="662">
        <v>571</v>
      </c>
      <c r="B594" s="661" t="str" cm="1">
        <f t="array" ref="B594">"P"&amp;INDEX(X!$CL$2:$CL$12,'Scratch Sheet'!H593+1)+9</f>
        <v>P12</v>
      </c>
      <c r="C594" s="661">
        <v>1</v>
      </c>
      <c r="D594" s="755">
        <f t="shared" si="32"/>
        <v>5460</v>
      </c>
      <c r="E594" s="682" t="str">
        <f t="shared" si="33"/>
        <v>C3</v>
      </c>
      <c r="F594" s="683">
        <f t="shared" si="34"/>
        <v>6.5</v>
      </c>
      <c r="H594" s="13">
        <v>896</v>
      </c>
      <c r="I594" s="13">
        <f>VLOOKUP(VLOOKUP(H594,$A$24:$B$1023,2,FALSE),'Scratch Sheet'!$U$23:$X$32,3,FALSE)</f>
        <v>3</v>
      </c>
      <c r="K594" s="13">
        <f t="shared" si="35"/>
        <v>556</v>
      </c>
      <c r="L594" s="13">
        <f>IFERROR(VLOOKUP(VLOOKUP(K594,$A$24:$B$1023,2,FALSE),'Scratch Sheet'!$U$23:$Y$32,5,FALSE)*VLOOKUP(VLOOKUP(K594,$A$24:$E$1023,5,FALSE),'Scratch Sheet'!$L$22:$M$30,2,FALSE),"")</f>
        <v>2400</v>
      </c>
      <c r="N594" s="675">
        <v>197</v>
      </c>
      <c r="O594" s="675" t="str" cm="1">
        <f t="array" ref="O594">IF(OR(INDEX($B$24:$B$1023,N594)="P10",INDEX($B$24:$B$1023,N594)="P11",INDEX($B$24:$B$1023,N594)="P12",INDEX($B$24:$B$1023,N594)="P13"),"C",IF(OR(INDEX($B$24:$B$1023,N594)="P14",INDEX($B$24:$B$1023,N594)="P15",INDEX($B$24:$B$1023,N594)="P16"),"N","O"))&amp;IF(MOD(N594,100)&lt;20,1,IF(MOD(N594,100)&lt;70,2,3))</f>
        <v>C3</v>
      </c>
    </row>
    <row r="595" spans="1:15" ht="16.5" thickBot="1">
      <c r="A595" s="662">
        <v>572</v>
      </c>
      <c r="B595" s="661" t="str" cm="1">
        <f t="array" ref="B595">"P"&amp;INDEX(X!$CL$2:$CL$12,'Scratch Sheet'!H594+1)+9</f>
        <v>P10</v>
      </c>
      <c r="C595" s="661">
        <v>1</v>
      </c>
      <c r="D595" s="755">
        <f t="shared" si="32"/>
        <v>1920</v>
      </c>
      <c r="E595" s="682" t="str">
        <f t="shared" si="33"/>
        <v>C3</v>
      </c>
      <c r="F595" s="683">
        <f t="shared" si="34"/>
        <v>3</v>
      </c>
      <c r="H595" s="13">
        <v>232</v>
      </c>
      <c r="I595" s="13">
        <f>VLOOKUP(VLOOKUP(H595,$A$24:$B$1023,2,FALSE),'Scratch Sheet'!$U$23:$X$32,3,FALSE)</f>
        <v>3</v>
      </c>
      <c r="K595" s="13">
        <f t="shared" si="35"/>
        <v>559</v>
      </c>
      <c r="L595" s="13">
        <f>IFERROR(VLOOKUP(VLOOKUP(K595,$A$24:$B$1023,2,FALSE),'Scratch Sheet'!$U$23:$Y$32,5,FALSE)*VLOOKUP(VLOOKUP(K595,$A$24:$E$1023,5,FALSE),'Scratch Sheet'!$L$22:$M$30,2,FALSE),"")</f>
        <v>6480</v>
      </c>
      <c r="N595" s="675">
        <v>200</v>
      </c>
      <c r="O595" s="675" t="str" cm="1">
        <f t="array" ref="O595">IF(OR(INDEX($B$24:$B$1023,N595)="P10",INDEX($B$24:$B$1023,N595)="P11",INDEX($B$24:$B$1023,N595)="P12",INDEX($B$24:$B$1023,N595)="P13"),"C",IF(OR(INDEX($B$24:$B$1023,N595)="P14",INDEX($B$24:$B$1023,N595)="P15",INDEX($B$24:$B$1023,N595)="P16"),"N","O"))&amp;IF(MOD(N595,100)&lt;20,1,IF(MOD(N595,100)&lt;70,2,3))</f>
        <v>C1</v>
      </c>
    </row>
    <row r="596" spans="1:15" ht="16.5" thickBot="1">
      <c r="A596" s="662">
        <v>573</v>
      </c>
      <c r="B596" s="661" t="str" cm="1">
        <f t="array" ref="B596">"P"&amp;INDEX(X!$CL$2:$CL$12,'Scratch Sheet'!H595+1)+9</f>
        <v>P10</v>
      </c>
      <c r="C596" s="661">
        <v>1</v>
      </c>
      <c r="D596" s="755">
        <f t="shared" si="32"/>
        <v>1920</v>
      </c>
      <c r="E596" s="682" t="str">
        <f t="shared" si="33"/>
        <v>C3</v>
      </c>
      <c r="F596" s="683">
        <f t="shared" si="34"/>
        <v>3</v>
      </c>
      <c r="H596" s="13">
        <v>305</v>
      </c>
      <c r="I596" s="13">
        <f>VLOOKUP(VLOOKUP(H596,$A$24:$B$1023,2,FALSE),'Scratch Sheet'!$U$23:$X$32,3,FALSE)</f>
        <v>3</v>
      </c>
      <c r="K596" s="13">
        <f t="shared" si="35"/>
        <v>554</v>
      </c>
      <c r="L596" s="13">
        <f>IFERROR(VLOOKUP(VLOOKUP(K596,$A$24:$B$1023,2,FALSE),'Scratch Sheet'!$U$23:$Y$32,5,FALSE)*VLOOKUP(VLOOKUP(K596,$A$24:$E$1023,5,FALSE),'Scratch Sheet'!$L$22:$M$30,2,FALSE),"")</f>
        <v>6825</v>
      </c>
      <c r="N596" s="675">
        <v>207</v>
      </c>
      <c r="O596" s="675" t="str" cm="1">
        <f t="array" ref="O596">IF(OR(INDEX($B$24:$B$1023,N596)="P10",INDEX($B$24:$B$1023,N596)="P11",INDEX($B$24:$B$1023,N596)="P12",INDEX($B$24:$B$1023,N596)="P13"),"C",IF(OR(INDEX($B$24:$B$1023,N596)="P14",INDEX($B$24:$B$1023,N596)="P15",INDEX($B$24:$B$1023,N596)="P16"),"N","O"))&amp;IF(MOD(N596,100)&lt;20,1,IF(MOD(N596,100)&lt;70,2,3))</f>
        <v>C1</v>
      </c>
    </row>
    <row r="597" spans="1:15" ht="16.5" thickBot="1">
      <c r="A597" s="662">
        <v>574</v>
      </c>
      <c r="B597" s="661" t="str" cm="1">
        <f t="array" ref="B597">"P"&amp;INDEX(X!$CL$2:$CL$12,'Scratch Sheet'!H596+1)+9</f>
        <v>P11</v>
      </c>
      <c r="C597" s="661">
        <v>1</v>
      </c>
      <c r="D597" s="755">
        <f t="shared" si="32"/>
        <v>8800</v>
      </c>
      <c r="E597" s="682" t="str">
        <f t="shared" si="33"/>
        <v>C3</v>
      </c>
      <c r="F597" s="683">
        <f t="shared" si="34"/>
        <v>11</v>
      </c>
      <c r="H597" s="13">
        <v>811</v>
      </c>
      <c r="I597" s="13">
        <f>VLOOKUP(VLOOKUP(H597,$A$24:$B$1023,2,FALSE),'Scratch Sheet'!$U$23:$X$32,3,FALSE)</f>
        <v>3</v>
      </c>
      <c r="K597" s="13">
        <f t="shared" si="35"/>
        <v>552</v>
      </c>
      <c r="L597" s="13">
        <f>IFERROR(VLOOKUP(VLOOKUP(K597,$A$24:$B$1023,2,FALSE),'Scratch Sheet'!$U$23:$Y$32,5,FALSE)*VLOOKUP(VLOOKUP(K597,$A$24:$E$1023,5,FALSE),'Scratch Sheet'!$L$22:$M$30,2,FALSE),"")</f>
        <v>11000</v>
      </c>
      <c r="N597" s="675">
        <v>212</v>
      </c>
      <c r="O597" s="675" t="str" cm="1">
        <f t="array" ref="O597">IF(OR(INDEX($B$24:$B$1023,N597)="P10",INDEX($B$24:$B$1023,N597)="P11",INDEX($B$24:$B$1023,N597)="P12",INDEX($B$24:$B$1023,N597)="P13"),"C",IF(OR(INDEX($B$24:$B$1023,N597)="P14",INDEX($B$24:$B$1023,N597)="P15",INDEX($B$24:$B$1023,N597)="P16"),"N","O"))&amp;IF(MOD(N597,100)&lt;20,1,IF(MOD(N597,100)&lt;70,2,3))</f>
        <v>C1</v>
      </c>
    </row>
    <row r="598" spans="1:15" ht="16.5" thickBot="1">
      <c r="A598" s="662">
        <v>575</v>
      </c>
      <c r="B598" s="661" t="str" cm="1">
        <f t="array" ref="B598">"P"&amp;INDEX(X!$CL$2:$CL$12,'Scratch Sheet'!H597+1)+9</f>
        <v>P18</v>
      </c>
      <c r="C598" s="661">
        <v>1</v>
      </c>
      <c r="D598" s="755">
        <f t="shared" si="32"/>
        <v>4320</v>
      </c>
      <c r="E598" s="682" t="str">
        <f t="shared" si="33"/>
        <v>O3</v>
      </c>
      <c r="F598" s="683">
        <f t="shared" si="34"/>
        <v>6</v>
      </c>
      <c r="H598" s="13">
        <v>166</v>
      </c>
      <c r="I598" s="13">
        <f>VLOOKUP(VLOOKUP(H598,$A$24:$B$1023,2,FALSE),'Scratch Sheet'!$U$23:$X$32,3,FALSE)</f>
        <v>11</v>
      </c>
      <c r="K598" s="13">
        <f t="shared" si="35"/>
        <v>553</v>
      </c>
      <c r="L598" s="13">
        <f>IFERROR(VLOOKUP(VLOOKUP(K598,$A$24:$B$1023,2,FALSE),'Scratch Sheet'!$U$23:$Y$32,5,FALSE)*VLOOKUP(VLOOKUP(K598,$A$24:$E$1023,5,FALSE),'Scratch Sheet'!$L$22:$M$30,2,FALSE),"")</f>
        <v>11000</v>
      </c>
      <c r="N598" s="675">
        <v>213</v>
      </c>
      <c r="O598" s="675" t="str" cm="1">
        <f t="array" ref="O598">IF(OR(INDEX($B$24:$B$1023,N598)="P10",INDEX($B$24:$B$1023,N598)="P11",INDEX($B$24:$B$1023,N598)="P12",INDEX($B$24:$B$1023,N598)="P13"),"C",IF(OR(INDEX($B$24:$B$1023,N598)="P14",INDEX($B$24:$B$1023,N598)="P15",INDEX($B$24:$B$1023,N598)="P16"),"N","O"))&amp;IF(MOD(N598,100)&lt;20,1,IF(MOD(N598,100)&lt;70,2,3))</f>
        <v>C1</v>
      </c>
    </row>
    <row r="599" spans="1:15" ht="16.5" thickBot="1">
      <c r="A599" s="662">
        <v>576</v>
      </c>
      <c r="B599" s="661" t="str" cm="1">
        <f t="array" ref="B599">"P"&amp;INDEX(X!$CL$2:$CL$12,'Scratch Sheet'!H598+1)+9</f>
        <v>P14</v>
      </c>
      <c r="C599" s="661">
        <v>1</v>
      </c>
      <c r="D599" s="755">
        <f t="shared" si="32"/>
        <v>7200</v>
      </c>
      <c r="E599" s="682" t="str">
        <f t="shared" si="33"/>
        <v>N3</v>
      </c>
      <c r="F599" s="683">
        <f t="shared" si="34"/>
        <v>8</v>
      </c>
      <c r="H599" s="13">
        <v>737</v>
      </c>
      <c r="I599" s="13">
        <f>VLOOKUP(VLOOKUP(H599,$A$24:$B$1023,2,FALSE),'Scratch Sheet'!$U$23:$X$32,3,FALSE)</f>
        <v>12</v>
      </c>
      <c r="K599" s="13">
        <f t="shared" si="35"/>
        <v>551</v>
      </c>
      <c r="L599" s="13">
        <f>IFERROR(VLOOKUP(VLOOKUP(K599,$A$24:$B$1023,2,FALSE),'Scratch Sheet'!$U$23:$Y$32,5,FALSE)*VLOOKUP(VLOOKUP(K599,$A$24:$E$1023,5,FALSE),'Scratch Sheet'!$L$22:$M$30,2,FALSE),"")</f>
        <v>4500</v>
      </c>
      <c r="N599" s="675">
        <v>214</v>
      </c>
      <c r="O599" s="675" t="str" cm="1">
        <f t="array" ref="O599">IF(OR(INDEX($B$24:$B$1023,N599)="P10",INDEX($B$24:$B$1023,N599)="P11",INDEX($B$24:$B$1023,N599)="P12",INDEX($B$24:$B$1023,N599)="P13"),"C",IF(OR(INDEX($B$24:$B$1023,N599)="P14",INDEX($B$24:$B$1023,N599)="P15",INDEX($B$24:$B$1023,N599)="P16"),"N","O"))&amp;IF(MOD(N599,100)&lt;20,1,IF(MOD(N599,100)&lt;70,2,3))</f>
        <v>C1</v>
      </c>
    </row>
    <row r="600" spans="1:15" ht="16.5" thickBot="1">
      <c r="A600" s="662">
        <v>577</v>
      </c>
      <c r="B600" s="661" t="str" cm="1">
        <f t="array" ref="B600">"P"&amp;INDEX(X!$CL$2:$CL$12,'Scratch Sheet'!H599+1)+9</f>
        <v>P10</v>
      </c>
      <c r="C600" s="661">
        <v>1</v>
      </c>
      <c r="D600" s="755">
        <f t="shared" si="32"/>
        <v>1920</v>
      </c>
      <c r="E600" s="682" t="str">
        <f t="shared" si="33"/>
        <v>C3</v>
      </c>
      <c r="F600" s="683">
        <f t="shared" si="34"/>
        <v>3</v>
      </c>
      <c r="H600" s="13">
        <v>739</v>
      </c>
      <c r="I600" s="13">
        <f>VLOOKUP(VLOOKUP(H600,$A$24:$B$1023,2,FALSE),'Scratch Sheet'!$U$23:$X$32,3,FALSE)</f>
        <v>11</v>
      </c>
      <c r="K600" s="13">
        <f t="shared" si="35"/>
        <v>567</v>
      </c>
      <c r="L600" s="13">
        <f>IFERROR(VLOOKUP(VLOOKUP(K600,$A$24:$B$1023,2,FALSE),'Scratch Sheet'!$U$23:$Y$32,5,FALSE)*VLOOKUP(VLOOKUP(K600,$A$24:$E$1023,5,FALSE),'Scratch Sheet'!$L$22:$M$30,2,FALSE),"")</f>
        <v>13200.000000000002</v>
      </c>
      <c r="N600" s="675">
        <v>217</v>
      </c>
      <c r="O600" s="675" t="str" cm="1">
        <f t="array" ref="O600">IF(OR(INDEX($B$24:$B$1023,N600)="P10",INDEX($B$24:$B$1023,N600)="P11",INDEX($B$24:$B$1023,N600)="P12",INDEX($B$24:$B$1023,N600)="P13"),"C",IF(OR(INDEX($B$24:$B$1023,N600)="P14",INDEX($B$24:$B$1023,N600)="P15",INDEX($B$24:$B$1023,N600)="P16"),"N","O"))&amp;IF(MOD(N600,100)&lt;20,1,IF(MOD(N600,100)&lt;70,2,3))</f>
        <v>C1</v>
      </c>
    </row>
    <row r="601" spans="1:15" ht="16.5" thickBot="1">
      <c r="A601" s="662">
        <v>578</v>
      </c>
      <c r="B601" s="661" t="str" cm="1">
        <f t="array" ref="B601">"P"&amp;INDEX(X!$CL$2:$CL$12,'Scratch Sheet'!H600+1)+9</f>
        <v>P13</v>
      </c>
      <c r="C601" s="661">
        <v>1</v>
      </c>
      <c r="D601" s="755">
        <f t="shared" ref="D601:D664" si="36">SUMIF($K$24:$K$1053, $A601, $L$24:$L$1053)</f>
        <v>3600</v>
      </c>
      <c r="E601" s="682" t="str">
        <f t="shared" ref="E601:E664" si="37">INDEX($O$24:$O$1023,MATCH($A601,$N$24:$N$1023,0))</f>
        <v>C3</v>
      </c>
      <c r="F601" s="683">
        <f t="shared" ref="F601:F664" si="38">VLOOKUP(A601, $H$24:$I$1023, 2, FALSE)</f>
        <v>5</v>
      </c>
      <c r="H601" s="13">
        <v>70</v>
      </c>
      <c r="I601" s="13">
        <f>VLOOKUP(VLOOKUP(H601,$A$24:$B$1023,2,FALSE),'Scratch Sheet'!$U$23:$X$32,3,FALSE)</f>
        <v>11</v>
      </c>
      <c r="K601" s="13">
        <f t="shared" si="35"/>
        <v>570</v>
      </c>
      <c r="L601" s="13">
        <f>IFERROR(VLOOKUP(VLOOKUP(K601,$A$24:$B$1023,2,FALSE),'Scratch Sheet'!$U$23:$Y$32,5,FALSE)*VLOOKUP(VLOOKUP(K601,$A$24:$E$1023,5,FALSE),'Scratch Sheet'!$L$22:$M$30,2,FALSE),"")</f>
        <v>8800</v>
      </c>
      <c r="N601" s="675">
        <v>224</v>
      </c>
      <c r="O601" s="675" t="str" cm="1">
        <f t="array" ref="O601">IF(OR(INDEX($B$24:$B$1023,N601)="P10",INDEX($B$24:$B$1023,N601)="P11",INDEX($B$24:$B$1023,N601)="P12",INDEX($B$24:$B$1023,N601)="P13"),"C",IF(OR(INDEX($B$24:$B$1023,N601)="P14",INDEX($B$24:$B$1023,N601)="P15",INDEX($B$24:$B$1023,N601)="P16"),"N","O"))&amp;IF(MOD(N601,100)&lt;20,1,IF(MOD(N601,100)&lt;70,2,3))</f>
        <v>C2</v>
      </c>
    </row>
    <row r="602" spans="1:15" ht="16.5" thickBot="1">
      <c r="A602" s="662">
        <v>579</v>
      </c>
      <c r="B602" s="661" t="str" cm="1">
        <f t="array" ref="B602">"P"&amp;INDEX(X!$CL$2:$CL$12,'Scratch Sheet'!H601+1)+9</f>
        <v>P13</v>
      </c>
      <c r="C602" s="661">
        <v>1</v>
      </c>
      <c r="D602" s="755">
        <f t="shared" si="36"/>
        <v>3600</v>
      </c>
      <c r="E602" s="682" t="str">
        <f t="shared" si="37"/>
        <v>C3</v>
      </c>
      <c r="F602" s="683">
        <f t="shared" si="38"/>
        <v>5</v>
      </c>
      <c r="H602" s="13">
        <v>212</v>
      </c>
      <c r="I602" s="13">
        <f>VLOOKUP(VLOOKUP(H602,$A$24:$B$1023,2,FALSE),'Scratch Sheet'!$U$23:$X$32,3,FALSE)</f>
        <v>11</v>
      </c>
      <c r="K602" s="13">
        <f t="shared" si="35"/>
        <v>569</v>
      </c>
      <c r="L602" s="13">
        <f>IFERROR(VLOOKUP(VLOOKUP(K602,$A$24:$B$1023,2,FALSE),'Scratch Sheet'!$U$23:$Y$32,5,FALSE)*VLOOKUP(VLOOKUP(K602,$A$24:$E$1023,5,FALSE),'Scratch Sheet'!$L$22:$M$30,2,FALSE),"")</f>
        <v>11000</v>
      </c>
      <c r="N602" s="675">
        <v>229</v>
      </c>
      <c r="O602" s="675" t="str" cm="1">
        <f t="array" ref="O602">IF(OR(INDEX($B$24:$B$1023,N602)="P10",INDEX($B$24:$B$1023,N602)="P11",INDEX($B$24:$B$1023,N602)="P12",INDEX($B$24:$B$1023,N602)="P13"),"C",IF(OR(INDEX($B$24:$B$1023,N602)="P14",INDEX($B$24:$B$1023,N602)="P15",INDEX($B$24:$B$1023,N602)="P16"),"N","O"))&amp;IF(MOD(N602,100)&lt;20,1,IF(MOD(N602,100)&lt;70,2,3))</f>
        <v>C2</v>
      </c>
    </row>
    <row r="603" spans="1:15" ht="16.5" thickBot="1">
      <c r="A603" s="662">
        <v>580</v>
      </c>
      <c r="B603" s="661" t="str" cm="1">
        <f t="array" ref="B603">"P"&amp;INDEX(X!$CL$2:$CL$12,'Scratch Sheet'!H602+1)+9</f>
        <v>P10</v>
      </c>
      <c r="C603" s="661">
        <v>1</v>
      </c>
      <c r="D603" s="755">
        <f t="shared" si="36"/>
        <v>1920</v>
      </c>
      <c r="E603" s="682" t="str">
        <f t="shared" si="37"/>
        <v>C3</v>
      </c>
      <c r="F603" s="683">
        <f t="shared" si="38"/>
        <v>3</v>
      </c>
      <c r="H603" s="13">
        <v>447</v>
      </c>
      <c r="I603" s="13">
        <f>VLOOKUP(VLOOKUP(H603,$A$24:$B$1023,2,FALSE),'Scratch Sheet'!$U$23:$X$32,3,FALSE)</f>
        <v>12</v>
      </c>
      <c r="K603" s="13">
        <f t="shared" si="35"/>
        <v>564</v>
      </c>
      <c r="L603" s="13">
        <f>IFERROR(VLOOKUP(VLOOKUP(K603,$A$24:$B$1023,2,FALSE),'Scratch Sheet'!$U$23:$Y$32,5,FALSE)*VLOOKUP(VLOOKUP(K603,$A$24:$E$1023,5,FALSE),'Scratch Sheet'!$L$22:$M$30,2,FALSE),"")</f>
        <v>11000</v>
      </c>
      <c r="N603" s="675">
        <v>230</v>
      </c>
      <c r="O603" s="675" t="str" cm="1">
        <f t="array" ref="O603">IF(OR(INDEX($B$24:$B$1023,N603)="P10",INDEX($B$24:$B$1023,N603)="P11",INDEX($B$24:$B$1023,N603)="P12",INDEX($B$24:$B$1023,N603)="P13"),"C",IF(OR(INDEX($B$24:$B$1023,N603)="P14",INDEX($B$24:$B$1023,N603)="P15",INDEX($B$24:$B$1023,N603)="P16"),"N","O"))&amp;IF(MOD(N603,100)&lt;20,1,IF(MOD(N603,100)&lt;70,2,3))</f>
        <v>C2</v>
      </c>
    </row>
    <row r="604" spans="1:15" ht="16.5" thickBot="1">
      <c r="A604" s="662">
        <v>581</v>
      </c>
      <c r="B604" s="661" t="str" cm="1">
        <f t="array" ref="B604">"P"&amp;INDEX(X!$CL$2:$CL$12,'Scratch Sheet'!H603+1)+9</f>
        <v>P11</v>
      </c>
      <c r="C604" s="661">
        <v>1</v>
      </c>
      <c r="D604" s="755">
        <f t="shared" si="36"/>
        <v>8800</v>
      </c>
      <c r="E604" s="682" t="str">
        <f t="shared" si="37"/>
        <v>C3</v>
      </c>
      <c r="F604" s="683">
        <f t="shared" si="38"/>
        <v>11</v>
      </c>
      <c r="H604" s="13">
        <v>972</v>
      </c>
      <c r="I604" s="13">
        <f>VLOOKUP(VLOOKUP(H604,$A$24:$B$1023,2,FALSE),'Scratch Sheet'!$U$23:$X$32,3,FALSE)</f>
        <v>11</v>
      </c>
      <c r="K604" s="13">
        <f t="shared" si="35"/>
        <v>566</v>
      </c>
      <c r="L604" s="13">
        <f>IFERROR(VLOOKUP(VLOOKUP(K604,$A$24:$B$1023,2,FALSE),'Scratch Sheet'!$U$23:$Y$32,5,FALSE)*VLOOKUP(VLOOKUP(K604,$A$24:$E$1023,5,FALSE),'Scratch Sheet'!$L$22:$M$30,2,FALSE),"")</f>
        <v>13200.000000000002</v>
      </c>
      <c r="N604" s="675">
        <v>231</v>
      </c>
      <c r="O604" s="675" t="str" cm="1">
        <f t="array" ref="O604">IF(OR(INDEX($B$24:$B$1023,N604)="P10",INDEX($B$24:$B$1023,N604)="P11",INDEX($B$24:$B$1023,N604)="P12",INDEX($B$24:$B$1023,N604)="P13"),"C",IF(OR(INDEX($B$24:$B$1023,N604)="P14",INDEX($B$24:$B$1023,N604)="P15",INDEX($B$24:$B$1023,N604)="P16"),"N","O"))&amp;IF(MOD(N604,100)&lt;20,1,IF(MOD(N604,100)&lt;70,2,3))</f>
        <v>C2</v>
      </c>
    </row>
    <row r="605" spans="1:15" ht="16.5" thickBot="1">
      <c r="A605" s="662">
        <v>582</v>
      </c>
      <c r="B605" s="661" t="str" cm="1">
        <f t="array" ref="B605">"P"&amp;INDEX(X!$CL$2:$CL$12,'Scratch Sheet'!H604+1)+9</f>
        <v>P16</v>
      </c>
      <c r="C605" s="661">
        <v>1</v>
      </c>
      <c r="D605" s="755">
        <f t="shared" si="36"/>
        <v>5200</v>
      </c>
      <c r="E605" s="682" t="str">
        <f t="shared" si="37"/>
        <v>N3</v>
      </c>
      <c r="F605" s="683">
        <f t="shared" si="38"/>
        <v>4</v>
      </c>
      <c r="H605" s="13">
        <v>47</v>
      </c>
      <c r="I605" s="13">
        <f>VLOOKUP(VLOOKUP(H605,$A$24:$B$1023,2,FALSE),'Scratch Sheet'!$U$23:$X$32,3,FALSE)</f>
        <v>8</v>
      </c>
      <c r="K605" s="13">
        <f t="shared" si="35"/>
        <v>565</v>
      </c>
      <c r="L605" s="13">
        <f>IFERROR(VLOOKUP(VLOOKUP(K605,$A$24:$B$1023,2,FALSE),'Scratch Sheet'!$U$23:$Y$32,5,FALSE)*VLOOKUP(VLOOKUP(K605,$A$24:$E$1023,5,FALSE),'Scratch Sheet'!$L$22:$M$30,2,FALSE),"")</f>
        <v>4680</v>
      </c>
      <c r="N605" s="675">
        <v>234</v>
      </c>
      <c r="O605" s="675" t="str" cm="1">
        <f t="array" ref="O605">IF(OR(INDEX($B$24:$B$1023,N605)="P10",INDEX($B$24:$B$1023,N605)="P11",INDEX($B$24:$B$1023,N605)="P12",INDEX($B$24:$B$1023,N605)="P13"),"C",IF(OR(INDEX($B$24:$B$1023,N605)="P14",INDEX($B$24:$B$1023,N605)="P15",INDEX($B$24:$B$1023,N605)="P16"),"N","O"))&amp;IF(MOD(N605,100)&lt;20,1,IF(MOD(N605,100)&lt;70,2,3))</f>
        <v>C2</v>
      </c>
    </row>
    <row r="606" spans="1:15" ht="16.5" thickBot="1">
      <c r="A606" s="662">
        <v>583</v>
      </c>
      <c r="B606" s="661" t="str" cm="1">
        <f t="array" ref="B606">"P"&amp;INDEX(X!$CL$2:$CL$12,'Scratch Sheet'!H605+1)+9</f>
        <v>P17</v>
      </c>
      <c r="C606" s="661">
        <v>1</v>
      </c>
      <c r="D606" s="755">
        <f t="shared" si="36"/>
        <v>9600</v>
      </c>
      <c r="E606" s="682" t="str">
        <f t="shared" si="37"/>
        <v>O3</v>
      </c>
      <c r="F606" s="683">
        <f t="shared" si="38"/>
        <v>12</v>
      </c>
      <c r="H606" s="13">
        <v>683</v>
      </c>
      <c r="I606" s="13">
        <f>VLOOKUP(VLOOKUP(H606,$A$24:$B$1023,2,FALSE),'Scratch Sheet'!$U$23:$X$32,3,FALSE)</f>
        <v>11</v>
      </c>
      <c r="K606" s="13">
        <f t="shared" si="35"/>
        <v>568</v>
      </c>
      <c r="L606" s="13">
        <f>IFERROR(VLOOKUP(VLOOKUP(K606,$A$24:$B$1023,2,FALSE),'Scratch Sheet'!$U$23:$Y$32,5,FALSE)*VLOOKUP(VLOOKUP(K606,$A$24:$E$1023,5,FALSE),'Scratch Sheet'!$L$22:$M$30,2,FALSE),"")</f>
        <v>4500</v>
      </c>
      <c r="N606" s="675">
        <v>241</v>
      </c>
      <c r="O606" s="675" t="str" cm="1">
        <f t="array" ref="O606">IF(OR(INDEX($B$24:$B$1023,N606)="P10",INDEX($B$24:$B$1023,N606)="P11",INDEX($B$24:$B$1023,N606)="P12",INDEX($B$24:$B$1023,N606)="P13"),"C",IF(OR(INDEX($B$24:$B$1023,N606)="P14",INDEX($B$24:$B$1023,N606)="P15",INDEX($B$24:$B$1023,N606)="P16"),"N","O"))&amp;IF(MOD(N606,100)&lt;20,1,IF(MOD(N606,100)&lt;70,2,3))</f>
        <v>C2</v>
      </c>
    </row>
    <row r="607" spans="1:15" ht="16.5" thickBot="1">
      <c r="A607" s="662">
        <v>584</v>
      </c>
      <c r="B607" s="661" t="str" cm="1">
        <f t="array" ref="B607">"P"&amp;INDEX(X!$CL$2:$CL$12,'Scratch Sheet'!H606+1)+9</f>
        <v>P17</v>
      </c>
      <c r="C607" s="661">
        <v>1</v>
      </c>
      <c r="D607" s="755">
        <f t="shared" si="36"/>
        <v>9600</v>
      </c>
      <c r="E607" s="682" t="str">
        <f t="shared" si="37"/>
        <v>O3</v>
      </c>
      <c r="F607" s="683">
        <f t="shared" si="38"/>
        <v>12</v>
      </c>
      <c r="H607" s="13">
        <v>15</v>
      </c>
      <c r="I607" s="13">
        <f>VLOOKUP(VLOOKUP(H607,$A$24:$B$1023,2,FALSE),'Scratch Sheet'!$U$23:$X$32,3,FALSE)</f>
        <v>5</v>
      </c>
      <c r="K607" s="13">
        <f t="shared" si="35"/>
        <v>563</v>
      </c>
      <c r="L607" s="13">
        <f>IFERROR(VLOOKUP(VLOOKUP(K607,$A$24:$B$1023,2,FALSE),'Scratch Sheet'!$U$23:$Y$32,5,FALSE)*VLOOKUP(VLOOKUP(K607,$A$24:$E$1023,5,FALSE),'Scratch Sheet'!$L$22:$M$30,2,FALSE),"")</f>
        <v>2400</v>
      </c>
      <c r="N607" s="675">
        <v>246</v>
      </c>
      <c r="O607" s="675" t="str" cm="1">
        <f t="array" ref="O607">IF(OR(INDEX($B$24:$B$1023,N607)="P10",INDEX($B$24:$B$1023,N607)="P11",INDEX($B$24:$B$1023,N607)="P12",INDEX($B$24:$B$1023,N607)="P13"),"C",IF(OR(INDEX($B$24:$B$1023,N607)="P14",INDEX($B$24:$B$1023,N607)="P15",INDEX($B$24:$B$1023,N607)="P16"),"N","O"))&amp;IF(MOD(N607,100)&lt;20,1,IF(MOD(N607,100)&lt;70,2,3))</f>
        <v>C2</v>
      </c>
    </row>
    <row r="608" spans="1:15" ht="16.5" thickBot="1">
      <c r="A608" s="662">
        <v>585</v>
      </c>
      <c r="B608" s="661" t="str" cm="1">
        <f t="array" ref="B608">"P"&amp;INDEX(X!$CL$2:$CL$12,'Scratch Sheet'!H607+1)+9</f>
        <v>P13</v>
      </c>
      <c r="C608" s="661">
        <v>1</v>
      </c>
      <c r="D608" s="755">
        <f t="shared" si="36"/>
        <v>3600</v>
      </c>
      <c r="E608" s="682" t="str">
        <f t="shared" si="37"/>
        <v>C3</v>
      </c>
      <c r="F608" s="683">
        <f t="shared" si="38"/>
        <v>5</v>
      </c>
      <c r="H608" s="13">
        <v>528</v>
      </c>
      <c r="I608" s="13">
        <f>VLOOKUP(VLOOKUP(H608,$A$24:$B$1023,2,FALSE),'Scratch Sheet'!$U$23:$X$32,3,FALSE)</f>
        <v>5</v>
      </c>
      <c r="K608" s="13">
        <f t="shared" si="35"/>
        <v>562</v>
      </c>
      <c r="L608" s="13">
        <f>IFERROR(VLOOKUP(VLOOKUP(K608,$A$24:$B$1023,2,FALSE),'Scratch Sheet'!$U$23:$Y$32,5,FALSE)*VLOOKUP(VLOOKUP(K608,$A$24:$E$1023,5,FALSE),'Scratch Sheet'!$L$22:$M$30,2,FALSE),"")</f>
        <v>4500</v>
      </c>
      <c r="N608" s="675">
        <v>247</v>
      </c>
      <c r="O608" s="675" t="str" cm="1">
        <f t="array" ref="O608">IF(OR(INDEX($B$24:$B$1023,N608)="P10",INDEX($B$24:$B$1023,N608)="P11",INDEX($B$24:$B$1023,N608)="P12",INDEX($B$24:$B$1023,N608)="P13"),"C",IF(OR(INDEX($B$24:$B$1023,N608)="P14",INDEX($B$24:$B$1023,N608)="P15",INDEX($B$24:$B$1023,N608)="P16"),"N","O"))&amp;IF(MOD(N608,100)&lt;20,1,IF(MOD(N608,100)&lt;70,2,3))</f>
        <v>C2</v>
      </c>
    </row>
    <row r="609" spans="1:15" ht="16.5" thickBot="1">
      <c r="A609" s="662">
        <v>586</v>
      </c>
      <c r="B609" s="661" t="str" cm="1">
        <f t="array" ref="B609">"P"&amp;INDEX(X!$CL$2:$CL$12,'Scratch Sheet'!H608+1)+9</f>
        <v>P11</v>
      </c>
      <c r="C609" s="661">
        <v>1</v>
      </c>
      <c r="D609" s="755">
        <f t="shared" si="36"/>
        <v>8800</v>
      </c>
      <c r="E609" s="682" t="str">
        <f t="shared" si="37"/>
        <v>C3</v>
      </c>
      <c r="F609" s="683">
        <f t="shared" si="38"/>
        <v>11</v>
      </c>
      <c r="H609" s="13">
        <v>1000</v>
      </c>
      <c r="I609" s="13">
        <f>VLOOKUP(VLOOKUP(H609,$A$24:$B$1023,2,FALSE),'Scratch Sheet'!$U$23:$X$32,3,FALSE)</f>
        <v>6</v>
      </c>
      <c r="K609" s="13">
        <f t="shared" si="35"/>
        <v>575</v>
      </c>
      <c r="L609" s="13">
        <f>IFERROR(VLOOKUP(VLOOKUP(K609,$A$24:$B$1023,2,FALSE),'Scratch Sheet'!$U$23:$Y$32,5,FALSE)*VLOOKUP(VLOOKUP(K609,$A$24:$E$1023,5,FALSE),'Scratch Sheet'!$L$22:$M$30,2,FALSE),"")</f>
        <v>4320</v>
      </c>
      <c r="N609" s="675">
        <v>248</v>
      </c>
      <c r="O609" s="675" t="str" cm="1">
        <f t="array" ref="O609">IF(OR(INDEX($B$24:$B$1023,N609)="P10",INDEX($B$24:$B$1023,N609)="P11",INDEX($B$24:$B$1023,N609)="P12",INDEX($B$24:$B$1023,N609)="P13"),"C",IF(OR(INDEX($B$24:$B$1023,N609)="P14",INDEX($B$24:$B$1023,N609)="P15",INDEX($B$24:$B$1023,N609)="P16"),"N","O"))&amp;IF(MOD(N609,100)&lt;20,1,IF(MOD(N609,100)&lt;70,2,3))</f>
        <v>C2</v>
      </c>
    </row>
    <row r="610" spans="1:15" ht="16.5" thickBot="1">
      <c r="A610" s="662">
        <v>587</v>
      </c>
      <c r="B610" s="661" t="str" cm="1">
        <f t="array" ref="B610">"P"&amp;INDEX(X!$CL$2:$CL$12,'Scratch Sheet'!H609+1)+9</f>
        <v>P11</v>
      </c>
      <c r="C610" s="661">
        <v>1</v>
      </c>
      <c r="D610" s="755">
        <f t="shared" si="36"/>
        <v>8800</v>
      </c>
      <c r="E610" s="682" t="str">
        <f t="shared" si="37"/>
        <v>C3</v>
      </c>
      <c r="F610" s="683">
        <f t="shared" si="38"/>
        <v>11</v>
      </c>
      <c r="H610" s="13">
        <v>902</v>
      </c>
      <c r="I610" s="13">
        <f>VLOOKUP(VLOOKUP(H610,$A$24:$B$1023,2,FALSE),'Scratch Sheet'!$U$23:$X$32,3,FALSE)</f>
        <v>5</v>
      </c>
      <c r="K610" s="13">
        <f t="shared" si="35"/>
        <v>578</v>
      </c>
      <c r="L610" s="13">
        <f>IFERROR(VLOOKUP(VLOOKUP(K610,$A$24:$B$1023,2,FALSE),'Scratch Sheet'!$U$23:$Y$32,5,FALSE)*VLOOKUP(VLOOKUP(K610,$A$24:$E$1023,5,FALSE),'Scratch Sheet'!$L$22:$M$30,2,FALSE),"")</f>
        <v>3600</v>
      </c>
      <c r="N610" s="675">
        <v>251</v>
      </c>
      <c r="O610" s="675" t="str" cm="1">
        <f t="array" ref="O610">IF(OR(INDEX($B$24:$B$1023,N610)="P10",INDEX($B$24:$B$1023,N610)="P11",INDEX($B$24:$B$1023,N610)="P12",INDEX($B$24:$B$1023,N610)="P13"),"C",IF(OR(INDEX($B$24:$B$1023,N610)="P14",INDEX($B$24:$B$1023,N610)="P15",INDEX($B$24:$B$1023,N610)="P16"),"N","O"))&amp;IF(MOD(N610,100)&lt;20,1,IF(MOD(N610,100)&lt;70,2,3))</f>
        <v>C2</v>
      </c>
    </row>
    <row r="611" spans="1:15" ht="16.5" thickBot="1">
      <c r="A611" s="662">
        <v>588</v>
      </c>
      <c r="B611" s="661" t="str" cm="1">
        <f t="array" ref="B611">"P"&amp;INDEX(X!$CL$2:$CL$12,'Scratch Sheet'!H610+1)+9</f>
        <v>P12</v>
      </c>
      <c r="C611" s="661">
        <v>1</v>
      </c>
      <c r="D611" s="755">
        <f t="shared" si="36"/>
        <v>5460</v>
      </c>
      <c r="E611" s="682" t="str">
        <f t="shared" si="37"/>
        <v>C3</v>
      </c>
      <c r="F611" s="683">
        <f t="shared" si="38"/>
        <v>6.5</v>
      </c>
      <c r="H611" s="13">
        <v>604</v>
      </c>
      <c r="I611" s="13">
        <f>VLOOKUP(VLOOKUP(H611,$A$24:$B$1023,2,FALSE),'Scratch Sheet'!$U$23:$X$32,3,FALSE)</f>
        <v>11</v>
      </c>
      <c r="K611" s="13">
        <f t="shared" si="35"/>
        <v>577</v>
      </c>
      <c r="L611" s="13">
        <f>IFERROR(VLOOKUP(VLOOKUP(K611,$A$24:$B$1023,2,FALSE),'Scratch Sheet'!$U$23:$Y$32,5,FALSE)*VLOOKUP(VLOOKUP(K611,$A$24:$E$1023,5,FALSE),'Scratch Sheet'!$L$22:$M$30,2,FALSE),"")</f>
        <v>1920</v>
      </c>
      <c r="N611" s="675">
        <v>258</v>
      </c>
      <c r="O611" s="675" t="str" cm="1">
        <f t="array" ref="O611">IF(OR(INDEX($B$24:$B$1023,N611)="P10",INDEX($B$24:$B$1023,N611)="P11",INDEX($B$24:$B$1023,N611)="P12",INDEX($B$24:$B$1023,N611)="P13"),"C",IF(OR(INDEX($B$24:$B$1023,N611)="P14",INDEX($B$24:$B$1023,N611)="P15",INDEX($B$24:$B$1023,N611)="P16"),"N","O"))&amp;IF(MOD(N611,100)&lt;20,1,IF(MOD(N611,100)&lt;70,2,3))</f>
        <v>C2</v>
      </c>
    </row>
    <row r="612" spans="1:15" ht="16.5" thickBot="1">
      <c r="A612" s="662">
        <v>589</v>
      </c>
      <c r="B612" s="661" t="str" cm="1">
        <f t="array" ref="B612">"P"&amp;INDEX(X!$CL$2:$CL$12,'Scratch Sheet'!H611+1)+9</f>
        <v>P10</v>
      </c>
      <c r="C612" s="661">
        <v>1</v>
      </c>
      <c r="D612" s="755">
        <f t="shared" si="36"/>
        <v>1920</v>
      </c>
      <c r="E612" s="682" t="str">
        <f t="shared" si="37"/>
        <v>C3</v>
      </c>
      <c r="F612" s="683">
        <f t="shared" si="38"/>
        <v>3</v>
      </c>
      <c r="H612" s="13">
        <v>842</v>
      </c>
      <c r="I612" s="13">
        <f>VLOOKUP(VLOOKUP(H612,$A$24:$B$1023,2,FALSE),'Scratch Sheet'!$U$23:$X$32,3,FALSE)</f>
        <v>11</v>
      </c>
      <c r="K612" s="13">
        <f t="shared" si="35"/>
        <v>572</v>
      </c>
      <c r="L612" s="13">
        <f>IFERROR(VLOOKUP(VLOOKUP(K612,$A$24:$B$1023,2,FALSE),'Scratch Sheet'!$U$23:$Y$32,5,FALSE)*VLOOKUP(VLOOKUP(K612,$A$24:$E$1023,5,FALSE),'Scratch Sheet'!$L$22:$M$30,2,FALSE),"")</f>
        <v>1920</v>
      </c>
      <c r="N612" s="675">
        <v>263</v>
      </c>
      <c r="O612" s="675" t="str" cm="1">
        <f t="array" ref="O612">IF(OR(INDEX($B$24:$B$1023,N612)="P10",INDEX($B$24:$B$1023,N612)="P11",INDEX($B$24:$B$1023,N612)="P12",INDEX($B$24:$B$1023,N612)="P13"),"C",IF(OR(INDEX($B$24:$B$1023,N612)="P14",INDEX($B$24:$B$1023,N612)="P15",INDEX($B$24:$B$1023,N612)="P16"),"N","O"))&amp;IF(MOD(N612,100)&lt;20,1,IF(MOD(N612,100)&lt;70,2,3))</f>
        <v>C2</v>
      </c>
    </row>
    <row r="613" spans="1:15" ht="16.5" thickBot="1">
      <c r="A613" s="662">
        <v>590</v>
      </c>
      <c r="B613" s="661" t="str" cm="1">
        <f t="array" ref="B613">"P"&amp;INDEX(X!$CL$2:$CL$12,'Scratch Sheet'!H612+1)+9</f>
        <v>P10</v>
      </c>
      <c r="C613" s="661">
        <v>1</v>
      </c>
      <c r="D613" s="755">
        <f t="shared" si="36"/>
        <v>1920</v>
      </c>
      <c r="E613" s="682" t="str">
        <f t="shared" si="37"/>
        <v>C3</v>
      </c>
      <c r="F613" s="683">
        <f t="shared" si="38"/>
        <v>3</v>
      </c>
      <c r="H613" s="13">
        <v>545</v>
      </c>
      <c r="I613" s="13">
        <f>VLOOKUP(VLOOKUP(H613,$A$24:$B$1023,2,FALSE),'Scratch Sheet'!$U$23:$X$32,3,FALSE)</f>
        <v>5</v>
      </c>
      <c r="K613" s="13">
        <f t="shared" si="35"/>
        <v>574</v>
      </c>
      <c r="L613" s="13">
        <f>IFERROR(VLOOKUP(VLOOKUP(K613,$A$24:$B$1023,2,FALSE),'Scratch Sheet'!$U$23:$Y$32,5,FALSE)*VLOOKUP(VLOOKUP(K613,$A$24:$E$1023,5,FALSE),'Scratch Sheet'!$L$22:$M$30,2,FALSE),"")</f>
        <v>8800</v>
      </c>
      <c r="N613" s="675">
        <v>264</v>
      </c>
      <c r="O613" s="675" t="str" cm="1">
        <f t="array" ref="O613">IF(OR(INDEX($B$24:$B$1023,N613)="P10",INDEX($B$24:$B$1023,N613)="P11",INDEX($B$24:$B$1023,N613)="P12",INDEX($B$24:$B$1023,N613)="P13"),"C",IF(OR(INDEX($B$24:$B$1023,N613)="P14",INDEX($B$24:$B$1023,N613)="P15",INDEX($B$24:$B$1023,N613)="P16"),"N","O"))&amp;IF(MOD(N613,100)&lt;20,1,IF(MOD(N613,100)&lt;70,2,3))</f>
        <v>C2</v>
      </c>
    </row>
    <row r="614" spans="1:15" ht="16.5" thickBot="1">
      <c r="A614" s="662">
        <v>591</v>
      </c>
      <c r="B614" s="661" t="str" cm="1">
        <f t="array" ref="B614">"P"&amp;INDEX(X!$CL$2:$CL$12,'Scratch Sheet'!H613+1)+9</f>
        <v>P11</v>
      </c>
      <c r="C614" s="661">
        <v>1</v>
      </c>
      <c r="D614" s="755">
        <f t="shared" si="36"/>
        <v>8800</v>
      </c>
      <c r="E614" s="682" t="str">
        <f t="shared" si="37"/>
        <v>C3</v>
      </c>
      <c r="F614" s="683">
        <f t="shared" si="38"/>
        <v>11</v>
      </c>
      <c r="H614" s="13">
        <v>290</v>
      </c>
      <c r="I614" s="13">
        <f>VLOOKUP(VLOOKUP(H614,$A$24:$B$1023,2,FALSE),'Scratch Sheet'!$U$23:$X$32,3,FALSE)</f>
        <v>5</v>
      </c>
      <c r="K614" s="13">
        <f t="shared" si="35"/>
        <v>573</v>
      </c>
      <c r="L614" s="13">
        <f>IFERROR(VLOOKUP(VLOOKUP(K614,$A$24:$B$1023,2,FALSE),'Scratch Sheet'!$U$23:$Y$32,5,FALSE)*VLOOKUP(VLOOKUP(K614,$A$24:$E$1023,5,FALSE),'Scratch Sheet'!$L$22:$M$30,2,FALSE),"")</f>
        <v>1920</v>
      </c>
      <c r="N614" s="675">
        <v>265</v>
      </c>
      <c r="O614" s="675" t="str" cm="1">
        <f t="array" ref="O614">IF(OR(INDEX($B$24:$B$1023,N614)="P10",INDEX($B$24:$B$1023,N614)="P11",INDEX($B$24:$B$1023,N614)="P12",INDEX($B$24:$B$1023,N614)="P13"),"C",IF(OR(INDEX($B$24:$B$1023,N614)="P14",INDEX($B$24:$B$1023,N614)="P15",INDEX($B$24:$B$1023,N614)="P16"),"N","O"))&amp;IF(MOD(N614,100)&lt;20,1,IF(MOD(N614,100)&lt;70,2,3))</f>
        <v>C2</v>
      </c>
    </row>
    <row r="615" spans="1:15" ht="16.5" thickBot="1">
      <c r="A615" s="662">
        <v>592</v>
      </c>
      <c r="B615" s="661" t="str" cm="1">
        <f t="array" ref="B615">"P"&amp;INDEX(X!$CL$2:$CL$12,'Scratch Sheet'!H614+1)+9</f>
        <v>P18</v>
      </c>
      <c r="C615" s="661">
        <v>1</v>
      </c>
      <c r="D615" s="755">
        <f t="shared" si="36"/>
        <v>4320</v>
      </c>
      <c r="E615" s="682" t="str">
        <f t="shared" si="37"/>
        <v>O3</v>
      </c>
      <c r="F615" s="683">
        <f t="shared" si="38"/>
        <v>6</v>
      </c>
      <c r="H615" s="13">
        <v>490</v>
      </c>
      <c r="I615" s="13">
        <f>VLOOKUP(VLOOKUP(H615,$A$24:$B$1023,2,FALSE),'Scratch Sheet'!$U$23:$X$32,3,FALSE)</f>
        <v>6</v>
      </c>
      <c r="K615" s="13">
        <f t="shared" si="35"/>
        <v>576</v>
      </c>
      <c r="L615" s="13">
        <f>IFERROR(VLOOKUP(VLOOKUP(K615,$A$24:$B$1023,2,FALSE),'Scratch Sheet'!$U$23:$Y$32,5,FALSE)*VLOOKUP(VLOOKUP(K615,$A$24:$E$1023,5,FALSE),'Scratch Sheet'!$L$22:$M$30,2,FALSE),"")</f>
        <v>7200</v>
      </c>
      <c r="N615" s="675">
        <v>268</v>
      </c>
      <c r="O615" s="675" t="str" cm="1">
        <f t="array" ref="O615">IF(OR(INDEX($B$24:$B$1023,N615)="P10",INDEX($B$24:$B$1023,N615)="P11",INDEX($B$24:$B$1023,N615)="P12",INDEX($B$24:$B$1023,N615)="P13"),"C",IF(OR(INDEX($B$24:$B$1023,N615)="P14",INDEX($B$24:$B$1023,N615)="P15",INDEX($B$24:$B$1023,N615)="P16"),"N","O"))&amp;IF(MOD(N615,100)&lt;20,1,IF(MOD(N615,100)&lt;70,2,3))</f>
        <v>C2</v>
      </c>
    </row>
    <row r="616" spans="1:15" ht="16.5" thickBot="1">
      <c r="A616" s="662">
        <v>593</v>
      </c>
      <c r="B616" s="661" t="str" cm="1">
        <f t="array" ref="B616">"P"&amp;INDEX(X!$CL$2:$CL$12,'Scratch Sheet'!H615+1)+9</f>
        <v>P14</v>
      </c>
      <c r="C616" s="661">
        <v>1</v>
      </c>
      <c r="D616" s="755">
        <f t="shared" si="36"/>
        <v>7200</v>
      </c>
      <c r="E616" s="682" t="str">
        <f t="shared" si="37"/>
        <v>N3</v>
      </c>
      <c r="F616" s="683">
        <f t="shared" si="38"/>
        <v>8</v>
      </c>
      <c r="H616" s="13">
        <v>994</v>
      </c>
      <c r="I616" s="13">
        <f>VLOOKUP(VLOOKUP(H616,$A$24:$B$1023,2,FALSE),'Scratch Sheet'!$U$23:$X$32,3,FALSE)</f>
        <v>11</v>
      </c>
      <c r="K616" s="13">
        <f t="shared" si="35"/>
        <v>571</v>
      </c>
      <c r="L616" s="13">
        <f>IFERROR(VLOOKUP(VLOOKUP(K616,$A$24:$B$1023,2,FALSE),'Scratch Sheet'!$U$23:$Y$32,5,FALSE)*VLOOKUP(VLOOKUP(K616,$A$24:$E$1023,5,FALSE),'Scratch Sheet'!$L$22:$M$30,2,FALSE),"")</f>
        <v>5460</v>
      </c>
      <c r="N616" s="675">
        <v>275</v>
      </c>
      <c r="O616" s="675" t="str" cm="1">
        <f t="array" ref="O616">IF(OR(INDEX($B$24:$B$1023,N616)="P10",INDEX($B$24:$B$1023,N616)="P11",INDEX($B$24:$B$1023,N616)="P12",INDEX($B$24:$B$1023,N616)="P13"),"C",IF(OR(INDEX($B$24:$B$1023,N616)="P14",INDEX($B$24:$B$1023,N616)="P15",INDEX($B$24:$B$1023,N616)="P16"),"N","O"))&amp;IF(MOD(N616,100)&lt;20,1,IF(MOD(N616,100)&lt;70,2,3))</f>
        <v>C3</v>
      </c>
    </row>
    <row r="617" spans="1:15" ht="16.5" thickBot="1">
      <c r="A617" s="662">
        <v>594</v>
      </c>
      <c r="B617" s="661" t="str" cm="1">
        <f t="array" ref="B617">"P"&amp;INDEX(X!$CL$2:$CL$12,'Scratch Sheet'!H616+1)+9</f>
        <v>P10</v>
      </c>
      <c r="C617" s="661">
        <v>1</v>
      </c>
      <c r="D617" s="755">
        <f t="shared" si="36"/>
        <v>3840</v>
      </c>
      <c r="E617" s="682" t="str">
        <f t="shared" si="37"/>
        <v>C3</v>
      </c>
      <c r="F617" s="683">
        <f t="shared" si="38"/>
        <v>3</v>
      </c>
      <c r="H617" s="13">
        <v>916</v>
      </c>
      <c r="I617" s="13">
        <f>VLOOKUP(VLOOKUP(H617,$A$24:$B$1023,2,FALSE),'Scratch Sheet'!$U$23:$X$32,3,FALSE)</f>
        <v>8</v>
      </c>
      <c r="K617" s="13">
        <f t="shared" si="35"/>
        <v>582</v>
      </c>
      <c r="L617" s="13">
        <f>IFERROR(VLOOKUP(VLOOKUP(K617,$A$24:$B$1023,2,FALSE),'Scratch Sheet'!$U$23:$Y$32,5,FALSE)*VLOOKUP(VLOOKUP(K617,$A$24:$E$1023,5,FALSE),'Scratch Sheet'!$L$22:$M$30,2,FALSE),"")</f>
        <v>5200</v>
      </c>
      <c r="N617" s="675">
        <v>280</v>
      </c>
      <c r="O617" s="675" t="str" cm="1">
        <f t="array" ref="O617">IF(OR(INDEX($B$24:$B$1023,N617)="P10",INDEX($B$24:$B$1023,N617)="P11",INDEX($B$24:$B$1023,N617)="P12",INDEX($B$24:$B$1023,N617)="P13"),"C",IF(OR(INDEX($B$24:$B$1023,N617)="P14",INDEX($B$24:$B$1023,N617)="P15",INDEX($B$24:$B$1023,N617)="P16"),"N","O"))&amp;IF(MOD(N617,100)&lt;20,1,IF(MOD(N617,100)&lt;70,2,3))</f>
        <v>C3</v>
      </c>
    </row>
    <row r="618" spans="1:15" ht="16.5" thickBot="1">
      <c r="A618" s="662">
        <v>595</v>
      </c>
      <c r="B618" s="661" t="str" cm="1">
        <f t="array" ref="B618">"P"&amp;INDEX(X!$CL$2:$CL$12,'Scratch Sheet'!H617+1)+9</f>
        <v>P13</v>
      </c>
      <c r="C618" s="661">
        <v>1</v>
      </c>
      <c r="D618" s="755">
        <f t="shared" si="36"/>
        <v>3600</v>
      </c>
      <c r="E618" s="682" t="str">
        <f t="shared" si="37"/>
        <v>C3</v>
      </c>
      <c r="F618" s="683">
        <f t="shared" si="38"/>
        <v>5</v>
      </c>
      <c r="H618" s="13">
        <v>206</v>
      </c>
      <c r="I618" s="13">
        <f>VLOOKUP(VLOOKUP(H618,$A$24:$B$1023,2,FALSE),'Scratch Sheet'!$U$23:$X$32,3,FALSE)</f>
        <v>3</v>
      </c>
      <c r="K618" s="13">
        <f t="shared" si="35"/>
        <v>585</v>
      </c>
      <c r="L618" s="13">
        <f>IFERROR(VLOOKUP(VLOOKUP(K618,$A$24:$B$1023,2,FALSE),'Scratch Sheet'!$U$23:$Y$32,5,FALSE)*VLOOKUP(VLOOKUP(K618,$A$24:$E$1023,5,FALSE),'Scratch Sheet'!$L$22:$M$30,2,FALSE),"")</f>
        <v>3600</v>
      </c>
      <c r="N618" s="675">
        <v>281</v>
      </c>
      <c r="O618" s="675" t="str" cm="1">
        <f t="array" ref="O618">IF(OR(INDEX($B$24:$B$1023,N618)="P10",INDEX($B$24:$B$1023,N618)="P11",INDEX($B$24:$B$1023,N618)="P12",INDEX($B$24:$B$1023,N618)="P13"),"C",IF(OR(INDEX($B$24:$B$1023,N618)="P14",INDEX($B$24:$B$1023,N618)="P15",INDEX($B$24:$B$1023,N618)="P16"),"N","O"))&amp;IF(MOD(N618,100)&lt;20,1,IF(MOD(N618,100)&lt;70,2,3))</f>
        <v>C3</v>
      </c>
    </row>
    <row r="619" spans="1:15" ht="16.5" thickBot="1">
      <c r="A619" s="662">
        <v>596</v>
      </c>
      <c r="B619" s="661" t="str" cm="1">
        <f t="array" ref="B619">"P"&amp;INDEX(X!$CL$2:$CL$12,'Scratch Sheet'!H618+1)+9</f>
        <v>P13</v>
      </c>
      <c r="C619" s="661">
        <v>1</v>
      </c>
      <c r="D619" s="755">
        <f t="shared" si="36"/>
        <v>3600</v>
      </c>
      <c r="E619" s="682" t="str">
        <f t="shared" si="37"/>
        <v>C3</v>
      </c>
      <c r="F619" s="683">
        <f t="shared" si="38"/>
        <v>5</v>
      </c>
      <c r="H619" s="13">
        <v>983</v>
      </c>
      <c r="I619" s="13">
        <f>VLOOKUP(VLOOKUP(H619,$A$24:$B$1023,2,FALSE),'Scratch Sheet'!$U$23:$X$32,3,FALSE)</f>
        <v>6</v>
      </c>
      <c r="K619" s="13">
        <f t="shared" si="35"/>
        <v>584</v>
      </c>
      <c r="L619" s="13">
        <f>IFERROR(VLOOKUP(VLOOKUP(K619,$A$24:$B$1023,2,FALSE),'Scratch Sheet'!$U$23:$Y$32,5,FALSE)*VLOOKUP(VLOOKUP(K619,$A$24:$E$1023,5,FALSE),'Scratch Sheet'!$L$22:$M$30,2,FALSE),"")</f>
        <v>9600</v>
      </c>
      <c r="N619" s="675">
        <v>282</v>
      </c>
      <c r="O619" s="675" t="str" cm="1">
        <f t="array" ref="O619">IF(OR(INDEX($B$24:$B$1023,N619)="P10",INDEX($B$24:$B$1023,N619)="P11",INDEX($B$24:$B$1023,N619)="P12",INDEX($B$24:$B$1023,N619)="P13"),"C",IF(OR(INDEX($B$24:$B$1023,N619)="P14",INDEX($B$24:$B$1023,N619)="P15",INDEX($B$24:$B$1023,N619)="P16"),"N","O"))&amp;IF(MOD(N619,100)&lt;20,1,IF(MOD(N619,100)&lt;70,2,3))</f>
        <v>C3</v>
      </c>
    </row>
    <row r="620" spans="1:15" ht="16.5" thickBot="1">
      <c r="A620" s="662">
        <v>597</v>
      </c>
      <c r="B620" s="661" t="str" cm="1">
        <f t="array" ref="B620">"P"&amp;INDEX(X!$CL$2:$CL$12,'Scratch Sheet'!H619+1)+9</f>
        <v>P10</v>
      </c>
      <c r="C620" s="661">
        <v>1</v>
      </c>
      <c r="D620" s="755">
        <f t="shared" si="36"/>
        <v>1920</v>
      </c>
      <c r="E620" s="682" t="str">
        <f t="shared" si="37"/>
        <v>C3</v>
      </c>
      <c r="F620" s="683">
        <f t="shared" si="38"/>
        <v>3</v>
      </c>
      <c r="H620" s="13">
        <v>551</v>
      </c>
      <c r="I620" s="13">
        <f>VLOOKUP(VLOOKUP(H620,$A$24:$B$1023,2,FALSE),'Scratch Sheet'!$U$23:$X$32,3,FALSE)</f>
        <v>5</v>
      </c>
      <c r="K620" s="13">
        <f t="shared" si="35"/>
        <v>579</v>
      </c>
      <c r="L620" s="13">
        <f>IFERROR(VLOOKUP(VLOOKUP(K620,$A$24:$B$1023,2,FALSE),'Scratch Sheet'!$U$23:$Y$32,5,FALSE)*VLOOKUP(VLOOKUP(K620,$A$24:$E$1023,5,FALSE),'Scratch Sheet'!$L$22:$M$30,2,FALSE),"")</f>
        <v>3600</v>
      </c>
      <c r="N620" s="675">
        <v>285</v>
      </c>
      <c r="O620" s="675" t="str" cm="1">
        <f t="array" ref="O620">IF(OR(INDEX($B$24:$B$1023,N620)="P10",INDEX($B$24:$B$1023,N620)="P11",INDEX($B$24:$B$1023,N620)="P12",INDEX($B$24:$B$1023,N620)="P13"),"C",IF(OR(INDEX($B$24:$B$1023,N620)="P14",INDEX($B$24:$B$1023,N620)="P15",INDEX($B$24:$B$1023,N620)="P16"),"N","O"))&amp;IF(MOD(N620,100)&lt;20,1,IF(MOD(N620,100)&lt;70,2,3))</f>
        <v>C3</v>
      </c>
    </row>
    <row r="621" spans="1:15" ht="16.5" thickBot="1">
      <c r="A621" s="662">
        <v>598</v>
      </c>
      <c r="B621" s="661" t="str" cm="1">
        <f t="array" ref="B621">"P"&amp;INDEX(X!$CL$2:$CL$12,'Scratch Sheet'!H620+1)+9</f>
        <v>P11</v>
      </c>
      <c r="C621" s="661">
        <v>1</v>
      </c>
      <c r="D621" s="755">
        <f t="shared" si="36"/>
        <v>8800</v>
      </c>
      <c r="E621" s="682" t="str">
        <f t="shared" si="37"/>
        <v>C3</v>
      </c>
      <c r="F621" s="683">
        <f t="shared" si="38"/>
        <v>11</v>
      </c>
      <c r="H621" s="13">
        <v>288</v>
      </c>
      <c r="I621" s="13">
        <f>VLOOKUP(VLOOKUP(H621,$A$24:$B$1023,2,FALSE),'Scratch Sheet'!$U$23:$X$32,3,FALSE)</f>
        <v>3</v>
      </c>
      <c r="K621" s="13">
        <f t="shared" si="35"/>
        <v>581</v>
      </c>
      <c r="L621" s="13">
        <f>IFERROR(VLOOKUP(VLOOKUP(K621,$A$24:$B$1023,2,FALSE),'Scratch Sheet'!$U$23:$Y$32,5,FALSE)*VLOOKUP(VLOOKUP(K621,$A$24:$E$1023,5,FALSE),'Scratch Sheet'!$L$22:$M$30,2,FALSE),"")</f>
        <v>8800</v>
      </c>
      <c r="N621" s="675">
        <v>292</v>
      </c>
      <c r="O621" s="675" t="str" cm="1">
        <f t="array" ref="O621">IF(OR(INDEX($B$24:$B$1023,N621)="P10",INDEX($B$24:$B$1023,N621)="P11",INDEX($B$24:$B$1023,N621)="P12",INDEX($B$24:$B$1023,N621)="P13"),"C",IF(OR(INDEX($B$24:$B$1023,N621)="P14",INDEX($B$24:$B$1023,N621)="P15",INDEX($B$24:$B$1023,N621)="P16"),"N","O"))&amp;IF(MOD(N621,100)&lt;20,1,IF(MOD(N621,100)&lt;70,2,3))</f>
        <v>C3</v>
      </c>
    </row>
    <row r="622" spans="1:15" ht="16.5" thickBot="1">
      <c r="A622" s="662">
        <v>599</v>
      </c>
      <c r="B622" s="661" t="str" cm="1">
        <f t="array" ref="B622">"P"&amp;INDEX(X!$CL$2:$CL$12,'Scratch Sheet'!H621+1)+9</f>
        <v>P16</v>
      </c>
      <c r="C622" s="661">
        <v>1</v>
      </c>
      <c r="D622" s="755">
        <f t="shared" si="36"/>
        <v>5200</v>
      </c>
      <c r="E622" s="682" t="str">
        <f t="shared" si="37"/>
        <v>N3</v>
      </c>
      <c r="F622" s="683">
        <f t="shared" si="38"/>
        <v>4</v>
      </c>
      <c r="H622" s="13">
        <v>646</v>
      </c>
      <c r="I622" s="13">
        <f>VLOOKUP(VLOOKUP(H622,$A$24:$B$1023,2,FALSE),'Scratch Sheet'!$U$23:$X$32,3,FALSE)</f>
        <v>5</v>
      </c>
      <c r="K622" s="13">
        <f t="shared" si="35"/>
        <v>580</v>
      </c>
      <c r="L622" s="13">
        <f>IFERROR(VLOOKUP(VLOOKUP(K622,$A$24:$B$1023,2,FALSE),'Scratch Sheet'!$U$23:$Y$32,5,FALSE)*VLOOKUP(VLOOKUP(K622,$A$24:$E$1023,5,FALSE),'Scratch Sheet'!$L$22:$M$30,2,FALSE),"")</f>
        <v>1920</v>
      </c>
      <c r="N622" s="675">
        <v>297</v>
      </c>
      <c r="O622" s="675" t="str" cm="1">
        <f t="array" ref="O622">IF(OR(INDEX($B$24:$B$1023,N622)="P10",INDEX($B$24:$B$1023,N622)="P11",INDEX($B$24:$B$1023,N622)="P12",INDEX($B$24:$B$1023,N622)="P13"),"C",IF(OR(INDEX($B$24:$B$1023,N622)="P14",INDEX($B$24:$B$1023,N622)="P15",INDEX($B$24:$B$1023,N622)="P16"),"N","O"))&amp;IF(MOD(N622,100)&lt;20,1,IF(MOD(N622,100)&lt;70,2,3))</f>
        <v>C3</v>
      </c>
    </row>
    <row r="623" spans="1:15" ht="16.5" thickBot="1">
      <c r="A623" s="662">
        <v>600</v>
      </c>
      <c r="B623" s="661" t="str" cm="1">
        <f t="array" ref="B623">"P"&amp;INDEX(X!$CL$2:$CL$12,'Scratch Sheet'!H622+1)+9</f>
        <v>P17</v>
      </c>
      <c r="C623" s="661">
        <v>1</v>
      </c>
      <c r="D623" s="755">
        <f t="shared" si="36"/>
        <v>10800</v>
      </c>
      <c r="E623" s="682" t="str">
        <f t="shared" si="37"/>
        <v>O1</v>
      </c>
      <c r="F623" s="683">
        <f t="shared" si="38"/>
        <v>12</v>
      </c>
      <c r="H623" s="13">
        <v>267</v>
      </c>
      <c r="I623" s="13">
        <f>VLOOKUP(VLOOKUP(H623,$A$24:$B$1023,2,FALSE),'Scratch Sheet'!$U$23:$X$32,3,FALSE)</f>
        <v>3</v>
      </c>
      <c r="K623" s="13">
        <f t="shared" si="35"/>
        <v>583</v>
      </c>
      <c r="L623" s="13">
        <f>IFERROR(VLOOKUP(VLOOKUP(K623,$A$24:$B$1023,2,FALSE),'Scratch Sheet'!$U$23:$Y$32,5,FALSE)*VLOOKUP(VLOOKUP(K623,$A$24:$E$1023,5,FALSE),'Scratch Sheet'!$L$22:$M$30,2,FALSE),"")</f>
        <v>9600</v>
      </c>
      <c r="N623" s="675">
        <v>298</v>
      </c>
      <c r="O623" s="675" t="str" cm="1">
        <f t="array" ref="O623">IF(OR(INDEX($B$24:$B$1023,N623)="P10",INDEX($B$24:$B$1023,N623)="P11",INDEX($B$24:$B$1023,N623)="P12",INDEX($B$24:$B$1023,N623)="P13"),"C",IF(OR(INDEX($B$24:$B$1023,N623)="P14",INDEX($B$24:$B$1023,N623)="P15",INDEX($B$24:$B$1023,N623)="P16"),"N","O"))&amp;IF(MOD(N623,100)&lt;20,1,IF(MOD(N623,100)&lt;70,2,3))</f>
        <v>C3</v>
      </c>
    </row>
    <row r="624" spans="1:15" ht="16.5" thickBot="1">
      <c r="A624" s="662">
        <v>601</v>
      </c>
      <c r="B624" s="661" t="str" cm="1">
        <f t="array" ref="B624">"P"&amp;INDEX(X!$CL$2:$CL$12,'Scratch Sheet'!H623+1)+9</f>
        <v>P17</v>
      </c>
      <c r="C624" s="661">
        <v>1</v>
      </c>
      <c r="D624" s="755">
        <f t="shared" si="36"/>
        <v>10800</v>
      </c>
      <c r="E624" s="682" t="str">
        <f t="shared" si="37"/>
        <v>O1</v>
      </c>
      <c r="F624" s="683">
        <f t="shared" si="38"/>
        <v>12</v>
      </c>
      <c r="H624" s="13">
        <v>922</v>
      </c>
      <c r="I624" s="13">
        <f>VLOOKUP(VLOOKUP(H624,$A$24:$B$1023,2,FALSE),'Scratch Sheet'!$U$23:$X$32,3,FALSE)</f>
        <v>4</v>
      </c>
      <c r="K624" s="13">
        <f t="shared" si="35"/>
        <v>589</v>
      </c>
      <c r="L624" s="13">
        <f>IFERROR(VLOOKUP(VLOOKUP(K624,$A$24:$B$1023,2,FALSE),'Scratch Sheet'!$U$23:$Y$32,5,FALSE)*VLOOKUP(VLOOKUP(K624,$A$24:$E$1023,5,FALSE),'Scratch Sheet'!$L$22:$M$30,2,FALSE),"")</f>
        <v>1920</v>
      </c>
      <c r="N624" s="675">
        <v>299</v>
      </c>
      <c r="O624" s="675" t="str" cm="1">
        <f t="array" ref="O624">IF(OR(INDEX($B$24:$B$1023,N624)="P10",INDEX($B$24:$B$1023,N624)="P11",INDEX($B$24:$B$1023,N624)="P12",INDEX($B$24:$B$1023,N624)="P13"),"C",IF(OR(INDEX($B$24:$B$1023,N624)="P14",INDEX($B$24:$B$1023,N624)="P15",INDEX($B$24:$B$1023,N624)="P16"),"N","O"))&amp;IF(MOD(N624,100)&lt;20,1,IF(MOD(N624,100)&lt;70,2,3))</f>
        <v>C3</v>
      </c>
    </row>
    <row r="625" spans="1:15" ht="16.5" thickBot="1">
      <c r="A625" s="662">
        <v>602</v>
      </c>
      <c r="B625" s="661" t="str" cm="1">
        <f t="array" ref="B625">"P"&amp;INDEX(X!$CL$2:$CL$12,'Scratch Sheet'!H624+1)+9</f>
        <v>P13</v>
      </c>
      <c r="C625" s="661">
        <v>1</v>
      </c>
      <c r="D625" s="755">
        <f t="shared" si="36"/>
        <v>5400</v>
      </c>
      <c r="E625" s="682" t="str">
        <f t="shared" si="37"/>
        <v>C1</v>
      </c>
      <c r="F625" s="683">
        <f t="shared" si="38"/>
        <v>5</v>
      </c>
      <c r="H625" s="13">
        <v>676</v>
      </c>
      <c r="I625" s="13">
        <f>VLOOKUP(VLOOKUP(H625,$A$24:$B$1023,2,FALSE),'Scratch Sheet'!$U$23:$X$32,3,FALSE)</f>
        <v>11</v>
      </c>
      <c r="K625" s="13">
        <f t="shared" si="35"/>
        <v>591</v>
      </c>
      <c r="L625" s="13">
        <f>IFERROR(VLOOKUP(VLOOKUP(K625,$A$24:$B$1023,2,FALSE),'Scratch Sheet'!$U$23:$Y$32,5,FALSE)*VLOOKUP(VLOOKUP(K625,$A$24:$E$1023,5,FALSE),'Scratch Sheet'!$L$22:$M$30,2,FALSE),"")</f>
        <v>8800</v>
      </c>
      <c r="N625" s="675">
        <v>302</v>
      </c>
      <c r="O625" s="675" t="str" cm="1">
        <f t="array" ref="O625">IF(OR(INDEX($B$24:$B$1023,N625)="P10",INDEX($B$24:$B$1023,N625)="P11",INDEX($B$24:$B$1023,N625)="P12",INDEX($B$24:$B$1023,N625)="P13"),"C",IF(OR(INDEX($B$24:$B$1023,N625)="P14",INDEX($B$24:$B$1023,N625)="P15",INDEX($B$24:$B$1023,N625)="P16"),"N","O"))&amp;IF(MOD(N625,100)&lt;20,1,IF(MOD(N625,100)&lt;70,2,3))</f>
        <v>C1</v>
      </c>
    </row>
    <row r="626" spans="1:15" ht="16.5" thickBot="1">
      <c r="A626" s="662">
        <v>603</v>
      </c>
      <c r="B626" s="661" t="str" cm="1">
        <f t="array" ref="B626">"P"&amp;INDEX(X!$CL$2:$CL$12,'Scratch Sheet'!H625+1)+9</f>
        <v>P11</v>
      </c>
      <c r="C626" s="661">
        <v>1</v>
      </c>
      <c r="D626" s="755">
        <f t="shared" si="36"/>
        <v>13200</v>
      </c>
      <c r="E626" s="682" t="str">
        <f t="shared" si="37"/>
        <v>C1</v>
      </c>
      <c r="F626" s="683">
        <f t="shared" si="38"/>
        <v>11</v>
      </c>
      <c r="H626" s="13">
        <v>786</v>
      </c>
      <c r="I626" s="13">
        <f>VLOOKUP(VLOOKUP(H626,$A$24:$B$1023,2,FALSE),'Scratch Sheet'!$U$23:$X$32,3,FALSE)</f>
        <v>4</v>
      </c>
      <c r="K626" s="13">
        <f t="shared" si="35"/>
        <v>590</v>
      </c>
      <c r="L626" s="13">
        <f>IFERROR(VLOOKUP(VLOOKUP(K626,$A$24:$B$1023,2,FALSE),'Scratch Sheet'!$U$23:$Y$32,5,FALSE)*VLOOKUP(VLOOKUP(K626,$A$24:$E$1023,5,FALSE),'Scratch Sheet'!$L$22:$M$30,2,FALSE),"")</f>
        <v>1920</v>
      </c>
      <c r="N626" s="675">
        <v>309</v>
      </c>
      <c r="O626" s="675" t="str" cm="1">
        <f t="array" ref="O626">IF(OR(INDEX($B$24:$B$1023,N626)="P10",INDEX($B$24:$B$1023,N626)="P11",INDEX($B$24:$B$1023,N626)="P12",INDEX($B$24:$B$1023,N626)="P13"),"C",IF(OR(INDEX($B$24:$B$1023,N626)="P14",INDEX($B$24:$B$1023,N626)="P15",INDEX($B$24:$B$1023,N626)="P16"),"N","O"))&amp;IF(MOD(N626,100)&lt;20,1,IF(MOD(N626,100)&lt;70,2,3))</f>
        <v>C1</v>
      </c>
    </row>
    <row r="627" spans="1:15" ht="16.5" thickBot="1">
      <c r="A627" s="662">
        <v>604</v>
      </c>
      <c r="B627" s="661" t="str" cm="1">
        <f t="array" ref="B627">"P"&amp;INDEX(X!$CL$2:$CL$12,'Scratch Sheet'!H626+1)+9</f>
        <v>P11</v>
      </c>
      <c r="C627" s="661">
        <v>1</v>
      </c>
      <c r="D627" s="755">
        <f t="shared" si="36"/>
        <v>13200</v>
      </c>
      <c r="E627" s="682" t="str">
        <f t="shared" si="37"/>
        <v>C1</v>
      </c>
      <c r="F627" s="683">
        <f t="shared" si="38"/>
        <v>11</v>
      </c>
      <c r="H627" s="13">
        <v>522</v>
      </c>
      <c r="I627" s="13">
        <f>VLOOKUP(VLOOKUP(H627,$A$24:$B$1023,2,FALSE),'Scratch Sheet'!$U$23:$X$32,3,FALSE)</f>
        <v>3</v>
      </c>
      <c r="K627" s="13">
        <f t="shared" si="35"/>
        <v>586</v>
      </c>
      <c r="L627" s="13">
        <f>IFERROR(VLOOKUP(VLOOKUP(K627,$A$24:$B$1023,2,FALSE),'Scratch Sheet'!$U$23:$Y$32,5,FALSE)*VLOOKUP(VLOOKUP(K627,$A$24:$E$1023,5,FALSE),'Scratch Sheet'!$L$22:$M$30,2,FALSE),"")</f>
        <v>8800</v>
      </c>
      <c r="N627" s="675">
        <v>314</v>
      </c>
      <c r="O627" s="675" t="str" cm="1">
        <f t="array" ref="O627">IF(OR(INDEX($B$24:$B$1023,N627)="P10",INDEX($B$24:$B$1023,N627)="P11",INDEX($B$24:$B$1023,N627)="P12",INDEX($B$24:$B$1023,N627)="P13"),"C",IF(OR(INDEX($B$24:$B$1023,N627)="P14",INDEX($B$24:$B$1023,N627)="P15",INDEX($B$24:$B$1023,N627)="P16"),"N","O"))&amp;IF(MOD(N627,100)&lt;20,1,IF(MOD(N627,100)&lt;70,2,3))</f>
        <v>C1</v>
      </c>
    </row>
    <row r="628" spans="1:15" ht="16.5" thickBot="1">
      <c r="A628" s="662">
        <v>605</v>
      </c>
      <c r="B628" s="661" t="str" cm="1">
        <f t="array" ref="B628">"P"&amp;INDEX(X!$CL$2:$CL$12,'Scratch Sheet'!H627+1)+9</f>
        <v>P12</v>
      </c>
      <c r="C628" s="661">
        <v>1</v>
      </c>
      <c r="D628" s="755">
        <f t="shared" si="36"/>
        <v>8190</v>
      </c>
      <c r="E628" s="682" t="str">
        <f t="shared" si="37"/>
        <v>C1</v>
      </c>
      <c r="F628" s="683">
        <f t="shared" si="38"/>
        <v>6.5</v>
      </c>
      <c r="H628" s="13">
        <v>672</v>
      </c>
      <c r="I628" s="13">
        <f>VLOOKUP(VLOOKUP(H628,$A$24:$B$1023,2,FALSE),'Scratch Sheet'!$U$23:$X$32,3,FALSE)</f>
        <v>11</v>
      </c>
      <c r="K628" s="13">
        <f t="shared" si="35"/>
        <v>588</v>
      </c>
      <c r="L628" s="13">
        <f>IFERROR(VLOOKUP(VLOOKUP(K628,$A$24:$B$1023,2,FALSE),'Scratch Sheet'!$U$23:$Y$32,5,FALSE)*VLOOKUP(VLOOKUP(K628,$A$24:$E$1023,5,FALSE),'Scratch Sheet'!$L$22:$M$30,2,FALSE),"")</f>
        <v>5460</v>
      </c>
      <c r="N628" s="675">
        <v>315</v>
      </c>
      <c r="O628" s="675" t="str" cm="1">
        <f t="array" ref="O628">IF(OR(INDEX($B$24:$B$1023,N628)="P10",INDEX($B$24:$B$1023,N628)="P11",INDEX($B$24:$B$1023,N628)="P12",INDEX($B$24:$B$1023,N628)="P13"),"C",IF(OR(INDEX($B$24:$B$1023,N628)="P14",INDEX($B$24:$B$1023,N628)="P15",INDEX($B$24:$B$1023,N628)="P16"),"N","O"))&amp;IF(MOD(N628,100)&lt;20,1,IF(MOD(N628,100)&lt;70,2,3))</f>
        <v>C1</v>
      </c>
    </row>
    <row r="629" spans="1:15" ht="16.5" thickBot="1">
      <c r="A629" s="662">
        <v>606</v>
      </c>
      <c r="B629" s="661" t="str" cm="1">
        <f t="array" ref="B629">"P"&amp;INDEX(X!$CL$2:$CL$12,'Scratch Sheet'!H628+1)+9</f>
        <v>P10</v>
      </c>
      <c r="C629" s="661">
        <v>1</v>
      </c>
      <c r="D629" s="755">
        <f t="shared" si="36"/>
        <v>2880</v>
      </c>
      <c r="E629" s="682" t="str">
        <f t="shared" si="37"/>
        <v>C1</v>
      </c>
      <c r="F629" s="683">
        <f t="shared" si="38"/>
        <v>3</v>
      </c>
      <c r="H629" s="13">
        <v>179</v>
      </c>
      <c r="I629" s="13">
        <f>VLOOKUP(VLOOKUP(H629,$A$24:$B$1023,2,FALSE),'Scratch Sheet'!$U$23:$X$32,3,FALSE)</f>
        <v>11</v>
      </c>
      <c r="K629" s="13">
        <f t="shared" si="35"/>
        <v>587</v>
      </c>
      <c r="L629" s="13">
        <f>IFERROR(VLOOKUP(VLOOKUP(K629,$A$24:$B$1023,2,FALSE),'Scratch Sheet'!$U$23:$Y$32,5,FALSE)*VLOOKUP(VLOOKUP(K629,$A$24:$E$1023,5,FALSE),'Scratch Sheet'!$L$22:$M$30,2,FALSE),"")</f>
        <v>8800</v>
      </c>
      <c r="N629" s="675">
        <v>316</v>
      </c>
      <c r="O629" s="675" t="str" cm="1">
        <f t="array" ref="O629">IF(OR(INDEX($B$24:$B$1023,N629)="P10",INDEX($B$24:$B$1023,N629)="P11",INDEX($B$24:$B$1023,N629)="P12",INDEX($B$24:$B$1023,N629)="P13"),"C",IF(OR(INDEX($B$24:$B$1023,N629)="P14",INDEX($B$24:$B$1023,N629)="P15",INDEX($B$24:$B$1023,N629)="P16"),"N","O"))&amp;IF(MOD(N629,100)&lt;20,1,IF(MOD(N629,100)&lt;70,2,3))</f>
        <v>C1</v>
      </c>
    </row>
    <row r="630" spans="1:15" ht="16.5" thickBot="1">
      <c r="A630" s="662">
        <v>607</v>
      </c>
      <c r="B630" s="661" t="str" cm="1">
        <f t="array" ref="B630">"P"&amp;INDEX(X!$CL$2:$CL$12,'Scratch Sheet'!H629+1)+9</f>
        <v>P10</v>
      </c>
      <c r="C630" s="661">
        <v>1</v>
      </c>
      <c r="D630" s="755">
        <f t="shared" si="36"/>
        <v>2880</v>
      </c>
      <c r="E630" s="682" t="str">
        <f t="shared" si="37"/>
        <v>C1</v>
      </c>
      <c r="F630" s="683">
        <f t="shared" si="38"/>
        <v>3</v>
      </c>
      <c r="H630" s="13">
        <v>550</v>
      </c>
      <c r="I630" s="13">
        <f>VLOOKUP(VLOOKUP(H630,$A$24:$B$1023,2,FALSE),'Scratch Sheet'!$U$23:$X$32,3,FALSE)</f>
        <v>12</v>
      </c>
      <c r="K630" s="13">
        <f t="shared" si="35"/>
        <v>594</v>
      </c>
      <c r="L630" s="13">
        <f>IFERROR(VLOOKUP(VLOOKUP(K630,$A$24:$B$1023,2,FALSE),'Scratch Sheet'!$U$23:$Y$32,5,FALSE)*VLOOKUP(VLOOKUP(K630,$A$24:$E$1023,5,FALSE),'Scratch Sheet'!$L$22:$M$30,2,FALSE),"")</f>
        <v>1920</v>
      </c>
      <c r="N630" s="675">
        <v>319</v>
      </c>
      <c r="O630" s="675" t="str" cm="1">
        <f t="array" ref="O630">IF(OR(INDEX($B$24:$B$1023,N630)="P10",INDEX($B$24:$B$1023,N630)="P11",INDEX($B$24:$B$1023,N630)="P12",INDEX($B$24:$B$1023,N630)="P13"),"C",IF(OR(INDEX($B$24:$B$1023,N630)="P14",INDEX($B$24:$B$1023,N630)="P15",INDEX($B$24:$B$1023,N630)="P16"),"N","O"))&amp;IF(MOD(N630,100)&lt;20,1,IF(MOD(N630,100)&lt;70,2,3))</f>
        <v>C1</v>
      </c>
    </row>
    <row r="631" spans="1:15" ht="16.5" thickBot="1">
      <c r="A631" s="662">
        <v>608</v>
      </c>
      <c r="B631" s="661" t="str" cm="1">
        <f t="array" ref="B631">"P"&amp;INDEX(X!$CL$2:$CL$12,'Scratch Sheet'!H630+1)+9</f>
        <v>P11</v>
      </c>
      <c r="C631" s="661">
        <v>1</v>
      </c>
      <c r="D631" s="755">
        <f t="shared" si="36"/>
        <v>13200</v>
      </c>
      <c r="E631" s="682" t="str">
        <f t="shared" si="37"/>
        <v>C1</v>
      </c>
      <c r="F631" s="683">
        <f t="shared" si="38"/>
        <v>11</v>
      </c>
      <c r="H631" s="13">
        <v>85</v>
      </c>
      <c r="I631" s="13">
        <f>VLOOKUP(VLOOKUP(H631,$A$24:$B$1023,2,FALSE),'Scratch Sheet'!$U$23:$X$32,3,FALSE)</f>
        <v>5</v>
      </c>
      <c r="K631" s="13">
        <f t="shared" si="35"/>
        <v>596</v>
      </c>
      <c r="L631" s="13">
        <f>IFERROR(VLOOKUP(VLOOKUP(K631,$A$24:$B$1023,2,FALSE),'Scratch Sheet'!$U$23:$Y$32,5,FALSE)*VLOOKUP(VLOOKUP(K631,$A$24:$E$1023,5,FALSE),'Scratch Sheet'!$L$22:$M$30,2,FALSE),"")</f>
        <v>3600</v>
      </c>
      <c r="N631" s="675">
        <v>326</v>
      </c>
      <c r="O631" s="675" t="str" cm="1">
        <f t="array" ref="O631">IF(OR(INDEX($B$24:$B$1023,N631)="P10",INDEX($B$24:$B$1023,N631)="P11",INDEX($B$24:$B$1023,N631)="P12",INDEX($B$24:$B$1023,N631)="P13"),"C",IF(OR(INDEX($B$24:$B$1023,N631)="P14",INDEX($B$24:$B$1023,N631)="P15",INDEX($B$24:$B$1023,N631)="P16"),"N","O"))&amp;IF(MOD(N631,100)&lt;20,1,IF(MOD(N631,100)&lt;70,2,3))</f>
        <v>C2</v>
      </c>
    </row>
    <row r="632" spans="1:15" ht="16.5" thickBot="1">
      <c r="A632" s="662">
        <v>609</v>
      </c>
      <c r="B632" s="661" t="str" cm="1">
        <f t="array" ref="B632">"P"&amp;INDEX(X!$CL$2:$CL$12,'Scratch Sheet'!H631+1)+9</f>
        <v>P18</v>
      </c>
      <c r="C632" s="661">
        <v>1</v>
      </c>
      <c r="D632" s="755">
        <f t="shared" si="36"/>
        <v>4860</v>
      </c>
      <c r="E632" s="682" t="str">
        <f t="shared" si="37"/>
        <v>O1</v>
      </c>
      <c r="F632" s="683">
        <f t="shared" si="38"/>
        <v>6</v>
      </c>
      <c r="H632" s="13">
        <v>398</v>
      </c>
      <c r="I632" s="13">
        <f>VLOOKUP(VLOOKUP(H632,$A$24:$B$1023,2,FALSE),'Scratch Sheet'!$U$23:$X$32,3,FALSE)</f>
        <v>5</v>
      </c>
      <c r="K632" s="13">
        <f t="shared" si="35"/>
        <v>595</v>
      </c>
      <c r="L632" s="13">
        <f>IFERROR(VLOOKUP(VLOOKUP(K632,$A$24:$B$1023,2,FALSE),'Scratch Sheet'!$U$23:$Y$32,5,FALSE)*VLOOKUP(VLOOKUP(K632,$A$24:$E$1023,5,FALSE),'Scratch Sheet'!$L$22:$M$30,2,FALSE),"")</f>
        <v>3600</v>
      </c>
      <c r="N632" s="675">
        <v>331</v>
      </c>
      <c r="O632" s="675" t="str" cm="1">
        <f t="array" ref="O632">IF(OR(INDEX($B$24:$B$1023,N632)="P10",INDEX($B$24:$B$1023,N632)="P11",INDEX($B$24:$B$1023,N632)="P12",INDEX($B$24:$B$1023,N632)="P13"),"C",IF(OR(INDEX($B$24:$B$1023,N632)="P14",INDEX($B$24:$B$1023,N632)="P15",INDEX($B$24:$B$1023,N632)="P16"),"N","O"))&amp;IF(MOD(N632,100)&lt;20,1,IF(MOD(N632,100)&lt;70,2,3))</f>
        <v>C2</v>
      </c>
    </row>
    <row r="633" spans="1:15" ht="16.5" thickBot="1">
      <c r="A633" s="662">
        <v>610</v>
      </c>
      <c r="B633" s="661" t="str" cm="1">
        <f t="array" ref="B633">"P"&amp;INDEX(X!$CL$2:$CL$12,'Scratch Sheet'!H632+1)+9</f>
        <v>P14</v>
      </c>
      <c r="C633" s="661">
        <v>1</v>
      </c>
      <c r="D633" s="755">
        <f t="shared" si="36"/>
        <v>10080</v>
      </c>
      <c r="E633" s="682" t="str">
        <f t="shared" si="37"/>
        <v>N1</v>
      </c>
      <c r="F633" s="683">
        <f t="shared" si="38"/>
        <v>8</v>
      </c>
      <c r="H633" s="13">
        <v>412</v>
      </c>
      <c r="I633" s="13">
        <f>VLOOKUP(VLOOKUP(H633,$A$24:$B$1023,2,FALSE),'Scratch Sheet'!$U$23:$X$32,3,FALSE)</f>
        <v>4</v>
      </c>
      <c r="K633" s="13">
        <f t="shared" si="35"/>
        <v>592</v>
      </c>
      <c r="L633" s="13">
        <f>IFERROR(VLOOKUP(VLOOKUP(K633,$A$24:$B$1023,2,FALSE),'Scratch Sheet'!$U$23:$Y$32,5,FALSE)*VLOOKUP(VLOOKUP(K633,$A$24:$E$1023,5,FALSE),'Scratch Sheet'!$L$22:$M$30,2,FALSE),"")</f>
        <v>4320</v>
      </c>
      <c r="N633" s="675">
        <v>332</v>
      </c>
      <c r="O633" s="675" t="str" cm="1">
        <f t="array" ref="O633">IF(OR(INDEX($B$24:$B$1023,N633)="P10",INDEX($B$24:$B$1023,N633)="P11",INDEX($B$24:$B$1023,N633)="P12",INDEX($B$24:$B$1023,N633)="P13"),"C",IF(OR(INDEX($B$24:$B$1023,N633)="P14",INDEX($B$24:$B$1023,N633)="P15",INDEX($B$24:$B$1023,N633)="P16"),"N","O"))&amp;IF(MOD(N633,100)&lt;20,1,IF(MOD(N633,100)&lt;70,2,3))</f>
        <v>C2</v>
      </c>
    </row>
    <row r="634" spans="1:15" ht="16.5" thickBot="1">
      <c r="A634" s="662">
        <v>611</v>
      </c>
      <c r="B634" s="661" t="str" cm="1">
        <f t="array" ref="B634">"P"&amp;INDEX(X!$CL$2:$CL$12,'Scratch Sheet'!H633+1)+9</f>
        <v>P10</v>
      </c>
      <c r="C634" s="661">
        <v>1</v>
      </c>
      <c r="D634" s="755">
        <f t="shared" si="36"/>
        <v>2880</v>
      </c>
      <c r="E634" s="682" t="str">
        <f t="shared" si="37"/>
        <v>C1</v>
      </c>
      <c r="F634" s="683">
        <f t="shared" si="38"/>
        <v>3</v>
      </c>
      <c r="H634" s="13">
        <v>912</v>
      </c>
      <c r="I634" s="13">
        <f>VLOOKUP(VLOOKUP(H634,$A$24:$B$1023,2,FALSE),'Scratch Sheet'!$U$23:$X$32,3,FALSE)</f>
        <v>3</v>
      </c>
      <c r="K634" s="13">
        <f t="shared" si="35"/>
        <v>593</v>
      </c>
      <c r="L634" s="13">
        <f>IFERROR(VLOOKUP(VLOOKUP(K634,$A$24:$B$1023,2,FALSE),'Scratch Sheet'!$U$23:$Y$32,5,FALSE)*VLOOKUP(VLOOKUP(K634,$A$24:$E$1023,5,FALSE),'Scratch Sheet'!$L$22:$M$30,2,FALSE),"")</f>
        <v>7200</v>
      </c>
      <c r="N634" s="675">
        <v>336</v>
      </c>
      <c r="O634" s="675" t="str" cm="1">
        <f t="array" ref="O634">IF(OR(INDEX($B$24:$B$1023,N634)="P10",INDEX($B$24:$B$1023,N634)="P11",INDEX($B$24:$B$1023,N634)="P12",INDEX($B$24:$B$1023,N634)="P13"),"C",IF(OR(INDEX($B$24:$B$1023,N634)="P14",INDEX($B$24:$B$1023,N634)="P15",INDEX($B$24:$B$1023,N634)="P16"),"N","O"))&amp;IF(MOD(N634,100)&lt;20,1,IF(MOD(N634,100)&lt;70,2,3))</f>
        <v>C2</v>
      </c>
    </row>
    <row r="635" spans="1:15" ht="16.5" thickBot="1">
      <c r="A635" s="662">
        <v>612</v>
      </c>
      <c r="B635" s="661" t="str" cm="1">
        <f t="array" ref="B635">"P"&amp;INDEX(X!$CL$2:$CL$12,'Scratch Sheet'!H634+1)+9</f>
        <v>P13</v>
      </c>
      <c r="C635" s="661">
        <v>1</v>
      </c>
      <c r="D635" s="755">
        <f t="shared" si="36"/>
        <v>5400</v>
      </c>
      <c r="E635" s="682" t="str">
        <f t="shared" si="37"/>
        <v>C1</v>
      </c>
      <c r="F635" s="683">
        <f t="shared" si="38"/>
        <v>5</v>
      </c>
      <c r="H635" s="13">
        <v>561</v>
      </c>
      <c r="I635" s="13">
        <f>VLOOKUP(VLOOKUP(H635,$A$24:$B$1023,2,FALSE),'Scratch Sheet'!$U$23:$X$32,3,FALSE)</f>
        <v>5</v>
      </c>
      <c r="K635" s="13">
        <f t="shared" si="35"/>
        <v>598</v>
      </c>
      <c r="L635" s="13">
        <f>IFERROR(VLOOKUP(VLOOKUP(K635,$A$24:$B$1023,2,FALSE),'Scratch Sheet'!$U$23:$Y$32,5,FALSE)*VLOOKUP(VLOOKUP(K635,$A$24:$E$1023,5,FALSE),'Scratch Sheet'!$L$22:$M$30,2,FALSE),"")</f>
        <v>8800</v>
      </c>
      <c r="N635" s="675">
        <v>343</v>
      </c>
      <c r="O635" s="675" t="str" cm="1">
        <f t="array" ref="O635">IF(OR(INDEX($B$24:$B$1023,N635)="P10",INDEX($B$24:$B$1023,N635)="P11",INDEX($B$24:$B$1023,N635)="P12",INDEX($B$24:$B$1023,N635)="P13"),"C",IF(OR(INDEX($B$24:$B$1023,N635)="P14",INDEX($B$24:$B$1023,N635)="P15",INDEX($B$24:$B$1023,N635)="P16"),"N","O"))&amp;IF(MOD(N635,100)&lt;20,1,IF(MOD(N635,100)&lt;70,2,3))</f>
        <v>C2</v>
      </c>
    </row>
    <row r="636" spans="1:15" ht="16.5" thickBot="1">
      <c r="A636" s="662">
        <v>613</v>
      </c>
      <c r="B636" s="661" t="str" cm="1">
        <f t="array" ref="B636">"P"&amp;INDEX(X!$CL$2:$CL$12,'Scratch Sheet'!H635+1)+9</f>
        <v>P13</v>
      </c>
      <c r="C636" s="661">
        <v>1</v>
      </c>
      <c r="D636" s="755">
        <f t="shared" si="36"/>
        <v>5400</v>
      </c>
      <c r="E636" s="682" t="str">
        <f t="shared" si="37"/>
        <v>C1</v>
      </c>
      <c r="F636" s="683">
        <f t="shared" si="38"/>
        <v>5</v>
      </c>
      <c r="H636" s="13">
        <v>226</v>
      </c>
      <c r="I636" s="13">
        <f>VLOOKUP(VLOOKUP(H636,$A$24:$B$1023,2,FALSE),'Scratch Sheet'!$U$23:$X$32,3,FALSE)</f>
        <v>12</v>
      </c>
      <c r="K636" s="13">
        <f t="shared" si="35"/>
        <v>600</v>
      </c>
      <c r="L636" s="13">
        <f>IFERROR(VLOOKUP(VLOOKUP(K636,$A$24:$B$1023,2,FALSE),'Scratch Sheet'!$U$23:$Y$32,5,FALSE)*VLOOKUP(VLOOKUP(K636,$A$24:$E$1023,5,FALSE),'Scratch Sheet'!$L$22:$M$30,2,FALSE),"")</f>
        <v>10800</v>
      </c>
      <c r="N636" s="675">
        <v>348</v>
      </c>
      <c r="O636" s="675" t="str" cm="1">
        <f t="array" ref="O636">IF(OR(INDEX($B$24:$B$1023,N636)="P10",INDEX($B$24:$B$1023,N636)="P11",INDEX($B$24:$B$1023,N636)="P12",INDEX($B$24:$B$1023,N636)="P13"),"C",IF(OR(INDEX($B$24:$B$1023,N636)="P14",INDEX($B$24:$B$1023,N636)="P15",INDEX($B$24:$B$1023,N636)="P16"),"N","O"))&amp;IF(MOD(N636,100)&lt;20,1,IF(MOD(N636,100)&lt;70,2,3))</f>
        <v>C2</v>
      </c>
    </row>
    <row r="637" spans="1:15" ht="16.5" thickBot="1">
      <c r="A637" s="662">
        <v>614</v>
      </c>
      <c r="B637" s="661" t="str" cm="1">
        <f t="array" ref="B637">"P"&amp;INDEX(X!$CL$2:$CL$12,'Scratch Sheet'!H636+1)+9</f>
        <v>P10</v>
      </c>
      <c r="C637" s="661">
        <v>1</v>
      </c>
      <c r="D637" s="755">
        <f t="shared" si="36"/>
        <v>2880</v>
      </c>
      <c r="E637" s="682" t="str">
        <f t="shared" si="37"/>
        <v>C1</v>
      </c>
      <c r="F637" s="683">
        <f t="shared" si="38"/>
        <v>3</v>
      </c>
      <c r="H637" s="13">
        <v>797</v>
      </c>
      <c r="I637" s="13">
        <f>VLOOKUP(VLOOKUP(H637,$A$24:$B$1023,2,FALSE),'Scratch Sheet'!$U$23:$X$32,3,FALSE)</f>
        <v>8</v>
      </c>
      <c r="K637" s="13">
        <f t="shared" si="35"/>
        <v>599</v>
      </c>
      <c r="L637" s="13">
        <f>IFERROR(VLOOKUP(VLOOKUP(K637,$A$24:$B$1023,2,FALSE),'Scratch Sheet'!$U$23:$Y$32,5,FALSE)*VLOOKUP(VLOOKUP(K637,$A$24:$E$1023,5,FALSE),'Scratch Sheet'!$L$22:$M$30,2,FALSE),"")</f>
        <v>5200</v>
      </c>
      <c r="N637" s="675">
        <v>349</v>
      </c>
      <c r="O637" s="675" t="str" cm="1">
        <f t="array" ref="O637">IF(OR(INDEX($B$24:$B$1023,N637)="P10",INDEX($B$24:$B$1023,N637)="P11",INDEX($B$24:$B$1023,N637)="P12",INDEX($B$24:$B$1023,N637)="P13"),"C",IF(OR(INDEX($B$24:$B$1023,N637)="P14",INDEX($B$24:$B$1023,N637)="P15",INDEX($B$24:$B$1023,N637)="P16"),"N","O"))&amp;IF(MOD(N637,100)&lt;20,1,IF(MOD(N637,100)&lt;70,2,3))</f>
        <v>C2</v>
      </c>
    </row>
    <row r="638" spans="1:15" ht="16.5" thickBot="1">
      <c r="A638" s="662">
        <v>615</v>
      </c>
      <c r="B638" s="661" t="str" cm="1">
        <f t="array" ref="B638">"P"&amp;INDEX(X!$CL$2:$CL$12,'Scratch Sheet'!H637+1)+9</f>
        <v>P11</v>
      </c>
      <c r="C638" s="661">
        <v>1</v>
      </c>
      <c r="D638" s="755">
        <f t="shared" si="36"/>
        <v>13200</v>
      </c>
      <c r="E638" s="682" t="str">
        <f t="shared" si="37"/>
        <v>C1</v>
      </c>
      <c r="F638" s="683">
        <f t="shared" si="38"/>
        <v>11</v>
      </c>
      <c r="H638" s="13">
        <v>135</v>
      </c>
      <c r="I638" s="13">
        <f>VLOOKUP(VLOOKUP(H638,$A$24:$B$1023,2,FALSE),'Scratch Sheet'!$U$23:$X$32,3,FALSE)</f>
        <v>3</v>
      </c>
      <c r="K638" s="13">
        <f t="shared" si="35"/>
        <v>597</v>
      </c>
      <c r="L638" s="13">
        <f>IFERROR(VLOOKUP(VLOOKUP(K638,$A$24:$B$1023,2,FALSE),'Scratch Sheet'!$U$23:$Y$32,5,FALSE)*VLOOKUP(VLOOKUP(K638,$A$24:$E$1023,5,FALSE),'Scratch Sheet'!$L$22:$M$30,2,FALSE),"")</f>
        <v>1920</v>
      </c>
      <c r="N638" s="675">
        <v>353</v>
      </c>
      <c r="O638" s="675" t="str" cm="1">
        <f t="array" ref="O638">IF(OR(INDEX($B$24:$B$1023,N638)="P10",INDEX($B$24:$B$1023,N638)="P11",INDEX($B$24:$B$1023,N638)="P12",INDEX($B$24:$B$1023,N638)="P13"),"C",IF(OR(INDEX($B$24:$B$1023,N638)="P14",INDEX($B$24:$B$1023,N638)="P15",INDEX($B$24:$B$1023,N638)="P16"),"N","O"))&amp;IF(MOD(N638,100)&lt;20,1,IF(MOD(N638,100)&lt;70,2,3))</f>
        <v>C2</v>
      </c>
    </row>
    <row r="639" spans="1:15" ht="16.5" thickBot="1">
      <c r="A639" s="662">
        <v>616</v>
      </c>
      <c r="B639" s="661" t="str" cm="1">
        <f t="array" ref="B639">"P"&amp;INDEX(X!$CL$2:$CL$12,'Scratch Sheet'!H638+1)+9</f>
        <v>P16</v>
      </c>
      <c r="C639" s="661">
        <v>1</v>
      </c>
      <c r="D639" s="755">
        <f t="shared" si="36"/>
        <v>7279.9999999999991</v>
      </c>
      <c r="E639" s="682" t="str">
        <f t="shared" si="37"/>
        <v>N1</v>
      </c>
      <c r="F639" s="683">
        <f t="shared" si="38"/>
        <v>4</v>
      </c>
      <c r="H639" s="13">
        <v>77</v>
      </c>
      <c r="I639" s="13">
        <f>VLOOKUP(VLOOKUP(H639,$A$24:$B$1023,2,FALSE),'Scratch Sheet'!$U$23:$X$32,3,FALSE)</f>
        <v>11</v>
      </c>
      <c r="K639" s="13">
        <f t="shared" ref="K639:K702" si="39">K536+100</f>
        <v>538</v>
      </c>
      <c r="L639" s="13">
        <f>IFERROR(VLOOKUP(VLOOKUP(K639,$A$24:$B$1023,2,FALSE),'Scratch Sheet'!$U$23:$Y$32,5,FALSE)*VLOOKUP(VLOOKUP(K639,$A$24:$E$1023,5,FALSE),'Scratch Sheet'!$L$22:$M$30,2,FALSE),"")</f>
        <v>2400</v>
      </c>
      <c r="N639" s="675">
        <v>360</v>
      </c>
      <c r="O639" s="675" t="str" cm="1">
        <f t="array" ref="O639">IF(OR(INDEX($B$24:$B$1023,N639)="P10",INDEX($B$24:$B$1023,N639)="P11",INDEX($B$24:$B$1023,N639)="P12",INDEX($B$24:$B$1023,N639)="P13"),"C",IF(OR(INDEX($B$24:$B$1023,N639)="P14",INDEX($B$24:$B$1023,N639)="P15",INDEX($B$24:$B$1023,N639)="P16"),"N","O"))&amp;IF(MOD(N639,100)&lt;20,1,IF(MOD(N639,100)&lt;70,2,3))</f>
        <v>C2</v>
      </c>
    </row>
    <row r="640" spans="1:15" ht="16.5" thickBot="1">
      <c r="A640" s="662">
        <v>617</v>
      </c>
      <c r="B640" s="661" t="str" cm="1">
        <f t="array" ref="B640">"P"&amp;INDEX(X!$CL$2:$CL$12,'Scratch Sheet'!H639+1)+9</f>
        <v>P17</v>
      </c>
      <c r="C640" s="661">
        <v>1</v>
      </c>
      <c r="D640" s="755">
        <f t="shared" si="36"/>
        <v>10800</v>
      </c>
      <c r="E640" s="682" t="str">
        <f t="shared" si="37"/>
        <v>O1</v>
      </c>
      <c r="F640" s="683">
        <f t="shared" si="38"/>
        <v>12</v>
      </c>
      <c r="H640" s="13">
        <v>614</v>
      </c>
      <c r="I640" s="13">
        <f>VLOOKUP(VLOOKUP(H640,$A$24:$B$1023,2,FALSE),'Scratch Sheet'!$U$23:$X$32,3,FALSE)</f>
        <v>3</v>
      </c>
      <c r="K640" s="13">
        <f t="shared" si="39"/>
        <v>553</v>
      </c>
      <c r="L640" s="13">
        <f>IFERROR(VLOOKUP(VLOOKUP(K640,$A$24:$B$1023,2,FALSE),'Scratch Sheet'!$U$23:$Y$32,5,FALSE)*VLOOKUP(VLOOKUP(K640,$A$24:$E$1023,5,FALSE),'Scratch Sheet'!$L$22:$M$30,2,FALSE),"")</f>
        <v>11000</v>
      </c>
      <c r="N640" s="675">
        <v>365</v>
      </c>
      <c r="O640" s="675" t="str" cm="1">
        <f t="array" ref="O640">IF(OR(INDEX($B$24:$B$1023,N640)="P10",INDEX($B$24:$B$1023,N640)="P11",INDEX($B$24:$B$1023,N640)="P12",INDEX($B$24:$B$1023,N640)="P13"),"C",IF(OR(INDEX($B$24:$B$1023,N640)="P14",INDEX($B$24:$B$1023,N640)="P15",INDEX($B$24:$B$1023,N640)="P16"),"N","O"))&amp;IF(MOD(N640,100)&lt;20,1,IF(MOD(N640,100)&lt;70,2,3))</f>
        <v>C2</v>
      </c>
    </row>
    <row r="641" spans="1:15" ht="16.5" thickBot="1">
      <c r="A641" s="662">
        <v>618</v>
      </c>
      <c r="B641" s="661" t="str" cm="1">
        <f t="array" ref="B641">"P"&amp;INDEX(X!$CL$2:$CL$12,'Scratch Sheet'!H640+1)+9</f>
        <v>P17</v>
      </c>
      <c r="C641" s="661">
        <v>1</v>
      </c>
      <c r="D641" s="755">
        <f t="shared" si="36"/>
        <v>10800</v>
      </c>
      <c r="E641" s="682" t="str">
        <f t="shared" si="37"/>
        <v>O1</v>
      </c>
      <c r="F641" s="683">
        <f t="shared" si="38"/>
        <v>12</v>
      </c>
      <c r="H641" s="13">
        <v>279</v>
      </c>
      <c r="I641" s="13">
        <f>VLOOKUP(VLOOKUP(H641,$A$24:$B$1023,2,FALSE),'Scratch Sheet'!$U$23:$X$32,3,FALSE)</f>
        <v>5</v>
      </c>
      <c r="K641" s="13">
        <f t="shared" si="39"/>
        <v>594</v>
      </c>
      <c r="L641" s="13">
        <f>IFERROR(VLOOKUP(VLOOKUP(K641,$A$24:$B$1023,2,FALSE),'Scratch Sheet'!$U$23:$Y$32,5,FALSE)*VLOOKUP(VLOOKUP(K641,$A$24:$E$1023,5,FALSE),'Scratch Sheet'!$L$22:$M$30,2,FALSE),"")</f>
        <v>1920</v>
      </c>
      <c r="N641" s="675">
        <v>366</v>
      </c>
      <c r="O641" s="675" t="str" cm="1">
        <f t="array" ref="O641">IF(OR(INDEX($B$24:$B$1023,N641)="P10",INDEX($B$24:$B$1023,N641)="P11",INDEX($B$24:$B$1023,N641)="P12",INDEX($B$24:$B$1023,N641)="P13"),"C",IF(OR(INDEX($B$24:$B$1023,N641)="P14",INDEX($B$24:$B$1023,N641)="P15",INDEX($B$24:$B$1023,N641)="P16"),"N","O"))&amp;IF(MOD(N641,100)&lt;20,1,IF(MOD(N641,100)&lt;70,2,3))</f>
        <v>C2</v>
      </c>
    </row>
    <row r="642" spans="1:15" ht="16.5" thickBot="1">
      <c r="A642" s="662">
        <v>619</v>
      </c>
      <c r="B642" s="661" t="str" cm="1">
        <f t="array" ref="B642">"P"&amp;INDEX(X!$CL$2:$CL$12,'Scratch Sheet'!H641+1)+9</f>
        <v>P13</v>
      </c>
      <c r="C642" s="661">
        <v>1</v>
      </c>
      <c r="D642" s="755">
        <f t="shared" si="36"/>
        <v>5400</v>
      </c>
      <c r="E642" s="682" t="str">
        <f t="shared" si="37"/>
        <v>C1</v>
      </c>
      <c r="F642" s="683">
        <f t="shared" si="38"/>
        <v>5</v>
      </c>
      <c r="H642" s="13">
        <v>170</v>
      </c>
      <c r="I642" s="13">
        <f>VLOOKUP(VLOOKUP(H642,$A$24:$B$1023,2,FALSE),'Scratch Sheet'!$U$23:$X$32,3,FALSE)</f>
        <v>5</v>
      </c>
      <c r="K642" s="13">
        <f t="shared" si="39"/>
        <v>610</v>
      </c>
      <c r="L642" s="13">
        <f>IFERROR(VLOOKUP(VLOOKUP(K642,$A$24:$B$1023,2,FALSE),'Scratch Sheet'!$U$23:$Y$32,5,FALSE)*VLOOKUP(VLOOKUP(K642,$A$24:$E$1023,5,FALSE),'Scratch Sheet'!$L$22:$M$30,2,FALSE),"")</f>
        <v>10080</v>
      </c>
      <c r="N642" s="675">
        <v>370</v>
      </c>
      <c r="O642" s="675" t="str" cm="1">
        <f t="array" ref="O642">IF(OR(INDEX($B$24:$B$1023,N642)="P10",INDEX($B$24:$B$1023,N642)="P11",INDEX($B$24:$B$1023,N642)="P12",INDEX($B$24:$B$1023,N642)="P13"),"C",IF(OR(INDEX($B$24:$B$1023,N642)="P14",INDEX($B$24:$B$1023,N642)="P15",INDEX($B$24:$B$1023,N642)="P16"),"N","O"))&amp;IF(MOD(N642,100)&lt;20,1,IF(MOD(N642,100)&lt;70,2,3))</f>
        <v>C3</v>
      </c>
    </row>
    <row r="643" spans="1:15" ht="16.5" thickBot="1">
      <c r="A643" s="662">
        <v>620</v>
      </c>
      <c r="B643" s="661" t="str" cm="1">
        <f t="array" ref="B643">"P"&amp;INDEX(X!$CL$2:$CL$12,'Scratch Sheet'!H642+1)+9</f>
        <v>P11</v>
      </c>
      <c r="C643" s="661">
        <v>1</v>
      </c>
      <c r="D643" s="755">
        <f t="shared" si="36"/>
        <v>11000</v>
      </c>
      <c r="E643" s="682" t="str">
        <f t="shared" si="37"/>
        <v>C2</v>
      </c>
      <c r="F643" s="683">
        <f t="shared" si="38"/>
        <v>11</v>
      </c>
      <c r="H643" s="13">
        <v>365</v>
      </c>
      <c r="I643" s="13">
        <f>VLOOKUP(VLOOKUP(H643,$A$24:$B$1023,2,FALSE),'Scratch Sheet'!$U$23:$X$32,3,FALSE)</f>
        <v>11</v>
      </c>
      <c r="K643" s="13">
        <f t="shared" si="39"/>
        <v>613</v>
      </c>
      <c r="L643" s="13">
        <f>IFERROR(VLOOKUP(VLOOKUP(K643,$A$24:$B$1023,2,FALSE),'Scratch Sheet'!$U$23:$Y$32,5,FALSE)*VLOOKUP(VLOOKUP(K643,$A$24:$E$1023,5,FALSE),'Scratch Sheet'!$L$22:$M$30,2,FALSE),"")</f>
        <v>5400</v>
      </c>
      <c r="N643" s="675">
        <v>377</v>
      </c>
      <c r="O643" s="675" t="str" cm="1">
        <f t="array" ref="O643">IF(OR(INDEX($B$24:$B$1023,N643)="P10",INDEX($B$24:$B$1023,N643)="P11",INDEX($B$24:$B$1023,N643)="P12",INDEX($B$24:$B$1023,N643)="P13"),"C",IF(OR(INDEX($B$24:$B$1023,N643)="P14",INDEX($B$24:$B$1023,N643)="P15",INDEX($B$24:$B$1023,N643)="P16"),"N","O"))&amp;IF(MOD(N643,100)&lt;20,1,IF(MOD(N643,100)&lt;70,2,3))</f>
        <v>C3</v>
      </c>
    </row>
    <row r="644" spans="1:15" ht="16.5" thickBot="1">
      <c r="A644" s="662">
        <v>621</v>
      </c>
      <c r="B644" s="661" t="str" cm="1">
        <f t="array" ref="B644">"P"&amp;INDEX(X!$CL$2:$CL$12,'Scratch Sheet'!H643+1)+9</f>
        <v>P11</v>
      </c>
      <c r="C644" s="661">
        <v>1</v>
      </c>
      <c r="D644" s="755">
        <f t="shared" si="36"/>
        <v>11000</v>
      </c>
      <c r="E644" s="682" t="str">
        <f t="shared" si="37"/>
        <v>C2</v>
      </c>
      <c r="F644" s="683">
        <f t="shared" si="38"/>
        <v>11</v>
      </c>
      <c r="H644" s="13">
        <v>1</v>
      </c>
      <c r="I644" s="13">
        <f>VLOOKUP(VLOOKUP(H644,$A$24:$B$1023,2,FALSE),'Scratch Sheet'!$U$23:$X$32,3,FALSE)</f>
        <v>3</v>
      </c>
      <c r="K644" s="13">
        <f t="shared" si="39"/>
        <v>612</v>
      </c>
      <c r="L644" s="13">
        <f>IFERROR(VLOOKUP(VLOOKUP(K644,$A$24:$B$1023,2,FALSE),'Scratch Sheet'!$U$23:$Y$32,5,FALSE)*VLOOKUP(VLOOKUP(K644,$A$24:$E$1023,5,FALSE),'Scratch Sheet'!$L$22:$M$30,2,FALSE),"")</f>
        <v>5400</v>
      </c>
      <c r="N644" s="675">
        <v>382</v>
      </c>
      <c r="O644" s="675" t="str" cm="1">
        <f t="array" ref="O644">IF(OR(INDEX($B$24:$B$1023,N644)="P10",INDEX($B$24:$B$1023,N644)="P11",INDEX($B$24:$B$1023,N644)="P12",INDEX($B$24:$B$1023,N644)="P13"),"C",IF(OR(INDEX($B$24:$B$1023,N644)="P14",INDEX($B$24:$B$1023,N644)="P15",INDEX($B$24:$B$1023,N644)="P16"),"N","O"))&amp;IF(MOD(N644,100)&lt;20,1,IF(MOD(N644,100)&lt;70,2,3))</f>
        <v>C3</v>
      </c>
    </row>
    <row r="645" spans="1:15" ht="16.5" thickBot="1">
      <c r="A645" s="662">
        <v>622</v>
      </c>
      <c r="B645" s="661" t="str" cm="1">
        <f t="array" ref="B645">"P"&amp;INDEX(X!$CL$2:$CL$12,'Scratch Sheet'!H644+1)+9</f>
        <v>P12</v>
      </c>
      <c r="C645" s="661">
        <v>1</v>
      </c>
      <c r="D645" s="755">
        <f t="shared" si="36"/>
        <v>6825</v>
      </c>
      <c r="E645" s="682" t="str">
        <f t="shared" si="37"/>
        <v>C2</v>
      </c>
      <c r="F645" s="683">
        <f t="shared" si="38"/>
        <v>6.5</v>
      </c>
      <c r="H645" s="13">
        <v>273</v>
      </c>
      <c r="I645" s="13">
        <f>VLOOKUP(VLOOKUP(H645,$A$24:$B$1023,2,FALSE),'Scratch Sheet'!$U$23:$X$32,3,FALSE)</f>
        <v>5</v>
      </c>
      <c r="K645" s="13">
        <f t="shared" si="39"/>
        <v>606</v>
      </c>
      <c r="L645" s="13">
        <f>IFERROR(VLOOKUP(VLOOKUP(K645,$A$24:$B$1023,2,FALSE),'Scratch Sheet'!$U$23:$Y$32,5,FALSE)*VLOOKUP(VLOOKUP(K645,$A$24:$E$1023,5,FALSE),'Scratch Sheet'!$L$22:$M$30,2,FALSE),"")</f>
        <v>2880</v>
      </c>
      <c r="N645" s="675">
        <v>383</v>
      </c>
      <c r="O645" s="675" t="str" cm="1">
        <f t="array" ref="O645">IF(OR(INDEX($B$24:$B$1023,N645)="P10",INDEX($B$24:$B$1023,N645)="P11",INDEX($B$24:$B$1023,N645)="P12",INDEX($B$24:$B$1023,N645)="P13"),"C",IF(OR(INDEX($B$24:$B$1023,N645)="P14",INDEX($B$24:$B$1023,N645)="P15",INDEX($B$24:$B$1023,N645)="P16"),"N","O"))&amp;IF(MOD(N645,100)&lt;20,1,IF(MOD(N645,100)&lt;70,2,3))</f>
        <v>C3</v>
      </c>
    </row>
    <row r="646" spans="1:15" ht="16.5" thickBot="1">
      <c r="A646" s="662">
        <v>623</v>
      </c>
      <c r="B646" s="661" t="str" cm="1">
        <f t="array" ref="B646">"P"&amp;INDEX(X!$CL$2:$CL$12,'Scratch Sheet'!H645+1)+9</f>
        <v>P10</v>
      </c>
      <c r="C646" s="661">
        <v>1</v>
      </c>
      <c r="D646" s="755">
        <f t="shared" si="36"/>
        <v>2400</v>
      </c>
      <c r="E646" s="682" t="str">
        <f t="shared" si="37"/>
        <v>C2</v>
      </c>
      <c r="F646" s="683">
        <f t="shared" si="38"/>
        <v>3</v>
      </c>
      <c r="H646" s="13">
        <v>339</v>
      </c>
      <c r="I646" s="13">
        <f>VLOOKUP(VLOOKUP(H646,$A$24:$B$1023,2,FALSE),'Scratch Sheet'!$U$23:$X$32,3,FALSE)</f>
        <v>3</v>
      </c>
      <c r="K646" s="13">
        <f t="shared" si="39"/>
        <v>609</v>
      </c>
      <c r="L646" s="13">
        <f>IFERROR(VLOOKUP(VLOOKUP(K646,$A$24:$B$1023,2,FALSE),'Scratch Sheet'!$U$23:$Y$32,5,FALSE)*VLOOKUP(VLOOKUP(K646,$A$24:$E$1023,5,FALSE),'Scratch Sheet'!$L$22:$M$30,2,FALSE),"")</f>
        <v>4860</v>
      </c>
      <c r="N646" s="675">
        <v>387</v>
      </c>
      <c r="O646" s="675" t="str" cm="1">
        <f t="array" ref="O646">IF(OR(INDEX($B$24:$B$1023,N646)="P10",INDEX($B$24:$B$1023,N646)="P11",INDEX($B$24:$B$1023,N646)="P12",INDEX($B$24:$B$1023,N646)="P13"),"C",IF(OR(INDEX($B$24:$B$1023,N646)="P14",INDEX($B$24:$B$1023,N646)="P15",INDEX($B$24:$B$1023,N646)="P16"),"N","O"))&amp;IF(MOD(N646,100)&lt;20,1,IF(MOD(N646,100)&lt;70,2,3))</f>
        <v>C3</v>
      </c>
    </row>
    <row r="647" spans="1:15" ht="16.5" thickBot="1">
      <c r="A647" s="662">
        <v>624</v>
      </c>
      <c r="B647" s="661" t="str" cm="1">
        <f t="array" ref="B647">"P"&amp;INDEX(X!$CL$2:$CL$12,'Scratch Sheet'!H646+1)+9</f>
        <v>P10</v>
      </c>
      <c r="C647" s="661">
        <v>1</v>
      </c>
      <c r="D647" s="755">
        <f t="shared" si="36"/>
        <v>2400</v>
      </c>
      <c r="E647" s="682" t="str">
        <f t="shared" si="37"/>
        <v>C2</v>
      </c>
      <c r="F647" s="683">
        <f t="shared" si="38"/>
        <v>3</v>
      </c>
      <c r="H647" s="13">
        <v>129</v>
      </c>
      <c r="I647" s="13">
        <f>VLOOKUP(VLOOKUP(H647,$A$24:$B$1023,2,FALSE),'Scratch Sheet'!$U$23:$X$32,3,FALSE)</f>
        <v>6.5</v>
      </c>
      <c r="K647" s="13">
        <f t="shared" si="39"/>
        <v>608</v>
      </c>
      <c r="L647" s="13">
        <f>IFERROR(VLOOKUP(VLOOKUP(K647,$A$24:$B$1023,2,FALSE),'Scratch Sheet'!$U$23:$Y$32,5,FALSE)*VLOOKUP(VLOOKUP(K647,$A$24:$E$1023,5,FALSE),'Scratch Sheet'!$L$22:$M$30,2,FALSE),"")</f>
        <v>13200</v>
      </c>
      <c r="N647" s="675">
        <v>394</v>
      </c>
      <c r="O647" s="675" t="str" cm="1">
        <f t="array" ref="O647">IF(OR(INDEX($B$24:$B$1023,N647)="P10",INDEX($B$24:$B$1023,N647)="P11",INDEX($B$24:$B$1023,N647)="P12",INDEX($B$24:$B$1023,N647)="P13"),"C",IF(OR(INDEX($B$24:$B$1023,N647)="P14",INDEX($B$24:$B$1023,N647)="P15",INDEX($B$24:$B$1023,N647)="P16"),"N","O"))&amp;IF(MOD(N647,100)&lt;20,1,IF(MOD(N647,100)&lt;70,2,3))</f>
        <v>C3</v>
      </c>
    </row>
    <row r="648" spans="1:15" ht="16.5" thickBot="1">
      <c r="A648" s="662">
        <v>625</v>
      </c>
      <c r="B648" s="661" t="str" cm="1">
        <f t="array" ref="B648">"P"&amp;INDEX(X!$CL$2:$CL$12,'Scratch Sheet'!H647+1)+9</f>
        <v>P11</v>
      </c>
      <c r="C648" s="661">
        <v>1</v>
      </c>
      <c r="D648" s="755">
        <f t="shared" si="36"/>
        <v>11000</v>
      </c>
      <c r="E648" s="682" t="str">
        <f t="shared" si="37"/>
        <v>C2</v>
      </c>
      <c r="F648" s="683">
        <f t="shared" si="38"/>
        <v>11</v>
      </c>
      <c r="H648" s="13">
        <v>642</v>
      </c>
      <c r="I648" s="13">
        <f>VLOOKUP(VLOOKUP(H648,$A$24:$B$1023,2,FALSE),'Scratch Sheet'!$U$23:$X$32,3,FALSE)</f>
        <v>11</v>
      </c>
      <c r="K648" s="13">
        <f t="shared" si="39"/>
        <v>611</v>
      </c>
      <c r="L648" s="13">
        <f>IFERROR(VLOOKUP(VLOOKUP(K648,$A$24:$B$1023,2,FALSE),'Scratch Sheet'!$U$23:$Y$32,5,FALSE)*VLOOKUP(VLOOKUP(K648,$A$24:$E$1023,5,FALSE),'Scratch Sheet'!$L$22:$M$30,2,FALSE),"")</f>
        <v>2880</v>
      </c>
      <c r="N648" s="675">
        <v>399</v>
      </c>
      <c r="O648" s="675" t="str" cm="1">
        <f t="array" ref="O648">IF(OR(INDEX($B$24:$B$1023,N648)="P10",INDEX($B$24:$B$1023,N648)="P11",INDEX($B$24:$B$1023,N648)="P12",INDEX($B$24:$B$1023,N648)="P13"),"C",IF(OR(INDEX($B$24:$B$1023,N648)="P14",INDEX($B$24:$B$1023,N648)="P15",INDEX($B$24:$B$1023,N648)="P16"),"N","O"))&amp;IF(MOD(N648,100)&lt;20,1,IF(MOD(N648,100)&lt;70,2,3))</f>
        <v>C3</v>
      </c>
    </row>
    <row r="649" spans="1:15" ht="16.5" thickBot="1">
      <c r="A649" s="662">
        <v>626</v>
      </c>
      <c r="B649" s="661" t="str" cm="1">
        <f t="array" ref="B649">"P"&amp;INDEX(X!$CL$2:$CL$12,'Scratch Sheet'!H648+1)+9</f>
        <v>P18</v>
      </c>
      <c r="C649" s="661">
        <v>1</v>
      </c>
      <c r="D649" s="755">
        <f t="shared" si="36"/>
        <v>5940.0000000000009</v>
      </c>
      <c r="E649" s="682" t="str">
        <f t="shared" si="37"/>
        <v>O2</v>
      </c>
      <c r="F649" s="683">
        <f t="shared" si="38"/>
        <v>6</v>
      </c>
      <c r="H649" s="13">
        <v>673</v>
      </c>
      <c r="I649" s="13">
        <f>VLOOKUP(VLOOKUP(H649,$A$24:$B$1023,2,FALSE),'Scratch Sheet'!$U$23:$X$32,3,FALSE)</f>
        <v>6.5</v>
      </c>
      <c r="K649" s="13">
        <f t="shared" si="39"/>
        <v>605</v>
      </c>
      <c r="L649" s="13">
        <f>IFERROR(VLOOKUP(VLOOKUP(K649,$A$24:$B$1023,2,FALSE),'Scratch Sheet'!$U$23:$Y$32,5,FALSE)*VLOOKUP(VLOOKUP(K649,$A$24:$E$1023,5,FALSE),'Scratch Sheet'!$L$22:$M$30,2,FALSE),"")</f>
        <v>8190</v>
      </c>
      <c r="N649" s="675">
        <v>400</v>
      </c>
      <c r="O649" s="675" t="str" cm="1">
        <f t="array" ref="O649">IF(OR(INDEX($B$24:$B$1023,N649)="P10",INDEX($B$24:$B$1023,N649)="P11",INDEX($B$24:$B$1023,N649)="P12",INDEX($B$24:$B$1023,N649)="P13"),"C",IF(OR(INDEX($B$24:$B$1023,N649)="P14",INDEX($B$24:$B$1023,N649)="P15",INDEX($B$24:$B$1023,N649)="P16"),"N","O"))&amp;IF(MOD(N649,100)&lt;20,1,IF(MOD(N649,100)&lt;70,2,3))</f>
        <v>C1</v>
      </c>
    </row>
    <row r="650" spans="1:15" ht="16.5" thickBot="1">
      <c r="A650" s="662">
        <v>627</v>
      </c>
      <c r="B650" s="661" t="str" cm="1">
        <f t="array" ref="B650">"P"&amp;INDEX(X!$CL$2:$CL$12,'Scratch Sheet'!H649+1)+9</f>
        <v>P14</v>
      </c>
      <c r="C650" s="661">
        <v>1</v>
      </c>
      <c r="D650" s="755">
        <f t="shared" si="36"/>
        <v>6480</v>
      </c>
      <c r="E650" s="682" t="str">
        <f t="shared" si="37"/>
        <v>N2</v>
      </c>
      <c r="F650" s="683">
        <f t="shared" si="38"/>
        <v>8</v>
      </c>
      <c r="H650" s="13">
        <v>612</v>
      </c>
      <c r="I650" s="13">
        <f>VLOOKUP(VLOOKUP(H650,$A$24:$B$1023,2,FALSE),'Scratch Sheet'!$U$23:$X$32,3,FALSE)</f>
        <v>5</v>
      </c>
      <c r="K650" s="13">
        <f t="shared" si="39"/>
        <v>603</v>
      </c>
      <c r="L650" s="13">
        <f>IFERROR(VLOOKUP(VLOOKUP(K650,$A$24:$B$1023,2,FALSE),'Scratch Sheet'!$U$23:$Y$32,5,FALSE)*VLOOKUP(VLOOKUP(K650,$A$24:$E$1023,5,FALSE),'Scratch Sheet'!$L$22:$M$30,2,FALSE),"")</f>
        <v>13200</v>
      </c>
      <c r="N650" s="675">
        <v>404</v>
      </c>
      <c r="O650" s="675" t="str" cm="1">
        <f t="array" ref="O650">IF(OR(INDEX($B$24:$B$1023,N650)="P10",INDEX($B$24:$B$1023,N650)="P11",INDEX($B$24:$B$1023,N650)="P12",INDEX($B$24:$B$1023,N650)="P13"),"C",IF(OR(INDEX($B$24:$B$1023,N650)="P14",INDEX($B$24:$B$1023,N650)="P15",INDEX($B$24:$B$1023,N650)="P16"),"N","O"))&amp;IF(MOD(N650,100)&lt;20,1,IF(MOD(N650,100)&lt;70,2,3))</f>
        <v>C1</v>
      </c>
    </row>
    <row r="651" spans="1:15" ht="16.5" thickBot="1">
      <c r="A651" s="662">
        <v>628</v>
      </c>
      <c r="B651" s="661" t="str" cm="1">
        <f t="array" ref="B651">"P"&amp;INDEX(X!$CL$2:$CL$12,'Scratch Sheet'!H650+1)+9</f>
        <v>P10</v>
      </c>
      <c r="C651" s="661">
        <v>1</v>
      </c>
      <c r="D651" s="755">
        <f t="shared" si="36"/>
        <v>2400</v>
      </c>
      <c r="E651" s="682" t="str">
        <f t="shared" si="37"/>
        <v>C2</v>
      </c>
      <c r="F651" s="683">
        <f t="shared" si="38"/>
        <v>3</v>
      </c>
      <c r="H651" s="13">
        <v>50</v>
      </c>
      <c r="I651" s="13">
        <f>VLOOKUP(VLOOKUP(H651,$A$24:$B$1023,2,FALSE),'Scratch Sheet'!$U$23:$X$32,3,FALSE)</f>
        <v>5</v>
      </c>
      <c r="K651" s="13">
        <f t="shared" si="39"/>
        <v>604</v>
      </c>
      <c r="L651" s="13">
        <f>IFERROR(VLOOKUP(VLOOKUP(K651,$A$24:$B$1023,2,FALSE),'Scratch Sheet'!$U$23:$Y$32,5,FALSE)*VLOOKUP(VLOOKUP(K651,$A$24:$E$1023,5,FALSE),'Scratch Sheet'!$L$22:$M$30,2,FALSE),"")</f>
        <v>13200</v>
      </c>
      <c r="N651" s="675">
        <v>411</v>
      </c>
      <c r="O651" s="675" t="str" cm="1">
        <f t="array" ref="O651">IF(OR(INDEX($B$24:$B$1023,N651)="P10",INDEX($B$24:$B$1023,N651)="P11",INDEX($B$24:$B$1023,N651)="P12",INDEX($B$24:$B$1023,N651)="P13"),"C",IF(OR(INDEX($B$24:$B$1023,N651)="P14",INDEX($B$24:$B$1023,N651)="P15",INDEX($B$24:$B$1023,N651)="P16"),"N","O"))&amp;IF(MOD(N651,100)&lt;20,1,IF(MOD(N651,100)&lt;70,2,3))</f>
        <v>C1</v>
      </c>
    </row>
    <row r="652" spans="1:15" ht="16.5" thickBot="1">
      <c r="A652" s="662">
        <v>629</v>
      </c>
      <c r="B652" s="661" t="str" cm="1">
        <f t="array" ref="B652">"P"&amp;INDEX(X!$CL$2:$CL$12,'Scratch Sheet'!H651+1)+9</f>
        <v>P13</v>
      </c>
      <c r="C652" s="661">
        <v>1</v>
      </c>
      <c r="D652" s="755">
        <f t="shared" si="36"/>
        <v>4500</v>
      </c>
      <c r="E652" s="682" t="str">
        <f t="shared" si="37"/>
        <v>C2</v>
      </c>
      <c r="F652" s="683">
        <f t="shared" si="38"/>
        <v>5</v>
      </c>
      <c r="H652" s="13">
        <v>877</v>
      </c>
      <c r="I652" s="13">
        <f>VLOOKUP(VLOOKUP(H652,$A$24:$B$1023,2,FALSE),'Scratch Sheet'!$U$23:$X$32,3,FALSE)</f>
        <v>6.5</v>
      </c>
      <c r="K652" s="13">
        <f t="shared" si="39"/>
        <v>602</v>
      </c>
      <c r="L652" s="13">
        <f>IFERROR(VLOOKUP(VLOOKUP(K652,$A$24:$B$1023,2,FALSE),'Scratch Sheet'!$U$23:$Y$32,5,FALSE)*VLOOKUP(VLOOKUP(K652,$A$24:$E$1023,5,FALSE),'Scratch Sheet'!$L$22:$M$30,2,FALSE),"")</f>
        <v>5400</v>
      </c>
      <c r="N652" s="675">
        <v>416</v>
      </c>
      <c r="O652" s="675" t="str" cm="1">
        <f t="array" ref="O652">IF(OR(INDEX($B$24:$B$1023,N652)="P10",INDEX($B$24:$B$1023,N652)="P11",INDEX($B$24:$B$1023,N652)="P12",INDEX($B$24:$B$1023,N652)="P13"),"C",IF(OR(INDEX($B$24:$B$1023,N652)="P14",INDEX($B$24:$B$1023,N652)="P15",INDEX($B$24:$B$1023,N652)="P16"),"N","O"))&amp;IF(MOD(N652,100)&lt;20,1,IF(MOD(N652,100)&lt;70,2,3))</f>
        <v>C1</v>
      </c>
    </row>
    <row r="653" spans="1:15" ht="16.5" thickBot="1">
      <c r="A653" s="662">
        <v>630</v>
      </c>
      <c r="B653" s="661" t="str" cm="1">
        <f t="array" ref="B653">"P"&amp;INDEX(X!$CL$2:$CL$12,'Scratch Sheet'!H652+1)+9</f>
        <v>P13</v>
      </c>
      <c r="C653" s="661">
        <v>1</v>
      </c>
      <c r="D653" s="755">
        <f t="shared" si="36"/>
        <v>4500</v>
      </c>
      <c r="E653" s="682" t="str">
        <f t="shared" si="37"/>
        <v>C2</v>
      </c>
      <c r="F653" s="683">
        <f t="shared" si="38"/>
        <v>5</v>
      </c>
      <c r="H653" s="13">
        <v>254</v>
      </c>
      <c r="I653" s="13">
        <f>VLOOKUP(VLOOKUP(H653,$A$24:$B$1023,2,FALSE),'Scratch Sheet'!$U$23:$X$32,3,FALSE)</f>
        <v>3</v>
      </c>
      <c r="K653" s="13">
        <f t="shared" si="39"/>
        <v>601</v>
      </c>
      <c r="L653" s="13">
        <f>IFERROR(VLOOKUP(VLOOKUP(K653,$A$24:$B$1023,2,FALSE),'Scratch Sheet'!$U$23:$Y$32,5,FALSE)*VLOOKUP(VLOOKUP(K653,$A$24:$E$1023,5,FALSE),'Scratch Sheet'!$L$22:$M$30,2,FALSE),"")</f>
        <v>10800</v>
      </c>
      <c r="N653" s="675">
        <v>417</v>
      </c>
      <c r="O653" s="675" t="str" cm="1">
        <f t="array" ref="O653">IF(OR(INDEX($B$24:$B$1023,N653)="P10",INDEX($B$24:$B$1023,N653)="P11",INDEX($B$24:$B$1023,N653)="P12",INDEX($B$24:$B$1023,N653)="P13"),"C",IF(OR(INDEX($B$24:$B$1023,N653)="P14",INDEX($B$24:$B$1023,N653)="P15",INDEX($B$24:$B$1023,N653)="P16"),"N","O"))&amp;IF(MOD(N653,100)&lt;20,1,IF(MOD(N653,100)&lt;70,2,3))</f>
        <v>C1</v>
      </c>
    </row>
    <row r="654" spans="1:15" ht="16.5" thickBot="1">
      <c r="A654" s="662">
        <v>631</v>
      </c>
      <c r="B654" s="661" t="str" cm="1">
        <f t="array" ref="B654">"P"&amp;INDEX(X!$CL$2:$CL$12,'Scratch Sheet'!H653+1)+9</f>
        <v>P10</v>
      </c>
      <c r="C654" s="661">
        <v>1</v>
      </c>
      <c r="D654" s="755">
        <f t="shared" si="36"/>
        <v>2400</v>
      </c>
      <c r="E654" s="682" t="str">
        <f t="shared" si="37"/>
        <v>C2</v>
      </c>
      <c r="F654" s="683">
        <f t="shared" si="38"/>
        <v>3</v>
      </c>
      <c r="H654" s="13">
        <v>130</v>
      </c>
      <c r="I654" s="13">
        <f>VLOOKUP(VLOOKUP(H654,$A$24:$B$1023,2,FALSE),'Scratch Sheet'!$U$23:$X$32,3,FALSE)</f>
        <v>3</v>
      </c>
      <c r="K654" s="13">
        <f t="shared" si="39"/>
        <v>614</v>
      </c>
      <c r="L654" s="13">
        <f>IFERROR(VLOOKUP(VLOOKUP(K654,$A$24:$B$1023,2,FALSE),'Scratch Sheet'!$U$23:$Y$32,5,FALSE)*VLOOKUP(VLOOKUP(K654,$A$24:$E$1023,5,FALSE),'Scratch Sheet'!$L$22:$M$30,2,FALSE),"")</f>
        <v>2880</v>
      </c>
      <c r="N654" s="675">
        <v>421</v>
      </c>
      <c r="O654" s="675" t="str" cm="1">
        <f t="array" ref="O654">IF(OR(INDEX($B$24:$B$1023,N654)="P10",INDEX($B$24:$B$1023,N654)="P11",INDEX($B$24:$B$1023,N654)="P12",INDEX($B$24:$B$1023,N654)="P13"),"C",IF(OR(INDEX($B$24:$B$1023,N654)="P14",INDEX($B$24:$B$1023,N654)="P15",INDEX($B$24:$B$1023,N654)="P16"),"N","O"))&amp;IF(MOD(N654,100)&lt;20,1,IF(MOD(N654,100)&lt;70,2,3))</f>
        <v>C2</v>
      </c>
    </row>
    <row r="655" spans="1:15" ht="16.5" thickBot="1">
      <c r="A655" s="662">
        <v>632</v>
      </c>
      <c r="B655" s="661" t="str" cm="1">
        <f t="array" ref="B655">"P"&amp;INDEX(X!$CL$2:$CL$12,'Scratch Sheet'!H654+1)+9</f>
        <v>P11</v>
      </c>
      <c r="C655" s="661">
        <v>1</v>
      </c>
      <c r="D655" s="755">
        <f t="shared" si="36"/>
        <v>11000</v>
      </c>
      <c r="E655" s="682" t="str">
        <f t="shared" si="37"/>
        <v>C2</v>
      </c>
      <c r="F655" s="683">
        <f t="shared" si="38"/>
        <v>11</v>
      </c>
      <c r="H655" s="13">
        <v>789</v>
      </c>
      <c r="I655" s="13">
        <f>VLOOKUP(VLOOKUP(H655,$A$24:$B$1023,2,FALSE),'Scratch Sheet'!$U$23:$X$32,3,FALSE)</f>
        <v>5</v>
      </c>
      <c r="K655" s="13">
        <f t="shared" si="39"/>
        <v>607</v>
      </c>
      <c r="L655" s="13">
        <f>IFERROR(VLOOKUP(VLOOKUP(K655,$A$24:$B$1023,2,FALSE),'Scratch Sheet'!$U$23:$Y$32,5,FALSE)*VLOOKUP(VLOOKUP(K655,$A$24:$E$1023,5,FALSE),'Scratch Sheet'!$L$22:$M$30,2,FALSE),"")</f>
        <v>2880</v>
      </c>
      <c r="N655" s="675">
        <v>428</v>
      </c>
      <c r="O655" s="675" t="str" cm="1">
        <f t="array" ref="O655">IF(OR(INDEX($B$24:$B$1023,N655)="P10",INDEX($B$24:$B$1023,N655)="P11",INDEX($B$24:$B$1023,N655)="P12",INDEX($B$24:$B$1023,N655)="P13"),"C",IF(OR(INDEX($B$24:$B$1023,N655)="P14",INDEX($B$24:$B$1023,N655)="P15",INDEX($B$24:$B$1023,N655)="P16"),"N","O"))&amp;IF(MOD(N655,100)&lt;20,1,IF(MOD(N655,100)&lt;70,2,3))</f>
        <v>C2</v>
      </c>
    </row>
    <row r="656" spans="1:15" ht="16.5" thickBot="1">
      <c r="A656" s="662">
        <v>633</v>
      </c>
      <c r="B656" s="661" t="str" cm="1">
        <f t="array" ref="B656">"P"&amp;INDEX(X!$CL$2:$CL$12,'Scratch Sheet'!H655+1)+9</f>
        <v>P16</v>
      </c>
      <c r="C656" s="661">
        <v>1</v>
      </c>
      <c r="D656" s="755">
        <f t="shared" si="36"/>
        <v>4680</v>
      </c>
      <c r="E656" s="682" t="str">
        <f t="shared" si="37"/>
        <v>N2</v>
      </c>
      <c r="F656" s="683">
        <f t="shared" si="38"/>
        <v>4</v>
      </c>
      <c r="H656" s="13">
        <v>194</v>
      </c>
      <c r="I656" s="13">
        <f>VLOOKUP(VLOOKUP(H656,$A$24:$B$1023,2,FALSE),'Scratch Sheet'!$U$23:$X$32,3,FALSE)</f>
        <v>5</v>
      </c>
      <c r="K656" s="13">
        <f t="shared" si="39"/>
        <v>623</v>
      </c>
      <c r="L656" s="13">
        <f>IFERROR(VLOOKUP(VLOOKUP(K656,$A$24:$B$1023,2,FALSE),'Scratch Sheet'!$U$23:$Y$32,5,FALSE)*VLOOKUP(VLOOKUP(K656,$A$24:$E$1023,5,FALSE),'Scratch Sheet'!$L$22:$M$30,2,FALSE),"")</f>
        <v>2400</v>
      </c>
      <c r="N656" s="675">
        <v>433</v>
      </c>
      <c r="O656" s="675" t="str" cm="1">
        <f t="array" ref="O656">IF(OR(INDEX($B$24:$B$1023,N656)="P10",INDEX($B$24:$B$1023,N656)="P11",INDEX($B$24:$B$1023,N656)="P12",INDEX($B$24:$B$1023,N656)="P13"),"C",IF(OR(INDEX($B$24:$B$1023,N656)="P14",INDEX($B$24:$B$1023,N656)="P15",INDEX($B$24:$B$1023,N656)="P16"),"N","O"))&amp;IF(MOD(N656,100)&lt;20,1,IF(MOD(N656,100)&lt;70,2,3))</f>
        <v>C2</v>
      </c>
    </row>
    <row r="657" spans="1:15" ht="16.5" thickBot="1">
      <c r="A657" s="662">
        <v>634</v>
      </c>
      <c r="B657" s="661" t="str" cm="1">
        <f t="array" ref="B657">"P"&amp;INDEX(X!$CL$2:$CL$12,'Scratch Sheet'!H656+1)+9</f>
        <v>P17</v>
      </c>
      <c r="C657" s="661">
        <v>1</v>
      </c>
      <c r="D657" s="755">
        <f t="shared" si="36"/>
        <v>13200.000000000002</v>
      </c>
      <c r="E657" s="682" t="str">
        <f t="shared" si="37"/>
        <v>O2</v>
      </c>
      <c r="F657" s="683">
        <f t="shared" si="38"/>
        <v>12</v>
      </c>
      <c r="H657" s="13">
        <v>191</v>
      </c>
      <c r="I657" s="13">
        <f>VLOOKUP(VLOOKUP(H657,$A$24:$B$1023,2,FALSE),'Scratch Sheet'!$U$23:$X$32,3,FALSE)</f>
        <v>4</v>
      </c>
      <c r="K657" s="13">
        <f t="shared" si="39"/>
        <v>626</v>
      </c>
      <c r="L657" s="13">
        <f>IFERROR(VLOOKUP(VLOOKUP(K657,$A$24:$B$1023,2,FALSE),'Scratch Sheet'!$U$23:$Y$32,5,FALSE)*VLOOKUP(VLOOKUP(K657,$A$24:$E$1023,5,FALSE),'Scratch Sheet'!$L$22:$M$30,2,FALSE),"")</f>
        <v>5940.0000000000009</v>
      </c>
      <c r="N657" s="675">
        <v>434</v>
      </c>
      <c r="O657" s="675" t="str" cm="1">
        <f t="array" ref="O657">IF(OR(INDEX($B$24:$B$1023,N657)="P10",INDEX($B$24:$B$1023,N657)="P11",INDEX($B$24:$B$1023,N657)="P12",INDEX($B$24:$B$1023,N657)="P13"),"C",IF(OR(INDEX($B$24:$B$1023,N657)="P14",INDEX($B$24:$B$1023,N657)="P15",INDEX($B$24:$B$1023,N657)="P16"),"N","O"))&amp;IF(MOD(N657,100)&lt;20,1,IF(MOD(N657,100)&lt;70,2,3))</f>
        <v>C2</v>
      </c>
    </row>
    <row r="658" spans="1:15" ht="16.5" thickBot="1">
      <c r="A658" s="662">
        <v>635</v>
      </c>
      <c r="B658" s="661" t="str" cm="1">
        <f t="array" ref="B658">"P"&amp;INDEX(X!$CL$2:$CL$12,'Scratch Sheet'!H657+1)+9</f>
        <v>P17</v>
      </c>
      <c r="C658" s="661">
        <v>1</v>
      </c>
      <c r="D658" s="755">
        <f t="shared" si="36"/>
        <v>13200.000000000002</v>
      </c>
      <c r="E658" s="682" t="str">
        <f t="shared" si="37"/>
        <v>O2</v>
      </c>
      <c r="F658" s="683">
        <f t="shared" si="38"/>
        <v>12</v>
      </c>
      <c r="H658" s="13">
        <v>2</v>
      </c>
      <c r="I658" s="13">
        <f>VLOOKUP(VLOOKUP(H658,$A$24:$B$1023,2,FALSE),'Scratch Sheet'!$U$23:$X$32,3,FALSE)</f>
        <v>4</v>
      </c>
      <c r="K658" s="13">
        <f t="shared" si="39"/>
        <v>625</v>
      </c>
      <c r="L658" s="13">
        <f>IFERROR(VLOOKUP(VLOOKUP(K658,$A$24:$B$1023,2,FALSE),'Scratch Sheet'!$U$23:$Y$32,5,FALSE)*VLOOKUP(VLOOKUP(K658,$A$24:$E$1023,5,FALSE),'Scratch Sheet'!$L$22:$M$30,2,FALSE),"")</f>
        <v>11000</v>
      </c>
      <c r="N658" s="675">
        <v>438</v>
      </c>
      <c r="O658" s="675" t="str" cm="1">
        <f t="array" ref="O658">IF(OR(INDEX($B$24:$B$1023,N658)="P10",INDEX($B$24:$B$1023,N658)="P11",INDEX($B$24:$B$1023,N658)="P12",INDEX($B$24:$B$1023,N658)="P13"),"C",IF(OR(INDEX($B$24:$B$1023,N658)="P14",INDEX($B$24:$B$1023,N658)="P15",INDEX($B$24:$B$1023,N658)="P16"),"N","O"))&amp;IF(MOD(N658,100)&lt;20,1,IF(MOD(N658,100)&lt;70,2,3))</f>
        <v>C2</v>
      </c>
    </row>
    <row r="659" spans="1:15" ht="16.5" thickBot="1">
      <c r="A659" s="662">
        <v>636</v>
      </c>
      <c r="B659" s="661" t="str" cm="1">
        <f t="array" ref="B659">"P"&amp;INDEX(X!$CL$2:$CL$12,'Scratch Sheet'!H658+1)+9</f>
        <v>P13</v>
      </c>
      <c r="C659" s="661">
        <v>1</v>
      </c>
      <c r="D659" s="755">
        <f t="shared" si="36"/>
        <v>4500</v>
      </c>
      <c r="E659" s="682" t="str">
        <f t="shared" si="37"/>
        <v>C2</v>
      </c>
      <c r="F659" s="683">
        <f t="shared" si="38"/>
        <v>5</v>
      </c>
      <c r="H659" s="13">
        <v>419</v>
      </c>
      <c r="I659" s="13">
        <f>VLOOKUP(VLOOKUP(H659,$A$24:$B$1023,2,FALSE),'Scratch Sheet'!$U$23:$X$32,3,FALSE)</f>
        <v>3</v>
      </c>
      <c r="K659" s="13">
        <f t="shared" si="39"/>
        <v>620</v>
      </c>
      <c r="L659" s="13">
        <f>IFERROR(VLOOKUP(VLOOKUP(K659,$A$24:$B$1023,2,FALSE),'Scratch Sheet'!$U$23:$Y$32,5,FALSE)*VLOOKUP(VLOOKUP(K659,$A$24:$E$1023,5,FALSE),'Scratch Sheet'!$L$22:$M$30,2,FALSE),"")</f>
        <v>11000</v>
      </c>
      <c r="N659" s="675">
        <v>445</v>
      </c>
      <c r="O659" s="675" t="str" cm="1">
        <f t="array" ref="O659">IF(OR(INDEX($B$24:$B$1023,N659)="P10",INDEX($B$24:$B$1023,N659)="P11",INDEX($B$24:$B$1023,N659)="P12",INDEX($B$24:$B$1023,N659)="P13"),"C",IF(OR(INDEX($B$24:$B$1023,N659)="P14",INDEX($B$24:$B$1023,N659)="P15",INDEX($B$24:$B$1023,N659)="P16"),"N","O"))&amp;IF(MOD(N659,100)&lt;20,1,IF(MOD(N659,100)&lt;70,2,3))</f>
        <v>C2</v>
      </c>
    </row>
    <row r="660" spans="1:15" ht="16.5" thickBot="1">
      <c r="A660" s="662">
        <v>637</v>
      </c>
      <c r="B660" s="661" t="str" cm="1">
        <f t="array" ref="B660">"P"&amp;INDEX(X!$CL$2:$CL$12,'Scratch Sheet'!H659+1)+9</f>
        <v>P11</v>
      </c>
      <c r="C660" s="661">
        <v>1</v>
      </c>
      <c r="D660" s="755">
        <f t="shared" si="36"/>
        <v>11000</v>
      </c>
      <c r="E660" s="682" t="str">
        <f t="shared" si="37"/>
        <v>C2</v>
      </c>
      <c r="F660" s="683">
        <f t="shared" si="38"/>
        <v>11</v>
      </c>
      <c r="H660" s="13">
        <v>680</v>
      </c>
      <c r="I660" s="13">
        <f>VLOOKUP(VLOOKUP(H660,$A$24:$B$1023,2,FALSE),'Scratch Sheet'!$U$23:$X$32,3,FALSE)</f>
        <v>5</v>
      </c>
      <c r="K660" s="13">
        <f t="shared" si="39"/>
        <v>622</v>
      </c>
      <c r="L660" s="13">
        <f>IFERROR(VLOOKUP(VLOOKUP(K660,$A$24:$B$1023,2,FALSE),'Scratch Sheet'!$U$23:$Y$32,5,FALSE)*VLOOKUP(VLOOKUP(K660,$A$24:$E$1023,5,FALSE),'Scratch Sheet'!$L$22:$M$30,2,FALSE),"")</f>
        <v>6825</v>
      </c>
      <c r="N660" s="675">
        <v>450</v>
      </c>
      <c r="O660" s="675" t="str" cm="1">
        <f t="array" ref="O660">IF(OR(INDEX($B$24:$B$1023,N660)="P10",INDEX($B$24:$B$1023,N660)="P11",INDEX($B$24:$B$1023,N660)="P12",INDEX($B$24:$B$1023,N660)="P13"),"C",IF(OR(INDEX($B$24:$B$1023,N660)="P14",INDEX($B$24:$B$1023,N660)="P15",INDEX($B$24:$B$1023,N660)="P16"),"N","O"))&amp;IF(MOD(N660,100)&lt;20,1,IF(MOD(N660,100)&lt;70,2,3))</f>
        <v>C2</v>
      </c>
    </row>
    <row r="661" spans="1:15" ht="16.5" thickBot="1">
      <c r="A661" s="662">
        <v>638</v>
      </c>
      <c r="B661" s="661" t="str" cm="1">
        <f t="array" ref="B661">"P"&amp;INDEX(X!$CL$2:$CL$12,'Scratch Sheet'!H660+1)+9</f>
        <v>P11</v>
      </c>
      <c r="C661" s="661">
        <v>1</v>
      </c>
      <c r="D661" s="755">
        <f t="shared" si="36"/>
        <v>22000</v>
      </c>
      <c r="E661" s="682" t="str">
        <f t="shared" si="37"/>
        <v>C2</v>
      </c>
      <c r="F661" s="683">
        <f t="shared" si="38"/>
        <v>11</v>
      </c>
      <c r="H661" s="13">
        <v>986</v>
      </c>
      <c r="I661" s="13">
        <f>VLOOKUP(VLOOKUP(H661,$A$24:$B$1023,2,FALSE),'Scratch Sheet'!$U$23:$X$32,3,FALSE)</f>
        <v>5</v>
      </c>
      <c r="K661" s="13">
        <f t="shared" si="39"/>
        <v>621</v>
      </c>
      <c r="L661" s="13">
        <f>IFERROR(VLOOKUP(VLOOKUP(K661,$A$24:$B$1023,2,FALSE),'Scratch Sheet'!$U$23:$Y$32,5,FALSE)*VLOOKUP(VLOOKUP(K661,$A$24:$E$1023,5,FALSE),'Scratch Sheet'!$L$22:$M$30,2,FALSE),"")</f>
        <v>11000</v>
      </c>
      <c r="N661" s="675">
        <v>451</v>
      </c>
      <c r="O661" s="675" t="str" cm="1">
        <f t="array" ref="O661">IF(OR(INDEX($B$24:$B$1023,N661)="P10",INDEX($B$24:$B$1023,N661)="P11",INDEX($B$24:$B$1023,N661)="P12",INDEX($B$24:$B$1023,N661)="P13"),"C",IF(OR(INDEX($B$24:$B$1023,N661)="P14",INDEX($B$24:$B$1023,N661)="P15",INDEX($B$24:$B$1023,N661)="P16"),"N","O"))&amp;IF(MOD(N661,100)&lt;20,1,IF(MOD(N661,100)&lt;70,2,3))</f>
        <v>C2</v>
      </c>
    </row>
    <row r="662" spans="1:15" ht="16.5" thickBot="1">
      <c r="A662" s="662">
        <v>639</v>
      </c>
      <c r="B662" s="661" t="str" cm="1">
        <f t="array" ref="B662">"P"&amp;INDEX(X!$CL$2:$CL$12,'Scratch Sheet'!H661+1)+9</f>
        <v>P12</v>
      </c>
      <c r="C662" s="661">
        <v>1</v>
      </c>
      <c r="D662" s="755">
        <f t="shared" si="36"/>
        <v>6825</v>
      </c>
      <c r="E662" s="682" t="str">
        <f t="shared" si="37"/>
        <v>C2</v>
      </c>
      <c r="F662" s="683">
        <f t="shared" si="38"/>
        <v>6.5</v>
      </c>
      <c r="H662" s="13">
        <v>777</v>
      </c>
      <c r="I662" s="13">
        <f>VLOOKUP(VLOOKUP(H662,$A$24:$B$1023,2,FALSE),'Scratch Sheet'!$U$23:$X$32,3,FALSE)</f>
        <v>3</v>
      </c>
      <c r="K662" s="13">
        <f t="shared" si="39"/>
        <v>624</v>
      </c>
      <c r="L662" s="13">
        <f>IFERROR(VLOOKUP(VLOOKUP(K662,$A$24:$B$1023,2,FALSE),'Scratch Sheet'!$U$23:$Y$32,5,FALSE)*VLOOKUP(VLOOKUP(K662,$A$24:$E$1023,5,FALSE),'Scratch Sheet'!$L$22:$M$30,2,FALSE),"")</f>
        <v>2400</v>
      </c>
      <c r="N662" s="675">
        <v>455</v>
      </c>
      <c r="O662" s="675" t="str" cm="1">
        <f t="array" ref="O662">IF(OR(INDEX($B$24:$B$1023,N662)="P10",INDEX($B$24:$B$1023,N662)="P11",INDEX($B$24:$B$1023,N662)="P12",INDEX($B$24:$B$1023,N662)="P13"),"C",IF(OR(INDEX($B$24:$B$1023,N662)="P14",INDEX($B$24:$B$1023,N662)="P15",INDEX($B$24:$B$1023,N662)="P16"),"N","O"))&amp;IF(MOD(N662,100)&lt;20,1,IF(MOD(N662,100)&lt;70,2,3))</f>
        <v>C2</v>
      </c>
    </row>
    <row r="663" spans="1:15" ht="16.5" thickBot="1">
      <c r="A663" s="662">
        <v>640</v>
      </c>
      <c r="B663" s="661" t="str" cm="1">
        <f t="array" ref="B663">"P"&amp;INDEX(X!$CL$2:$CL$12,'Scratch Sheet'!H662+1)+9</f>
        <v>P10</v>
      </c>
      <c r="C663" s="661">
        <v>1</v>
      </c>
      <c r="D663" s="755">
        <f t="shared" si="36"/>
        <v>2400</v>
      </c>
      <c r="E663" s="682" t="str">
        <f t="shared" si="37"/>
        <v>C2</v>
      </c>
      <c r="F663" s="683">
        <f t="shared" si="38"/>
        <v>3</v>
      </c>
      <c r="H663" s="13">
        <v>437</v>
      </c>
      <c r="I663" s="13">
        <f>VLOOKUP(VLOOKUP(H663,$A$24:$B$1023,2,FALSE),'Scratch Sheet'!$U$23:$X$32,3,FALSE)</f>
        <v>3</v>
      </c>
      <c r="K663" s="13">
        <f t="shared" si="39"/>
        <v>619</v>
      </c>
      <c r="L663" s="13">
        <f>IFERROR(VLOOKUP(VLOOKUP(K663,$A$24:$B$1023,2,FALSE),'Scratch Sheet'!$U$23:$Y$32,5,FALSE)*VLOOKUP(VLOOKUP(K663,$A$24:$E$1023,5,FALSE),'Scratch Sheet'!$L$22:$M$30,2,FALSE),"")</f>
        <v>5400</v>
      </c>
      <c r="N663" s="675">
        <v>462</v>
      </c>
      <c r="O663" s="675" t="str" cm="1">
        <f t="array" ref="O663">IF(OR(INDEX($B$24:$B$1023,N663)="P10",INDEX($B$24:$B$1023,N663)="P11",INDEX($B$24:$B$1023,N663)="P12",INDEX($B$24:$B$1023,N663)="P13"),"C",IF(OR(INDEX($B$24:$B$1023,N663)="P14",INDEX($B$24:$B$1023,N663)="P15",INDEX($B$24:$B$1023,N663)="P16"),"N","O"))&amp;IF(MOD(N663,100)&lt;20,1,IF(MOD(N663,100)&lt;70,2,3))</f>
        <v>C2</v>
      </c>
    </row>
    <row r="664" spans="1:15" ht="16.5" thickBot="1">
      <c r="A664" s="662">
        <v>641</v>
      </c>
      <c r="B664" s="661" t="str" cm="1">
        <f t="array" ref="B664">"P"&amp;INDEX(X!$CL$2:$CL$12,'Scratch Sheet'!H663+1)+9</f>
        <v>P10</v>
      </c>
      <c r="C664" s="661">
        <v>1</v>
      </c>
      <c r="D664" s="755">
        <f t="shared" si="36"/>
        <v>2400</v>
      </c>
      <c r="E664" s="682" t="str">
        <f t="shared" si="37"/>
        <v>C2</v>
      </c>
      <c r="F664" s="683">
        <f t="shared" si="38"/>
        <v>3</v>
      </c>
      <c r="H664" s="13">
        <v>701</v>
      </c>
      <c r="I664" s="13">
        <f>VLOOKUP(VLOOKUP(H664,$A$24:$B$1023,2,FALSE),'Scratch Sheet'!$U$23:$X$32,3,FALSE)</f>
        <v>4</v>
      </c>
      <c r="K664" s="13">
        <f t="shared" si="39"/>
        <v>617</v>
      </c>
      <c r="L664" s="13">
        <f>IFERROR(VLOOKUP(VLOOKUP(K664,$A$24:$B$1023,2,FALSE),'Scratch Sheet'!$U$23:$Y$32,5,FALSE)*VLOOKUP(VLOOKUP(K664,$A$24:$E$1023,5,FALSE),'Scratch Sheet'!$L$22:$M$30,2,FALSE),"")</f>
        <v>10800</v>
      </c>
      <c r="N664" s="675">
        <v>467</v>
      </c>
      <c r="O664" s="675" t="str" cm="1">
        <f t="array" ref="O664">IF(OR(INDEX($B$24:$B$1023,N664)="P10",INDEX($B$24:$B$1023,N664)="P11",INDEX($B$24:$B$1023,N664)="P12",INDEX($B$24:$B$1023,N664)="P13"),"C",IF(OR(INDEX($B$24:$B$1023,N664)="P14",INDEX($B$24:$B$1023,N664)="P15",INDEX($B$24:$B$1023,N664)="P16"),"N","O"))&amp;IF(MOD(N664,100)&lt;20,1,IF(MOD(N664,100)&lt;70,2,3))</f>
        <v>C2</v>
      </c>
    </row>
    <row r="665" spans="1:15" ht="16.5" thickBot="1">
      <c r="A665" s="662">
        <v>642</v>
      </c>
      <c r="B665" s="661" t="str" cm="1">
        <f t="array" ref="B665">"P"&amp;INDEX(X!$CL$2:$CL$12,'Scratch Sheet'!H664+1)+9</f>
        <v>P11</v>
      </c>
      <c r="C665" s="661">
        <v>1</v>
      </c>
      <c r="D665" s="755">
        <f t="shared" ref="D665:D728" si="40">SUMIF($K$24:$K$1053, $A665, $L$24:$L$1053)</f>
        <v>11000</v>
      </c>
      <c r="E665" s="682" t="str">
        <f t="shared" ref="E665:E728" si="41">INDEX($O$24:$O$1023,MATCH($A665,$N$24:$N$1023,0))</f>
        <v>C2</v>
      </c>
      <c r="F665" s="683">
        <f t="shared" ref="F665:F728" si="42">VLOOKUP(A665, $H$24:$I$1023, 2, FALSE)</f>
        <v>11</v>
      </c>
      <c r="H665" s="13">
        <v>116</v>
      </c>
      <c r="I665" s="13">
        <f>VLOOKUP(VLOOKUP(H665,$A$24:$B$1023,2,FALSE),'Scratch Sheet'!$U$23:$X$32,3,FALSE)</f>
        <v>6</v>
      </c>
      <c r="K665" s="13">
        <f t="shared" si="39"/>
        <v>618</v>
      </c>
      <c r="L665" s="13">
        <f>IFERROR(VLOOKUP(VLOOKUP(K665,$A$24:$B$1023,2,FALSE),'Scratch Sheet'!$U$23:$Y$32,5,FALSE)*VLOOKUP(VLOOKUP(K665,$A$24:$E$1023,5,FALSE),'Scratch Sheet'!$L$22:$M$30,2,FALSE),"")</f>
        <v>10800</v>
      </c>
      <c r="N665" s="675">
        <v>468</v>
      </c>
      <c r="O665" s="675" t="str" cm="1">
        <f t="array" ref="O665">IF(OR(INDEX($B$24:$B$1023,N665)="P10",INDEX($B$24:$B$1023,N665)="P11",INDEX($B$24:$B$1023,N665)="P12",INDEX($B$24:$B$1023,N665)="P13"),"C",IF(OR(INDEX($B$24:$B$1023,N665)="P14",INDEX($B$24:$B$1023,N665)="P15",INDEX($B$24:$B$1023,N665)="P16"),"N","O"))&amp;IF(MOD(N665,100)&lt;20,1,IF(MOD(N665,100)&lt;70,2,3))</f>
        <v>C2</v>
      </c>
    </row>
    <row r="666" spans="1:15" ht="16.5" thickBot="1">
      <c r="A666" s="662">
        <v>643</v>
      </c>
      <c r="B666" s="661" t="str" cm="1">
        <f t="array" ref="B666">"P"&amp;INDEX(X!$CL$2:$CL$12,'Scratch Sheet'!H665+1)+9</f>
        <v>P18</v>
      </c>
      <c r="C666" s="661">
        <v>1</v>
      </c>
      <c r="D666" s="755">
        <f t="shared" si="40"/>
        <v>5940.0000000000009</v>
      </c>
      <c r="E666" s="682" t="str">
        <f t="shared" si="41"/>
        <v>O2</v>
      </c>
      <c r="F666" s="683">
        <f t="shared" si="42"/>
        <v>6</v>
      </c>
      <c r="H666" s="13">
        <v>16</v>
      </c>
      <c r="I666" s="13">
        <f>VLOOKUP(VLOOKUP(H666,$A$24:$B$1023,2,FALSE),'Scratch Sheet'!$U$23:$X$32,3,FALSE)</f>
        <v>4</v>
      </c>
      <c r="K666" s="13">
        <f t="shared" si="39"/>
        <v>616</v>
      </c>
      <c r="L666" s="13">
        <f>IFERROR(VLOOKUP(VLOOKUP(K666,$A$24:$B$1023,2,FALSE),'Scratch Sheet'!$U$23:$Y$32,5,FALSE)*VLOOKUP(VLOOKUP(K666,$A$24:$E$1023,5,FALSE),'Scratch Sheet'!$L$22:$M$30,2,FALSE),"")</f>
        <v>7279.9999999999991</v>
      </c>
      <c r="N666" s="675">
        <v>472</v>
      </c>
      <c r="O666" s="675" t="str" cm="1">
        <f t="array" ref="O666">IF(OR(INDEX($B$24:$B$1023,N666)="P10",INDEX($B$24:$B$1023,N666)="P11",INDEX($B$24:$B$1023,N666)="P12",INDEX($B$24:$B$1023,N666)="P13"),"C",IF(OR(INDEX($B$24:$B$1023,N666)="P14",INDEX($B$24:$B$1023,N666)="P15",INDEX($B$24:$B$1023,N666)="P16"),"N","O"))&amp;IF(MOD(N666,100)&lt;20,1,IF(MOD(N666,100)&lt;70,2,3))</f>
        <v>C3</v>
      </c>
    </row>
    <row r="667" spans="1:15" ht="16.5" thickBot="1">
      <c r="A667" s="662">
        <v>644</v>
      </c>
      <c r="B667" s="661" t="str" cm="1">
        <f t="array" ref="B667">"P"&amp;INDEX(X!$CL$2:$CL$12,'Scratch Sheet'!H666+1)+9</f>
        <v>P14</v>
      </c>
      <c r="C667" s="661">
        <v>1</v>
      </c>
      <c r="D667" s="755">
        <f t="shared" si="40"/>
        <v>6480</v>
      </c>
      <c r="E667" s="682" t="str">
        <f t="shared" si="41"/>
        <v>N2</v>
      </c>
      <c r="F667" s="683">
        <f t="shared" si="42"/>
        <v>8</v>
      </c>
      <c r="H667" s="13">
        <v>953</v>
      </c>
      <c r="I667" s="13">
        <f>VLOOKUP(VLOOKUP(H667,$A$24:$B$1023,2,FALSE),'Scratch Sheet'!$U$23:$X$32,3,FALSE)</f>
        <v>5</v>
      </c>
      <c r="K667" s="13">
        <f t="shared" si="39"/>
        <v>615</v>
      </c>
      <c r="L667" s="13">
        <f>IFERROR(VLOOKUP(VLOOKUP(K667,$A$24:$B$1023,2,FALSE),'Scratch Sheet'!$U$23:$Y$32,5,FALSE)*VLOOKUP(VLOOKUP(K667,$A$24:$E$1023,5,FALSE),'Scratch Sheet'!$L$22:$M$30,2,FALSE),"")</f>
        <v>13200</v>
      </c>
      <c r="N667" s="675">
        <v>479</v>
      </c>
      <c r="O667" s="675" t="str" cm="1">
        <f t="array" ref="O667">IF(OR(INDEX($B$24:$B$1023,N667)="P10",INDEX($B$24:$B$1023,N667)="P11",INDEX($B$24:$B$1023,N667)="P12",INDEX($B$24:$B$1023,N667)="P13"),"C",IF(OR(INDEX($B$24:$B$1023,N667)="P14",INDEX($B$24:$B$1023,N667)="P15",INDEX($B$24:$B$1023,N667)="P16"),"N","O"))&amp;IF(MOD(N667,100)&lt;20,1,IF(MOD(N667,100)&lt;70,2,3))</f>
        <v>C3</v>
      </c>
    </row>
    <row r="668" spans="1:15" ht="16.5" thickBot="1">
      <c r="A668" s="662">
        <v>645</v>
      </c>
      <c r="B668" s="661" t="str" cm="1">
        <f t="array" ref="B668">"P"&amp;INDEX(X!$CL$2:$CL$12,'Scratch Sheet'!H667+1)+9</f>
        <v>P10</v>
      </c>
      <c r="C668" s="661">
        <v>1</v>
      </c>
      <c r="D668" s="755">
        <f t="shared" si="40"/>
        <v>2400</v>
      </c>
      <c r="E668" s="682" t="str">
        <f t="shared" si="41"/>
        <v>C2</v>
      </c>
      <c r="F668" s="683">
        <f t="shared" si="42"/>
        <v>3</v>
      </c>
      <c r="H668" s="13">
        <v>280</v>
      </c>
      <c r="I668" s="13">
        <f>VLOOKUP(VLOOKUP(H668,$A$24:$B$1023,2,FALSE),'Scratch Sheet'!$U$23:$X$32,3,FALSE)</f>
        <v>11</v>
      </c>
      <c r="K668" s="13">
        <f t="shared" si="39"/>
        <v>627</v>
      </c>
      <c r="L668" s="13">
        <f>IFERROR(VLOOKUP(VLOOKUP(K668,$A$24:$B$1023,2,FALSE),'Scratch Sheet'!$U$23:$Y$32,5,FALSE)*VLOOKUP(VLOOKUP(K668,$A$24:$E$1023,5,FALSE),'Scratch Sheet'!$L$22:$M$30,2,FALSE),"")</f>
        <v>6480</v>
      </c>
      <c r="N668" s="675">
        <v>484</v>
      </c>
      <c r="O668" s="675" t="str" cm="1">
        <f t="array" ref="O668">IF(OR(INDEX($B$24:$B$1023,N668)="P10",INDEX($B$24:$B$1023,N668)="P11",INDEX($B$24:$B$1023,N668)="P12",INDEX($B$24:$B$1023,N668)="P13"),"C",IF(OR(INDEX($B$24:$B$1023,N668)="P14",INDEX($B$24:$B$1023,N668)="P15",INDEX($B$24:$B$1023,N668)="P16"),"N","O"))&amp;IF(MOD(N668,100)&lt;20,1,IF(MOD(N668,100)&lt;70,2,3))</f>
        <v>C3</v>
      </c>
    </row>
    <row r="669" spans="1:15" ht="16.5" thickBot="1">
      <c r="A669" s="662">
        <v>646</v>
      </c>
      <c r="B669" s="661" t="str" cm="1">
        <f t="array" ref="B669">"P"&amp;INDEX(X!$CL$2:$CL$12,'Scratch Sheet'!H668+1)+9</f>
        <v>P13</v>
      </c>
      <c r="C669" s="661">
        <v>1</v>
      </c>
      <c r="D669" s="755">
        <f t="shared" si="40"/>
        <v>4500</v>
      </c>
      <c r="E669" s="682" t="str">
        <f t="shared" si="41"/>
        <v>C2</v>
      </c>
      <c r="F669" s="683">
        <f t="shared" si="42"/>
        <v>5</v>
      </c>
      <c r="H669" s="13">
        <v>924</v>
      </c>
      <c r="I669" s="13">
        <f>VLOOKUP(VLOOKUP(H669,$A$24:$B$1023,2,FALSE),'Scratch Sheet'!$U$23:$X$32,3,FALSE)</f>
        <v>12</v>
      </c>
      <c r="K669" s="13">
        <f t="shared" si="39"/>
        <v>636</v>
      </c>
      <c r="L669" s="13">
        <f>IFERROR(VLOOKUP(VLOOKUP(K669,$A$24:$B$1023,2,FALSE),'Scratch Sheet'!$U$23:$Y$32,5,FALSE)*VLOOKUP(VLOOKUP(K669,$A$24:$E$1023,5,FALSE),'Scratch Sheet'!$L$22:$M$30,2,FALSE),"")</f>
        <v>4500</v>
      </c>
      <c r="N669" s="675">
        <v>485</v>
      </c>
      <c r="O669" s="675" t="str" cm="1">
        <f t="array" ref="O669">IF(OR(INDEX($B$24:$B$1023,N669)="P10",INDEX($B$24:$B$1023,N669)="P11",INDEX($B$24:$B$1023,N669)="P12",INDEX($B$24:$B$1023,N669)="P13"),"C",IF(OR(INDEX($B$24:$B$1023,N669)="P14",INDEX($B$24:$B$1023,N669)="P15",INDEX($B$24:$B$1023,N669)="P16"),"N","O"))&amp;IF(MOD(N669,100)&lt;20,1,IF(MOD(N669,100)&lt;70,2,3))</f>
        <v>C3</v>
      </c>
    </row>
    <row r="670" spans="1:15" ht="16.5" thickBot="1">
      <c r="A670" s="662">
        <v>647</v>
      </c>
      <c r="B670" s="661" t="str" cm="1">
        <f t="array" ref="B670">"P"&amp;INDEX(X!$CL$2:$CL$12,'Scratch Sheet'!H669+1)+9</f>
        <v>P13</v>
      </c>
      <c r="C670" s="661">
        <v>1</v>
      </c>
      <c r="D670" s="755">
        <f t="shared" si="40"/>
        <v>4500</v>
      </c>
      <c r="E670" s="682" t="str">
        <f t="shared" si="41"/>
        <v>C2</v>
      </c>
      <c r="F670" s="683">
        <f t="shared" si="42"/>
        <v>5</v>
      </c>
      <c r="H670" s="13">
        <v>153</v>
      </c>
      <c r="I670" s="13">
        <f>VLOOKUP(VLOOKUP(H670,$A$24:$B$1023,2,FALSE),'Scratch Sheet'!$U$23:$X$32,3,FALSE)</f>
        <v>5</v>
      </c>
      <c r="K670" s="13">
        <f t="shared" si="39"/>
        <v>639</v>
      </c>
      <c r="L670" s="13">
        <f>IFERROR(VLOOKUP(VLOOKUP(K670,$A$24:$B$1023,2,FALSE),'Scratch Sheet'!$U$23:$Y$32,5,FALSE)*VLOOKUP(VLOOKUP(K670,$A$24:$E$1023,5,FALSE),'Scratch Sheet'!$L$22:$M$30,2,FALSE),"")</f>
        <v>6825</v>
      </c>
      <c r="N670" s="675">
        <v>489</v>
      </c>
      <c r="O670" s="675" t="str" cm="1">
        <f t="array" ref="O670">IF(OR(INDEX($B$24:$B$1023,N670)="P10",INDEX($B$24:$B$1023,N670)="P11",INDEX($B$24:$B$1023,N670)="P12",INDEX($B$24:$B$1023,N670)="P13"),"C",IF(OR(INDEX($B$24:$B$1023,N670)="P14",INDEX($B$24:$B$1023,N670)="P15",INDEX($B$24:$B$1023,N670)="P16"),"N","O"))&amp;IF(MOD(N670,100)&lt;20,1,IF(MOD(N670,100)&lt;70,2,3))</f>
        <v>C3</v>
      </c>
    </row>
    <row r="671" spans="1:15" ht="16.5" thickBot="1">
      <c r="A671" s="662">
        <v>648</v>
      </c>
      <c r="B671" s="661" t="str" cm="1">
        <f t="array" ref="B671">"P"&amp;INDEX(X!$CL$2:$CL$12,'Scratch Sheet'!H670+1)+9</f>
        <v>P10</v>
      </c>
      <c r="C671" s="661">
        <v>1</v>
      </c>
      <c r="D671" s="755">
        <f t="shared" si="40"/>
        <v>2400</v>
      </c>
      <c r="E671" s="682" t="str">
        <f t="shared" si="41"/>
        <v>C2</v>
      </c>
      <c r="F671" s="683">
        <f t="shared" si="42"/>
        <v>3</v>
      </c>
      <c r="H671" s="13">
        <v>824</v>
      </c>
      <c r="I671" s="13">
        <f>VLOOKUP(VLOOKUP(H671,$A$24:$B$1023,2,FALSE),'Scratch Sheet'!$U$23:$X$32,3,FALSE)</f>
        <v>11</v>
      </c>
      <c r="K671" s="13">
        <f t="shared" si="39"/>
        <v>638</v>
      </c>
      <c r="L671" s="13">
        <f>IFERROR(VLOOKUP(VLOOKUP(K671,$A$24:$B$1023,2,FALSE),'Scratch Sheet'!$U$23:$Y$32,5,FALSE)*VLOOKUP(VLOOKUP(K671,$A$24:$E$1023,5,FALSE),'Scratch Sheet'!$L$22:$M$30,2,FALSE),"")</f>
        <v>11000</v>
      </c>
      <c r="N671" s="675">
        <v>496</v>
      </c>
      <c r="O671" s="675" t="str" cm="1">
        <f t="array" ref="O671">IF(OR(INDEX($B$24:$B$1023,N671)="P10",INDEX($B$24:$B$1023,N671)="P11",INDEX($B$24:$B$1023,N671)="P12",INDEX($B$24:$B$1023,N671)="P13"),"C",IF(OR(INDEX($B$24:$B$1023,N671)="P14",INDEX($B$24:$B$1023,N671)="P15",INDEX($B$24:$B$1023,N671)="P16"),"N","O"))&amp;IF(MOD(N671,100)&lt;20,1,IF(MOD(N671,100)&lt;70,2,3))</f>
        <v>C3</v>
      </c>
    </row>
    <row r="672" spans="1:15" ht="16.5" thickBot="1">
      <c r="A672" s="662">
        <v>649</v>
      </c>
      <c r="B672" s="661" t="str" cm="1">
        <f t="array" ref="B672">"P"&amp;INDEX(X!$CL$2:$CL$12,'Scratch Sheet'!H671+1)+9</f>
        <v>P11</v>
      </c>
      <c r="C672" s="661">
        <v>1</v>
      </c>
      <c r="D672" s="755">
        <f t="shared" si="40"/>
        <v>11000</v>
      </c>
      <c r="E672" s="682" t="str">
        <f t="shared" si="41"/>
        <v>C2</v>
      </c>
      <c r="F672" s="683">
        <f t="shared" si="42"/>
        <v>11</v>
      </c>
      <c r="H672" s="13">
        <v>134</v>
      </c>
      <c r="I672" s="13">
        <f>VLOOKUP(VLOOKUP(H672,$A$24:$B$1023,2,FALSE),'Scratch Sheet'!$U$23:$X$32,3,FALSE)</f>
        <v>8</v>
      </c>
      <c r="K672" s="13">
        <f t="shared" si="39"/>
        <v>633</v>
      </c>
      <c r="L672" s="13">
        <f>IFERROR(VLOOKUP(VLOOKUP(K672,$A$24:$B$1023,2,FALSE),'Scratch Sheet'!$U$23:$Y$32,5,FALSE)*VLOOKUP(VLOOKUP(K672,$A$24:$E$1023,5,FALSE),'Scratch Sheet'!$L$22:$M$30,2,FALSE),"")</f>
        <v>4680</v>
      </c>
      <c r="N672" s="675">
        <v>501</v>
      </c>
      <c r="O672" s="675" t="str" cm="1">
        <f t="array" ref="O672">IF(OR(INDEX($B$24:$B$1023,N672)="P10",INDEX($B$24:$B$1023,N672)="P11",INDEX($B$24:$B$1023,N672)="P12",INDEX($B$24:$B$1023,N672)="P13"),"C",IF(OR(INDEX($B$24:$B$1023,N672)="P14",INDEX($B$24:$B$1023,N672)="P15",INDEX($B$24:$B$1023,N672)="P16"),"N","O"))&amp;IF(MOD(N672,100)&lt;20,1,IF(MOD(N672,100)&lt;70,2,3))</f>
        <v>C1</v>
      </c>
    </row>
    <row r="673" spans="1:15" ht="16.5" thickBot="1">
      <c r="A673" s="662">
        <v>650</v>
      </c>
      <c r="B673" s="661" t="str" cm="1">
        <f t="array" ref="B673">"P"&amp;INDEX(X!$CL$2:$CL$12,'Scratch Sheet'!H672+1)+9</f>
        <v>P16</v>
      </c>
      <c r="C673" s="661">
        <v>1</v>
      </c>
      <c r="D673" s="755">
        <f t="shared" si="40"/>
        <v>4680</v>
      </c>
      <c r="E673" s="682" t="str">
        <f t="shared" si="41"/>
        <v>N2</v>
      </c>
      <c r="F673" s="683">
        <f t="shared" si="42"/>
        <v>4</v>
      </c>
      <c r="H673" s="13">
        <v>238</v>
      </c>
      <c r="I673" s="13">
        <f>VLOOKUP(VLOOKUP(H673,$A$24:$B$1023,2,FALSE),'Scratch Sheet'!$U$23:$X$32,3,FALSE)</f>
        <v>5</v>
      </c>
      <c r="K673" s="13">
        <f t="shared" si="39"/>
        <v>635</v>
      </c>
      <c r="L673" s="13">
        <f>IFERROR(VLOOKUP(VLOOKUP(K673,$A$24:$B$1023,2,FALSE),'Scratch Sheet'!$U$23:$Y$32,5,FALSE)*VLOOKUP(VLOOKUP(K673,$A$24:$E$1023,5,FALSE),'Scratch Sheet'!$L$22:$M$30,2,FALSE),"")</f>
        <v>13200.000000000002</v>
      </c>
      <c r="N673" s="675">
        <v>502</v>
      </c>
      <c r="O673" s="675" t="str" cm="1">
        <f t="array" ref="O673">IF(OR(INDEX($B$24:$B$1023,N673)="P10",INDEX($B$24:$B$1023,N673)="P11",INDEX($B$24:$B$1023,N673)="P12",INDEX($B$24:$B$1023,N673)="P13"),"C",IF(OR(INDEX($B$24:$B$1023,N673)="P14",INDEX($B$24:$B$1023,N673)="P15",INDEX($B$24:$B$1023,N673)="P16"),"N","O"))&amp;IF(MOD(N673,100)&lt;20,1,IF(MOD(N673,100)&lt;70,2,3))</f>
        <v>C1</v>
      </c>
    </row>
    <row r="674" spans="1:15" ht="16.5" thickBot="1">
      <c r="A674" s="662">
        <v>651</v>
      </c>
      <c r="B674" s="661" t="str" cm="1">
        <f t="array" ref="B674">"P"&amp;INDEX(X!$CL$2:$CL$12,'Scratch Sheet'!H673+1)+9</f>
        <v>P17</v>
      </c>
      <c r="C674" s="661">
        <v>1</v>
      </c>
      <c r="D674" s="755">
        <f t="shared" si="40"/>
        <v>13200.000000000002</v>
      </c>
      <c r="E674" s="682" t="str">
        <f t="shared" si="41"/>
        <v>O2</v>
      </c>
      <c r="F674" s="683">
        <f t="shared" si="42"/>
        <v>12</v>
      </c>
      <c r="H674" s="13">
        <v>675</v>
      </c>
      <c r="I674" s="13">
        <f>VLOOKUP(VLOOKUP(H674,$A$24:$B$1023,2,FALSE),'Scratch Sheet'!$U$23:$X$32,3,FALSE)</f>
        <v>3</v>
      </c>
      <c r="K674" s="13">
        <f t="shared" si="39"/>
        <v>634</v>
      </c>
      <c r="L674" s="13">
        <f>IFERROR(VLOOKUP(VLOOKUP(K674,$A$24:$B$1023,2,FALSE),'Scratch Sheet'!$U$23:$Y$32,5,FALSE)*VLOOKUP(VLOOKUP(K674,$A$24:$E$1023,5,FALSE),'Scratch Sheet'!$L$22:$M$30,2,FALSE),"")</f>
        <v>13200.000000000002</v>
      </c>
      <c r="N674" s="675">
        <v>506</v>
      </c>
      <c r="O674" s="675" t="str" cm="1">
        <f t="array" ref="O674">IF(OR(INDEX($B$24:$B$1023,N674)="P10",INDEX($B$24:$B$1023,N674)="P11",INDEX($B$24:$B$1023,N674)="P12",INDEX($B$24:$B$1023,N674)="P13"),"C",IF(OR(INDEX($B$24:$B$1023,N674)="P14",INDEX($B$24:$B$1023,N674)="P15",INDEX($B$24:$B$1023,N674)="P16"),"N","O"))&amp;IF(MOD(N674,100)&lt;20,1,IF(MOD(N674,100)&lt;70,2,3))</f>
        <v>C1</v>
      </c>
    </row>
    <row r="675" spans="1:15" ht="16.5" thickBot="1">
      <c r="A675" s="662">
        <v>652</v>
      </c>
      <c r="B675" s="661" t="str" cm="1">
        <f t="array" ref="B675">"P"&amp;INDEX(X!$CL$2:$CL$12,'Scratch Sheet'!H674+1)+9</f>
        <v>P17</v>
      </c>
      <c r="C675" s="661">
        <v>1</v>
      </c>
      <c r="D675" s="755">
        <f t="shared" si="40"/>
        <v>13200.000000000002</v>
      </c>
      <c r="E675" s="682" t="str">
        <f t="shared" si="41"/>
        <v>O2</v>
      </c>
      <c r="F675" s="683">
        <f t="shared" si="42"/>
        <v>12</v>
      </c>
      <c r="H675" s="13">
        <v>937</v>
      </c>
      <c r="I675" s="13">
        <f>VLOOKUP(VLOOKUP(H675,$A$24:$B$1023,2,FALSE),'Scratch Sheet'!$U$23:$X$32,3,FALSE)</f>
        <v>3</v>
      </c>
      <c r="K675" s="13">
        <f t="shared" si="39"/>
        <v>637</v>
      </c>
      <c r="L675" s="13">
        <f>IFERROR(VLOOKUP(VLOOKUP(K675,$A$24:$B$1023,2,FALSE),'Scratch Sheet'!$U$23:$Y$32,5,FALSE)*VLOOKUP(VLOOKUP(K675,$A$24:$E$1023,5,FALSE),'Scratch Sheet'!$L$22:$M$30,2,FALSE),"")</f>
        <v>11000</v>
      </c>
      <c r="N675" s="675">
        <v>513</v>
      </c>
      <c r="O675" s="675" t="str" cm="1">
        <f t="array" ref="O675">IF(OR(INDEX($B$24:$B$1023,N675)="P10",INDEX($B$24:$B$1023,N675)="P11",INDEX($B$24:$B$1023,N675)="P12",INDEX($B$24:$B$1023,N675)="P13"),"C",IF(OR(INDEX($B$24:$B$1023,N675)="P14",INDEX($B$24:$B$1023,N675)="P15",INDEX($B$24:$B$1023,N675)="P16"),"N","O"))&amp;IF(MOD(N675,100)&lt;20,1,IF(MOD(N675,100)&lt;70,2,3))</f>
        <v>C1</v>
      </c>
    </row>
    <row r="676" spans="1:15" ht="16.5" thickBot="1">
      <c r="A676" s="662">
        <v>653</v>
      </c>
      <c r="B676" s="661" t="str" cm="1">
        <f t="array" ref="B676">"P"&amp;INDEX(X!$CL$2:$CL$12,'Scratch Sheet'!H675+1)+9</f>
        <v>P13</v>
      </c>
      <c r="C676" s="661">
        <v>1</v>
      </c>
      <c r="D676" s="755">
        <f t="shared" si="40"/>
        <v>9000</v>
      </c>
      <c r="E676" s="682" t="str">
        <f t="shared" si="41"/>
        <v>C2</v>
      </c>
      <c r="F676" s="683">
        <f t="shared" si="42"/>
        <v>5</v>
      </c>
      <c r="H676" s="13">
        <v>732</v>
      </c>
      <c r="I676" s="13">
        <f>VLOOKUP(VLOOKUP(H676,$A$24:$B$1023,2,FALSE),'Scratch Sheet'!$U$23:$X$32,3,FALSE)</f>
        <v>5</v>
      </c>
      <c r="K676" s="13">
        <f t="shared" si="39"/>
        <v>632</v>
      </c>
      <c r="L676" s="13">
        <f>IFERROR(VLOOKUP(VLOOKUP(K676,$A$24:$B$1023,2,FALSE),'Scratch Sheet'!$U$23:$Y$32,5,FALSE)*VLOOKUP(VLOOKUP(K676,$A$24:$E$1023,5,FALSE),'Scratch Sheet'!$L$22:$M$30,2,FALSE),"")</f>
        <v>11000</v>
      </c>
      <c r="N676" s="675">
        <v>518</v>
      </c>
      <c r="O676" s="675" t="str" cm="1">
        <f t="array" ref="O676">IF(OR(INDEX($B$24:$B$1023,N676)="P10",INDEX($B$24:$B$1023,N676)="P11",INDEX($B$24:$B$1023,N676)="P12",INDEX($B$24:$B$1023,N676)="P13"),"C",IF(OR(INDEX($B$24:$B$1023,N676)="P14",INDEX($B$24:$B$1023,N676)="P15",INDEX($B$24:$B$1023,N676)="P16"),"N","O"))&amp;IF(MOD(N676,100)&lt;20,1,IF(MOD(N676,100)&lt;70,2,3))</f>
        <v>C1</v>
      </c>
    </row>
    <row r="677" spans="1:15" ht="16.5" thickBot="1">
      <c r="A677" s="662">
        <v>654</v>
      </c>
      <c r="B677" s="661" t="str" cm="1">
        <f t="array" ref="B677">"P"&amp;INDEX(X!$CL$2:$CL$12,'Scratch Sheet'!H676+1)+9</f>
        <v>P11</v>
      </c>
      <c r="C677" s="661">
        <v>1</v>
      </c>
      <c r="D677" s="755">
        <f t="shared" si="40"/>
        <v>11000</v>
      </c>
      <c r="E677" s="682" t="str">
        <f t="shared" si="41"/>
        <v>C2</v>
      </c>
      <c r="F677" s="683">
        <f t="shared" si="42"/>
        <v>11</v>
      </c>
      <c r="H677" s="13">
        <v>659</v>
      </c>
      <c r="I677" s="13">
        <f>VLOOKUP(VLOOKUP(H677,$A$24:$B$1023,2,FALSE),'Scratch Sheet'!$U$23:$X$32,3,FALSE)</f>
        <v>11</v>
      </c>
      <c r="K677" s="13">
        <f t="shared" si="39"/>
        <v>630</v>
      </c>
      <c r="L677" s="13">
        <f>IFERROR(VLOOKUP(VLOOKUP(K677,$A$24:$B$1023,2,FALSE),'Scratch Sheet'!$U$23:$Y$32,5,FALSE)*VLOOKUP(VLOOKUP(K677,$A$24:$E$1023,5,FALSE),'Scratch Sheet'!$L$22:$M$30,2,FALSE),"")</f>
        <v>4500</v>
      </c>
      <c r="N677" s="675">
        <v>519</v>
      </c>
      <c r="O677" s="675" t="str" cm="1">
        <f t="array" ref="O677">IF(OR(INDEX($B$24:$B$1023,N677)="P10",INDEX($B$24:$B$1023,N677)="P11",INDEX($B$24:$B$1023,N677)="P12",INDEX($B$24:$B$1023,N677)="P13"),"C",IF(OR(INDEX($B$24:$B$1023,N677)="P14",INDEX($B$24:$B$1023,N677)="P15",INDEX($B$24:$B$1023,N677)="P16"),"N","O"))&amp;IF(MOD(N677,100)&lt;20,1,IF(MOD(N677,100)&lt;70,2,3))</f>
        <v>C1</v>
      </c>
    </row>
    <row r="678" spans="1:15" ht="16.5" thickBot="1">
      <c r="A678" s="662">
        <v>655</v>
      </c>
      <c r="B678" s="661" t="str" cm="1">
        <f t="array" ref="B678">"P"&amp;INDEX(X!$CL$2:$CL$12,'Scratch Sheet'!H677+1)+9</f>
        <v>P11</v>
      </c>
      <c r="C678" s="661">
        <v>1</v>
      </c>
      <c r="D678" s="755">
        <f t="shared" si="40"/>
        <v>11000</v>
      </c>
      <c r="E678" s="682" t="str">
        <f t="shared" si="41"/>
        <v>C2</v>
      </c>
      <c r="F678" s="683">
        <f t="shared" si="42"/>
        <v>11</v>
      </c>
      <c r="H678" s="13">
        <v>667</v>
      </c>
      <c r="I678" s="13">
        <f>VLOOKUP(VLOOKUP(H678,$A$24:$B$1023,2,FALSE),'Scratch Sheet'!$U$23:$X$32,3,FALSE)</f>
        <v>4</v>
      </c>
      <c r="K678" s="13">
        <f t="shared" si="39"/>
        <v>631</v>
      </c>
      <c r="L678" s="13">
        <f>IFERROR(VLOOKUP(VLOOKUP(K678,$A$24:$B$1023,2,FALSE),'Scratch Sheet'!$U$23:$Y$32,5,FALSE)*VLOOKUP(VLOOKUP(K678,$A$24:$E$1023,5,FALSE),'Scratch Sheet'!$L$22:$M$30,2,FALSE),"")</f>
        <v>2400</v>
      </c>
      <c r="N678" s="675">
        <v>523</v>
      </c>
      <c r="O678" s="675" t="str" cm="1">
        <f t="array" ref="O678">IF(OR(INDEX($B$24:$B$1023,N678)="P10",INDEX($B$24:$B$1023,N678)="P11",INDEX($B$24:$B$1023,N678)="P12",INDEX($B$24:$B$1023,N678)="P13"),"C",IF(OR(INDEX($B$24:$B$1023,N678)="P14",INDEX($B$24:$B$1023,N678)="P15",INDEX($B$24:$B$1023,N678)="P16"),"N","O"))&amp;IF(MOD(N678,100)&lt;20,1,IF(MOD(N678,100)&lt;70,2,3))</f>
        <v>C2</v>
      </c>
    </row>
    <row r="679" spans="1:15" ht="16.5" thickBot="1">
      <c r="A679" s="662">
        <v>656</v>
      </c>
      <c r="B679" s="661" t="str" cm="1">
        <f t="array" ref="B679">"P"&amp;INDEX(X!$CL$2:$CL$12,'Scratch Sheet'!H678+1)+9</f>
        <v>P12</v>
      </c>
      <c r="C679" s="661">
        <v>1</v>
      </c>
      <c r="D679" s="755">
        <f t="shared" si="40"/>
        <v>6825</v>
      </c>
      <c r="E679" s="682" t="str">
        <f t="shared" si="41"/>
        <v>C2</v>
      </c>
      <c r="F679" s="683">
        <f t="shared" si="42"/>
        <v>6.5</v>
      </c>
      <c r="H679" s="13">
        <v>183</v>
      </c>
      <c r="I679" s="13">
        <f>VLOOKUP(VLOOKUP(H679,$A$24:$B$1023,2,FALSE),'Scratch Sheet'!$U$23:$X$32,3,FALSE)</f>
        <v>11</v>
      </c>
      <c r="K679" s="13">
        <f t="shared" si="39"/>
        <v>629</v>
      </c>
      <c r="L679" s="13">
        <f>IFERROR(VLOOKUP(VLOOKUP(K679,$A$24:$B$1023,2,FALSE),'Scratch Sheet'!$U$23:$Y$32,5,FALSE)*VLOOKUP(VLOOKUP(K679,$A$24:$E$1023,5,FALSE),'Scratch Sheet'!$L$22:$M$30,2,FALSE),"")</f>
        <v>4500</v>
      </c>
      <c r="N679" s="675">
        <v>134</v>
      </c>
      <c r="O679" s="675" t="str" cm="1">
        <f t="array" ref="O679">IF(OR(INDEX($B$24:$B$1023,N679)="P10",INDEX($B$24:$B$1023,N679)="P11",INDEX($B$24:$B$1023,N679)="P12",INDEX($B$24:$B$1023,N679)="P13"),"C",IF(OR(INDEX($B$24:$B$1023,N679)="P14",INDEX($B$24:$B$1023,N679)="P15",INDEX($B$24:$B$1023,N679)="P16"),"N","O"))&amp;IF(MOD(N679,100)&lt;20,1,IF(MOD(N679,100)&lt;70,2,3))</f>
        <v>N2</v>
      </c>
    </row>
    <row r="680" spans="1:15" ht="16.5" thickBot="1">
      <c r="A680" s="662">
        <v>657</v>
      </c>
      <c r="B680" s="661" t="str" cm="1">
        <f t="array" ref="B680">"P"&amp;INDEX(X!$CL$2:$CL$12,'Scratch Sheet'!H679+1)+9</f>
        <v>P10</v>
      </c>
      <c r="C680" s="661">
        <v>1</v>
      </c>
      <c r="D680" s="755">
        <f t="shared" si="40"/>
        <v>2400</v>
      </c>
      <c r="E680" s="682" t="str">
        <f t="shared" si="41"/>
        <v>C2</v>
      </c>
      <c r="F680" s="683">
        <f t="shared" si="42"/>
        <v>3</v>
      </c>
      <c r="H680" s="13">
        <v>919</v>
      </c>
      <c r="I680" s="13">
        <f>VLOOKUP(VLOOKUP(H680,$A$24:$B$1023,2,FALSE),'Scratch Sheet'!$U$23:$X$32,3,FALSE)</f>
        <v>5</v>
      </c>
      <c r="K680" s="13">
        <f t="shared" si="39"/>
        <v>628</v>
      </c>
      <c r="L680" s="13">
        <f>IFERROR(VLOOKUP(VLOOKUP(K680,$A$24:$B$1023,2,FALSE),'Scratch Sheet'!$U$23:$Y$32,5,FALSE)*VLOOKUP(VLOOKUP(K680,$A$24:$E$1023,5,FALSE),'Scratch Sheet'!$L$22:$M$30,2,FALSE),"")</f>
        <v>2400</v>
      </c>
      <c r="N680" s="675">
        <v>151</v>
      </c>
      <c r="O680" s="675" t="str" cm="1">
        <f t="array" ref="O680">IF(OR(INDEX($B$24:$B$1023,N680)="P10",INDEX($B$24:$B$1023,N680)="P11",INDEX($B$24:$B$1023,N680)="P12",INDEX($B$24:$B$1023,N680)="P13"),"C",IF(OR(INDEX($B$24:$B$1023,N680)="P14",INDEX($B$24:$B$1023,N680)="P15",INDEX($B$24:$B$1023,N680)="P16"),"N","O"))&amp;IF(MOD(N680,100)&lt;20,1,IF(MOD(N680,100)&lt;70,2,3))</f>
        <v>N2</v>
      </c>
    </row>
    <row r="681" spans="1:15" ht="16.5" thickBot="1">
      <c r="A681" s="662">
        <v>658</v>
      </c>
      <c r="B681" s="661" t="str" cm="1">
        <f t="array" ref="B681">"P"&amp;INDEX(X!$CL$2:$CL$12,'Scratch Sheet'!H680+1)+9</f>
        <v>P10</v>
      </c>
      <c r="C681" s="661">
        <v>1</v>
      </c>
      <c r="D681" s="755">
        <f t="shared" si="40"/>
        <v>2400</v>
      </c>
      <c r="E681" s="682" t="str">
        <f t="shared" si="41"/>
        <v>C2</v>
      </c>
      <c r="F681" s="683">
        <f t="shared" si="42"/>
        <v>3</v>
      </c>
      <c r="H681" s="13">
        <v>866</v>
      </c>
      <c r="I681" s="13">
        <f>VLOOKUP(VLOOKUP(H681,$A$24:$B$1023,2,FALSE),'Scratch Sheet'!$U$23:$X$32,3,FALSE)</f>
        <v>3</v>
      </c>
      <c r="K681" s="13">
        <f t="shared" si="39"/>
        <v>647</v>
      </c>
      <c r="L681" s="13">
        <f>IFERROR(VLOOKUP(VLOOKUP(K681,$A$24:$B$1023,2,FALSE),'Scratch Sheet'!$U$23:$Y$32,5,FALSE)*VLOOKUP(VLOOKUP(K681,$A$24:$E$1023,5,FALSE),'Scratch Sheet'!$L$22:$M$30,2,FALSE),"")</f>
        <v>4500</v>
      </c>
      <c r="N681" s="675">
        <v>168</v>
      </c>
      <c r="O681" s="675" t="str" cm="1">
        <f t="array" ref="O681">IF(OR(INDEX($B$24:$B$1023,N681)="P10",INDEX($B$24:$B$1023,N681)="P11",INDEX($B$24:$B$1023,N681)="P12",INDEX($B$24:$B$1023,N681)="P13"),"C",IF(OR(INDEX($B$24:$B$1023,N681)="P14",INDEX($B$24:$B$1023,N681)="P15",INDEX($B$24:$B$1023,N681)="P16"),"N","O"))&amp;IF(MOD(N681,100)&lt;20,1,IF(MOD(N681,100)&lt;70,2,3))</f>
        <v>N2</v>
      </c>
    </row>
    <row r="682" spans="1:15" ht="16.5" thickBot="1">
      <c r="A682" s="662">
        <v>659</v>
      </c>
      <c r="B682" s="661" t="str" cm="1">
        <f t="array" ref="B682">"P"&amp;INDEX(X!$CL$2:$CL$12,'Scratch Sheet'!H681+1)+9</f>
        <v>P11</v>
      </c>
      <c r="C682" s="661">
        <v>1</v>
      </c>
      <c r="D682" s="755">
        <f t="shared" si="40"/>
        <v>11000</v>
      </c>
      <c r="E682" s="682" t="str">
        <f t="shared" si="41"/>
        <v>C2</v>
      </c>
      <c r="F682" s="683">
        <f t="shared" si="42"/>
        <v>11</v>
      </c>
      <c r="H682" s="13">
        <v>34</v>
      </c>
      <c r="I682" s="13">
        <f>VLOOKUP(VLOOKUP(H682,$A$24:$B$1023,2,FALSE),'Scratch Sheet'!$U$23:$X$32,3,FALSE)</f>
        <v>6</v>
      </c>
      <c r="K682" s="13">
        <f t="shared" si="39"/>
        <v>650</v>
      </c>
      <c r="L682" s="13">
        <f>IFERROR(VLOOKUP(VLOOKUP(K682,$A$24:$B$1023,2,FALSE),'Scratch Sheet'!$U$23:$Y$32,5,FALSE)*VLOOKUP(VLOOKUP(K682,$A$24:$E$1023,5,FALSE),'Scratch Sheet'!$L$22:$M$30,2,FALSE),"")</f>
        <v>4680</v>
      </c>
      <c r="N682" s="675">
        <v>185</v>
      </c>
      <c r="O682" s="675" t="str" cm="1">
        <f t="array" ref="O682">IF(OR(INDEX($B$24:$B$1023,N682)="P10",INDEX($B$24:$B$1023,N682)="P11",INDEX($B$24:$B$1023,N682)="P12",INDEX($B$24:$B$1023,N682)="P13"),"C",IF(OR(INDEX($B$24:$B$1023,N682)="P14",INDEX($B$24:$B$1023,N682)="P15",INDEX($B$24:$B$1023,N682)="P16"),"N","O"))&amp;IF(MOD(N682,100)&lt;20,1,IF(MOD(N682,100)&lt;70,2,3))</f>
        <v>N3</v>
      </c>
    </row>
    <row r="683" spans="1:15" ht="16.5" thickBot="1">
      <c r="A683" s="662">
        <v>660</v>
      </c>
      <c r="B683" s="661" t="str" cm="1">
        <f t="array" ref="B683">"P"&amp;INDEX(X!$CL$2:$CL$12,'Scratch Sheet'!H682+1)+9</f>
        <v>P18</v>
      </c>
      <c r="C683" s="661">
        <v>1</v>
      </c>
      <c r="D683" s="755">
        <f t="shared" si="40"/>
        <v>5940.0000000000009</v>
      </c>
      <c r="E683" s="682" t="str">
        <f t="shared" si="41"/>
        <v>O2</v>
      </c>
      <c r="F683" s="683">
        <f t="shared" si="42"/>
        <v>6</v>
      </c>
      <c r="H683" s="13">
        <v>428</v>
      </c>
      <c r="I683" s="13">
        <f>VLOOKUP(VLOOKUP(H683,$A$24:$B$1023,2,FALSE),'Scratch Sheet'!$U$23:$X$32,3,FALSE)</f>
        <v>11</v>
      </c>
      <c r="K683" s="13">
        <f t="shared" si="39"/>
        <v>649</v>
      </c>
      <c r="L683" s="13">
        <f>IFERROR(VLOOKUP(VLOOKUP(K683,$A$24:$B$1023,2,FALSE),'Scratch Sheet'!$U$23:$Y$32,5,FALSE)*VLOOKUP(VLOOKUP(K683,$A$24:$E$1023,5,FALSE),'Scratch Sheet'!$L$22:$M$30,2,FALSE),"")</f>
        <v>11000</v>
      </c>
      <c r="N683" s="675">
        <v>194</v>
      </c>
      <c r="O683" s="675" t="str" cm="1">
        <f t="array" ref="O683">IF(OR(INDEX($B$24:$B$1023,N683)="P10",INDEX($B$24:$B$1023,N683)="P11",INDEX($B$24:$B$1023,N683)="P12",INDEX($B$24:$B$1023,N683)="P13"),"C",IF(OR(INDEX($B$24:$B$1023,N683)="P14",INDEX($B$24:$B$1023,N683)="P15",INDEX($B$24:$B$1023,N683)="P16"),"N","O"))&amp;IF(MOD(N683,100)&lt;20,1,IF(MOD(N683,100)&lt;70,2,3))</f>
        <v>C3</v>
      </c>
    </row>
    <row r="684" spans="1:15" ht="16.5" thickBot="1">
      <c r="A684" s="662">
        <v>661</v>
      </c>
      <c r="B684" s="661" t="str" cm="1">
        <f t="array" ref="B684">"P"&amp;INDEX(X!$CL$2:$CL$12,'Scratch Sheet'!H683+1)+9</f>
        <v>P14</v>
      </c>
      <c r="C684" s="661">
        <v>1</v>
      </c>
      <c r="D684" s="755">
        <f t="shared" si="40"/>
        <v>6480</v>
      </c>
      <c r="E684" s="682" t="str">
        <f t="shared" si="41"/>
        <v>N2</v>
      </c>
      <c r="F684" s="683">
        <f t="shared" si="42"/>
        <v>8</v>
      </c>
      <c r="H684" s="13">
        <v>995</v>
      </c>
      <c r="I684" s="13">
        <f>VLOOKUP(VLOOKUP(H684,$A$24:$B$1023,2,FALSE),'Scratch Sheet'!$U$23:$X$32,3,FALSE)</f>
        <v>11</v>
      </c>
      <c r="K684" s="13">
        <f t="shared" si="39"/>
        <v>644</v>
      </c>
      <c r="L684" s="13">
        <f>IFERROR(VLOOKUP(VLOOKUP(K684,$A$24:$B$1023,2,FALSE),'Scratch Sheet'!$U$23:$Y$32,5,FALSE)*VLOOKUP(VLOOKUP(K684,$A$24:$E$1023,5,FALSE),'Scratch Sheet'!$L$22:$M$30,2,FALSE),"")</f>
        <v>6480</v>
      </c>
      <c r="N684" s="675">
        <v>202</v>
      </c>
      <c r="O684" s="675" t="str" cm="1">
        <f t="array" ref="O684">IF(OR(INDEX($B$24:$B$1023,N684)="P10",INDEX($B$24:$B$1023,N684)="P11",INDEX($B$24:$B$1023,N684)="P12",INDEX($B$24:$B$1023,N684)="P13"),"C",IF(OR(INDEX($B$24:$B$1023,N684)="P14",INDEX($B$24:$B$1023,N684)="P15",INDEX($B$24:$B$1023,N684)="P16"),"N","O"))&amp;IF(MOD(N684,100)&lt;20,1,IF(MOD(N684,100)&lt;70,2,3))</f>
        <v>N1</v>
      </c>
    </row>
    <row r="685" spans="1:15" ht="16.5" thickBot="1">
      <c r="A685" s="662">
        <v>662</v>
      </c>
      <c r="B685" s="661" t="str" cm="1">
        <f t="array" ref="B685">"P"&amp;INDEX(X!$CL$2:$CL$12,'Scratch Sheet'!H684+1)+9</f>
        <v>P10</v>
      </c>
      <c r="C685" s="661">
        <v>1</v>
      </c>
      <c r="D685" s="755">
        <f t="shared" si="40"/>
        <v>2400</v>
      </c>
      <c r="E685" s="682" t="str">
        <f t="shared" si="41"/>
        <v>C2</v>
      </c>
      <c r="F685" s="683">
        <f t="shared" si="42"/>
        <v>3</v>
      </c>
      <c r="H685" s="13">
        <v>506</v>
      </c>
      <c r="I685" s="13">
        <f>VLOOKUP(VLOOKUP(H685,$A$24:$B$1023,2,FALSE),'Scratch Sheet'!$U$23:$X$32,3,FALSE)</f>
        <v>11</v>
      </c>
      <c r="K685" s="13">
        <f t="shared" si="39"/>
        <v>646</v>
      </c>
      <c r="L685" s="13">
        <f>IFERROR(VLOOKUP(VLOOKUP(K685,$A$24:$B$1023,2,FALSE),'Scratch Sheet'!$U$23:$Y$32,5,FALSE)*VLOOKUP(VLOOKUP(K685,$A$24:$E$1023,5,FALSE),'Scratch Sheet'!$L$22:$M$30,2,FALSE),"")</f>
        <v>4500</v>
      </c>
      <c r="N685" s="675">
        <v>204</v>
      </c>
      <c r="O685" s="675" t="str" cm="1">
        <f t="array" ref="O685">IF(OR(INDEX($B$24:$B$1023,N685)="P10",INDEX($B$24:$B$1023,N685)="P11",INDEX($B$24:$B$1023,N685)="P12",INDEX($B$24:$B$1023,N685)="P13"),"C",IF(OR(INDEX($B$24:$B$1023,N685)="P14",INDEX($B$24:$B$1023,N685)="P15",INDEX($B$24:$B$1023,N685)="P16"),"N","O"))&amp;IF(MOD(N685,100)&lt;20,1,IF(MOD(N685,100)&lt;70,2,3))</f>
        <v>C1</v>
      </c>
    </row>
    <row r="686" spans="1:15" ht="16.5" thickBot="1">
      <c r="A686" s="662">
        <v>663</v>
      </c>
      <c r="B686" s="661" t="str" cm="1">
        <f t="array" ref="B686">"P"&amp;INDEX(X!$CL$2:$CL$12,'Scratch Sheet'!H685+1)+9</f>
        <v>P13</v>
      </c>
      <c r="C686" s="661">
        <v>1</v>
      </c>
      <c r="D686" s="755">
        <f t="shared" si="40"/>
        <v>4500</v>
      </c>
      <c r="E686" s="682" t="str">
        <f t="shared" si="41"/>
        <v>C2</v>
      </c>
      <c r="F686" s="683">
        <f t="shared" si="42"/>
        <v>5</v>
      </c>
      <c r="H686" s="13">
        <v>940</v>
      </c>
      <c r="I686" s="13">
        <f>VLOOKUP(VLOOKUP(H686,$A$24:$B$1023,2,FALSE),'Scratch Sheet'!$U$23:$X$32,3,FALSE)</f>
        <v>12</v>
      </c>
      <c r="K686" s="13">
        <f t="shared" si="39"/>
        <v>645</v>
      </c>
      <c r="L686" s="13">
        <f>IFERROR(VLOOKUP(VLOOKUP(K686,$A$24:$B$1023,2,FALSE),'Scratch Sheet'!$U$23:$Y$32,5,FALSE)*VLOOKUP(VLOOKUP(K686,$A$24:$E$1023,5,FALSE),'Scratch Sheet'!$L$22:$M$30,2,FALSE),"")</f>
        <v>2400</v>
      </c>
      <c r="N686" s="675">
        <v>205</v>
      </c>
      <c r="O686" s="675" t="str" cm="1">
        <f t="array" ref="O686">IF(OR(INDEX($B$24:$B$1023,N686)="P10",INDEX($B$24:$B$1023,N686)="P11",INDEX($B$24:$B$1023,N686)="P12",INDEX($B$24:$B$1023,N686)="P13"),"C",IF(OR(INDEX($B$24:$B$1023,N686)="P14",INDEX($B$24:$B$1023,N686)="P15",INDEX($B$24:$B$1023,N686)="P16"),"N","O"))&amp;IF(MOD(N686,100)&lt;20,1,IF(MOD(N686,100)&lt;70,2,3))</f>
        <v>C1</v>
      </c>
    </row>
    <row r="687" spans="1:15" ht="16.5" thickBot="1">
      <c r="A687" s="662">
        <v>664</v>
      </c>
      <c r="B687" s="661" t="str" cm="1">
        <f t="array" ref="B687">"P"&amp;INDEX(X!$CL$2:$CL$12,'Scratch Sheet'!H686+1)+9</f>
        <v>P13</v>
      </c>
      <c r="C687" s="661">
        <v>1</v>
      </c>
      <c r="D687" s="755">
        <f t="shared" si="40"/>
        <v>4500</v>
      </c>
      <c r="E687" s="682" t="str">
        <f t="shared" si="41"/>
        <v>C2</v>
      </c>
      <c r="F687" s="683">
        <f t="shared" si="42"/>
        <v>5</v>
      </c>
      <c r="H687" s="13">
        <v>331</v>
      </c>
      <c r="I687" s="13">
        <f>VLOOKUP(VLOOKUP(H687,$A$24:$B$1023,2,FALSE),'Scratch Sheet'!$U$23:$X$32,3,FALSE)</f>
        <v>11</v>
      </c>
      <c r="K687" s="13">
        <f t="shared" si="39"/>
        <v>648</v>
      </c>
      <c r="L687" s="13">
        <f>IFERROR(VLOOKUP(VLOOKUP(K687,$A$24:$B$1023,2,FALSE),'Scratch Sheet'!$U$23:$Y$32,5,FALSE)*VLOOKUP(VLOOKUP(K687,$A$24:$E$1023,5,FALSE),'Scratch Sheet'!$L$22:$M$30,2,FALSE),"")</f>
        <v>2400</v>
      </c>
      <c r="N687" s="675">
        <v>211</v>
      </c>
      <c r="O687" s="675" t="str" cm="1">
        <f t="array" ref="O687">IF(OR(INDEX($B$24:$B$1023,N687)="P10",INDEX($B$24:$B$1023,N687)="P11",INDEX($B$24:$B$1023,N687)="P12",INDEX($B$24:$B$1023,N687)="P13"),"C",IF(OR(INDEX($B$24:$B$1023,N687)="P14",INDEX($B$24:$B$1023,N687)="P15",INDEX($B$24:$B$1023,N687)="P16"),"N","O"))&amp;IF(MOD(N687,100)&lt;20,1,IF(MOD(N687,100)&lt;70,2,3))</f>
        <v>C1</v>
      </c>
    </row>
    <row r="688" spans="1:15" ht="16.5" thickBot="1">
      <c r="A688" s="662">
        <v>665</v>
      </c>
      <c r="B688" s="661" t="str" cm="1">
        <f t="array" ref="B688">"P"&amp;INDEX(X!$CL$2:$CL$12,'Scratch Sheet'!H687+1)+9</f>
        <v>P10</v>
      </c>
      <c r="C688" s="661">
        <v>1</v>
      </c>
      <c r="D688" s="755">
        <f t="shared" si="40"/>
        <v>2400</v>
      </c>
      <c r="E688" s="682" t="str">
        <f t="shared" si="41"/>
        <v>C2</v>
      </c>
      <c r="F688" s="683">
        <f t="shared" si="42"/>
        <v>3</v>
      </c>
      <c r="H688" s="13">
        <v>526</v>
      </c>
      <c r="I688" s="13">
        <f>VLOOKUP(VLOOKUP(H688,$A$24:$B$1023,2,FALSE),'Scratch Sheet'!$U$23:$X$32,3,FALSE)</f>
        <v>3</v>
      </c>
      <c r="K688" s="13">
        <f t="shared" si="39"/>
        <v>643</v>
      </c>
      <c r="L688" s="13">
        <f>IFERROR(VLOOKUP(VLOOKUP(K688,$A$24:$B$1023,2,FALSE),'Scratch Sheet'!$U$23:$Y$32,5,FALSE)*VLOOKUP(VLOOKUP(K688,$A$24:$E$1023,5,FALSE),'Scratch Sheet'!$L$22:$M$30,2,FALSE),"")</f>
        <v>5940.0000000000009</v>
      </c>
      <c r="N688" s="675">
        <v>219</v>
      </c>
      <c r="O688" s="675" t="str" cm="1">
        <f t="array" ref="O688">IF(OR(INDEX($B$24:$B$1023,N688)="P10",INDEX($B$24:$B$1023,N688)="P11",INDEX($B$24:$B$1023,N688)="P12",INDEX($B$24:$B$1023,N688)="P13"),"C",IF(OR(INDEX($B$24:$B$1023,N688)="P14",INDEX($B$24:$B$1023,N688)="P15",INDEX($B$24:$B$1023,N688)="P16"),"N","O"))&amp;IF(MOD(N688,100)&lt;20,1,IF(MOD(N688,100)&lt;70,2,3))</f>
        <v>N1</v>
      </c>
    </row>
    <row r="689" spans="1:15" ht="16.5" thickBot="1">
      <c r="A689" s="662">
        <v>666</v>
      </c>
      <c r="B689" s="661" t="str" cm="1">
        <f t="array" ref="B689">"P"&amp;INDEX(X!$CL$2:$CL$12,'Scratch Sheet'!H688+1)+9</f>
        <v>P11</v>
      </c>
      <c r="C689" s="661">
        <v>1</v>
      </c>
      <c r="D689" s="755">
        <f t="shared" si="40"/>
        <v>11000</v>
      </c>
      <c r="E689" s="682" t="str">
        <f t="shared" si="41"/>
        <v>C2</v>
      </c>
      <c r="F689" s="683">
        <f t="shared" si="42"/>
        <v>11</v>
      </c>
      <c r="H689" s="13">
        <v>553</v>
      </c>
      <c r="I689" s="13">
        <f>VLOOKUP(VLOOKUP(H689,$A$24:$B$1023,2,FALSE),'Scratch Sheet'!$U$23:$X$32,3,FALSE)</f>
        <v>11</v>
      </c>
      <c r="K689" s="13">
        <f t="shared" si="39"/>
        <v>641</v>
      </c>
      <c r="L689" s="13">
        <f>IFERROR(VLOOKUP(VLOOKUP(K689,$A$24:$B$1023,2,FALSE),'Scratch Sheet'!$U$23:$Y$32,5,FALSE)*VLOOKUP(VLOOKUP(K689,$A$24:$E$1023,5,FALSE),'Scratch Sheet'!$L$22:$M$30,2,FALSE),"")</f>
        <v>2400</v>
      </c>
      <c r="N689" s="675">
        <v>221</v>
      </c>
      <c r="O689" s="675" t="str" cm="1">
        <f t="array" ref="O689">IF(OR(INDEX($B$24:$B$1023,N689)="P10",INDEX($B$24:$B$1023,N689)="P11",INDEX($B$24:$B$1023,N689)="P12",INDEX($B$24:$B$1023,N689)="P13"),"C",IF(OR(INDEX($B$24:$B$1023,N689)="P14",INDEX($B$24:$B$1023,N689)="P15",INDEX($B$24:$B$1023,N689)="P16"),"N","O"))&amp;IF(MOD(N689,100)&lt;20,1,IF(MOD(N689,100)&lt;70,2,3))</f>
        <v>C2</v>
      </c>
    </row>
    <row r="690" spans="1:15" ht="16.5" thickBot="1">
      <c r="A690" s="662">
        <v>667</v>
      </c>
      <c r="B690" s="661" t="str" cm="1">
        <f t="array" ref="B690">"P"&amp;INDEX(X!$CL$2:$CL$12,'Scratch Sheet'!H689+1)+9</f>
        <v>P16</v>
      </c>
      <c r="C690" s="661">
        <v>1</v>
      </c>
      <c r="D690" s="755">
        <f t="shared" si="40"/>
        <v>4680</v>
      </c>
      <c r="E690" s="682" t="str">
        <f t="shared" si="41"/>
        <v>N2</v>
      </c>
      <c r="F690" s="683">
        <f t="shared" si="42"/>
        <v>4</v>
      </c>
      <c r="H690" s="13">
        <v>200</v>
      </c>
      <c r="I690" s="13">
        <f>VLOOKUP(VLOOKUP(H690,$A$24:$B$1023,2,FALSE),'Scratch Sheet'!$U$23:$X$32,3,FALSE)</f>
        <v>11</v>
      </c>
      <c r="K690" s="13">
        <f t="shared" si="39"/>
        <v>642</v>
      </c>
      <c r="L690" s="13">
        <f>IFERROR(VLOOKUP(VLOOKUP(K690,$A$24:$B$1023,2,FALSE),'Scratch Sheet'!$U$23:$Y$32,5,FALSE)*VLOOKUP(VLOOKUP(K690,$A$24:$E$1023,5,FALSE),'Scratch Sheet'!$L$22:$M$30,2,FALSE),"")</f>
        <v>11000</v>
      </c>
      <c r="N690" s="675">
        <v>222</v>
      </c>
      <c r="O690" s="675" t="str" cm="1">
        <f t="array" ref="O690">IF(OR(INDEX($B$24:$B$1023,N690)="P10",INDEX($B$24:$B$1023,N690)="P11",INDEX($B$24:$B$1023,N690)="P12",INDEX($B$24:$B$1023,N690)="P13"),"C",IF(OR(INDEX($B$24:$B$1023,N690)="P14",INDEX($B$24:$B$1023,N690)="P15",INDEX($B$24:$B$1023,N690)="P16"),"N","O"))&amp;IF(MOD(N690,100)&lt;20,1,IF(MOD(N690,100)&lt;70,2,3))</f>
        <v>C2</v>
      </c>
    </row>
    <row r="691" spans="1:15" ht="16.5" thickBot="1">
      <c r="A691" s="662">
        <v>668</v>
      </c>
      <c r="B691" s="661" t="str" cm="1">
        <f t="array" ref="B691">"P"&amp;INDEX(X!$CL$2:$CL$12,'Scratch Sheet'!H690+1)+9</f>
        <v>P17</v>
      </c>
      <c r="C691" s="661">
        <v>1</v>
      </c>
      <c r="D691" s="755">
        <f t="shared" si="40"/>
        <v>13200.000000000002</v>
      </c>
      <c r="E691" s="682" t="str">
        <f t="shared" si="41"/>
        <v>O2</v>
      </c>
      <c r="F691" s="683">
        <f t="shared" si="42"/>
        <v>12</v>
      </c>
      <c r="H691" s="13">
        <v>213</v>
      </c>
      <c r="I691" s="13">
        <f>VLOOKUP(VLOOKUP(H691,$A$24:$B$1023,2,FALSE),'Scratch Sheet'!$U$23:$X$32,3,FALSE)</f>
        <v>11</v>
      </c>
      <c r="K691" s="13">
        <f t="shared" si="39"/>
        <v>640</v>
      </c>
      <c r="L691" s="13">
        <f>IFERROR(VLOOKUP(VLOOKUP(K691,$A$24:$B$1023,2,FALSE),'Scratch Sheet'!$U$23:$Y$32,5,FALSE)*VLOOKUP(VLOOKUP(K691,$A$24:$E$1023,5,FALSE),'Scratch Sheet'!$L$22:$M$30,2,FALSE),"")</f>
        <v>2400</v>
      </c>
      <c r="N691" s="675">
        <v>228</v>
      </c>
      <c r="O691" s="675" t="str" cm="1">
        <f t="array" ref="O691">IF(OR(INDEX($B$24:$B$1023,N691)="P10",INDEX($B$24:$B$1023,N691)="P11",INDEX($B$24:$B$1023,N691)="P12",INDEX($B$24:$B$1023,N691)="P13"),"C",IF(OR(INDEX($B$24:$B$1023,N691)="P14",INDEX($B$24:$B$1023,N691)="P15",INDEX($B$24:$B$1023,N691)="P16"),"N","O"))&amp;IF(MOD(N691,100)&lt;20,1,IF(MOD(N691,100)&lt;70,2,3))</f>
        <v>C2</v>
      </c>
    </row>
    <row r="692" spans="1:15" ht="16.5" thickBot="1">
      <c r="A692" s="662">
        <v>669</v>
      </c>
      <c r="B692" s="661" t="str" cm="1">
        <f t="array" ref="B692">"P"&amp;INDEX(X!$CL$2:$CL$12,'Scratch Sheet'!H691+1)+9</f>
        <v>P17</v>
      </c>
      <c r="C692" s="661">
        <v>1</v>
      </c>
      <c r="D692" s="755">
        <f t="shared" si="40"/>
        <v>13200.000000000002</v>
      </c>
      <c r="E692" s="682" t="str">
        <f t="shared" si="41"/>
        <v>O2</v>
      </c>
      <c r="F692" s="683">
        <f t="shared" si="42"/>
        <v>12</v>
      </c>
      <c r="H692" s="13">
        <v>657</v>
      </c>
      <c r="I692" s="13">
        <f>VLOOKUP(VLOOKUP(H692,$A$24:$B$1023,2,FALSE),'Scratch Sheet'!$U$23:$X$32,3,FALSE)</f>
        <v>3</v>
      </c>
      <c r="K692" s="13">
        <f t="shared" si="39"/>
        <v>658</v>
      </c>
      <c r="L692" s="13">
        <f>IFERROR(VLOOKUP(VLOOKUP(K692,$A$24:$B$1023,2,FALSE),'Scratch Sheet'!$U$23:$Y$32,5,FALSE)*VLOOKUP(VLOOKUP(K692,$A$24:$E$1023,5,FALSE),'Scratch Sheet'!$L$22:$M$30,2,FALSE),"")</f>
        <v>2400</v>
      </c>
      <c r="N692" s="675">
        <v>236</v>
      </c>
      <c r="O692" s="675" t="str" cm="1">
        <f t="array" ref="O692">IF(OR(INDEX($B$24:$B$1023,N692)="P10",INDEX($B$24:$B$1023,N692)="P11",INDEX($B$24:$B$1023,N692)="P12",INDEX($B$24:$B$1023,N692)="P13"),"C",IF(OR(INDEX($B$24:$B$1023,N692)="P14",INDEX($B$24:$B$1023,N692)="P15",INDEX($B$24:$B$1023,N692)="P16"),"N","O"))&amp;IF(MOD(N692,100)&lt;20,1,IF(MOD(N692,100)&lt;70,2,3))</f>
        <v>N2</v>
      </c>
    </row>
    <row r="693" spans="1:15" ht="16.5" thickBot="1">
      <c r="A693" s="662">
        <v>670</v>
      </c>
      <c r="B693" s="661" t="str" cm="1">
        <f t="array" ref="B693">"P"&amp;INDEX(X!$CL$2:$CL$12,'Scratch Sheet'!H692+1)+9</f>
        <v>P13</v>
      </c>
      <c r="C693" s="661">
        <v>1</v>
      </c>
      <c r="D693" s="755">
        <f t="shared" si="40"/>
        <v>3600</v>
      </c>
      <c r="E693" s="682" t="str">
        <f t="shared" si="41"/>
        <v>C3</v>
      </c>
      <c r="F693" s="683">
        <f t="shared" si="42"/>
        <v>5</v>
      </c>
      <c r="H693" s="13">
        <v>251</v>
      </c>
      <c r="I693" s="13">
        <f>VLOOKUP(VLOOKUP(H693,$A$24:$B$1023,2,FALSE),'Scratch Sheet'!$U$23:$X$32,3,FALSE)</f>
        <v>11</v>
      </c>
      <c r="K693" s="13">
        <f t="shared" si="39"/>
        <v>661</v>
      </c>
      <c r="L693" s="13">
        <f>IFERROR(VLOOKUP(VLOOKUP(K693,$A$24:$B$1023,2,FALSE),'Scratch Sheet'!$U$23:$Y$32,5,FALSE)*VLOOKUP(VLOOKUP(K693,$A$24:$E$1023,5,FALSE),'Scratch Sheet'!$L$22:$M$30,2,FALSE),"")</f>
        <v>6480</v>
      </c>
      <c r="N693" s="675">
        <v>238</v>
      </c>
      <c r="O693" s="675" t="str" cm="1">
        <f t="array" ref="O693">IF(OR(INDEX($B$24:$B$1023,N693)="P10",INDEX($B$24:$B$1023,N693)="P11",INDEX($B$24:$B$1023,N693)="P12",INDEX($B$24:$B$1023,N693)="P13"),"C",IF(OR(INDEX($B$24:$B$1023,N693)="P14",INDEX($B$24:$B$1023,N693)="P15",INDEX($B$24:$B$1023,N693)="P16"),"N","O"))&amp;IF(MOD(N693,100)&lt;20,1,IF(MOD(N693,100)&lt;70,2,3))</f>
        <v>C2</v>
      </c>
    </row>
    <row r="694" spans="1:15" ht="16.5" thickBot="1">
      <c r="A694" s="662">
        <v>671</v>
      </c>
      <c r="B694" s="661" t="str" cm="1">
        <f t="array" ref="B694">"P"&amp;INDEX(X!$CL$2:$CL$12,'Scratch Sheet'!H693+1)+9</f>
        <v>P11</v>
      </c>
      <c r="C694" s="661">
        <v>1</v>
      </c>
      <c r="D694" s="755">
        <f t="shared" si="40"/>
        <v>8800</v>
      </c>
      <c r="E694" s="682" t="str">
        <f t="shared" si="41"/>
        <v>C3</v>
      </c>
      <c r="F694" s="683">
        <f t="shared" si="42"/>
        <v>11</v>
      </c>
      <c r="H694" s="13">
        <v>810</v>
      </c>
      <c r="I694" s="13">
        <f>VLOOKUP(VLOOKUP(H694,$A$24:$B$1023,2,FALSE),'Scratch Sheet'!$U$23:$X$32,3,FALSE)</f>
        <v>3</v>
      </c>
      <c r="K694" s="13">
        <f t="shared" si="39"/>
        <v>660</v>
      </c>
      <c r="L694" s="13">
        <f>IFERROR(VLOOKUP(VLOOKUP(K694,$A$24:$B$1023,2,FALSE),'Scratch Sheet'!$U$23:$Y$32,5,FALSE)*VLOOKUP(VLOOKUP(K694,$A$24:$E$1023,5,FALSE),'Scratch Sheet'!$L$22:$M$30,2,FALSE),"")</f>
        <v>5940.0000000000009</v>
      </c>
      <c r="N694" s="675">
        <v>239</v>
      </c>
      <c r="O694" s="675" t="str" cm="1">
        <f t="array" ref="O694">IF(OR(INDEX($B$24:$B$1023,N694)="P10",INDEX($B$24:$B$1023,N694)="P11",INDEX($B$24:$B$1023,N694)="P12",INDEX($B$24:$B$1023,N694)="P13"),"C",IF(OR(INDEX($B$24:$B$1023,N694)="P14",INDEX($B$24:$B$1023,N694)="P15",INDEX($B$24:$B$1023,N694)="P16"),"N","O"))&amp;IF(MOD(N694,100)&lt;20,1,IF(MOD(N694,100)&lt;70,2,3))</f>
        <v>C2</v>
      </c>
    </row>
    <row r="695" spans="1:15" ht="16.5" thickBot="1">
      <c r="A695" s="662">
        <v>672</v>
      </c>
      <c r="B695" s="661" t="str" cm="1">
        <f t="array" ref="B695">"P"&amp;INDEX(X!$CL$2:$CL$12,'Scratch Sheet'!H694+1)+9</f>
        <v>P11</v>
      </c>
      <c r="C695" s="661">
        <v>1</v>
      </c>
      <c r="D695" s="755">
        <f t="shared" si="40"/>
        <v>8800</v>
      </c>
      <c r="E695" s="682" t="str">
        <f t="shared" si="41"/>
        <v>C3</v>
      </c>
      <c r="F695" s="683">
        <f t="shared" si="42"/>
        <v>11</v>
      </c>
      <c r="H695" s="13">
        <v>980</v>
      </c>
      <c r="I695" s="13">
        <f>VLOOKUP(VLOOKUP(H695,$A$24:$B$1023,2,FALSE),'Scratch Sheet'!$U$23:$X$32,3,FALSE)</f>
        <v>3</v>
      </c>
      <c r="K695" s="13">
        <f t="shared" si="39"/>
        <v>655</v>
      </c>
      <c r="L695" s="13">
        <f>IFERROR(VLOOKUP(VLOOKUP(K695,$A$24:$B$1023,2,FALSE),'Scratch Sheet'!$U$23:$Y$32,5,FALSE)*VLOOKUP(VLOOKUP(K695,$A$24:$E$1023,5,FALSE),'Scratch Sheet'!$L$22:$M$30,2,FALSE),"")</f>
        <v>11000</v>
      </c>
      <c r="N695" s="675">
        <v>245</v>
      </c>
      <c r="O695" s="675" t="str" cm="1">
        <f t="array" ref="O695">IF(OR(INDEX($B$24:$B$1023,N695)="P10",INDEX($B$24:$B$1023,N695)="P11",INDEX($B$24:$B$1023,N695)="P12",INDEX($B$24:$B$1023,N695)="P13"),"C",IF(OR(INDEX($B$24:$B$1023,N695)="P14",INDEX($B$24:$B$1023,N695)="P15",INDEX($B$24:$B$1023,N695)="P16"),"N","O"))&amp;IF(MOD(N695,100)&lt;20,1,IF(MOD(N695,100)&lt;70,2,3))</f>
        <v>C2</v>
      </c>
    </row>
    <row r="696" spans="1:15" ht="16.5" thickBot="1">
      <c r="A696" s="662">
        <v>673</v>
      </c>
      <c r="B696" s="661" t="str" cm="1">
        <f t="array" ref="B696">"P"&amp;INDEX(X!$CL$2:$CL$12,'Scratch Sheet'!H695+1)+9</f>
        <v>P12</v>
      </c>
      <c r="C696" s="661">
        <v>1</v>
      </c>
      <c r="D696" s="755">
        <f t="shared" si="40"/>
        <v>5460</v>
      </c>
      <c r="E696" s="682" t="str">
        <f t="shared" si="41"/>
        <v>C3</v>
      </c>
      <c r="F696" s="683">
        <f t="shared" si="42"/>
        <v>6.5</v>
      </c>
      <c r="H696" s="13">
        <v>369</v>
      </c>
      <c r="I696" s="13">
        <f>VLOOKUP(VLOOKUP(H696,$A$24:$B$1023,2,FALSE),'Scratch Sheet'!$U$23:$X$32,3,FALSE)</f>
        <v>3</v>
      </c>
      <c r="K696" s="13">
        <f t="shared" si="39"/>
        <v>657</v>
      </c>
      <c r="L696" s="13">
        <f>IFERROR(VLOOKUP(VLOOKUP(K696,$A$24:$B$1023,2,FALSE),'Scratch Sheet'!$U$23:$Y$32,5,FALSE)*VLOOKUP(VLOOKUP(K696,$A$24:$E$1023,5,FALSE),'Scratch Sheet'!$L$22:$M$30,2,FALSE),"")</f>
        <v>2400</v>
      </c>
      <c r="N696" s="675">
        <v>253</v>
      </c>
      <c r="O696" s="675" t="str" cm="1">
        <f t="array" ref="O696">IF(OR(INDEX($B$24:$B$1023,N696)="P10",INDEX($B$24:$B$1023,N696)="P11",INDEX($B$24:$B$1023,N696)="P12",INDEX($B$24:$B$1023,N696)="P13"),"C",IF(OR(INDEX($B$24:$B$1023,N696)="P14",INDEX($B$24:$B$1023,N696)="P15",INDEX($B$24:$B$1023,N696)="P16"),"N","O"))&amp;IF(MOD(N696,100)&lt;20,1,IF(MOD(N696,100)&lt;70,2,3))</f>
        <v>N2</v>
      </c>
    </row>
    <row r="697" spans="1:15" ht="16.5" thickBot="1">
      <c r="A697" s="662">
        <v>674</v>
      </c>
      <c r="B697" s="661" t="str" cm="1">
        <f t="array" ref="B697">"P"&amp;INDEX(X!$CL$2:$CL$12,'Scratch Sheet'!H696+1)+9</f>
        <v>P10</v>
      </c>
      <c r="C697" s="661">
        <v>1</v>
      </c>
      <c r="D697" s="755">
        <f t="shared" si="40"/>
        <v>1920</v>
      </c>
      <c r="E697" s="682" t="str">
        <f t="shared" si="41"/>
        <v>C3</v>
      </c>
      <c r="F697" s="683">
        <f t="shared" si="42"/>
        <v>3</v>
      </c>
      <c r="H697" s="13">
        <v>870</v>
      </c>
      <c r="I697" s="13">
        <f>VLOOKUP(VLOOKUP(H697,$A$24:$B$1023,2,FALSE),'Scratch Sheet'!$U$23:$X$32,3,FALSE)</f>
        <v>11</v>
      </c>
      <c r="K697" s="13">
        <f t="shared" si="39"/>
        <v>656</v>
      </c>
      <c r="L697" s="13">
        <f>IFERROR(VLOOKUP(VLOOKUP(K697,$A$24:$B$1023,2,FALSE),'Scratch Sheet'!$U$23:$Y$32,5,FALSE)*VLOOKUP(VLOOKUP(K697,$A$24:$E$1023,5,FALSE),'Scratch Sheet'!$L$22:$M$30,2,FALSE),"")</f>
        <v>6825</v>
      </c>
      <c r="N697" s="675">
        <v>255</v>
      </c>
      <c r="O697" s="675" t="str" cm="1">
        <f t="array" ref="O697">IF(OR(INDEX($B$24:$B$1023,N697)="P10",INDEX($B$24:$B$1023,N697)="P11",INDEX($B$24:$B$1023,N697)="P12",INDEX($B$24:$B$1023,N697)="P13"),"C",IF(OR(INDEX($B$24:$B$1023,N697)="P14",INDEX($B$24:$B$1023,N697)="P15",INDEX($B$24:$B$1023,N697)="P16"),"N","O"))&amp;IF(MOD(N697,100)&lt;20,1,IF(MOD(N697,100)&lt;70,2,3))</f>
        <v>C2</v>
      </c>
    </row>
    <row r="698" spans="1:15" ht="16.5" thickBot="1">
      <c r="A698" s="662">
        <v>675</v>
      </c>
      <c r="B698" s="661" t="str" cm="1">
        <f t="array" ref="B698">"P"&amp;INDEX(X!$CL$2:$CL$12,'Scratch Sheet'!H697+1)+9</f>
        <v>P10</v>
      </c>
      <c r="C698" s="661">
        <v>1</v>
      </c>
      <c r="D698" s="755">
        <f t="shared" si="40"/>
        <v>1920</v>
      </c>
      <c r="E698" s="682" t="str">
        <f t="shared" si="41"/>
        <v>C3</v>
      </c>
      <c r="F698" s="683">
        <f t="shared" si="42"/>
        <v>3</v>
      </c>
      <c r="H698" s="13">
        <v>767</v>
      </c>
      <c r="I698" s="13">
        <f>VLOOKUP(VLOOKUP(H698,$A$24:$B$1023,2,FALSE),'Scratch Sheet'!$U$23:$X$32,3,FALSE)</f>
        <v>3</v>
      </c>
      <c r="K698" s="13">
        <f t="shared" si="39"/>
        <v>659</v>
      </c>
      <c r="L698" s="13">
        <f>IFERROR(VLOOKUP(VLOOKUP(K698,$A$24:$B$1023,2,FALSE),'Scratch Sheet'!$U$23:$Y$32,5,FALSE)*VLOOKUP(VLOOKUP(K698,$A$24:$E$1023,5,FALSE),'Scratch Sheet'!$L$22:$M$30,2,FALSE),"")</f>
        <v>11000</v>
      </c>
      <c r="N698" s="675">
        <v>256</v>
      </c>
      <c r="O698" s="675" t="str" cm="1">
        <f t="array" ref="O698">IF(OR(INDEX($B$24:$B$1023,N698)="P10",INDEX($B$24:$B$1023,N698)="P11",INDEX($B$24:$B$1023,N698)="P12",INDEX($B$24:$B$1023,N698)="P13"),"C",IF(OR(INDEX($B$24:$B$1023,N698)="P14",INDEX($B$24:$B$1023,N698)="P15",INDEX($B$24:$B$1023,N698)="P16"),"N","O"))&amp;IF(MOD(N698,100)&lt;20,1,IF(MOD(N698,100)&lt;70,2,3))</f>
        <v>C2</v>
      </c>
    </row>
    <row r="699" spans="1:15" ht="16.5" thickBot="1">
      <c r="A699" s="662">
        <v>676</v>
      </c>
      <c r="B699" s="661" t="str" cm="1">
        <f t="array" ref="B699">"P"&amp;INDEX(X!$CL$2:$CL$12,'Scratch Sheet'!H698+1)+9</f>
        <v>P11</v>
      </c>
      <c r="C699" s="661">
        <v>1</v>
      </c>
      <c r="D699" s="755">
        <f t="shared" si="40"/>
        <v>8800</v>
      </c>
      <c r="E699" s="682" t="str">
        <f t="shared" si="41"/>
        <v>C3</v>
      </c>
      <c r="F699" s="683">
        <f t="shared" si="42"/>
        <v>11</v>
      </c>
      <c r="H699" s="13">
        <v>630</v>
      </c>
      <c r="I699" s="13">
        <f>VLOOKUP(VLOOKUP(H699,$A$24:$B$1023,2,FALSE),'Scratch Sheet'!$U$23:$X$32,3,FALSE)</f>
        <v>5</v>
      </c>
      <c r="K699" s="13">
        <f t="shared" si="39"/>
        <v>654</v>
      </c>
      <c r="L699" s="13">
        <f>IFERROR(VLOOKUP(VLOOKUP(K699,$A$24:$B$1023,2,FALSE),'Scratch Sheet'!$U$23:$Y$32,5,FALSE)*VLOOKUP(VLOOKUP(K699,$A$24:$E$1023,5,FALSE),'Scratch Sheet'!$L$22:$M$30,2,FALSE),"")</f>
        <v>11000</v>
      </c>
      <c r="N699" s="675">
        <v>262</v>
      </c>
      <c r="O699" s="675" t="str" cm="1">
        <f t="array" ref="O699">IF(OR(INDEX($B$24:$B$1023,N699)="P10",INDEX($B$24:$B$1023,N699)="P11",INDEX($B$24:$B$1023,N699)="P12",INDEX($B$24:$B$1023,N699)="P13"),"C",IF(OR(INDEX($B$24:$B$1023,N699)="P14",INDEX($B$24:$B$1023,N699)="P15",INDEX($B$24:$B$1023,N699)="P16"),"N","O"))&amp;IF(MOD(N699,100)&lt;20,1,IF(MOD(N699,100)&lt;70,2,3))</f>
        <v>C2</v>
      </c>
    </row>
    <row r="700" spans="1:15" ht="16.5" thickBot="1">
      <c r="A700" s="662">
        <v>677</v>
      </c>
      <c r="B700" s="661" t="str" cm="1">
        <f t="array" ref="B700">"P"&amp;INDEX(X!$CL$2:$CL$12,'Scratch Sheet'!H699+1)+9</f>
        <v>P18</v>
      </c>
      <c r="C700" s="661">
        <v>1</v>
      </c>
      <c r="D700" s="755">
        <f t="shared" si="40"/>
        <v>4320</v>
      </c>
      <c r="E700" s="682" t="str">
        <f t="shared" si="41"/>
        <v>O3</v>
      </c>
      <c r="F700" s="683">
        <f t="shared" si="42"/>
        <v>6</v>
      </c>
      <c r="H700" s="13">
        <v>588</v>
      </c>
      <c r="I700" s="13">
        <f>VLOOKUP(VLOOKUP(H700,$A$24:$B$1023,2,FALSE),'Scratch Sheet'!$U$23:$X$32,3,FALSE)</f>
        <v>6.5</v>
      </c>
      <c r="K700" s="13">
        <f t="shared" si="39"/>
        <v>652</v>
      </c>
      <c r="L700" s="13">
        <f>IFERROR(VLOOKUP(VLOOKUP(K700,$A$24:$B$1023,2,FALSE),'Scratch Sheet'!$U$23:$Y$32,5,FALSE)*VLOOKUP(VLOOKUP(K700,$A$24:$E$1023,5,FALSE),'Scratch Sheet'!$L$22:$M$30,2,FALSE),"")</f>
        <v>13200.000000000002</v>
      </c>
      <c r="N700" s="675">
        <v>270</v>
      </c>
      <c r="O700" s="675" t="str" cm="1">
        <f t="array" ref="O700">IF(OR(INDEX($B$24:$B$1023,N700)="P10",INDEX($B$24:$B$1023,N700)="P11",INDEX($B$24:$B$1023,N700)="P12",INDEX($B$24:$B$1023,N700)="P13"),"C",IF(OR(INDEX($B$24:$B$1023,N700)="P14",INDEX($B$24:$B$1023,N700)="P15",INDEX($B$24:$B$1023,N700)="P16"),"N","O"))&amp;IF(MOD(N700,100)&lt;20,1,IF(MOD(N700,100)&lt;70,2,3))</f>
        <v>N3</v>
      </c>
    </row>
    <row r="701" spans="1:15" ht="16.5" thickBot="1">
      <c r="A701" s="662">
        <v>678</v>
      </c>
      <c r="B701" s="661" t="str" cm="1">
        <f t="array" ref="B701">"P"&amp;INDEX(X!$CL$2:$CL$12,'Scratch Sheet'!H700+1)+9</f>
        <v>P14</v>
      </c>
      <c r="C701" s="661">
        <v>1</v>
      </c>
      <c r="D701" s="755">
        <f t="shared" si="40"/>
        <v>7200</v>
      </c>
      <c r="E701" s="682" t="str">
        <f t="shared" si="41"/>
        <v>N3</v>
      </c>
      <c r="F701" s="683">
        <f t="shared" si="42"/>
        <v>8</v>
      </c>
      <c r="H701" s="13">
        <v>146</v>
      </c>
      <c r="I701" s="13">
        <f>VLOOKUP(VLOOKUP(H701,$A$24:$B$1023,2,FALSE),'Scratch Sheet'!$U$23:$X$32,3,FALSE)</f>
        <v>6.5</v>
      </c>
      <c r="K701" s="13">
        <f t="shared" si="39"/>
        <v>653</v>
      </c>
      <c r="L701" s="13">
        <f>IFERROR(VLOOKUP(VLOOKUP(K701,$A$24:$B$1023,2,FALSE),'Scratch Sheet'!$U$23:$Y$32,5,FALSE)*VLOOKUP(VLOOKUP(K701,$A$24:$E$1023,5,FALSE),'Scratch Sheet'!$L$22:$M$30,2,FALSE),"")</f>
        <v>4500</v>
      </c>
      <c r="N701" s="675">
        <v>272</v>
      </c>
      <c r="O701" s="675" t="str" cm="1">
        <f t="array" ref="O701">IF(OR(INDEX($B$24:$B$1023,N701)="P10",INDEX($B$24:$B$1023,N701)="P11",INDEX($B$24:$B$1023,N701)="P12",INDEX($B$24:$B$1023,N701)="P13"),"C",IF(OR(INDEX($B$24:$B$1023,N701)="P14",INDEX($B$24:$B$1023,N701)="P15",INDEX($B$24:$B$1023,N701)="P16"),"N","O"))&amp;IF(MOD(N701,100)&lt;20,1,IF(MOD(N701,100)&lt;70,2,3))</f>
        <v>C3</v>
      </c>
    </row>
    <row r="702" spans="1:15" ht="16.5" thickBot="1">
      <c r="A702" s="662">
        <v>679</v>
      </c>
      <c r="B702" s="661" t="str" cm="1">
        <f t="array" ref="B702">"P"&amp;INDEX(X!$CL$2:$CL$12,'Scratch Sheet'!H701+1)+9</f>
        <v>P10</v>
      </c>
      <c r="C702" s="661">
        <v>1</v>
      </c>
      <c r="D702" s="755">
        <f t="shared" si="40"/>
        <v>1920</v>
      </c>
      <c r="E702" s="682" t="str">
        <f t="shared" si="41"/>
        <v>C3</v>
      </c>
      <c r="F702" s="683">
        <f t="shared" si="42"/>
        <v>3</v>
      </c>
      <c r="H702" s="13">
        <v>298</v>
      </c>
      <c r="I702" s="13">
        <f>VLOOKUP(VLOOKUP(H702,$A$24:$B$1023,2,FALSE),'Scratch Sheet'!$U$23:$X$32,3,FALSE)</f>
        <v>11</v>
      </c>
      <c r="K702" s="13">
        <f t="shared" si="39"/>
        <v>651</v>
      </c>
      <c r="L702" s="13">
        <f>IFERROR(VLOOKUP(VLOOKUP(K702,$A$24:$B$1023,2,FALSE),'Scratch Sheet'!$U$23:$Y$32,5,FALSE)*VLOOKUP(VLOOKUP(K702,$A$24:$E$1023,5,FALSE),'Scratch Sheet'!$L$22:$M$30,2,FALSE),"")</f>
        <v>13200.000000000002</v>
      </c>
      <c r="N702" s="675">
        <v>273</v>
      </c>
      <c r="O702" s="675" t="str" cm="1">
        <f t="array" ref="O702">IF(OR(INDEX($B$24:$B$1023,N702)="P10",INDEX($B$24:$B$1023,N702)="P11",INDEX($B$24:$B$1023,N702)="P12",INDEX($B$24:$B$1023,N702)="P13"),"C",IF(OR(INDEX($B$24:$B$1023,N702)="P14",INDEX($B$24:$B$1023,N702)="P15",INDEX($B$24:$B$1023,N702)="P16"),"N","O"))&amp;IF(MOD(N702,100)&lt;20,1,IF(MOD(N702,100)&lt;70,2,3))</f>
        <v>C3</v>
      </c>
    </row>
    <row r="703" spans="1:15" ht="16.5" thickBot="1">
      <c r="A703" s="662">
        <v>680</v>
      </c>
      <c r="B703" s="661" t="str" cm="1">
        <f t="array" ref="B703">"P"&amp;INDEX(X!$CL$2:$CL$12,'Scratch Sheet'!H702+1)+9</f>
        <v>P13</v>
      </c>
      <c r="C703" s="661">
        <v>1</v>
      </c>
      <c r="D703" s="755">
        <f t="shared" si="40"/>
        <v>3600</v>
      </c>
      <c r="E703" s="682" t="str">
        <f t="shared" si="41"/>
        <v>C3</v>
      </c>
      <c r="F703" s="683">
        <f t="shared" si="42"/>
        <v>5</v>
      </c>
      <c r="H703" s="13">
        <v>952</v>
      </c>
      <c r="I703" s="13">
        <f>VLOOKUP(VLOOKUP(H703,$A$24:$B$1023,2,FALSE),'Scratch Sheet'!$U$23:$X$32,3,FALSE)</f>
        <v>5</v>
      </c>
      <c r="K703" s="13">
        <f t="shared" ref="K703:K766" si="43">K600+100</f>
        <v>667</v>
      </c>
      <c r="L703" s="13">
        <f>IFERROR(VLOOKUP(VLOOKUP(K703,$A$24:$B$1023,2,FALSE),'Scratch Sheet'!$U$23:$Y$32,5,FALSE)*VLOOKUP(VLOOKUP(K703,$A$24:$E$1023,5,FALSE),'Scratch Sheet'!$L$22:$M$30,2,FALSE),"")</f>
        <v>4680</v>
      </c>
      <c r="N703" s="675">
        <v>279</v>
      </c>
      <c r="O703" s="675" t="str" cm="1">
        <f t="array" ref="O703">IF(OR(INDEX($B$24:$B$1023,N703)="P10",INDEX($B$24:$B$1023,N703)="P11",INDEX($B$24:$B$1023,N703)="P12",INDEX($B$24:$B$1023,N703)="P13"),"C",IF(OR(INDEX($B$24:$B$1023,N703)="P14",INDEX($B$24:$B$1023,N703)="P15",INDEX($B$24:$B$1023,N703)="P16"),"N","O"))&amp;IF(MOD(N703,100)&lt;20,1,IF(MOD(N703,100)&lt;70,2,3))</f>
        <v>C3</v>
      </c>
    </row>
    <row r="704" spans="1:15" ht="16.5" thickBot="1">
      <c r="A704" s="662">
        <v>681</v>
      </c>
      <c r="B704" s="661" t="str" cm="1">
        <f t="array" ref="B704">"P"&amp;INDEX(X!$CL$2:$CL$12,'Scratch Sheet'!H703+1)+9</f>
        <v>P13</v>
      </c>
      <c r="C704" s="661">
        <v>1</v>
      </c>
      <c r="D704" s="755">
        <f t="shared" si="40"/>
        <v>3600</v>
      </c>
      <c r="E704" s="682" t="str">
        <f t="shared" si="41"/>
        <v>C3</v>
      </c>
      <c r="F704" s="683">
        <f t="shared" si="42"/>
        <v>5</v>
      </c>
      <c r="H704" s="13">
        <v>925</v>
      </c>
      <c r="I704" s="13">
        <f>VLOOKUP(VLOOKUP(H704,$A$24:$B$1023,2,FALSE),'Scratch Sheet'!$U$23:$X$32,3,FALSE)</f>
        <v>5</v>
      </c>
      <c r="K704" s="13">
        <f t="shared" si="43"/>
        <v>670</v>
      </c>
      <c r="L704" s="13">
        <f>IFERROR(VLOOKUP(VLOOKUP(K704,$A$24:$B$1023,2,FALSE),'Scratch Sheet'!$U$23:$Y$32,5,FALSE)*VLOOKUP(VLOOKUP(K704,$A$24:$E$1023,5,FALSE),'Scratch Sheet'!$L$22:$M$30,2,FALSE),"")</f>
        <v>3600</v>
      </c>
      <c r="N704" s="675">
        <v>287</v>
      </c>
      <c r="O704" s="675" t="str" cm="1">
        <f t="array" ref="O704">IF(OR(INDEX($B$24:$B$1023,N704)="P10",INDEX($B$24:$B$1023,N704)="P11",INDEX($B$24:$B$1023,N704)="P12",INDEX($B$24:$B$1023,N704)="P13"),"C",IF(OR(INDEX($B$24:$B$1023,N704)="P14",INDEX($B$24:$B$1023,N704)="P15",INDEX($B$24:$B$1023,N704)="P16"),"N","O"))&amp;IF(MOD(N704,100)&lt;20,1,IF(MOD(N704,100)&lt;70,2,3))</f>
        <v>N3</v>
      </c>
    </row>
    <row r="705" spans="1:15" ht="16.5" thickBot="1">
      <c r="A705" s="662">
        <v>682</v>
      </c>
      <c r="B705" s="661" t="str" cm="1">
        <f t="array" ref="B705">"P"&amp;INDEX(X!$CL$2:$CL$12,'Scratch Sheet'!H704+1)+9</f>
        <v>P10</v>
      </c>
      <c r="C705" s="661">
        <v>1</v>
      </c>
      <c r="D705" s="755">
        <f t="shared" si="40"/>
        <v>1920</v>
      </c>
      <c r="E705" s="682" t="str">
        <f t="shared" si="41"/>
        <v>C3</v>
      </c>
      <c r="F705" s="683">
        <f t="shared" si="42"/>
        <v>3</v>
      </c>
      <c r="H705" s="13">
        <v>783</v>
      </c>
      <c r="I705" s="13">
        <f>VLOOKUP(VLOOKUP(H705,$A$24:$B$1023,2,FALSE),'Scratch Sheet'!$U$23:$X$32,3,FALSE)</f>
        <v>5</v>
      </c>
      <c r="K705" s="13">
        <f t="shared" si="43"/>
        <v>669</v>
      </c>
      <c r="L705" s="13">
        <f>IFERROR(VLOOKUP(VLOOKUP(K705,$A$24:$B$1023,2,FALSE),'Scratch Sheet'!$U$23:$Y$32,5,FALSE)*VLOOKUP(VLOOKUP(K705,$A$24:$E$1023,5,FALSE),'Scratch Sheet'!$L$22:$M$30,2,FALSE),"")</f>
        <v>13200.000000000002</v>
      </c>
      <c r="N705" s="675">
        <v>289</v>
      </c>
      <c r="O705" s="675" t="str" cm="1">
        <f t="array" ref="O705">IF(OR(INDEX($B$24:$B$1023,N705)="P10",INDEX($B$24:$B$1023,N705)="P11",INDEX($B$24:$B$1023,N705)="P12",INDEX($B$24:$B$1023,N705)="P13"),"C",IF(OR(INDEX($B$24:$B$1023,N705)="P14",INDEX($B$24:$B$1023,N705)="P15",INDEX($B$24:$B$1023,N705)="P16"),"N","O"))&amp;IF(MOD(N705,100)&lt;20,1,IF(MOD(N705,100)&lt;70,2,3))</f>
        <v>C3</v>
      </c>
    </row>
    <row r="706" spans="1:15" ht="16.5" thickBot="1">
      <c r="A706" s="662">
        <v>683</v>
      </c>
      <c r="B706" s="661" t="str" cm="1">
        <f t="array" ref="B706">"P"&amp;INDEX(X!$CL$2:$CL$12,'Scratch Sheet'!H705+1)+9</f>
        <v>P11</v>
      </c>
      <c r="C706" s="661">
        <v>1</v>
      </c>
      <c r="D706" s="755">
        <f t="shared" si="40"/>
        <v>8800</v>
      </c>
      <c r="E706" s="682" t="str">
        <f t="shared" si="41"/>
        <v>C3</v>
      </c>
      <c r="F706" s="683">
        <f t="shared" si="42"/>
        <v>11</v>
      </c>
      <c r="H706" s="13">
        <v>800</v>
      </c>
      <c r="I706" s="13">
        <f>VLOOKUP(VLOOKUP(H706,$A$24:$B$1023,2,FALSE),'Scratch Sheet'!$U$23:$X$32,3,FALSE)</f>
        <v>5</v>
      </c>
      <c r="K706" s="13">
        <f t="shared" si="43"/>
        <v>664</v>
      </c>
      <c r="L706" s="13">
        <f>IFERROR(VLOOKUP(VLOOKUP(K706,$A$24:$B$1023,2,FALSE),'Scratch Sheet'!$U$23:$Y$32,5,FALSE)*VLOOKUP(VLOOKUP(K706,$A$24:$E$1023,5,FALSE),'Scratch Sheet'!$L$22:$M$30,2,FALSE),"")</f>
        <v>4500</v>
      </c>
      <c r="N706" s="675">
        <v>290</v>
      </c>
      <c r="O706" s="675" t="str" cm="1">
        <f t="array" ref="O706">IF(OR(INDEX($B$24:$B$1023,N706)="P10",INDEX($B$24:$B$1023,N706)="P11",INDEX($B$24:$B$1023,N706)="P12",INDEX($B$24:$B$1023,N706)="P13"),"C",IF(OR(INDEX($B$24:$B$1023,N706)="P14",INDEX($B$24:$B$1023,N706)="P15",INDEX($B$24:$B$1023,N706)="P16"),"N","O"))&amp;IF(MOD(N706,100)&lt;20,1,IF(MOD(N706,100)&lt;70,2,3))</f>
        <v>C3</v>
      </c>
    </row>
    <row r="707" spans="1:15" ht="16.5" thickBot="1">
      <c r="A707" s="662">
        <v>684</v>
      </c>
      <c r="B707" s="661" t="str" cm="1">
        <f t="array" ref="B707">"P"&amp;INDEX(X!$CL$2:$CL$12,'Scratch Sheet'!H706+1)+9</f>
        <v>P16</v>
      </c>
      <c r="C707" s="661">
        <v>1</v>
      </c>
      <c r="D707" s="755">
        <f t="shared" si="40"/>
        <v>5200</v>
      </c>
      <c r="E707" s="682" t="str">
        <f t="shared" si="41"/>
        <v>N3</v>
      </c>
      <c r="F707" s="683">
        <f t="shared" si="42"/>
        <v>4</v>
      </c>
      <c r="H707" s="13">
        <v>176</v>
      </c>
      <c r="I707" s="13">
        <f>VLOOKUP(VLOOKUP(H707,$A$24:$B$1023,2,FALSE),'Scratch Sheet'!$U$23:$X$32,3,FALSE)</f>
        <v>12</v>
      </c>
      <c r="K707" s="13">
        <f t="shared" si="43"/>
        <v>666</v>
      </c>
      <c r="L707" s="13">
        <f>IFERROR(VLOOKUP(VLOOKUP(K707,$A$24:$B$1023,2,FALSE),'Scratch Sheet'!$U$23:$Y$32,5,FALSE)*VLOOKUP(VLOOKUP(K707,$A$24:$E$1023,5,FALSE),'Scratch Sheet'!$L$22:$M$30,2,FALSE),"")</f>
        <v>11000</v>
      </c>
      <c r="N707" s="675">
        <v>296</v>
      </c>
      <c r="O707" s="675" t="str" cm="1">
        <f t="array" ref="O707">IF(OR(INDEX($B$24:$B$1023,N707)="P10",INDEX($B$24:$B$1023,N707)="P11",INDEX($B$24:$B$1023,N707)="P12",INDEX($B$24:$B$1023,N707)="P13"),"C",IF(OR(INDEX($B$24:$B$1023,N707)="P14",INDEX($B$24:$B$1023,N707)="P15",INDEX($B$24:$B$1023,N707)="P16"),"N","O"))&amp;IF(MOD(N707,100)&lt;20,1,IF(MOD(N707,100)&lt;70,2,3))</f>
        <v>C3</v>
      </c>
    </row>
    <row r="708" spans="1:15" ht="16.5" thickBot="1">
      <c r="A708" s="662">
        <v>685</v>
      </c>
      <c r="B708" s="661" t="str" cm="1">
        <f t="array" ref="B708">"P"&amp;INDEX(X!$CL$2:$CL$12,'Scratch Sheet'!H707+1)+9</f>
        <v>P17</v>
      </c>
      <c r="C708" s="661">
        <v>1</v>
      </c>
      <c r="D708" s="755">
        <f t="shared" si="40"/>
        <v>9600</v>
      </c>
      <c r="E708" s="682" t="str">
        <f t="shared" si="41"/>
        <v>O3</v>
      </c>
      <c r="F708" s="683">
        <f t="shared" si="42"/>
        <v>12</v>
      </c>
      <c r="H708" s="13">
        <v>204</v>
      </c>
      <c r="I708" s="13">
        <f>VLOOKUP(VLOOKUP(H708,$A$24:$B$1023,2,FALSE),'Scratch Sheet'!$U$23:$X$32,3,FALSE)</f>
        <v>5</v>
      </c>
      <c r="K708" s="13">
        <f t="shared" si="43"/>
        <v>665</v>
      </c>
      <c r="L708" s="13">
        <f>IFERROR(VLOOKUP(VLOOKUP(K708,$A$24:$B$1023,2,FALSE),'Scratch Sheet'!$U$23:$Y$32,5,FALSE)*VLOOKUP(VLOOKUP(K708,$A$24:$E$1023,5,FALSE),'Scratch Sheet'!$L$22:$M$30,2,FALSE),"")</f>
        <v>2400</v>
      </c>
      <c r="N708" s="675">
        <v>304</v>
      </c>
      <c r="O708" s="675" t="str" cm="1">
        <f t="array" ref="O708">IF(OR(INDEX($B$24:$B$1023,N708)="P10",INDEX($B$24:$B$1023,N708)="P11",INDEX($B$24:$B$1023,N708)="P12",INDEX($B$24:$B$1023,N708)="P13"),"C",IF(OR(INDEX($B$24:$B$1023,N708)="P14",INDEX($B$24:$B$1023,N708)="P15",INDEX($B$24:$B$1023,N708)="P16"),"N","O"))&amp;IF(MOD(N708,100)&lt;20,1,IF(MOD(N708,100)&lt;70,2,3))</f>
        <v>N1</v>
      </c>
    </row>
    <row r="709" spans="1:15" ht="16.5" thickBot="1">
      <c r="A709" s="662">
        <v>686</v>
      </c>
      <c r="B709" s="661" t="str" cm="1">
        <f t="array" ref="B709">"P"&amp;INDEX(X!$CL$2:$CL$12,'Scratch Sheet'!H708+1)+9</f>
        <v>P17</v>
      </c>
      <c r="C709" s="661">
        <v>1</v>
      </c>
      <c r="D709" s="755">
        <f t="shared" si="40"/>
        <v>9600</v>
      </c>
      <c r="E709" s="682" t="str">
        <f t="shared" si="41"/>
        <v>O3</v>
      </c>
      <c r="F709" s="683">
        <f t="shared" si="42"/>
        <v>12</v>
      </c>
      <c r="H709" s="13">
        <v>658</v>
      </c>
      <c r="I709" s="13">
        <f>VLOOKUP(VLOOKUP(H709,$A$24:$B$1023,2,FALSE),'Scratch Sheet'!$U$23:$X$32,3,FALSE)</f>
        <v>3</v>
      </c>
      <c r="K709" s="13">
        <f t="shared" si="43"/>
        <v>668</v>
      </c>
      <c r="L709" s="13">
        <f>IFERROR(VLOOKUP(VLOOKUP(K709,$A$24:$B$1023,2,FALSE),'Scratch Sheet'!$U$23:$Y$32,5,FALSE)*VLOOKUP(VLOOKUP(K709,$A$24:$E$1023,5,FALSE),'Scratch Sheet'!$L$22:$M$30,2,FALSE),"")</f>
        <v>13200.000000000002</v>
      </c>
      <c r="N709" s="675">
        <v>306</v>
      </c>
      <c r="O709" s="675" t="str" cm="1">
        <f t="array" ref="O709">IF(OR(INDEX($B$24:$B$1023,N709)="P10",INDEX($B$24:$B$1023,N709)="P11",INDEX($B$24:$B$1023,N709)="P12",INDEX($B$24:$B$1023,N709)="P13"),"C",IF(OR(INDEX($B$24:$B$1023,N709)="P14",INDEX($B$24:$B$1023,N709)="P15",INDEX($B$24:$B$1023,N709)="P16"),"N","O"))&amp;IF(MOD(N709,100)&lt;20,1,IF(MOD(N709,100)&lt;70,2,3))</f>
        <v>C1</v>
      </c>
    </row>
    <row r="710" spans="1:15" ht="16.5" thickBot="1">
      <c r="A710" s="662">
        <v>687</v>
      </c>
      <c r="B710" s="661" t="str" cm="1">
        <f t="array" ref="B710">"P"&amp;INDEX(X!$CL$2:$CL$12,'Scratch Sheet'!H709+1)+9</f>
        <v>P13</v>
      </c>
      <c r="C710" s="661">
        <v>1</v>
      </c>
      <c r="D710" s="755">
        <f t="shared" si="40"/>
        <v>3600</v>
      </c>
      <c r="E710" s="682" t="str">
        <f t="shared" si="41"/>
        <v>C3</v>
      </c>
      <c r="F710" s="683">
        <f t="shared" si="42"/>
        <v>5</v>
      </c>
      <c r="H710" s="13">
        <v>674</v>
      </c>
      <c r="I710" s="13">
        <f>VLOOKUP(VLOOKUP(H710,$A$24:$B$1023,2,FALSE),'Scratch Sheet'!$U$23:$X$32,3,FALSE)</f>
        <v>3</v>
      </c>
      <c r="K710" s="13">
        <f t="shared" si="43"/>
        <v>663</v>
      </c>
      <c r="L710" s="13">
        <f>IFERROR(VLOOKUP(VLOOKUP(K710,$A$24:$B$1023,2,FALSE),'Scratch Sheet'!$U$23:$Y$32,5,FALSE)*VLOOKUP(VLOOKUP(K710,$A$24:$E$1023,5,FALSE),'Scratch Sheet'!$L$22:$M$30,2,FALSE),"")</f>
        <v>4500</v>
      </c>
      <c r="N710" s="675">
        <v>307</v>
      </c>
      <c r="O710" s="675" t="str" cm="1">
        <f t="array" ref="O710">IF(OR(INDEX($B$24:$B$1023,N710)="P10",INDEX($B$24:$B$1023,N710)="P11",INDEX($B$24:$B$1023,N710)="P12",INDEX($B$24:$B$1023,N710)="P13"),"C",IF(OR(INDEX($B$24:$B$1023,N710)="P14",INDEX($B$24:$B$1023,N710)="P15",INDEX($B$24:$B$1023,N710)="P16"),"N","O"))&amp;IF(MOD(N710,100)&lt;20,1,IF(MOD(N710,100)&lt;70,2,3))</f>
        <v>C1</v>
      </c>
    </row>
    <row r="711" spans="1:15" ht="16.5" thickBot="1">
      <c r="A711" s="662">
        <v>688</v>
      </c>
      <c r="B711" s="661" t="str" cm="1">
        <f t="array" ref="B711">"P"&amp;INDEX(X!$CL$2:$CL$12,'Scratch Sheet'!H710+1)+9</f>
        <v>P11</v>
      </c>
      <c r="C711" s="661">
        <v>1</v>
      </c>
      <c r="D711" s="755">
        <f t="shared" si="40"/>
        <v>8800</v>
      </c>
      <c r="E711" s="682" t="str">
        <f t="shared" si="41"/>
        <v>C3</v>
      </c>
      <c r="F711" s="683">
        <f t="shared" si="42"/>
        <v>11</v>
      </c>
      <c r="H711" s="13">
        <v>671</v>
      </c>
      <c r="I711" s="13">
        <f>VLOOKUP(VLOOKUP(H711,$A$24:$B$1023,2,FALSE),'Scratch Sheet'!$U$23:$X$32,3,FALSE)</f>
        <v>11</v>
      </c>
      <c r="K711" s="13">
        <f t="shared" si="43"/>
        <v>662</v>
      </c>
      <c r="L711" s="13">
        <f>IFERROR(VLOOKUP(VLOOKUP(K711,$A$24:$B$1023,2,FALSE),'Scratch Sheet'!$U$23:$Y$32,5,FALSE)*VLOOKUP(VLOOKUP(K711,$A$24:$E$1023,5,FALSE),'Scratch Sheet'!$L$22:$M$30,2,FALSE),"")</f>
        <v>2400</v>
      </c>
      <c r="N711" s="675">
        <v>313</v>
      </c>
      <c r="O711" s="675" t="str" cm="1">
        <f t="array" ref="O711">IF(OR(INDEX($B$24:$B$1023,N711)="P10",INDEX($B$24:$B$1023,N711)="P11",INDEX($B$24:$B$1023,N711)="P12",INDEX($B$24:$B$1023,N711)="P13"),"C",IF(OR(INDEX($B$24:$B$1023,N711)="P14",INDEX($B$24:$B$1023,N711)="P15",INDEX($B$24:$B$1023,N711)="P16"),"N","O"))&amp;IF(MOD(N711,100)&lt;20,1,IF(MOD(N711,100)&lt;70,2,3))</f>
        <v>C1</v>
      </c>
    </row>
    <row r="712" spans="1:15" ht="16.5" thickBot="1">
      <c r="A712" s="662">
        <v>689</v>
      </c>
      <c r="B712" s="661" t="str" cm="1">
        <f t="array" ref="B712">"P"&amp;INDEX(X!$CL$2:$CL$12,'Scratch Sheet'!H711+1)+9</f>
        <v>P11</v>
      </c>
      <c r="C712" s="661">
        <v>1</v>
      </c>
      <c r="D712" s="755">
        <f t="shared" si="40"/>
        <v>8800</v>
      </c>
      <c r="E712" s="682" t="str">
        <f t="shared" si="41"/>
        <v>C3</v>
      </c>
      <c r="F712" s="683">
        <f t="shared" si="42"/>
        <v>11</v>
      </c>
      <c r="H712" s="13">
        <v>173</v>
      </c>
      <c r="I712" s="13">
        <f>VLOOKUP(VLOOKUP(H712,$A$24:$B$1023,2,FALSE),'Scratch Sheet'!$U$23:$X$32,3,FALSE)</f>
        <v>11</v>
      </c>
      <c r="K712" s="13">
        <f t="shared" si="43"/>
        <v>675</v>
      </c>
      <c r="L712" s="13">
        <f>IFERROR(VLOOKUP(VLOOKUP(K712,$A$24:$B$1023,2,FALSE),'Scratch Sheet'!$U$23:$Y$32,5,FALSE)*VLOOKUP(VLOOKUP(K712,$A$24:$E$1023,5,FALSE),'Scratch Sheet'!$L$22:$M$30,2,FALSE),"")</f>
        <v>1920</v>
      </c>
      <c r="N712" s="675">
        <v>321</v>
      </c>
      <c r="O712" s="675" t="str" cm="1">
        <f t="array" ref="O712">IF(OR(INDEX($B$24:$B$1023,N712)="P10",INDEX($B$24:$B$1023,N712)="P11",INDEX($B$24:$B$1023,N712)="P12",INDEX($B$24:$B$1023,N712)="P13"),"C",IF(OR(INDEX($B$24:$B$1023,N712)="P14",INDEX($B$24:$B$1023,N712)="P15",INDEX($B$24:$B$1023,N712)="P16"),"N","O"))&amp;IF(MOD(N712,100)&lt;20,1,IF(MOD(N712,100)&lt;70,2,3))</f>
        <v>N2</v>
      </c>
    </row>
    <row r="713" spans="1:15" ht="16.5" thickBot="1">
      <c r="A713" s="662">
        <v>690</v>
      </c>
      <c r="B713" s="661" t="str" cm="1">
        <f t="array" ref="B713">"P"&amp;INDEX(X!$CL$2:$CL$12,'Scratch Sheet'!H712+1)+9</f>
        <v>P12</v>
      </c>
      <c r="C713" s="661">
        <v>1</v>
      </c>
      <c r="D713" s="755">
        <f t="shared" si="40"/>
        <v>5460</v>
      </c>
      <c r="E713" s="682" t="str">
        <f t="shared" si="41"/>
        <v>C3</v>
      </c>
      <c r="F713" s="683">
        <f t="shared" si="42"/>
        <v>6.5</v>
      </c>
      <c r="H713" s="13">
        <v>570</v>
      </c>
      <c r="I713" s="13">
        <f>VLOOKUP(VLOOKUP(H713,$A$24:$B$1023,2,FALSE),'Scratch Sheet'!$U$23:$X$32,3,FALSE)</f>
        <v>11</v>
      </c>
      <c r="K713" s="13">
        <f t="shared" si="43"/>
        <v>678</v>
      </c>
      <c r="L713" s="13">
        <f>IFERROR(VLOOKUP(VLOOKUP(K713,$A$24:$B$1023,2,FALSE),'Scratch Sheet'!$U$23:$Y$32,5,FALSE)*VLOOKUP(VLOOKUP(K713,$A$24:$E$1023,5,FALSE),'Scratch Sheet'!$L$22:$M$30,2,FALSE),"")</f>
        <v>7200</v>
      </c>
      <c r="N713" s="675">
        <v>323</v>
      </c>
      <c r="O713" s="675" t="str" cm="1">
        <f t="array" ref="O713">IF(OR(INDEX($B$24:$B$1023,N713)="P10",INDEX($B$24:$B$1023,N713)="P11",INDEX($B$24:$B$1023,N713)="P12",INDEX($B$24:$B$1023,N713)="P13"),"C",IF(OR(INDEX($B$24:$B$1023,N713)="P14",INDEX($B$24:$B$1023,N713)="P15",INDEX($B$24:$B$1023,N713)="P16"),"N","O"))&amp;IF(MOD(N713,100)&lt;20,1,IF(MOD(N713,100)&lt;70,2,3))</f>
        <v>C2</v>
      </c>
    </row>
    <row r="714" spans="1:15" ht="16.5" thickBot="1">
      <c r="A714" s="662">
        <v>691</v>
      </c>
      <c r="B714" s="661" t="str" cm="1">
        <f t="array" ref="B714">"P"&amp;INDEX(X!$CL$2:$CL$12,'Scratch Sheet'!H713+1)+9</f>
        <v>P10</v>
      </c>
      <c r="C714" s="661">
        <v>1</v>
      </c>
      <c r="D714" s="755">
        <f t="shared" si="40"/>
        <v>1920</v>
      </c>
      <c r="E714" s="682" t="str">
        <f t="shared" si="41"/>
        <v>C3</v>
      </c>
      <c r="F714" s="683">
        <f t="shared" si="42"/>
        <v>3</v>
      </c>
      <c r="H714" s="13">
        <v>351</v>
      </c>
      <c r="I714" s="13">
        <f>VLOOKUP(VLOOKUP(H714,$A$24:$B$1023,2,FALSE),'Scratch Sheet'!$U$23:$X$32,3,FALSE)</f>
        <v>3</v>
      </c>
      <c r="K714" s="13">
        <f t="shared" si="43"/>
        <v>677</v>
      </c>
      <c r="L714" s="13">
        <f>IFERROR(VLOOKUP(VLOOKUP(K714,$A$24:$B$1023,2,FALSE),'Scratch Sheet'!$U$23:$Y$32,5,FALSE)*VLOOKUP(VLOOKUP(K714,$A$24:$E$1023,5,FALSE),'Scratch Sheet'!$L$22:$M$30,2,FALSE),"")</f>
        <v>4320</v>
      </c>
      <c r="N714" s="675">
        <v>324</v>
      </c>
      <c r="O714" s="675" t="str" cm="1">
        <f t="array" ref="O714">IF(OR(INDEX($B$24:$B$1023,N714)="P10",INDEX($B$24:$B$1023,N714)="P11",INDEX($B$24:$B$1023,N714)="P12",INDEX($B$24:$B$1023,N714)="P13"),"C",IF(OR(INDEX($B$24:$B$1023,N714)="P14",INDEX($B$24:$B$1023,N714)="P15",INDEX($B$24:$B$1023,N714)="P16"),"N","O"))&amp;IF(MOD(N714,100)&lt;20,1,IF(MOD(N714,100)&lt;70,2,3))</f>
        <v>C2</v>
      </c>
    </row>
    <row r="715" spans="1:15" ht="16.5" thickBot="1">
      <c r="A715" s="662">
        <v>692</v>
      </c>
      <c r="B715" s="661" t="str" cm="1">
        <f t="array" ref="B715">"P"&amp;INDEX(X!$CL$2:$CL$12,'Scratch Sheet'!H714+1)+9</f>
        <v>P10</v>
      </c>
      <c r="C715" s="661">
        <v>1</v>
      </c>
      <c r="D715" s="755">
        <f t="shared" si="40"/>
        <v>1920</v>
      </c>
      <c r="E715" s="682" t="str">
        <f t="shared" si="41"/>
        <v>C3</v>
      </c>
      <c r="F715" s="683">
        <f t="shared" si="42"/>
        <v>3</v>
      </c>
      <c r="H715" s="13">
        <v>945</v>
      </c>
      <c r="I715" s="13">
        <f>VLOOKUP(VLOOKUP(H715,$A$24:$B$1023,2,FALSE),'Scratch Sheet'!$U$23:$X$32,3,FALSE)</f>
        <v>6.5</v>
      </c>
      <c r="K715" s="13">
        <f t="shared" si="43"/>
        <v>672</v>
      </c>
      <c r="L715" s="13">
        <f>IFERROR(VLOOKUP(VLOOKUP(K715,$A$24:$B$1023,2,FALSE),'Scratch Sheet'!$U$23:$Y$32,5,FALSE)*VLOOKUP(VLOOKUP(K715,$A$24:$E$1023,5,FALSE),'Scratch Sheet'!$L$22:$M$30,2,FALSE),"")</f>
        <v>8800</v>
      </c>
      <c r="N715" s="675">
        <v>330</v>
      </c>
      <c r="O715" s="675" t="str" cm="1">
        <f t="array" ref="O715">IF(OR(INDEX($B$24:$B$1023,N715)="P10",INDEX($B$24:$B$1023,N715)="P11",INDEX($B$24:$B$1023,N715)="P12",INDEX($B$24:$B$1023,N715)="P13"),"C",IF(OR(INDEX($B$24:$B$1023,N715)="P14",INDEX($B$24:$B$1023,N715)="P15",INDEX($B$24:$B$1023,N715)="P16"),"N","O"))&amp;IF(MOD(N715,100)&lt;20,1,IF(MOD(N715,100)&lt;70,2,3))</f>
        <v>C2</v>
      </c>
    </row>
    <row r="716" spans="1:15" ht="16.5" thickBot="1">
      <c r="A716" s="662">
        <v>693</v>
      </c>
      <c r="B716" s="661" t="str" cm="1">
        <f t="array" ref="B716">"P"&amp;INDEX(X!$CL$2:$CL$12,'Scratch Sheet'!H715+1)+9</f>
        <v>P11</v>
      </c>
      <c r="C716" s="661">
        <v>1</v>
      </c>
      <c r="D716" s="755">
        <f t="shared" si="40"/>
        <v>8800</v>
      </c>
      <c r="E716" s="682" t="str">
        <f t="shared" si="41"/>
        <v>C3</v>
      </c>
      <c r="F716" s="683">
        <f t="shared" si="42"/>
        <v>11</v>
      </c>
      <c r="H716" s="13">
        <v>964</v>
      </c>
      <c r="I716" s="13">
        <f>VLOOKUP(VLOOKUP(H716,$A$24:$B$1023,2,FALSE),'Scratch Sheet'!$U$23:$X$32,3,FALSE)</f>
        <v>3</v>
      </c>
      <c r="K716" s="13">
        <f t="shared" si="43"/>
        <v>674</v>
      </c>
      <c r="L716" s="13">
        <f>IFERROR(VLOOKUP(VLOOKUP(K716,$A$24:$B$1023,2,FALSE),'Scratch Sheet'!$U$23:$Y$32,5,FALSE)*VLOOKUP(VLOOKUP(K716,$A$24:$E$1023,5,FALSE),'Scratch Sheet'!$L$22:$M$30,2,FALSE),"")</f>
        <v>1920</v>
      </c>
      <c r="N716" s="675">
        <v>333</v>
      </c>
      <c r="O716" s="675" t="str" cm="1">
        <f t="array" ref="O716">IF(OR(INDEX($B$24:$B$1023,N716)="P10",INDEX($B$24:$B$1023,N716)="P11",INDEX($B$24:$B$1023,N716)="P12",INDEX($B$24:$B$1023,N716)="P13"),"C",IF(OR(INDEX($B$24:$B$1023,N716)="P14",INDEX($B$24:$B$1023,N716)="P15",INDEX($B$24:$B$1023,N716)="P16"),"N","O"))&amp;IF(MOD(N716,100)&lt;20,1,IF(MOD(N716,100)&lt;70,2,3))</f>
        <v>C2</v>
      </c>
    </row>
    <row r="717" spans="1:15" ht="16.5" thickBot="1">
      <c r="A717" s="662">
        <v>694</v>
      </c>
      <c r="B717" s="661" t="str" cm="1">
        <f t="array" ref="B717">"P"&amp;INDEX(X!$CL$2:$CL$12,'Scratch Sheet'!H716+1)+9</f>
        <v>P18</v>
      </c>
      <c r="C717" s="661">
        <v>1</v>
      </c>
      <c r="D717" s="755">
        <f t="shared" si="40"/>
        <v>8640</v>
      </c>
      <c r="E717" s="682" t="str">
        <f t="shared" si="41"/>
        <v>O3</v>
      </c>
      <c r="F717" s="683">
        <f t="shared" si="42"/>
        <v>6</v>
      </c>
      <c r="H717" s="13">
        <v>7</v>
      </c>
      <c r="I717" s="13">
        <f>VLOOKUP(VLOOKUP(H717,$A$24:$B$1023,2,FALSE),'Scratch Sheet'!$U$23:$X$32,3,FALSE)</f>
        <v>11</v>
      </c>
      <c r="K717" s="13">
        <f t="shared" si="43"/>
        <v>673</v>
      </c>
      <c r="L717" s="13">
        <f>IFERROR(VLOOKUP(VLOOKUP(K717,$A$24:$B$1023,2,FALSE),'Scratch Sheet'!$U$23:$Y$32,5,FALSE)*VLOOKUP(VLOOKUP(K717,$A$24:$E$1023,5,FALSE),'Scratch Sheet'!$L$22:$M$30,2,FALSE),"")</f>
        <v>5460</v>
      </c>
      <c r="N717" s="675">
        <v>338</v>
      </c>
      <c r="O717" s="675" t="str" cm="1">
        <f t="array" ref="O717">IF(OR(INDEX($B$24:$B$1023,N717)="P10",INDEX($B$24:$B$1023,N717)="P11",INDEX($B$24:$B$1023,N717)="P12",INDEX($B$24:$B$1023,N717)="P13"),"C",IF(OR(INDEX($B$24:$B$1023,N717)="P14",INDEX($B$24:$B$1023,N717)="P15",INDEX($B$24:$B$1023,N717)="P16"),"N","O"))&amp;IF(MOD(N717,100)&lt;20,1,IF(MOD(N717,100)&lt;70,2,3))</f>
        <v>N2</v>
      </c>
    </row>
    <row r="718" spans="1:15" ht="16.5" thickBot="1">
      <c r="A718" s="662">
        <v>695</v>
      </c>
      <c r="B718" s="661" t="str" cm="1">
        <f t="array" ref="B718">"P"&amp;INDEX(X!$CL$2:$CL$12,'Scratch Sheet'!H717+1)+9</f>
        <v>P14</v>
      </c>
      <c r="C718" s="661">
        <v>1</v>
      </c>
      <c r="D718" s="755">
        <f t="shared" si="40"/>
        <v>7200</v>
      </c>
      <c r="E718" s="682" t="str">
        <f t="shared" si="41"/>
        <v>N3</v>
      </c>
      <c r="F718" s="683">
        <f t="shared" si="42"/>
        <v>8</v>
      </c>
      <c r="H718" s="13">
        <v>860</v>
      </c>
      <c r="I718" s="13">
        <f>VLOOKUP(VLOOKUP(H718,$A$24:$B$1023,2,FALSE),'Scratch Sheet'!$U$23:$X$32,3,FALSE)</f>
        <v>6.5</v>
      </c>
      <c r="K718" s="13">
        <f t="shared" si="43"/>
        <v>676</v>
      </c>
      <c r="L718" s="13">
        <f>IFERROR(VLOOKUP(VLOOKUP(K718,$A$24:$B$1023,2,FALSE),'Scratch Sheet'!$U$23:$Y$32,5,FALSE)*VLOOKUP(VLOOKUP(K718,$A$24:$E$1023,5,FALSE),'Scratch Sheet'!$L$22:$M$30,2,FALSE),"")</f>
        <v>8800</v>
      </c>
      <c r="N718" s="675">
        <v>340</v>
      </c>
      <c r="O718" s="675" t="str" cm="1">
        <f t="array" ref="O718">IF(OR(INDEX($B$24:$B$1023,N718)="P10",INDEX($B$24:$B$1023,N718)="P11",INDEX($B$24:$B$1023,N718)="P12",INDEX($B$24:$B$1023,N718)="P13"),"C",IF(OR(INDEX($B$24:$B$1023,N718)="P14",INDEX($B$24:$B$1023,N718)="P15",INDEX($B$24:$B$1023,N718)="P16"),"N","O"))&amp;IF(MOD(N718,100)&lt;20,1,IF(MOD(N718,100)&lt;70,2,3))</f>
        <v>C2</v>
      </c>
    </row>
    <row r="719" spans="1:15" ht="16.5" thickBot="1">
      <c r="A719" s="662">
        <v>696</v>
      </c>
      <c r="B719" s="661" t="str" cm="1">
        <f t="array" ref="B719">"P"&amp;INDEX(X!$CL$2:$CL$12,'Scratch Sheet'!H718+1)+9</f>
        <v>P10</v>
      </c>
      <c r="C719" s="661">
        <v>1</v>
      </c>
      <c r="D719" s="755">
        <f t="shared" si="40"/>
        <v>1920</v>
      </c>
      <c r="E719" s="682" t="str">
        <f t="shared" si="41"/>
        <v>C3</v>
      </c>
      <c r="F719" s="683">
        <f t="shared" si="42"/>
        <v>3</v>
      </c>
      <c r="H719" s="13">
        <v>431</v>
      </c>
      <c r="I719" s="13">
        <f>VLOOKUP(VLOOKUP(H719,$A$24:$B$1023,2,FALSE),'Scratch Sheet'!$U$23:$X$32,3,FALSE)</f>
        <v>12</v>
      </c>
      <c r="K719" s="13">
        <f t="shared" si="43"/>
        <v>671</v>
      </c>
      <c r="L719" s="13">
        <f>IFERROR(VLOOKUP(VLOOKUP(K719,$A$24:$B$1023,2,FALSE),'Scratch Sheet'!$U$23:$Y$32,5,FALSE)*VLOOKUP(VLOOKUP(K719,$A$24:$E$1023,5,FALSE),'Scratch Sheet'!$L$22:$M$30,2,FALSE),"")</f>
        <v>8800</v>
      </c>
      <c r="N719" s="675">
        <v>341</v>
      </c>
      <c r="O719" s="675" t="str" cm="1">
        <f t="array" ref="O719">IF(OR(INDEX($B$24:$B$1023,N719)="P10",INDEX($B$24:$B$1023,N719)="P11",INDEX($B$24:$B$1023,N719)="P12",INDEX($B$24:$B$1023,N719)="P13"),"C",IF(OR(INDEX($B$24:$B$1023,N719)="P14",INDEX($B$24:$B$1023,N719)="P15",INDEX($B$24:$B$1023,N719)="P16"),"N","O"))&amp;IF(MOD(N719,100)&lt;20,1,IF(MOD(N719,100)&lt;70,2,3))</f>
        <v>C2</v>
      </c>
    </row>
    <row r="720" spans="1:15" ht="16.5" thickBot="1">
      <c r="A720" s="662">
        <v>697</v>
      </c>
      <c r="B720" s="661" t="str" cm="1">
        <f t="array" ref="B720">"P"&amp;INDEX(X!$CL$2:$CL$12,'Scratch Sheet'!H719+1)+9</f>
        <v>P13</v>
      </c>
      <c r="C720" s="661">
        <v>1</v>
      </c>
      <c r="D720" s="755">
        <f t="shared" si="40"/>
        <v>3600</v>
      </c>
      <c r="E720" s="682" t="str">
        <f t="shared" si="41"/>
        <v>C3</v>
      </c>
      <c r="F720" s="683">
        <f t="shared" si="42"/>
        <v>5</v>
      </c>
      <c r="H720" s="13">
        <v>906</v>
      </c>
      <c r="I720" s="13">
        <f>VLOOKUP(VLOOKUP(H720,$A$24:$B$1023,2,FALSE),'Scratch Sheet'!$U$23:$X$32,3,FALSE)</f>
        <v>12</v>
      </c>
      <c r="K720" s="13">
        <f t="shared" si="43"/>
        <v>682</v>
      </c>
      <c r="L720" s="13">
        <f>IFERROR(VLOOKUP(VLOOKUP(K720,$A$24:$B$1023,2,FALSE),'Scratch Sheet'!$U$23:$Y$32,5,FALSE)*VLOOKUP(VLOOKUP(K720,$A$24:$E$1023,5,FALSE),'Scratch Sheet'!$L$22:$M$30,2,FALSE),"")</f>
        <v>1920</v>
      </c>
      <c r="N720" s="675">
        <v>347</v>
      </c>
      <c r="O720" s="675" t="str" cm="1">
        <f t="array" ref="O720">IF(OR(INDEX($B$24:$B$1023,N720)="P10",INDEX($B$24:$B$1023,N720)="P11",INDEX($B$24:$B$1023,N720)="P12",INDEX($B$24:$B$1023,N720)="P13"),"C",IF(OR(INDEX($B$24:$B$1023,N720)="P14",INDEX($B$24:$B$1023,N720)="P15",INDEX($B$24:$B$1023,N720)="P16"),"N","O"))&amp;IF(MOD(N720,100)&lt;20,1,IF(MOD(N720,100)&lt;70,2,3))</f>
        <v>C2</v>
      </c>
    </row>
    <row r="721" spans="1:15" ht="16.5" thickBot="1">
      <c r="A721" s="662">
        <v>698</v>
      </c>
      <c r="B721" s="661" t="str" cm="1">
        <f t="array" ref="B721">"P"&amp;INDEX(X!$CL$2:$CL$12,'Scratch Sheet'!H720+1)+9</f>
        <v>P13</v>
      </c>
      <c r="C721" s="661">
        <v>1</v>
      </c>
      <c r="D721" s="755">
        <f t="shared" si="40"/>
        <v>3600</v>
      </c>
      <c r="E721" s="682" t="str">
        <f t="shared" si="41"/>
        <v>C3</v>
      </c>
      <c r="F721" s="683">
        <f t="shared" si="42"/>
        <v>5</v>
      </c>
      <c r="H721" s="13">
        <v>499</v>
      </c>
      <c r="I721" s="13">
        <f>VLOOKUP(VLOOKUP(H721,$A$24:$B$1023,2,FALSE),'Scratch Sheet'!$U$23:$X$32,3,FALSE)</f>
        <v>12</v>
      </c>
      <c r="K721" s="13">
        <f t="shared" si="43"/>
        <v>685</v>
      </c>
      <c r="L721" s="13">
        <f>IFERROR(VLOOKUP(VLOOKUP(K721,$A$24:$B$1023,2,FALSE),'Scratch Sheet'!$U$23:$Y$32,5,FALSE)*VLOOKUP(VLOOKUP(K721,$A$24:$E$1023,5,FALSE),'Scratch Sheet'!$L$22:$M$30,2,FALSE),"")</f>
        <v>9600</v>
      </c>
      <c r="N721" s="675">
        <v>350</v>
      </c>
      <c r="O721" s="675" t="str" cm="1">
        <f t="array" ref="O721">IF(OR(INDEX($B$24:$B$1023,N721)="P10",INDEX($B$24:$B$1023,N721)="P11",INDEX($B$24:$B$1023,N721)="P12",INDEX($B$24:$B$1023,N721)="P13"),"C",IF(OR(INDEX($B$24:$B$1023,N721)="P14",INDEX($B$24:$B$1023,N721)="P15",INDEX($B$24:$B$1023,N721)="P16"),"N","O"))&amp;IF(MOD(N721,100)&lt;20,1,IF(MOD(N721,100)&lt;70,2,3))</f>
        <v>C2</v>
      </c>
    </row>
    <row r="722" spans="1:15" ht="16.5" thickBot="1">
      <c r="A722" s="662">
        <v>699</v>
      </c>
      <c r="B722" s="661" t="str" cm="1">
        <f t="array" ref="B722">"P"&amp;INDEX(X!$CL$2:$CL$12,'Scratch Sheet'!H721+1)+9</f>
        <v>P10</v>
      </c>
      <c r="C722" s="661">
        <v>1</v>
      </c>
      <c r="D722" s="755">
        <f t="shared" si="40"/>
        <v>1920</v>
      </c>
      <c r="E722" s="682" t="str">
        <f t="shared" si="41"/>
        <v>C3</v>
      </c>
      <c r="F722" s="683">
        <f t="shared" si="42"/>
        <v>3</v>
      </c>
      <c r="H722" s="13">
        <v>220</v>
      </c>
      <c r="I722" s="13">
        <f>VLOOKUP(VLOOKUP(H722,$A$24:$B$1023,2,FALSE),'Scratch Sheet'!$U$23:$X$32,3,FALSE)</f>
        <v>3</v>
      </c>
      <c r="K722" s="13">
        <f t="shared" si="43"/>
        <v>684</v>
      </c>
      <c r="L722" s="13">
        <f>IFERROR(VLOOKUP(VLOOKUP(K722,$A$24:$B$1023,2,FALSE),'Scratch Sheet'!$U$23:$Y$32,5,FALSE)*VLOOKUP(VLOOKUP(K722,$A$24:$E$1023,5,FALSE),'Scratch Sheet'!$L$22:$M$30,2,FALSE),"")</f>
        <v>5200</v>
      </c>
      <c r="N722" s="675">
        <v>355</v>
      </c>
      <c r="O722" s="675" t="str" cm="1">
        <f t="array" ref="O722">IF(OR(INDEX($B$24:$B$1023,N722)="P10",INDEX($B$24:$B$1023,N722)="P11",INDEX($B$24:$B$1023,N722)="P12",INDEX($B$24:$B$1023,N722)="P13"),"C",IF(OR(INDEX($B$24:$B$1023,N722)="P14",INDEX($B$24:$B$1023,N722)="P15",INDEX($B$24:$B$1023,N722)="P16"),"N","O"))&amp;IF(MOD(N722,100)&lt;20,1,IF(MOD(N722,100)&lt;70,2,3))</f>
        <v>N2</v>
      </c>
    </row>
    <row r="723" spans="1:15" ht="16.5" thickBot="1">
      <c r="A723" s="662">
        <v>700</v>
      </c>
      <c r="B723" s="661" t="str" cm="1">
        <f t="array" ref="B723">"P"&amp;INDEX(X!$CL$2:$CL$12,'Scratch Sheet'!H722+1)+9</f>
        <v>P11</v>
      </c>
      <c r="C723" s="661">
        <v>1</v>
      </c>
      <c r="D723" s="755">
        <f t="shared" si="40"/>
        <v>13200</v>
      </c>
      <c r="E723" s="682" t="str">
        <f t="shared" si="41"/>
        <v>C1</v>
      </c>
      <c r="F723" s="683">
        <f t="shared" si="42"/>
        <v>11</v>
      </c>
      <c r="H723" s="13">
        <v>446</v>
      </c>
      <c r="I723" s="13">
        <f>VLOOKUP(VLOOKUP(H723,$A$24:$B$1023,2,FALSE),'Scratch Sheet'!$U$23:$X$32,3,FALSE)</f>
        <v>4</v>
      </c>
      <c r="K723" s="13">
        <f t="shared" si="43"/>
        <v>679</v>
      </c>
      <c r="L723" s="13">
        <f>IFERROR(VLOOKUP(VLOOKUP(K723,$A$24:$B$1023,2,FALSE),'Scratch Sheet'!$U$23:$Y$32,5,FALSE)*VLOOKUP(VLOOKUP(K723,$A$24:$E$1023,5,FALSE),'Scratch Sheet'!$L$22:$M$30,2,FALSE),"")</f>
        <v>1920</v>
      </c>
      <c r="N723" s="675">
        <v>357</v>
      </c>
      <c r="O723" s="675" t="str" cm="1">
        <f t="array" ref="O723">IF(OR(INDEX($B$24:$B$1023,N723)="P10",INDEX($B$24:$B$1023,N723)="P11",INDEX($B$24:$B$1023,N723)="P12",INDEX($B$24:$B$1023,N723)="P13"),"C",IF(OR(INDEX($B$24:$B$1023,N723)="P14",INDEX($B$24:$B$1023,N723)="P15",INDEX($B$24:$B$1023,N723)="P16"),"N","O"))&amp;IF(MOD(N723,100)&lt;20,1,IF(MOD(N723,100)&lt;70,2,3))</f>
        <v>C2</v>
      </c>
    </row>
    <row r="724" spans="1:15" ht="16.5" thickBot="1">
      <c r="A724" s="662">
        <v>701</v>
      </c>
      <c r="B724" s="661" t="str" cm="1">
        <f t="array" ref="B724">"P"&amp;INDEX(X!$CL$2:$CL$12,'Scratch Sheet'!H723+1)+9</f>
        <v>P16</v>
      </c>
      <c r="C724" s="661">
        <v>1</v>
      </c>
      <c r="D724" s="755">
        <f t="shared" si="40"/>
        <v>7279.9999999999991</v>
      </c>
      <c r="E724" s="682" t="str">
        <f t="shared" si="41"/>
        <v>N1</v>
      </c>
      <c r="F724" s="683">
        <f t="shared" si="42"/>
        <v>4</v>
      </c>
      <c r="H724" s="13">
        <v>453</v>
      </c>
      <c r="I724" s="13">
        <f>VLOOKUP(VLOOKUP(H724,$A$24:$B$1023,2,FALSE),'Scratch Sheet'!$U$23:$X$32,3,FALSE)</f>
        <v>3</v>
      </c>
      <c r="K724" s="13">
        <f t="shared" si="43"/>
        <v>681</v>
      </c>
      <c r="L724" s="13">
        <f>IFERROR(VLOOKUP(VLOOKUP(K724,$A$24:$B$1023,2,FALSE),'Scratch Sheet'!$U$23:$Y$32,5,FALSE)*VLOOKUP(VLOOKUP(K724,$A$24:$E$1023,5,FALSE),'Scratch Sheet'!$L$22:$M$30,2,FALSE),"")</f>
        <v>3600</v>
      </c>
      <c r="N724" s="675">
        <v>358</v>
      </c>
      <c r="O724" s="675" t="str" cm="1">
        <f t="array" ref="O724">IF(OR(INDEX($B$24:$B$1023,N724)="P10",INDEX($B$24:$B$1023,N724)="P11",INDEX($B$24:$B$1023,N724)="P12",INDEX($B$24:$B$1023,N724)="P13"),"C",IF(OR(INDEX($B$24:$B$1023,N724)="P14",INDEX($B$24:$B$1023,N724)="P15",INDEX($B$24:$B$1023,N724)="P16"),"N","O"))&amp;IF(MOD(N724,100)&lt;20,1,IF(MOD(N724,100)&lt;70,2,3))</f>
        <v>C2</v>
      </c>
    </row>
    <row r="725" spans="1:15" ht="16.5" thickBot="1">
      <c r="A725" s="662">
        <v>702</v>
      </c>
      <c r="B725" s="661" t="str" cm="1">
        <f t="array" ref="B725">"P"&amp;INDEX(X!$CL$2:$CL$12,'Scratch Sheet'!H724+1)+9</f>
        <v>P17</v>
      </c>
      <c r="C725" s="661">
        <v>1</v>
      </c>
      <c r="D725" s="755">
        <f t="shared" si="40"/>
        <v>10800</v>
      </c>
      <c r="E725" s="682" t="str">
        <f t="shared" si="41"/>
        <v>O1</v>
      </c>
      <c r="F725" s="683">
        <f t="shared" si="42"/>
        <v>12</v>
      </c>
      <c r="H725" s="13">
        <v>849</v>
      </c>
      <c r="I725" s="13">
        <f>VLOOKUP(VLOOKUP(H725,$A$24:$B$1023,2,FALSE),'Scratch Sheet'!$U$23:$X$32,3,FALSE)</f>
        <v>3</v>
      </c>
      <c r="K725" s="13">
        <f t="shared" si="43"/>
        <v>680</v>
      </c>
      <c r="L725" s="13">
        <f>IFERROR(VLOOKUP(VLOOKUP(K725,$A$24:$B$1023,2,FALSE),'Scratch Sheet'!$U$23:$Y$32,5,FALSE)*VLOOKUP(VLOOKUP(K725,$A$24:$E$1023,5,FALSE),'Scratch Sheet'!$L$22:$M$30,2,FALSE),"")</f>
        <v>3600</v>
      </c>
      <c r="N725" s="675">
        <v>364</v>
      </c>
      <c r="O725" s="675" t="str" cm="1">
        <f t="array" ref="O725">IF(OR(INDEX($B$24:$B$1023,N725)="P10",INDEX($B$24:$B$1023,N725)="P11",INDEX($B$24:$B$1023,N725)="P12",INDEX($B$24:$B$1023,N725)="P13"),"C",IF(OR(INDEX($B$24:$B$1023,N725)="P14",INDEX($B$24:$B$1023,N725)="P15",INDEX($B$24:$B$1023,N725)="P16"),"N","O"))&amp;IF(MOD(N725,100)&lt;20,1,IF(MOD(N725,100)&lt;70,2,3))</f>
        <v>C2</v>
      </c>
    </row>
    <row r="726" spans="1:15" ht="16.5" thickBot="1">
      <c r="A726" s="662">
        <v>703</v>
      </c>
      <c r="B726" s="661" t="str" cm="1">
        <f t="array" ref="B726">"P"&amp;INDEX(X!$CL$2:$CL$12,'Scratch Sheet'!H725+1)+9</f>
        <v>P17</v>
      </c>
      <c r="C726" s="661">
        <v>1</v>
      </c>
      <c r="D726" s="755">
        <f t="shared" si="40"/>
        <v>10800</v>
      </c>
      <c r="E726" s="682" t="str">
        <f t="shared" si="41"/>
        <v>O1</v>
      </c>
      <c r="F726" s="683">
        <f t="shared" si="42"/>
        <v>12</v>
      </c>
      <c r="H726" s="13">
        <v>805</v>
      </c>
      <c r="I726" s="13">
        <f>VLOOKUP(VLOOKUP(H726,$A$24:$B$1023,2,FALSE),'Scratch Sheet'!$U$23:$X$32,3,FALSE)</f>
        <v>12</v>
      </c>
      <c r="K726" s="13">
        <f t="shared" si="43"/>
        <v>683</v>
      </c>
      <c r="L726" s="13">
        <f>IFERROR(VLOOKUP(VLOOKUP(K726,$A$24:$B$1023,2,FALSE),'Scratch Sheet'!$U$23:$Y$32,5,FALSE)*VLOOKUP(VLOOKUP(K726,$A$24:$E$1023,5,FALSE),'Scratch Sheet'!$L$22:$M$30,2,FALSE),"")</f>
        <v>8800</v>
      </c>
      <c r="N726" s="675">
        <v>367</v>
      </c>
      <c r="O726" s="675" t="str" cm="1">
        <f t="array" ref="O726">IF(OR(INDEX($B$24:$B$1023,N726)="P10",INDEX($B$24:$B$1023,N726)="P11",INDEX($B$24:$B$1023,N726)="P12",INDEX($B$24:$B$1023,N726)="P13"),"C",IF(OR(INDEX($B$24:$B$1023,N726)="P14",INDEX($B$24:$B$1023,N726)="P15",INDEX($B$24:$B$1023,N726)="P16"),"N","O"))&amp;IF(MOD(N726,100)&lt;20,1,IF(MOD(N726,100)&lt;70,2,3))</f>
        <v>C2</v>
      </c>
    </row>
    <row r="727" spans="1:15" ht="16.5" thickBot="1">
      <c r="A727" s="662">
        <v>704</v>
      </c>
      <c r="B727" s="661" t="str" cm="1">
        <f t="array" ref="B727">"P"&amp;INDEX(X!$CL$2:$CL$12,'Scratch Sheet'!H726+1)+9</f>
        <v>P13</v>
      </c>
      <c r="C727" s="661">
        <v>1</v>
      </c>
      <c r="D727" s="755">
        <f t="shared" si="40"/>
        <v>5400</v>
      </c>
      <c r="E727" s="682" t="str">
        <f t="shared" si="41"/>
        <v>C1</v>
      </c>
      <c r="F727" s="683">
        <f t="shared" si="42"/>
        <v>5</v>
      </c>
      <c r="H727" s="13">
        <v>649</v>
      </c>
      <c r="I727" s="13">
        <f>VLOOKUP(VLOOKUP(H727,$A$24:$B$1023,2,FALSE),'Scratch Sheet'!$U$23:$X$32,3,FALSE)</f>
        <v>11</v>
      </c>
      <c r="K727" s="13">
        <f t="shared" si="43"/>
        <v>689</v>
      </c>
      <c r="L727" s="13">
        <f>IFERROR(VLOOKUP(VLOOKUP(K727,$A$24:$B$1023,2,FALSE),'Scratch Sheet'!$U$23:$Y$32,5,FALSE)*VLOOKUP(VLOOKUP(K727,$A$24:$E$1023,5,FALSE),'Scratch Sheet'!$L$22:$M$30,2,FALSE),"")</f>
        <v>8800</v>
      </c>
      <c r="N727" s="675">
        <v>372</v>
      </c>
      <c r="O727" s="675" t="str" cm="1">
        <f t="array" ref="O727">IF(OR(INDEX($B$24:$B$1023,N727)="P10",INDEX($B$24:$B$1023,N727)="P11",INDEX($B$24:$B$1023,N727)="P12",INDEX($B$24:$B$1023,N727)="P13"),"C",IF(OR(INDEX($B$24:$B$1023,N727)="P14",INDEX($B$24:$B$1023,N727)="P15",INDEX($B$24:$B$1023,N727)="P16"),"N","O"))&amp;IF(MOD(N727,100)&lt;20,1,IF(MOD(N727,100)&lt;70,2,3))</f>
        <v>N3</v>
      </c>
    </row>
    <row r="728" spans="1:15" ht="16.5" thickBot="1">
      <c r="A728" s="662">
        <v>705</v>
      </c>
      <c r="B728" s="661" t="str" cm="1">
        <f t="array" ref="B728">"P"&amp;INDEX(X!$CL$2:$CL$12,'Scratch Sheet'!H727+1)+9</f>
        <v>P11</v>
      </c>
      <c r="C728" s="661">
        <v>1</v>
      </c>
      <c r="D728" s="755">
        <f t="shared" si="40"/>
        <v>13200</v>
      </c>
      <c r="E728" s="682" t="str">
        <f t="shared" si="41"/>
        <v>C1</v>
      </c>
      <c r="F728" s="683">
        <f t="shared" si="42"/>
        <v>11</v>
      </c>
      <c r="H728" s="13">
        <v>517</v>
      </c>
      <c r="I728" s="13">
        <f>VLOOKUP(VLOOKUP(H728,$A$24:$B$1023,2,FALSE),'Scratch Sheet'!$U$23:$X$32,3,FALSE)</f>
        <v>5</v>
      </c>
      <c r="K728" s="13">
        <f t="shared" si="43"/>
        <v>691</v>
      </c>
      <c r="L728" s="13">
        <f>IFERROR(VLOOKUP(VLOOKUP(K728,$A$24:$B$1023,2,FALSE),'Scratch Sheet'!$U$23:$Y$32,5,FALSE)*VLOOKUP(VLOOKUP(K728,$A$24:$E$1023,5,FALSE),'Scratch Sheet'!$L$22:$M$30,2,FALSE),"")</f>
        <v>1920</v>
      </c>
      <c r="N728" s="675">
        <v>374</v>
      </c>
      <c r="O728" s="675" t="str" cm="1">
        <f t="array" ref="O728">IF(OR(INDEX($B$24:$B$1023,N728)="P10",INDEX($B$24:$B$1023,N728)="P11",INDEX($B$24:$B$1023,N728)="P12",INDEX($B$24:$B$1023,N728)="P13"),"C",IF(OR(INDEX($B$24:$B$1023,N728)="P14",INDEX($B$24:$B$1023,N728)="P15",INDEX($B$24:$B$1023,N728)="P16"),"N","O"))&amp;IF(MOD(N728,100)&lt;20,1,IF(MOD(N728,100)&lt;70,2,3))</f>
        <v>C3</v>
      </c>
    </row>
    <row r="729" spans="1:15" ht="16.5" thickBot="1">
      <c r="A729" s="662">
        <v>706</v>
      </c>
      <c r="B729" s="661" t="str" cm="1">
        <f t="array" ref="B729">"P"&amp;INDEX(X!$CL$2:$CL$12,'Scratch Sheet'!H728+1)+9</f>
        <v>P11</v>
      </c>
      <c r="C729" s="661">
        <v>1</v>
      </c>
      <c r="D729" s="755">
        <f t="shared" ref="D729:D792" si="44">SUMIF($K$24:$K$1053, $A729, $L$24:$L$1053)</f>
        <v>13200</v>
      </c>
      <c r="E729" s="682" t="str">
        <f t="shared" ref="E729:E792" si="45">INDEX($O$24:$O$1023,MATCH($A729,$N$24:$N$1023,0))</f>
        <v>C1</v>
      </c>
      <c r="F729" s="683">
        <f t="shared" ref="F729:F792" si="46">VLOOKUP(A729, $H$24:$I$1023, 2, FALSE)</f>
        <v>11</v>
      </c>
      <c r="H729" s="13">
        <v>613</v>
      </c>
      <c r="I729" s="13">
        <f>VLOOKUP(VLOOKUP(H729,$A$24:$B$1023,2,FALSE),'Scratch Sheet'!$U$23:$X$32,3,FALSE)</f>
        <v>5</v>
      </c>
      <c r="K729" s="13">
        <f t="shared" si="43"/>
        <v>690</v>
      </c>
      <c r="L729" s="13">
        <f>IFERROR(VLOOKUP(VLOOKUP(K729,$A$24:$B$1023,2,FALSE),'Scratch Sheet'!$U$23:$Y$32,5,FALSE)*VLOOKUP(VLOOKUP(K729,$A$24:$E$1023,5,FALSE),'Scratch Sheet'!$L$22:$M$30,2,FALSE),"")</f>
        <v>5460</v>
      </c>
      <c r="N729" s="675">
        <v>375</v>
      </c>
      <c r="O729" s="675" t="str" cm="1">
        <f t="array" ref="O729">IF(OR(INDEX($B$24:$B$1023,N729)="P10",INDEX($B$24:$B$1023,N729)="P11",INDEX($B$24:$B$1023,N729)="P12",INDEX($B$24:$B$1023,N729)="P13"),"C",IF(OR(INDEX($B$24:$B$1023,N729)="P14",INDEX($B$24:$B$1023,N729)="P15",INDEX($B$24:$B$1023,N729)="P16"),"N","O"))&amp;IF(MOD(N729,100)&lt;20,1,IF(MOD(N729,100)&lt;70,2,3))</f>
        <v>C3</v>
      </c>
    </row>
    <row r="730" spans="1:15" ht="16.5" thickBot="1">
      <c r="A730" s="662">
        <v>707</v>
      </c>
      <c r="B730" s="661" t="str" cm="1">
        <f t="array" ref="B730">"P"&amp;INDEX(X!$CL$2:$CL$12,'Scratch Sheet'!H729+1)+9</f>
        <v>P12</v>
      </c>
      <c r="C730" s="661">
        <v>1</v>
      </c>
      <c r="D730" s="755">
        <f t="shared" si="44"/>
        <v>8190</v>
      </c>
      <c r="E730" s="682" t="str">
        <f t="shared" si="45"/>
        <v>C1</v>
      </c>
      <c r="F730" s="683">
        <f t="shared" si="46"/>
        <v>6.5</v>
      </c>
      <c r="H730" s="13">
        <v>23</v>
      </c>
      <c r="I730" s="13">
        <f>VLOOKUP(VLOOKUP(H730,$A$24:$B$1023,2,FALSE),'Scratch Sheet'!$U$23:$X$32,3,FALSE)</f>
        <v>5</v>
      </c>
      <c r="K730" s="13">
        <f t="shared" si="43"/>
        <v>686</v>
      </c>
      <c r="L730" s="13">
        <f>IFERROR(VLOOKUP(VLOOKUP(K730,$A$24:$B$1023,2,FALSE),'Scratch Sheet'!$U$23:$Y$32,5,FALSE)*VLOOKUP(VLOOKUP(K730,$A$24:$E$1023,5,FALSE),'Scratch Sheet'!$L$22:$M$30,2,FALSE),"")</f>
        <v>9600</v>
      </c>
      <c r="N730" s="675">
        <v>381</v>
      </c>
      <c r="O730" s="675" t="str" cm="1">
        <f t="array" ref="O730">IF(OR(INDEX($B$24:$B$1023,N730)="P10",INDEX($B$24:$B$1023,N730)="P11",INDEX($B$24:$B$1023,N730)="P12",INDEX($B$24:$B$1023,N730)="P13"),"C",IF(OR(INDEX($B$24:$B$1023,N730)="P14",INDEX($B$24:$B$1023,N730)="P15",INDEX($B$24:$B$1023,N730)="P16"),"N","O"))&amp;IF(MOD(N730,100)&lt;20,1,IF(MOD(N730,100)&lt;70,2,3))</f>
        <v>C3</v>
      </c>
    </row>
    <row r="731" spans="1:15" ht="16.5" thickBot="1">
      <c r="A731" s="662">
        <v>708</v>
      </c>
      <c r="B731" s="661" t="str" cm="1">
        <f t="array" ref="B731">"P"&amp;INDEX(X!$CL$2:$CL$12,'Scratch Sheet'!H730+1)+9</f>
        <v>P10</v>
      </c>
      <c r="C731" s="661">
        <v>1</v>
      </c>
      <c r="D731" s="755">
        <f t="shared" si="44"/>
        <v>2880</v>
      </c>
      <c r="E731" s="682" t="str">
        <f t="shared" si="45"/>
        <v>C1</v>
      </c>
      <c r="F731" s="683">
        <f t="shared" si="46"/>
        <v>3</v>
      </c>
      <c r="H731" s="13">
        <v>233</v>
      </c>
      <c r="I731" s="13">
        <f>VLOOKUP(VLOOKUP(H731,$A$24:$B$1023,2,FALSE),'Scratch Sheet'!$U$23:$X$32,3,FALSE)</f>
        <v>3</v>
      </c>
      <c r="K731" s="13">
        <f t="shared" si="43"/>
        <v>688</v>
      </c>
      <c r="L731" s="13">
        <f>IFERROR(VLOOKUP(VLOOKUP(K731,$A$24:$B$1023,2,FALSE),'Scratch Sheet'!$U$23:$Y$32,5,FALSE)*VLOOKUP(VLOOKUP(K731,$A$24:$E$1023,5,FALSE),'Scratch Sheet'!$L$22:$M$30,2,FALSE),"")</f>
        <v>8800</v>
      </c>
      <c r="N731" s="675">
        <v>384</v>
      </c>
      <c r="O731" s="675" t="str" cm="1">
        <f t="array" ref="O731">IF(OR(INDEX($B$24:$B$1023,N731)="P10",INDEX($B$24:$B$1023,N731)="P11",INDEX($B$24:$B$1023,N731)="P12",INDEX($B$24:$B$1023,N731)="P13"),"C",IF(OR(INDEX($B$24:$B$1023,N731)="P14",INDEX($B$24:$B$1023,N731)="P15",INDEX($B$24:$B$1023,N731)="P16"),"N","O"))&amp;IF(MOD(N731,100)&lt;20,1,IF(MOD(N731,100)&lt;70,2,3))</f>
        <v>C3</v>
      </c>
    </row>
    <row r="732" spans="1:15" ht="16.5" thickBot="1">
      <c r="A732" s="662">
        <v>709</v>
      </c>
      <c r="B732" s="661" t="str" cm="1">
        <f t="array" ref="B732">"P"&amp;INDEX(X!$CL$2:$CL$12,'Scratch Sheet'!H731+1)+9</f>
        <v>P10</v>
      </c>
      <c r="C732" s="661">
        <v>1</v>
      </c>
      <c r="D732" s="755">
        <f t="shared" si="44"/>
        <v>2880</v>
      </c>
      <c r="E732" s="682" t="str">
        <f t="shared" si="45"/>
        <v>C1</v>
      </c>
      <c r="F732" s="683">
        <f t="shared" si="46"/>
        <v>3</v>
      </c>
      <c r="H732" s="13">
        <v>395</v>
      </c>
      <c r="I732" s="13">
        <f>VLOOKUP(VLOOKUP(H732,$A$24:$B$1023,2,FALSE),'Scratch Sheet'!$U$23:$X$32,3,FALSE)</f>
        <v>4</v>
      </c>
      <c r="K732" s="13">
        <f t="shared" si="43"/>
        <v>687</v>
      </c>
      <c r="L732" s="13">
        <f>IFERROR(VLOOKUP(VLOOKUP(K732,$A$24:$B$1023,2,FALSE),'Scratch Sheet'!$U$23:$Y$32,5,FALSE)*VLOOKUP(VLOOKUP(K732,$A$24:$E$1023,5,FALSE),'Scratch Sheet'!$L$22:$M$30,2,FALSE),"")</f>
        <v>3600</v>
      </c>
      <c r="N732" s="675">
        <v>389</v>
      </c>
      <c r="O732" s="675" t="str" cm="1">
        <f t="array" ref="O732">IF(OR(INDEX($B$24:$B$1023,N732)="P10",INDEX($B$24:$B$1023,N732)="P11",INDEX($B$24:$B$1023,N732)="P12",INDEX($B$24:$B$1023,N732)="P13"),"C",IF(OR(INDEX($B$24:$B$1023,N732)="P14",INDEX($B$24:$B$1023,N732)="P15",INDEX($B$24:$B$1023,N732)="P16"),"N","O"))&amp;IF(MOD(N732,100)&lt;20,1,IF(MOD(N732,100)&lt;70,2,3))</f>
        <v>N3</v>
      </c>
    </row>
    <row r="733" spans="1:15" ht="16.5" thickBot="1">
      <c r="A733" s="662">
        <v>710</v>
      </c>
      <c r="B733" s="661" t="str" cm="1">
        <f t="array" ref="B733">"P"&amp;INDEX(X!$CL$2:$CL$12,'Scratch Sheet'!H732+1)+9</f>
        <v>P11</v>
      </c>
      <c r="C733" s="661">
        <v>1</v>
      </c>
      <c r="D733" s="755">
        <f t="shared" si="44"/>
        <v>13200</v>
      </c>
      <c r="E733" s="682" t="str">
        <f t="shared" si="45"/>
        <v>C1</v>
      </c>
      <c r="F733" s="683">
        <f t="shared" si="46"/>
        <v>11</v>
      </c>
      <c r="H733" s="13">
        <v>536</v>
      </c>
      <c r="I733" s="13">
        <f>VLOOKUP(VLOOKUP(H733,$A$24:$B$1023,2,FALSE),'Scratch Sheet'!$U$23:$X$32,3,FALSE)</f>
        <v>11</v>
      </c>
      <c r="K733" s="13">
        <f t="shared" si="43"/>
        <v>694</v>
      </c>
      <c r="L733" s="13">
        <f>IFERROR(VLOOKUP(VLOOKUP(K733,$A$24:$B$1023,2,FALSE),'Scratch Sheet'!$U$23:$Y$32,5,FALSE)*VLOOKUP(VLOOKUP(K733,$A$24:$E$1023,5,FALSE),'Scratch Sheet'!$L$22:$M$30,2,FALSE),"")</f>
        <v>4320</v>
      </c>
      <c r="N733" s="675">
        <v>391</v>
      </c>
      <c r="O733" s="675" t="str" cm="1">
        <f t="array" ref="O733">IF(OR(INDEX($B$24:$B$1023,N733)="P10",INDEX($B$24:$B$1023,N733)="P11",INDEX($B$24:$B$1023,N733)="P12",INDEX($B$24:$B$1023,N733)="P13"),"C",IF(OR(INDEX($B$24:$B$1023,N733)="P14",INDEX($B$24:$B$1023,N733)="P15",INDEX($B$24:$B$1023,N733)="P16"),"N","O"))&amp;IF(MOD(N733,100)&lt;20,1,IF(MOD(N733,100)&lt;70,2,3))</f>
        <v>C3</v>
      </c>
    </row>
    <row r="734" spans="1:15" ht="16.5" thickBot="1">
      <c r="A734" s="662">
        <v>711</v>
      </c>
      <c r="B734" s="661" t="str" cm="1">
        <f t="array" ref="B734">"P"&amp;INDEX(X!$CL$2:$CL$12,'Scratch Sheet'!H733+1)+9</f>
        <v>P18</v>
      </c>
      <c r="C734" s="661">
        <v>1</v>
      </c>
      <c r="D734" s="755">
        <f t="shared" si="44"/>
        <v>4860</v>
      </c>
      <c r="E734" s="682" t="str">
        <f t="shared" si="45"/>
        <v>O1</v>
      </c>
      <c r="F734" s="683">
        <f t="shared" si="46"/>
        <v>6</v>
      </c>
      <c r="H734" s="13">
        <v>652</v>
      </c>
      <c r="I734" s="13">
        <f>VLOOKUP(VLOOKUP(H734,$A$24:$B$1023,2,FALSE),'Scratch Sheet'!$U$23:$X$32,3,FALSE)</f>
        <v>12</v>
      </c>
      <c r="K734" s="13">
        <f t="shared" si="43"/>
        <v>696</v>
      </c>
      <c r="L734" s="13">
        <f>IFERROR(VLOOKUP(VLOOKUP(K734,$A$24:$B$1023,2,FALSE),'Scratch Sheet'!$U$23:$Y$32,5,FALSE)*VLOOKUP(VLOOKUP(K734,$A$24:$E$1023,5,FALSE),'Scratch Sheet'!$L$22:$M$30,2,FALSE),"")</f>
        <v>1920</v>
      </c>
      <c r="N734" s="675">
        <v>392</v>
      </c>
      <c r="O734" s="675" t="str" cm="1">
        <f t="array" ref="O734">IF(OR(INDEX($B$24:$B$1023,N734)="P10",INDEX($B$24:$B$1023,N734)="P11",INDEX($B$24:$B$1023,N734)="P12",INDEX($B$24:$B$1023,N734)="P13"),"C",IF(OR(INDEX($B$24:$B$1023,N734)="P14",INDEX($B$24:$B$1023,N734)="P15",INDEX($B$24:$B$1023,N734)="P16"),"N","O"))&amp;IF(MOD(N734,100)&lt;20,1,IF(MOD(N734,100)&lt;70,2,3))</f>
        <v>C3</v>
      </c>
    </row>
    <row r="735" spans="1:15" ht="16.5" thickBot="1">
      <c r="A735" s="662">
        <v>712</v>
      </c>
      <c r="B735" s="661" t="str" cm="1">
        <f t="array" ref="B735">"P"&amp;INDEX(X!$CL$2:$CL$12,'Scratch Sheet'!H734+1)+9</f>
        <v>P14</v>
      </c>
      <c r="C735" s="661">
        <v>1</v>
      </c>
      <c r="D735" s="755">
        <f t="shared" si="44"/>
        <v>10080</v>
      </c>
      <c r="E735" s="682" t="str">
        <f t="shared" si="45"/>
        <v>N1</v>
      </c>
      <c r="F735" s="683">
        <f t="shared" si="46"/>
        <v>8</v>
      </c>
      <c r="H735" s="13">
        <v>26</v>
      </c>
      <c r="I735" s="13">
        <f>VLOOKUP(VLOOKUP(H735,$A$24:$B$1023,2,FALSE),'Scratch Sheet'!$U$23:$X$32,3,FALSE)</f>
        <v>5</v>
      </c>
      <c r="K735" s="13">
        <f t="shared" si="43"/>
        <v>695</v>
      </c>
      <c r="L735" s="13">
        <f>IFERROR(VLOOKUP(VLOOKUP(K735,$A$24:$B$1023,2,FALSE),'Scratch Sheet'!$U$23:$Y$32,5,FALSE)*VLOOKUP(VLOOKUP(K735,$A$24:$E$1023,5,FALSE),'Scratch Sheet'!$L$22:$M$30,2,FALSE),"")</f>
        <v>7200</v>
      </c>
      <c r="N735" s="675">
        <v>398</v>
      </c>
      <c r="O735" s="675" t="str" cm="1">
        <f t="array" ref="O735">IF(OR(INDEX($B$24:$B$1023,N735)="P10",INDEX($B$24:$B$1023,N735)="P11",INDEX($B$24:$B$1023,N735)="P12",INDEX($B$24:$B$1023,N735)="P13"),"C",IF(OR(INDEX($B$24:$B$1023,N735)="P14",INDEX($B$24:$B$1023,N735)="P15",INDEX($B$24:$B$1023,N735)="P16"),"N","O"))&amp;IF(MOD(N735,100)&lt;20,1,IF(MOD(N735,100)&lt;70,2,3))</f>
        <v>C3</v>
      </c>
    </row>
    <row r="736" spans="1:15" ht="16.5" thickBot="1">
      <c r="A736" s="662">
        <v>713</v>
      </c>
      <c r="B736" s="661" t="str" cm="1">
        <f t="array" ref="B736">"P"&amp;INDEX(X!$CL$2:$CL$12,'Scratch Sheet'!H735+1)+9</f>
        <v>P10</v>
      </c>
      <c r="C736" s="661">
        <v>1</v>
      </c>
      <c r="D736" s="755">
        <f t="shared" si="44"/>
        <v>2880</v>
      </c>
      <c r="E736" s="682" t="str">
        <f t="shared" si="45"/>
        <v>C1</v>
      </c>
      <c r="F736" s="683">
        <f t="shared" si="46"/>
        <v>3</v>
      </c>
      <c r="H736" s="13">
        <v>409</v>
      </c>
      <c r="I736" s="13">
        <f>VLOOKUP(VLOOKUP(H736,$A$24:$B$1023,2,FALSE),'Scratch Sheet'!$U$23:$X$32,3,FALSE)</f>
        <v>5</v>
      </c>
      <c r="K736" s="13">
        <f t="shared" si="43"/>
        <v>692</v>
      </c>
      <c r="L736" s="13">
        <f>IFERROR(VLOOKUP(VLOOKUP(K736,$A$24:$B$1023,2,FALSE),'Scratch Sheet'!$U$23:$Y$32,5,FALSE)*VLOOKUP(VLOOKUP(K736,$A$24:$E$1023,5,FALSE),'Scratch Sheet'!$L$22:$M$30,2,FALSE),"")</f>
        <v>1920</v>
      </c>
      <c r="N736" s="675">
        <v>401</v>
      </c>
      <c r="O736" s="675" t="str" cm="1">
        <f t="array" ref="O736">IF(OR(INDEX($B$24:$B$1023,N736)="P10",INDEX($B$24:$B$1023,N736)="P11",INDEX($B$24:$B$1023,N736)="P12",INDEX($B$24:$B$1023,N736)="P13"),"C",IF(OR(INDEX($B$24:$B$1023,N736)="P14",INDEX($B$24:$B$1023,N736)="P15",INDEX($B$24:$B$1023,N736)="P16"),"N","O"))&amp;IF(MOD(N736,100)&lt;20,1,IF(MOD(N736,100)&lt;70,2,3))</f>
        <v>C1</v>
      </c>
    </row>
    <row r="737" spans="1:15" ht="16.5" thickBot="1">
      <c r="A737" s="662">
        <v>714</v>
      </c>
      <c r="B737" s="661" t="str" cm="1">
        <f t="array" ref="B737">"P"&amp;INDEX(X!$CL$2:$CL$12,'Scratch Sheet'!H736+1)+9</f>
        <v>P13</v>
      </c>
      <c r="C737" s="661">
        <v>1</v>
      </c>
      <c r="D737" s="755">
        <f t="shared" si="44"/>
        <v>5400</v>
      </c>
      <c r="E737" s="682" t="str">
        <f t="shared" si="45"/>
        <v>C1</v>
      </c>
      <c r="F737" s="683">
        <f t="shared" si="46"/>
        <v>5</v>
      </c>
      <c r="H737" s="13">
        <v>207</v>
      </c>
      <c r="I737" s="13">
        <f>VLOOKUP(VLOOKUP(H737,$A$24:$B$1023,2,FALSE),'Scratch Sheet'!$U$23:$X$32,3,FALSE)</f>
        <v>11</v>
      </c>
      <c r="K737" s="13">
        <f t="shared" si="43"/>
        <v>693</v>
      </c>
      <c r="L737" s="13">
        <f>IFERROR(VLOOKUP(VLOOKUP(K737,$A$24:$B$1023,2,FALSE),'Scratch Sheet'!$U$23:$Y$32,5,FALSE)*VLOOKUP(VLOOKUP(K737,$A$24:$E$1023,5,FALSE),'Scratch Sheet'!$L$22:$M$30,2,FALSE),"")</f>
        <v>8800</v>
      </c>
      <c r="N737" s="675">
        <v>406</v>
      </c>
      <c r="O737" s="675" t="str" cm="1">
        <f t="array" ref="O737">IF(OR(INDEX($B$24:$B$1023,N737)="P10",INDEX($B$24:$B$1023,N737)="P11",INDEX($B$24:$B$1023,N737)="P12",INDEX($B$24:$B$1023,N737)="P13"),"C",IF(OR(INDEX($B$24:$B$1023,N737)="P14",INDEX($B$24:$B$1023,N737)="P15",INDEX($B$24:$B$1023,N737)="P16"),"N","O"))&amp;IF(MOD(N737,100)&lt;20,1,IF(MOD(N737,100)&lt;70,2,3))</f>
        <v>N1</v>
      </c>
    </row>
    <row r="738" spans="1:15" ht="16.5" thickBot="1">
      <c r="A738" s="662">
        <v>715</v>
      </c>
      <c r="B738" s="661" t="str" cm="1">
        <f t="array" ref="B738">"P"&amp;INDEX(X!$CL$2:$CL$12,'Scratch Sheet'!H737+1)+9</f>
        <v>P13</v>
      </c>
      <c r="C738" s="661">
        <v>1</v>
      </c>
      <c r="D738" s="755">
        <f t="shared" si="44"/>
        <v>5400</v>
      </c>
      <c r="E738" s="682" t="str">
        <f t="shared" si="45"/>
        <v>C1</v>
      </c>
      <c r="F738" s="683">
        <f t="shared" si="46"/>
        <v>5</v>
      </c>
      <c r="H738" s="13">
        <v>765</v>
      </c>
      <c r="I738" s="13">
        <f>VLOOKUP(VLOOKUP(H738,$A$24:$B$1023,2,FALSE),'Scratch Sheet'!$U$23:$X$32,3,FALSE)</f>
        <v>5</v>
      </c>
      <c r="K738" s="13">
        <f t="shared" si="43"/>
        <v>698</v>
      </c>
      <c r="L738" s="13">
        <f>IFERROR(VLOOKUP(VLOOKUP(K738,$A$24:$B$1023,2,FALSE),'Scratch Sheet'!$U$23:$Y$32,5,FALSE)*VLOOKUP(VLOOKUP(K738,$A$24:$E$1023,5,FALSE),'Scratch Sheet'!$L$22:$M$30,2,FALSE),"")</f>
        <v>3600</v>
      </c>
      <c r="N738" s="675">
        <v>408</v>
      </c>
      <c r="O738" s="675" t="str" cm="1">
        <f t="array" ref="O738">IF(OR(INDEX($B$24:$B$1023,N738)="P10",INDEX($B$24:$B$1023,N738)="P11",INDEX($B$24:$B$1023,N738)="P12",INDEX($B$24:$B$1023,N738)="P13"),"C",IF(OR(INDEX($B$24:$B$1023,N738)="P14",INDEX($B$24:$B$1023,N738)="P15",INDEX($B$24:$B$1023,N738)="P16"),"N","O"))&amp;IF(MOD(N738,100)&lt;20,1,IF(MOD(N738,100)&lt;70,2,3))</f>
        <v>C1</v>
      </c>
    </row>
    <row r="739" spans="1:15" ht="16.5" thickBot="1">
      <c r="A739" s="662">
        <v>716</v>
      </c>
      <c r="B739" s="661" t="str" cm="1">
        <f t="array" ref="B739">"P"&amp;INDEX(X!$CL$2:$CL$12,'Scratch Sheet'!H738+1)+9</f>
        <v>P10</v>
      </c>
      <c r="C739" s="661">
        <v>1</v>
      </c>
      <c r="D739" s="755">
        <f t="shared" si="44"/>
        <v>2880</v>
      </c>
      <c r="E739" s="682" t="str">
        <f t="shared" si="45"/>
        <v>C1</v>
      </c>
      <c r="F739" s="683">
        <f t="shared" si="46"/>
        <v>3</v>
      </c>
      <c r="H739" s="13">
        <v>190</v>
      </c>
      <c r="I739" s="13">
        <f>VLOOKUP(VLOOKUP(H739,$A$24:$B$1023,2,FALSE),'Scratch Sheet'!$U$23:$X$32,3,FALSE)</f>
        <v>11</v>
      </c>
      <c r="K739" s="13">
        <f t="shared" si="43"/>
        <v>700</v>
      </c>
      <c r="L739" s="13">
        <f>IFERROR(VLOOKUP(VLOOKUP(K739,$A$24:$B$1023,2,FALSE),'Scratch Sheet'!$U$23:$Y$32,5,FALSE)*VLOOKUP(VLOOKUP(K739,$A$24:$E$1023,5,FALSE),'Scratch Sheet'!$L$22:$M$30,2,FALSE),"")</f>
        <v>13200</v>
      </c>
      <c r="N739" s="675">
        <v>409</v>
      </c>
      <c r="O739" s="675" t="str" cm="1">
        <f t="array" ref="O739">IF(OR(INDEX($B$24:$B$1023,N739)="P10",INDEX($B$24:$B$1023,N739)="P11",INDEX($B$24:$B$1023,N739)="P12",INDEX($B$24:$B$1023,N739)="P13"),"C",IF(OR(INDEX($B$24:$B$1023,N739)="P14",INDEX($B$24:$B$1023,N739)="P15",INDEX($B$24:$B$1023,N739)="P16"),"N","O"))&amp;IF(MOD(N739,100)&lt;20,1,IF(MOD(N739,100)&lt;70,2,3))</f>
        <v>C1</v>
      </c>
    </row>
    <row r="740" spans="1:15" ht="16.5" thickBot="1">
      <c r="A740" s="662">
        <v>717</v>
      </c>
      <c r="B740" s="661" t="str" cm="1">
        <f t="array" ref="B740">"P"&amp;INDEX(X!$CL$2:$CL$12,'Scratch Sheet'!H739+1)+9</f>
        <v>P11</v>
      </c>
      <c r="C740" s="661">
        <v>1</v>
      </c>
      <c r="D740" s="755">
        <f t="shared" si="44"/>
        <v>13200</v>
      </c>
      <c r="E740" s="682" t="str">
        <f t="shared" si="45"/>
        <v>C1</v>
      </c>
      <c r="F740" s="683">
        <f t="shared" si="46"/>
        <v>11</v>
      </c>
      <c r="H740" s="13">
        <v>98</v>
      </c>
      <c r="I740" s="13">
        <f>VLOOKUP(VLOOKUP(H740,$A$24:$B$1023,2,FALSE),'Scratch Sheet'!$U$23:$X$32,3,FALSE)</f>
        <v>11</v>
      </c>
      <c r="K740" s="13">
        <f t="shared" si="43"/>
        <v>699</v>
      </c>
      <c r="L740" s="13">
        <f>IFERROR(VLOOKUP(VLOOKUP(K740,$A$24:$B$1023,2,FALSE),'Scratch Sheet'!$U$23:$Y$32,5,FALSE)*VLOOKUP(VLOOKUP(K740,$A$24:$E$1023,5,FALSE),'Scratch Sheet'!$L$22:$M$30,2,FALSE),"")</f>
        <v>1920</v>
      </c>
      <c r="N740" s="675">
        <v>415</v>
      </c>
      <c r="O740" s="675" t="str" cm="1">
        <f t="array" ref="O740">IF(OR(INDEX($B$24:$B$1023,N740)="P10",INDEX($B$24:$B$1023,N740)="P11",INDEX($B$24:$B$1023,N740)="P12",INDEX($B$24:$B$1023,N740)="P13"),"C",IF(OR(INDEX($B$24:$B$1023,N740)="P14",INDEX($B$24:$B$1023,N740)="P15",INDEX($B$24:$B$1023,N740)="P16"),"N","O"))&amp;IF(MOD(N740,100)&lt;20,1,IF(MOD(N740,100)&lt;70,2,3))</f>
        <v>C1</v>
      </c>
    </row>
    <row r="741" spans="1:15" ht="16.5" thickBot="1">
      <c r="A741" s="662">
        <v>718</v>
      </c>
      <c r="B741" s="661" t="str" cm="1">
        <f t="array" ref="B741">"P"&amp;INDEX(X!$CL$2:$CL$12,'Scratch Sheet'!H740+1)+9</f>
        <v>P16</v>
      </c>
      <c r="C741" s="661">
        <v>1</v>
      </c>
      <c r="D741" s="755">
        <f t="shared" si="44"/>
        <v>7279.9999999999991</v>
      </c>
      <c r="E741" s="682" t="str">
        <f t="shared" si="45"/>
        <v>N1</v>
      </c>
      <c r="F741" s="683">
        <f t="shared" si="46"/>
        <v>4</v>
      </c>
      <c r="H741" s="13">
        <v>383</v>
      </c>
      <c r="I741" s="13">
        <f>VLOOKUP(VLOOKUP(H741,$A$24:$B$1023,2,FALSE),'Scratch Sheet'!$U$23:$X$32,3,FALSE)</f>
        <v>11</v>
      </c>
      <c r="K741" s="13">
        <f t="shared" si="43"/>
        <v>697</v>
      </c>
      <c r="L741" s="13">
        <f>IFERROR(VLOOKUP(VLOOKUP(K741,$A$24:$B$1023,2,FALSE),'Scratch Sheet'!$U$23:$Y$32,5,FALSE)*VLOOKUP(VLOOKUP(K741,$A$24:$E$1023,5,FALSE),'Scratch Sheet'!$L$22:$M$30,2,FALSE),"")</f>
        <v>3600</v>
      </c>
      <c r="N741" s="675">
        <v>418</v>
      </c>
      <c r="O741" s="675" t="str" cm="1">
        <f t="array" ref="O741">IF(OR(INDEX($B$24:$B$1023,N741)="P10",INDEX($B$24:$B$1023,N741)="P11",INDEX($B$24:$B$1023,N741)="P12",INDEX($B$24:$B$1023,N741)="P13"),"C",IF(OR(INDEX($B$24:$B$1023,N741)="P14",INDEX($B$24:$B$1023,N741)="P15",INDEX($B$24:$B$1023,N741)="P16"),"N","O"))&amp;IF(MOD(N741,100)&lt;20,1,IF(MOD(N741,100)&lt;70,2,3))</f>
        <v>C1</v>
      </c>
    </row>
    <row r="742" spans="1:15" ht="16.5" thickBot="1">
      <c r="A742" s="662">
        <v>719</v>
      </c>
      <c r="B742" s="661" t="str" cm="1">
        <f t="array" ref="B742">"P"&amp;INDEX(X!$CL$2:$CL$12,'Scratch Sheet'!H741+1)+9</f>
        <v>P17</v>
      </c>
      <c r="C742" s="661">
        <v>1</v>
      </c>
      <c r="D742" s="755">
        <f t="shared" si="44"/>
        <v>10800</v>
      </c>
      <c r="E742" s="682" t="str">
        <f t="shared" si="45"/>
        <v>O1</v>
      </c>
      <c r="F742" s="683">
        <f t="shared" si="46"/>
        <v>12</v>
      </c>
      <c r="H742" s="13">
        <v>242</v>
      </c>
      <c r="I742" s="13">
        <f>VLOOKUP(VLOOKUP(H742,$A$24:$B$1023,2,FALSE),'Scratch Sheet'!$U$23:$X$32,3,FALSE)</f>
        <v>4</v>
      </c>
      <c r="K742" s="13">
        <f t="shared" si="43"/>
        <v>638</v>
      </c>
      <c r="L742" s="13">
        <f>IFERROR(VLOOKUP(VLOOKUP(K742,$A$24:$B$1023,2,FALSE),'Scratch Sheet'!$U$23:$Y$32,5,FALSE)*VLOOKUP(VLOOKUP(K742,$A$24:$E$1023,5,FALSE),'Scratch Sheet'!$L$22:$M$30,2,FALSE),"")</f>
        <v>11000</v>
      </c>
      <c r="N742" s="675">
        <v>423</v>
      </c>
      <c r="O742" s="675" t="str" cm="1">
        <f t="array" ref="O742">IF(OR(INDEX($B$24:$B$1023,N742)="P10",INDEX($B$24:$B$1023,N742)="P11",INDEX($B$24:$B$1023,N742)="P12",INDEX($B$24:$B$1023,N742)="P13"),"C",IF(OR(INDEX($B$24:$B$1023,N742)="P14",INDEX($B$24:$B$1023,N742)="P15",INDEX($B$24:$B$1023,N742)="P16"),"N","O"))&amp;IF(MOD(N742,100)&lt;20,1,IF(MOD(N742,100)&lt;70,2,3))</f>
        <v>N2</v>
      </c>
    </row>
    <row r="743" spans="1:15" ht="16.5" thickBot="1">
      <c r="A743" s="662">
        <v>720</v>
      </c>
      <c r="B743" s="661" t="str" cm="1">
        <f t="array" ref="B743">"P"&amp;INDEX(X!$CL$2:$CL$12,'Scratch Sheet'!H742+1)+9</f>
        <v>P17</v>
      </c>
      <c r="C743" s="661">
        <v>1</v>
      </c>
      <c r="D743" s="755">
        <f t="shared" si="44"/>
        <v>13200.000000000002</v>
      </c>
      <c r="E743" s="682" t="str">
        <f t="shared" si="45"/>
        <v>O2</v>
      </c>
      <c r="F743" s="683">
        <f t="shared" si="46"/>
        <v>12</v>
      </c>
      <c r="H743" s="13">
        <v>14</v>
      </c>
      <c r="I743" s="13">
        <f>VLOOKUP(VLOOKUP(H743,$A$24:$B$1023,2,FALSE),'Scratch Sheet'!$U$23:$X$32,3,FALSE)</f>
        <v>12</v>
      </c>
      <c r="K743" s="13">
        <f t="shared" si="43"/>
        <v>653</v>
      </c>
      <c r="L743" s="13">
        <f>IFERROR(VLOOKUP(VLOOKUP(K743,$A$24:$B$1023,2,FALSE),'Scratch Sheet'!$U$23:$Y$32,5,FALSE)*VLOOKUP(VLOOKUP(K743,$A$24:$E$1023,5,FALSE),'Scratch Sheet'!$L$22:$M$30,2,FALSE),"")</f>
        <v>4500</v>
      </c>
      <c r="N743" s="675">
        <v>425</v>
      </c>
      <c r="O743" s="675" t="str" cm="1">
        <f t="array" ref="O743">IF(OR(INDEX($B$24:$B$1023,N743)="P10",INDEX($B$24:$B$1023,N743)="P11",INDEX($B$24:$B$1023,N743)="P12",INDEX($B$24:$B$1023,N743)="P13"),"C",IF(OR(INDEX($B$24:$B$1023,N743)="P14",INDEX($B$24:$B$1023,N743)="P15",INDEX($B$24:$B$1023,N743)="P16"),"N","O"))&amp;IF(MOD(N743,100)&lt;20,1,IF(MOD(N743,100)&lt;70,2,3))</f>
        <v>C2</v>
      </c>
    </row>
    <row r="744" spans="1:15" ht="16.5" thickBot="1">
      <c r="A744" s="662">
        <v>721</v>
      </c>
      <c r="B744" s="661" t="str" cm="1">
        <f t="array" ref="B744">"P"&amp;INDEX(X!$CL$2:$CL$12,'Scratch Sheet'!H743+1)+9</f>
        <v>P13</v>
      </c>
      <c r="C744" s="661">
        <v>1</v>
      </c>
      <c r="D744" s="755">
        <f t="shared" si="44"/>
        <v>4500</v>
      </c>
      <c r="E744" s="682" t="str">
        <f t="shared" si="45"/>
        <v>C2</v>
      </c>
      <c r="F744" s="683">
        <f t="shared" si="46"/>
        <v>5</v>
      </c>
      <c r="H744" s="13">
        <v>532</v>
      </c>
      <c r="I744" s="13">
        <f>VLOOKUP(VLOOKUP(H744,$A$24:$B$1023,2,FALSE),'Scratch Sheet'!$U$23:$X$32,3,FALSE)</f>
        <v>12</v>
      </c>
      <c r="K744" s="13">
        <f t="shared" si="43"/>
        <v>694</v>
      </c>
      <c r="L744" s="13">
        <f>IFERROR(VLOOKUP(VLOOKUP(K744,$A$24:$B$1023,2,FALSE),'Scratch Sheet'!$U$23:$Y$32,5,FALSE)*VLOOKUP(VLOOKUP(K744,$A$24:$E$1023,5,FALSE),'Scratch Sheet'!$L$22:$M$30,2,FALSE),"")</f>
        <v>4320</v>
      </c>
      <c r="N744" s="675">
        <v>426</v>
      </c>
      <c r="O744" s="675" t="str" cm="1">
        <f t="array" ref="O744">IF(OR(INDEX($B$24:$B$1023,N744)="P10",INDEX($B$24:$B$1023,N744)="P11",INDEX($B$24:$B$1023,N744)="P12",INDEX($B$24:$B$1023,N744)="P13"),"C",IF(OR(INDEX($B$24:$B$1023,N744)="P14",INDEX($B$24:$B$1023,N744)="P15",INDEX($B$24:$B$1023,N744)="P16"),"N","O"))&amp;IF(MOD(N744,100)&lt;20,1,IF(MOD(N744,100)&lt;70,2,3))</f>
        <v>C2</v>
      </c>
    </row>
    <row r="745" spans="1:15" ht="16.5" thickBot="1">
      <c r="A745" s="662">
        <v>722</v>
      </c>
      <c r="B745" s="661" t="str" cm="1">
        <f t="array" ref="B745">"P"&amp;INDEX(X!$CL$2:$CL$12,'Scratch Sheet'!H744+1)+9</f>
        <v>P11</v>
      </c>
      <c r="C745" s="661">
        <v>1</v>
      </c>
      <c r="D745" s="755">
        <f t="shared" si="44"/>
        <v>11000</v>
      </c>
      <c r="E745" s="682" t="str">
        <f t="shared" si="45"/>
        <v>C2</v>
      </c>
      <c r="F745" s="683">
        <f t="shared" si="46"/>
        <v>11</v>
      </c>
      <c r="H745" s="13">
        <v>799</v>
      </c>
      <c r="I745" s="13">
        <f>VLOOKUP(VLOOKUP(H745,$A$24:$B$1023,2,FALSE),'Scratch Sheet'!$U$23:$X$32,3,FALSE)</f>
        <v>5</v>
      </c>
      <c r="K745" s="13">
        <f t="shared" si="43"/>
        <v>710</v>
      </c>
      <c r="L745" s="13">
        <f>IFERROR(VLOOKUP(VLOOKUP(K745,$A$24:$B$1023,2,FALSE),'Scratch Sheet'!$U$23:$Y$32,5,FALSE)*VLOOKUP(VLOOKUP(K745,$A$24:$E$1023,5,FALSE),'Scratch Sheet'!$L$22:$M$30,2,FALSE),"")</f>
        <v>13200</v>
      </c>
      <c r="N745" s="675">
        <v>432</v>
      </c>
      <c r="O745" s="675" t="str" cm="1">
        <f t="array" ref="O745">IF(OR(INDEX($B$24:$B$1023,N745)="P10",INDEX($B$24:$B$1023,N745)="P11",INDEX($B$24:$B$1023,N745)="P12",INDEX($B$24:$B$1023,N745)="P13"),"C",IF(OR(INDEX($B$24:$B$1023,N745)="P14",INDEX($B$24:$B$1023,N745)="P15",INDEX($B$24:$B$1023,N745)="P16"),"N","O"))&amp;IF(MOD(N745,100)&lt;20,1,IF(MOD(N745,100)&lt;70,2,3))</f>
        <v>C2</v>
      </c>
    </row>
    <row r="746" spans="1:15" ht="16.5" thickBot="1">
      <c r="A746" s="662">
        <v>723</v>
      </c>
      <c r="B746" s="661" t="str" cm="1">
        <f t="array" ref="B746">"P"&amp;INDEX(X!$CL$2:$CL$12,'Scratch Sheet'!H745+1)+9</f>
        <v>P11</v>
      </c>
      <c r="C746" s="661">
        <v>1</v>
      </c>
      <c r="D746" s="755">
        <f t="shared" si="44"/>
        <v>11000</v>
      </c>
      <c r="E746" s="682" t="str">
        <f t="shared" si="45"/>
        <v>C2</v>
      </c>
      <c r="F746" s="683">
        <f t="shared" si="46"/>
        <v>11</v>
      </c>
      <c r="H746" s="13">
        <v>228</v>
      </c>
      <c r="I746" s="13">
        <f>VLOOKUP(VLOOKUP(H746,$A$24:$B$1023,2,FALSE),'Scratch Sheet'!$U$23:$X$32,3,FALSE)</f>
        <v>5</v>
      </c>
      <c r="K746" s="13">
        <f t="shared" si="43"/>
        <v>713</v>
      </c>
      <c r="L746" s="13">
        <f>IFERROR(VLOOKUP(VLOOKUP(K746,$A$24:$B$1023,2,FALSE),'Scratch Sheet'!$U$23:$Y$32,5,FALSE)*VLOOKUP(VLOOKUP(K746,$A$24:$E$1023,5,FALSE),'Scratch Sheet'!$L$22:$M$30,2,FALSE),"")</f>
        <v>2880</v>
      </c>
      <c r="N746" s="675">
        <v>435</v>
      </c>
      <c r="O746" s="675" t="str" cm="1">
        <f t="array" ref="O746">IF(OR(INDEX($B$24:$B$1023,N746)="P10",INDEX($B$24:$B$1023,N746)="P11",INDEX($B$24:$B$1023,N746)="P12",INDEX($B$24:$B$1023,N746)="P13"),"C",IF(OR(INDEX($B$24:$B$1023,N746)="P14",INDEX($B$24:$B$1023,N746)="P15",INDEX($B$24:$B$1023,N746)="P16"),"N","O"))&amp;IF(MOD(N746,100)&lt;20,1,IF(MOD(N746,100)&lt;70,2,3))</f>
        <v>C2</v>
      </c>
    </row>
    <row r="747" spans="1:15" ht="16.5" thickBot="1">
      <c r="A747" s="662">
        <v>724</v>
      </c>
      <c r="B747" s="661" t="str" cm="1">
        <f t="array" ref="B747">"P"&amp;INDEX(X!$CL$2:$CL$12,'Scratch Sheet'!H746+1)+9</f>
        <v>P12</v>
      </c>
      <c r="C747" s="661">
        <v>1</v>
      </c>
      <c r="D747" s="755">
        <f t="shared" si="44"/>
        <v>6825</v>
      </c>
      <c r="E747" s="682" t="str">
        <f t="shared" si="45"/>
        <v>C2</v>
      </c>
      <c r="F747" s="683">
        <f t="shared" si="46"/>
        <v>6.5</v>
      </c>
      <c r="H747" s="13">
        <v>10</v>
      </c>
      <c r="I747" s="13">
        <f>VLOOKUP(VLOOKUP(H747,$A$24:$B$1023,2,FALSE),'Scratch Sheet'!$U$23:$X$32,3,FALSE)</f>
        <v>4</v>
      </c>
      <c r="K747" s="13">
        <f t="shared" si="43"/>
        <v>712</v>
      </c>
      <c r="L747" s="13">
        <f>IFERROR(VLOOKUP(VLOOKUP(K747,$A$24:$B$1023,2,FALSE),'Scratch Sheet'!$U$23:$Y$32,5,FALSE)*VLOOKUP(VLOOKUP(K747,$A$24:$E$1023,5,FALSE),'Scratch Sheet'!$L$22:$M$30,2,FALSE),"")</f>
        <v>10080</v>
      </c>
      <c r="N747" s="675">
        <v>440</v>
      </c>
      <c r="O747" s="675" t="str" cm="1">
        <f t="array" ref="O747">IF(OR(INDEX($B$24:$B$1023,N747)="P10",INDEX($B$24:$B$1023,N747)="P11",INDEX($B$24:$B$1023,N747)="P12",INDEX($B$24:$B$1023,N747)="P13"),"C",IF(OR(INDEX($B$24:$B$1023,N747)="P14",INDEX($B$24:$B$1023,N747)="P15",INDEX($B$24:$B$1023,N747)="P16"),"N","O"))&amp;IF(MOD(N747,100)&lt;20,1,IF(MOD(N747,100)&lt;70,2,3))</f>
        <v>N2</v>
      </c>
    </row>
    <row r="748" spans="1:15" ht="16.5" thickBot="1">
      <c r="A748" s="662">
        <v>725</v>
      </c>
      <c r="B748" s="661" t="str" cm="1">
        <f t="array" ref="B748">"P"&amp;INDEX(X!$CL$2:$CL$12,'Scratch Sheet'!H747+1)+9</f>
        <v>P10</v>
      </c>
      <c r="C748" s="661">
        <v>1</v>
      </c>
      <c r="D748" s="755">
        <f t="shared" si="44"/>
        <v>2400</v>
      </c>
      <c r="E748" s="682" t="str">
        <f t="shared" si="45"/>
        <v>C2</v>
      </c>
      <c r="F748" s="683">
        <f t="shared" si="46"/>
        <v>3</v>
      </c>
      <c r="H748" s="13">
        <v>40</v>
      </c>
      <c r="I748" s="13">
        <f>VLOOKUP(VLOOKUP(H748,$A$24:$B$1023,2,FALSE),'Scratch Sheet'!$U$23:$X$32,3,FALSE)</f>
        <v>11</v>
      </c>
      <c r="K748" s="13">
        <f t="shared" si="43"/>
        <v>706</v>
      </c>
      <c r="L748" s="13">
        <f>IFERROR(VLOOKUP(VLOOKUP(K748,$A$24:$B$1023,2,FALSE),'Scratch Sheet'!$U$23:$Y$32,5,FALSE)*VLOOKUP(VLOOKUP(K748,$A$24:$E$1023,5,FALSE),'Scratch Sheet'!$L$22:$M$30,2,FALSE),"")</f>
        <v>13200</v>
      </c>
      <c r="N748" s="675">
        <v>442</v>
      </c>
      <c r="O748" s="675" t="str" cm="1">
        <f t="array" ref="O748">IF(OR(INDEX($B$24:$B$1023,N748)="P10",INDEX($B$24:$B$1023,N748)="P11",INDEX($B$24:$B$1023,N748)="P12",INDEX($B$24:$B$1023,N748)="P13"),"C",IF(OR(INDEX($B$24:$B$1023,N748)="P14",INDEX($B$24:$B$1023,N748)="P15",INDEX($B$24:$B$1023,N748)="P16"),"N","O"))&amp;IF(MOD(N748,100)&lt;20,1,IF(MOD(N748,100)&lt;70,2,3))</f>
        <v>C2</v>
      </c>
    </row>
    <row r="749" spans="1:15" ht="16.5" thickBot="1">
      <c r="A749" s="662">
        <v>726</v>
      </c>
      <c r="B749" s="661" t="str" cm="1">
        <f t="array" ref="B749">"P"&amp;INDEX(X!$CL$2:$CL$12,'Scratch Sheet'!H748+1)+9</f>
        <v>P10</v>
      </c>
      <c r="C749" s="661">
        <v>1</v>
      </c>
      <c r="D749" s="755">
        <f t="shared" si="44"/>
        <v>2400</v>
      </c>
      <c r="E749" s="682" t="str">
        <f t="shared" si="45"/>
        <v>C2</v>
      </c>
      <c r="F749" s="683">
        <f t="shared" si="46"/>
        <v>3</v>
      </c>
      <c r="H749" s="13">
        <v>648</v>
      </c>
      <c r="I749" s="13">
        <f>VLOOKUP(VLOOKUP(H749,$A$24:$B$1023,2,FALSE),'Scratch Sheet'!$U$23:$X$32,3,FALSE)</f>
        <v>3</v>
      </c>
      <c r="K749" s="13">
        <f t="shared" si="43"/>
        <v>709</v>
      </c>
      <c r="L749" s="13">
        <f>IFERROR(VLOOKUP(VLOOKUP(K749,$A$24:$B$1023,2,FALSE),'Scratch Sheet'!$U$23:$Y$32,5,FALSE)*VLOOKUP(VLOOKUP(K749,$A$24:$E$1023,5,FALSE),'Scratch Sheet'!$L$22:$M$30,2,FALSE),"")</f>
        <v>2880</v>
      </c>
      <c r="N749" s="675">
        <v>443</v>
      </c>
      <c r="O749" s="675" t="str" cm="1">
        <f t="array" ref="O749">IF(OR(INDEX($B$24:$B$1023,N749)="P10",INDEX($B$24:$B$1023,N749)="P11",INDEX($B$24:$B$1023,N749)="P12",INDEX($B$24:$B$1023,N749)="P13"),"C",IF(OR(INDEX($B$24:$B$1023,N749)="P14",INDEX($B$24:$B$1023,N749)="P15",INDEX($B$24:$B$1023,N749)="P16"),"N","O"))&amp;IF(MOD(N749,100)&lt;20,1,IF(MOD(N749,100)&lt;70,2,3))</f>
        <v>C2</v>
      </c>
    </row>
    <row r="750" spans="1:15" ht="16.5" thickBot="1">
      <c r="A750" s="662">
        <v>727</v>
      </c>
      <c r="B750" s="661" t="str" cm="1">
        <f t="array" ref="B750">"P"&amp;INDEX(X!$CL$2:$CL$12,'Scratch Sheet'!H749+1)+9</f>
        <v>P11</v>
      </c>
      <c r="C750" s="661">
        <v>1</v>
      </c>
      <c r="D750" s="755">
        <f t="shared" si="44"/>
        <v>11000</v>
      </c>
      <c r="E750" s="682" t="str">
        <f t="shared" si="45"/>
        <v>C2</v>
      </c>
      <c r="F750" s="683">
        <f t="shared" si="46"/>
        <v>11</v>
      </c>
      <c r="H750" s="13">
        <v>392</v>
      </c>
      <c r="I750" s="13">
        <f>VLOOKUP(VLOOKUP(H750,$A$24:$B$1023,2,FALSE),'Scratch Sheet'!$U$23:$X$32,3,FALSE)</f>
        <v>5</v>
      </c>
      <c r="K750" s="13">
        <f t="shared" si="43"/>
        <v>708</v>
      </c>
      <c r="L750" s="13">
        <f>IFERROR(VLOOKUP(VLOOKUP(K750,$A$24:$B$1023,2,FALSE),'Scratch Sheet'!$U$23:$Y$32,5,FALSE)*VLOOKUP(VLOOKUP(K750,$A$24:$E$1023,5,FALSE),'Scratch Sheet'!$L$22:$M$30,2,FALSE),"")</f>
        <v>2880</v>
      </c>
      <c r="N750" s="675">
        <v>449</v>
      </c>
      <c r="O750" s="675" t="str" cm="1">
        <f t="array" ref="O750">IF(OR(INDEX($B$24:$B$1023,N750)="P10",INDEX($B$24:$B$1023,N750)="P11",INDEX($B$24:$B$1023,N750)="P12",INDEX($B$24:$B$1023,N750)="P13"),"C",IF(OR(INDEX($B$24:$B$1023,N750)="P14",INDEX($B$24:$B$1023,N750)="P15",INDEX($B$24:$B$1023,N750)="P16"),"N","O"))&amp;IF(MOD(N750,100)&lt;20,1,IF(MOD(N750,100)&lt;70,2,3))</f>
        <v>C2</v>
      </c>
    </row>
    <row r="751" spans="1:15" ht="16.5" thickBot="1">
      <c r="A751" s="662">
        <v>728</v>
      </c>
      <c r="B751" s="661" t="str" cm="1">
        <f t="array" ref="B751">"P"&amp;INDEX(X!$CL$2:$CL$12,'Scratch Sheet'!H750+1)+9</f>
        <v>P18</v>
      </c>
      <c r="C751" s="661">
        <v>1</v>
      </c>
      <c r="D751" s="755">
        <f t="shared" si="44"/>
        <v>5940.0000000000009</v>
      </c>
      <c r="E751" s="682" t="str">
        <f t="shared" si="45"/>
        <v>O2</v>
      </c>
      <c r="F751" s="683">
        <f t="shared" si="46"/>
        <v>6</v>
      </c>
      <c r="H751" s="13">
        <v>695</v>
      </c>
      <c r="I751" s="13">
        <f>VLOOKUP(VLOOKUP(H751,$A$24:$B$1023,2,FALSE),'Scratch Sheet'!$U$23:$X$32,3,FALSE)</f>
        <v>8</v>
      </c>
      <c r="K751" s="13">
        <f t="shared" si="43"/>
        <v>711</v>
      </c>
      <c r="L751" s="13">
        <f>IFERROR(VLOOKUP(VLOOKUP(K751,$A$24:$B$1023,2,FALSE),'Scratch Sheet'!$U$23:$Y$32,5,FALSE)*VLOOKUP(VLOOKUP(K751,$A$24:$E$1023,5,FALSE),'Scratch Sheet'!$L$22:$M$30,2,FALSE),"")</f>
        <v>4860</v>
      </c>
      <c r="N751" s="675">
        <v>452</v>
      </c>
      <c r="O751" s="675" t="str" cm="1">
        <f t="array" ref="O751">IF(OR(INDEX($B$24:$B$1023,N751)="P10",INDEX($B$24:$B$1023,N751)="P11",INDEX($B$24:$B$1023,N751)="P12",INDEX($B$24:$B$1023,N751)="P13"),"C",IF(OR(INDEX($B$24:$B$1023,N751)="P14",INDEX($B$24:$B$1023,N751)="P15",INDEX($B$24:$B$1023,N751)="P16"),"N","O"))&amp;IF(MOD(N751,100)&lt;20,1,IF(MOD(N751,100)&lt;70,2,3))</f>
        <v>C2</v>
      </c>
    </row>
    <row r="752" spans="1:15" ht="16.5" thickBot="1">
      <c r="A752" s="662">
        <v>729</v>
      </c>
      <c r="B752" s="661" t="str" cm="1">
        <f t="array" ref="B752">"P"&amp;INDEX(X!$CL$2:$CL$12,'Scratch Sheet'!H751+1)+9</f>
        <v>P14</v>
      </c>
      <c r="C752" s="661">
        <v>1</v>
      </c>
      <c r="D752" s="755">
        <f t="shared" si="44"/>
        <v>6480</v>
      </c>
      <c r="E752" s="682" t="str">
        <f t="shared" si="45"/>
        <v>N2</v>
      </c>
      <c r="F752" s="683">
        <f t="shared" si="46"/>
        <v>8</v>
      </c>
      <c r="H752" s="13">
        <v>512</v>
      </c>
      <c r="I752" s="13">
        <f>VLOOKUP(VLOOKUP(H752,$A$24:$B$1023,2,FALSE),'Scratch Sheet'!$U$23:$X$32,3,FALSE)</f>
        <v>3</v>
      </c>
      <c r="K752" s="13">
        <f t="shared" si="43"/>
        <v>705</v>
      </c>
      <c r="L752" s="13">
        <f>IFERROR(VLOOKUP(VLOOKUP(K752,$A$24:$B$1023,2,FALSE),'Scratch Sheet'!$U$23:$Y$32,5,FALSE)*VLOOKUP(VLOOKUP(K752,$A$24:$E$1023,5,FALSE),'Scratch Sheet'!$L$22:$M$30,2,FALSE),"")</f>
        <v>13200</v>
      </c>
      <c r="N752" s="675">
        <v>457</v>
      </c>
      <c r="O752" s="675" t="str" cm="1">
        <f t="array" ref="O752">IF(OR(INDEX($B$24:$B$1023,N752)="P10",INDEX($B$24:$B$1023,N752)="P11",INDEX($B$24:$B$1023,N752)="P12",INDEX($B$24:$B$1023,N752)="P13"),"C",IF(OR(INDEX($B$24:$B$1023,N752)="P14",INDEX($B$24:$B$1023,N752)="P15",INDEX($B$24:$B$1023,N752)="P16"),"N","O"))&amp;IF(MOD(N752,100)&lt;20,1,IF(MOD(N752,100)&lt;70,2,3))</f>
        <v>N2</v>
      </c>
    </row>
    <row r="753" spans="1:15" ht="16.5" thickBot="1">
      <c r="A753" s="662">
        <v>730</v>
      </c>
      <c r="B753" s="661" t="str" cm="1">
        <f t="array" ref="B753">"P"&amp;INDEX(X!$CL$2:$CL$12,'Scratch Sheet'!H752+1)+9</f>
        <v>P10</v>
      </c>
      <c r="C753" s="661">
        <v>1</v>
      </c>
      <c r="D753" s="755">
        <f t="shared" si="44"/>
        <v>2400</v>
      </c>
      <c r="E753" s="682" t="str">
        <f t="shared" si="45"/>
        <v>C2</v>
      </c>
      <c r="F753" s="683">
        <f t="shared" si="46"/>
        <v>3</v>
      </c>
      <c r="H753" s="13">
        <v>723</v>
      </c>
      <c r="I753" s="13">
        <f>VLOOKUP(VLOOKUP(H753,$A$24:$B$1023,2,FALSE),'Scratch Sheet'!$U$23:$X$32,3,FALSE)</f>
        <v>11</v>
      </c>
      <c r="K753" s="13">
        <f t="shared" si="43"/>
        <v>703</v>
      </c>
      <c r="L753" s="13">
        <f>IFERROR(VLOOKUP(VLOOKUP(K753,$A$24:$B$1023,2,FALSE),'Scratch Sheet'!$U$23:$Y$32,5,FALSE)*VLOOKUP(VLOOKUP(K753,$A$24:$E$1023,5,FALSE),'Scratch Sheet'!$L$22:$M$30,2,FALSE),"")</f>
        <v>10800</v>
      </c>
      <c r="N753" s="675">
        <v>459</v>
      </c>
      <c r="O753" s="675" t="str" cm="1">
        <f t="array" ref="O753">IF(OR(INDEX($B$24:$B$1023,N753)="P10",INDEX($B$24:$B$1023,N753)="P11",INDEX($B$24:$B$1023,N753)="P12",INDEX($B$24:$B$1023,N753)="P13"),"C",IF(OR(INDEX($B$24:$B$1023,N753)="P14",INDEX($B$24:$B$1023,N753)="P15",INDEX($B$24:$B$1023,N753)="P16"),"N","O"))&amp;IF(MOD(N753,100)&lt;20,1,IF(MOD(N753,100)&lt;70,2,3))</f>
        <v>C2</v>
      </c>
    </row>
    <row r="754" spans="1:15" ht="16.5" thickBot="1">
      <c r="A754" s="662">
        <v>731</v>
      </c>
      <c r="B754" s="661" t="str" cm="1">
        <f t="array" ref="B754">"P"&amp;INDEX(X!$CL$2:$CL$12,'Scratch Sheet'!H753+1)+9</f>
        <v>P13</v>
      </c>
      <c r="C754" s="661">
        <v>1</v>
      </c>
      <c r="D754" s="755">
        <f t="shared" si="44"/>
        <v>4500</v>
      </c>
      <c r="E754" s="682" t="str">
        <f t="shared" si="45"/>
        <v>C2</v>
      </c>
      <c r="F754" s="683">
        <f t="shared" si="46"/>
        <v>5</v>
      </c>
      <c r="H754" s="13">
        <v>73</v>
      </c>
      <c r="I754" s="13">
        <f>VLOOKUP(VLOOKUP(H754,$A$24:$B$1023,2,FALSE),'Scratch Sheet'!$U$23:$X$32,3,FALSE)</f>
        <v>6.5</v>
      </c>
      <c r="K754" s="13">
        <f t="shared" si="43"/>
        <v>704</v>
      </c>
      <c r="L754" s="13">
        <f>IFERROR(VLOOKUP(VLOOKUP(K754,$A$24:$B$1023,2,FALSE),'Scratch Sheet'!$U$23:$Y$32,5,FALSE)*VLOOKUP(VLOOKUP(K754,$A$24:$E$1023,5,FALSE),'Scratch Sheet'!$L$22:$M$30,2,FALSE),"")</f>
        <v>5400</v>
      </c>
      <c r="N754" s="675">
        <v>460</v>
      </c>
      <c r="O754" s="675" t="str" cm="1">
        <f t="array" ref="O754">IF(OR(INDEX($B$24:$B$1023,N754)="P10",INDEX($B$24:$B$1023,N754)="P11",INDEX($B$24:$B$1023,N754)="P12",INDEX($B$24:$B$1023,N754)="P13"),"C",IF(OR(INDEX($B$24:$B$1023,N754)="P14",INDEX($B$24:$B$1023,N754)="P15",INDEX($B$24:$B$1023,N754)="P16"),"N","O"))&amp;IF(MOD(N754,100)&lt;20,1,IF(MOD(N754,100)&lt;70,2,3))</f>
        <v>C2</v>
      </c>
    </row>
    <row r="755" spans="1:15" ht="16.5" thickBot="1">
      <c r="A755" s="662">
        <v>732</v>
      </c>
      <c r="B755" s="661" t="str" cm="1">
        <f t="array" ref="B755">"P"&amp;INDEX(X!$CL$2:$CL$12,'Scratch Sheet'!H754+1)+9</f>
        <v>P13</v>
      </c>
      <c r="C755" s="661">
        <v>1</v>
      </c>
      <c r="D755" s="755">
        <f t="shared" si="44"/>
        <v>4500</v>
      </c>
      <c r="E755" s="682" t="str">
        <f t="shared" si="45"/>
        <v>C2</v>
      </c>
      <c r="F755" s="683">
        <f t="shared" si="46"/>
        <v>5</v>
      </c>
      <c r="H755" s="13">
        <v>812</v>
      </c>
      <c r="I755" s="13">
        <f>VLOOKUP(VLOOKUP(H755,$A$24:$B$1023,2,FALSE),'Scratch Sheet'!$U$23:$X$32,3,FALSE)</f>
        <v>11</v>
      </c>
      <c r="K755" s="13">
        <f t="shared" si="43"/>
        <v>702</v>
      </c>
      <c r="L755" s="13">
        <f>IFERROR(VLOOKUP(VLOOKUP(K755,$A$24:$B$1023,2,FALSE),'Scratch Sheet'!$U$23:$Y$32,5,FALSE)*VLOOKUP(VLOOKUP(K755,$A$24:$E$1023,5,FALSE),'Scratch Sheet'!$L$22:$M$30,2,FALSE),"")</f>
        <v>10800</v>
      </c>
      <c r="N755" s="675">
        <v>466</v>
      </c>
      <c r="O755" s="675" t="str" cm="1">
        <f t="array" ref="O755">IF(OR(INDEX($B$24:$B$1023,N755)="P10",INDEX($B$24:$B$1023,N755)="P11",INDEX($B$24:$B$1023,N755)="P12",INDEX($B$24:$B$1023,N755)="P13"),"C",IF(OR(INDEX($B$24:$B$1023,N755)="P14",INDEX($B$24:$B$1023,N755)="P15",INDEX($B$24:$B$1023,N755)="P16"),"N","O"))&amp;IF(MOD(N755,100)&lt;20,1,IF(MOD(N755,100)&lt;70,2,3))</f>
        <v>C2</v>
      </c>
    </row>
    <row r="756" spans="1:15" ht="16.5" thickBot="1">
      <c r="A756" s="662">
        <v>733</v>
      </c>
      <c r="B756" s="661" t="str" cm="1">
        <f t="array" ref="B756">"P"&amp;INDEX(X!$CL$2:$CL$12,'Scratch Sheet'!H755+1)+9</f>
        <v>P10</v>
      </c>
      <c r="C756" s="661">
        <v>1</v>
      </c>
      <c r="D756" s="755">
        <f t="shared" si="44"/>
        <v>2400</v>
      </c>
      <c r="E756" s="682" t="str">
        <f t="shared" si="45"/>
        <v>C2</v>
      </c>
      <c r="F756" s="683">
        <f t="shared" si="46"/>
        <v>3</v>
      </c>
      <c r="H756" s="13">
        <v>663</v>
      </c>
      <c r="I756" s="13">
        <f>VLOOKUP(VLOOKUP(H756,$A$24:$B$1023,2,FALSE),'Scratch Sheet'!$U$23:$X$32,3,FALSE)</f>
        <v>5</v>
      </c>
      <c r="K756" s="13">
        <f t="shared" si="43"/>
        <v>701</v>
      </c>
      <c r="L756" s="13">
        <f>IFERROR(VLOOKUP(VLOOKUP(K756,$A$24:$B$1023,2,FALSE),'Scratch Sheet'!$U$23:$Y$32,5,FALSE)*VLOOKUP(VLOOKUP(K756,$A$24:$E$1023,5,FALSE),'Scratch Sheet'!$L$22:$M$30,2,FALSE),"")</f>
        <v>7279.9999999999991</v>
      </c>
      <c r="N756" s="675">
        <v>474</v>
      </c>
      <c r="O756" s="675" t="str" cm="1">
        <f t="array" ref="O756">IF(OR(INDEX($B$24:$B$1023,N756)="P10",INDEX($B$24:$B$1023,N756)="P11",INDEX($B$24:$B$1023,N756)="P12",INDEX($B$24:$B$1023,N756)="P13"),"C",IF(OR(INDEX($B$24:$B$1023,N756)="P14",INDEX($B$24:$B$1023,N756)="P15",INDEX($B$24:$B$1023,N756)="P16"),"N","O"))&amp;IF(MOD(N756,100)&lt;20,1,IF(MOD(N756,100)&lt;70,2,3))</f>
        <v>N3</v>
      </c>
    </row>
    <row r="757" spans="1:15" ht="16.5" thickBot="1">
      <c r="A757" s="662">
        <v>734</v>
      </c>
      <c r="B757" s="661" t="str" cm="1">
        <f t="array" ref="B757">"P"&amp;INDEX(X!$CL$2:$CL$12,'Scratch Sheet'!H756+1)+9</f>
        <v>P11</v>
      </c>
      <c r="C757" s="661">
        <v>1</v>
      </c>
      <c r="D757" s="755">
        <f t="shared" si="44"/>
        <v>11000</v>
      </c>
      <c r="E757" s="682" t="str">
        <f t="shared" si="45"/>
        <v>C2</v>
      </c>
      <c r="F757" s="683">
        <f t="shared" si="46"/>
        <v>11</v>
      </c>
      <c r="H757" s="13">
        <v>350</v>
      </c>
      <c r="I757" s="13">
        <f>VLOOKUP(VLOOKUP(H757,$A$24:$B$1023,2,FALSE),'Scratch Sheet'!$U$23:$X$32,3,FALSE)</f>
        <v>6.5</v>
      </c>
      <c r="K757" s="13">
        <f t="shared" si="43"/>
        <v>714</v>
      </c>
      <c r="L757" s="13">
        <f>IFERROR(VLOOKUP(VLOOKUP(K757,$A$24:$B$1023,2,FALSE),'Scratch Sheet'!$U$23:$Y$32,5,FALSE)*VLOOKUP(VLOOKUP(K757,$A$24:$E$1023,5,FALSE),'Scratch Sheet'!$L$22:$M$30,2,FALSE),"")</f>
        <v>5400</v>
      </c>
      <c r="N757" s="675">
        <v>476</v>
      </c>
      <c r="O757" s="675" t="str" cm="1">
        <f t="array" ref="O757">IF(OR(INDEX($B$24:$B$1023,N757)="P10",INDEX($B$24:$B$1023,N757)="P11",INDEX($B$24:$B$1023,N757)="P12",INDEX($B$24:$B$1023,N757)="P13"),"C",IF(OR(INDEX($B$24:$B$1023,N757)="P14",INDEX($B$24:$B$1023,N757)="P15",INDEX($B$24:$B$1023,N757)="P16"),"N","O"))&amp;IF(MOD(N757,100)&lt;20,1,IF(MOD(N757,100)&lt;70,2,3))</f>
        <v>C3</v>
      </c>
    </row>
    <row r="758" spans="1:15" ht="16.5" thickBot="1">
      <c r="A758" s="662">
        <v>735</v>
      </c>
      <c r="B758" s="661" t="str" cm="1">
        <f t="array" ref="B758">"P"&amp;INDEX(X!$CL$2:$CL$12,'Scratch Sheet'!H757+1)+9</f>
        <v>P16</v>
      </c>
      <c r="C758" s="661">
        <v>1</v>
      </c>
      <c r="D758" s="755">
        <f t="shared" si="44"/>
        <v>4680</v>
      </c>
      <c r="E758" s="682" t="str">
        <f t="shared" si="45"/>
        <v>N2</v>
      </c>
      <c r="F758" s="683">
        <f t="shared" si="46"/>
        <v>4</v>
      </c>
      <c r="H758" s="13">
        <v>975</v>
      </c>
      <c r="I758" s="13">
        <f>VLOOKUP(VLOOKUP(H758,$A$24:$B$1023,2,FALSE),'Scratch Sheet'!$U$23:$X$32,3,FALSE)</f>
        <v>12</v>
      </c>
      <c r="K758" s="13">
        <f t="shared" si="43"/>
        <v>707</v>
      </c>
      <c r="L758" s="13">
        <f>IFERROR(VLOOKUP(VLOOKUP(K758,$A$24:$B$1023,2,FALSE),'Scratch Sheet'!$U$23:$Y$32,5,FALSE)*VLOOKUP(VLOOKUP(K758,$A$24:$E$1023,5,FALSE),'Scratch Sheet'!$L$22:$M$30,2,FALSE),"")</f>
        <v>8190</v>
      </c>
      <c r="N758" s="675">
        <v>477</v>
      </c>
      <c r="O758" s="675" t="str" cm="1">
        <f t="array" ref="O758">IF(OR(INDEX($B$24:$B$1023,N758)="P10",INDEX($B$24:$B$1023,N758)="P11",INDEX($B$24:$B$1023,N758)="P12",INDEX($B$24:$B$1023,N758)="P13"),"C",IF(OR(INDEX($B$24:$B$1023,N758)="P14",INDEX($B$24:$B$1023,N758)="P15",INDEX($B$24:$B$1023,N758)="P16"),"N","O"))&amp;IF(MOD(N758,100)&lt;20,1,IF(MOD(N758,100)&lt;70,2,3))</f>
        <v>C3</v>
      </c>
    </row>
    <row r="759" spans="1:15" ht="16.5" thickBot="1">
      <c r="A759" s="662">
        <v>736</v>
      </c>
      <c r="B759" s="661" t="str" cm="1">
        <f t="array" ref="B759">"P"&amp;INDEX(X!$CL$2:$CL$12,'Scratch Sheet'!H758+1)+9</f>
        <v>P17</v>
      </c>
      <c r="C759" s="661">
        <v>1</v>
      </c>
      <c r="D759" s="755">
        <f t="shared" si="44"/>
        <v>13200.000000000002</v>
      </c>
      <c r="E759" s="682" t="str">
        <f t="shared" si="45"/>
        <v>O2</v>
      </c>
      <c r="F759" s="683">
        <f t="shared" si="46"/>
        <v>12</v>
      </c>
      <c r="H759" s="13">
        <v>125</v>
      </c>
      <c r="I759" s="13">
        <f>VLOOKUP(VLOOKUP(H759,$A$24:$B$1023,2,FALSE),'Scratch Sheet'!$U$23:$X$32,3,FALSE)</f>
        <v>12</v>
      </c>
      <c r="K759" s="13">
        <f t="shared" si="43"/>
        <v>723</v>
      </c>
      <c r="L759" s="13">
        <f>IFERROR(VLOOKUP(VLOOKUP(K759,$A$24:$B$1023,2,FALSE),'Scratch Sheet'!$U$23:$Y$32,5,FALSE)*VLOOKUP(VLOOKUP(K759,$A$24:$E$1023,5,FALSE),'Scratch Sheet'!$L$22:$M$30,2,FALSE),"")</f>
        <v>11000</v>
      </c>
      <c r="N759" s="675">
        <v>483</v>
      </c>
      <c r="O759" s="675" t="str" cm="1">
        <f t="array" ref="O759">IF(OR(INDEX($B$24:$B$1023,N759)="P10",INDEX($B$24:$B$1023,N759)="P11",INDEX($B$24:$B$1023,N759)="P12",INDEX($B$24:$B$1023,N759)="P13"),"C",IF(OR(INDEX($B$24:$B$1023,N759)="P14",INDEX($B$24:$B$1023,N759)="P15",INDEX($B$24:$B$1023,N759)="P16"),"N","O"))&amp;IF(MOD(N759,100)&lt;20,1,IF(MOD(N759,100)&lt;70,2,3))</f>
        <v>C3</v>
      </c>
    </row>
    <row r="760" spans="1:15" ht="16.5" thickBot="1">
      <c r="A760" s="662">
        <v>737</v>
      </c>
      <c r="B760" s="661" t="str" cm="1">
        <f t="array" ref="B760">"P"&amp;INDEX(X!$CL$2:$CL$12,'Scratch Sheet'!H759+1)+9</f>
        <v>P17</v>
      </c>
      <c r="C760" s="661">
        <v>1</v>
      </c>
      <c r="D760" s="755">
        <f t="shared" si="44"/>
        <v>13200.000000000002</v>
      </c>
      <c r="E760" s="682" t="str">
        <f t="shared" si="45"/>
        <v>O2</v>
      </c>
      <c r="F760" s="683">
        <f t="shared" si="46"/>
        <v>12</v>
      </c>
      <c r="H760" s="13">
        <v>992</v>
      </c>
      <c r="I760" s="13">
        <f>VLOOKUP(VLOOKUP(H760,$A$24:$B$1023,2,FALSE),'Scratch Sheet'!$U$23:$X$32,3,FALSE)</f>
        <v>12</v>
      </c>
      <c r="K760" s="13">
        <f t="shared" si="43"/>
        <v>726</v>
      </c>
      <c r="L760" s="13">
        <f>IFERROR(VLOOKUP(VLOOKUP(K760,$A$24:$B$1023,2,FALSE),'Scratch Sheet'!$U$23:$Y$32,5,FALSE)*VLOOKUP(VLOOKUP(K760,$A$24:$E$1023,5,FALSE),'Scratch Sheet'!$L$22:$M$30,2,FALSE),"")</f>
        <v>2400</v>
      </c>
      <c r="N760" s="675">
        <v>491</v>
      </c>
      <c r="O760" s="675" t="str" cm="1">
        <f t="array" ref="O760">IF(OR(INDEX($B$24:$B$1023,N760)="P10",INDEX($B$24:$B$1023,N760)="P11",INDEX($B$24:$B$1023,N760)="P12",INDEX($B$24:$B$1023,N760)="P13"),"C",IF(OR(INDEX($B$24:$B$1023,N760)="P14",INDEX($B$24:$B$1023,N760)="P15",INDEX($B$24:$B$1023,N760)="P16"),"N","O"))&amp;IF(MOD(N760,100)&lt;20,1,IF(MOD(N760,100)&lt;70,2,3))</f>
        <v>N3</v>
      </c>
    </row>
    <row r="761" spans="1:15" ht="16.5" thickBot="1">
      <c r="A761" s="662">
        <v>738</v>
      </c>
      <c r="B761" s="661" t="str" cm="1">
        <f t="array" ref="B761">"P"&amp;INDEX(X!$CL$2:$CL$12,'Scratch Sheet'!H760+1)+9</f>
        <v>P13</v>
      </c>
      <c r="C761" s="661">
        <v>1</v>
      </c>
      <c r="D761" s="755">
        <f t="shared" si="44"/>
        <v>9000</v>
      </c>
      <c r="E761" s="682" t="str">
        <f t="shared" si="45"/>
        <v>C2</v>
      </c>
      <c r="F761" s="683">
        <f t="shared" si="46"/>
        <v>5</v>
      </c>
      <c r="H761" s="13">
        <v>511</v>
      </c>
      <c r="I761" s="13">
        <f>VLOOKUP(VLOOKUP(H761,$A$24:$B$1023,2,FALSE),'Scratch Sheet'!$U$23:$X$32,3,FALSE)</f>
        <v>5</v>
      </c>
      <c r="K761" s="13">
        <f t="shared" si="43"/>
        <v>725</v>
      </c>
      <c r="L761" s="13">
        <f>IFERROR(VLOOKUP(VLOOKUP(K761,$A$24:$B$1023,2,FALSE),'Scratch Sheet'!$U$23:$Y$32,5,FALSE)*VLOOKUP(VLOOKUP(K761,$A$24:$E$1023,5,FALSE),'Scratch Sheet'!$L$22:$M$30,2,FALSE),"")</f>
        <v>2400</v>
      </c>
      <c r="N761" s="675">
        <v>493</v>
      </c>
      <c r="O761" s="675" t="str" cm="1">
        <f t="array" ref="O761">IF(OR(INDEX($B$24:$B$1023,N761)="P10",INDEX($B$24:$B$1023,N761)="P11",INDEX($B$24:$B$1023,N761)="P12",INDEX($B$24:$B$1023,N761)="P13"),"C",IF(OR(INDEX($B$24:$B$1023,N761)="P14",INDEX($B$24:$B$1023,N761)="P15",INDEX($B$24:$B$1023,N761)="P16"),"N","O"))&amp;IF(MOD(N761,100)&lt;20,1,IF(MOD(N761,100)&lt;70,2,3))</f>
        <v>C3</v>
      </c>
    </row>
    <row r="762" spans="1:15" ht="16.5" thickBot="1">
      <c r="A762" s="662">
        <v>739</v>
      </c>
      <c r="B762" s="661" t="str" cm="1">
        <f t="array" ref="B762">"P"&amp;INDEX(X!$CL$2:$CL$12,'Scratch Sheet'!H761+1)+9</f>
        <v>P11</v>
      </c>
      <c r="C762" s="661">
        <v>1</v>
      </c>
      <c r="D762" s="755">
        <f t="shared" si="44"/>
        <v>11000</v>
      </c>
      <c r="E762" s="682" t="str">
        <f t="shared" si="45"/>
        <v>C2</v>
      </c>
      <c r="F762" s="683">
        <f t="shared" si="46"/>
        <v>11</v>
      </c>
      <c r="H762" s="13">
        <v>197</v>
      </c>
      <c r="I762" s="13">
        <f>VLOOKUP(VLOOKUP(H762,$A$24:$B$1023,2,FALSE),'Scratch Sheet'!$U$23:$X$32,3,FALSE)</f>
        <v>6.5</v>
      </c>
      <c r="K762" s="13">
        <f t="shared" si="43"/>
        <v>720</v>
      </c>
      <c r="L762" s="13">
        <f>IFERROR(VLOOKUP(VLOOKUP(K762,$A$24:$B$1023,2,FALSE),'Scratch Sheet'!$U$23:$Y$32,5,FALSE)*VLOOKUP(VLOOKUP(K762,$A$24:$E$1023,5,FALSE),'Scratch Sheet'!$L$22:$M$30,2,FALSE),"")</f>
        <v>13200.000000000002</v>
      </c>
      <c r="N762" s="675">
        <v>494</v>
      </c>
      <c r="O762" s="675" t="str" cm="1">
        <f t="array" ref="O762">IF(OR(INDEX($B$24:$B$1023,N762)="P10",INDEX($B$24:$B$1023,N762)="P11",INDEX($B$24:$B$1023,N762)="P12",INDEX($B$24:$B$1023,N762)="P13"),"C",IF(OR(INDEX($B$24:$B$1023,N762)="P14",INDEX($B$24:$B$1023,N762)="P15",INDEX($B$24:$B$1023,N762)="P16"),"N","O"))&amp;IF(MOD(N762,100)&lt;20,1,IF(MOD(N762,100)&lt;70,2,3))</f>
        <v>C3</v>
      </c>
    </row>
    <row r="763" spans="1:15" ht="16.5" thickBot="1">
      <c r="A763" s="662">
        <v>740</v>
      </c>
      <c r="B763" s="661" t="str" cm="1">
        <f t="array" ref="B763">"P"&amp;INDEX(X!$CL$2:$CL$12,'Scratch Sheet'!H762+1)+9</f>
        <v>P11</v>
      </c>
      <c r="C763" s="661">
        <v>1</v>
      </c>
      <c r="D763" s="755">
        <f t="shared" si="44"/>
        <v>11000</v>
      </c>
      <c r="E763" s="682" t="str">
        <f t="shared" si="45"/>
        <v>C2</v>
      </c>
      <c r="F763" s="683">
        <f t="shared" si="46"/>
        <v>11</v>
      </c>
      <c r="H763" s="13">
        <v>371</v>
      </c>
      <c r="I763" s="13">
        <f>VLOOKUP(VLOOKUP(H763,$A$24:$B$1023,2,FALSE),'Scratch Sheet'!$U$23:$X$32,3,FALSE)</f>
        <v>6</v>
      </c>
      <c r="K763" s="13">
        <f t="shared" si="43"/>
        <v>722</v>
      </c>
      <c r="L763" s="13">
        <f>IFERROR(VLOOKUP(VLOOKUP(K763,$A$24:$B$1023,2,FALSE),'Scratch Sheet'!$U$23:$Y$32,5,FALSE)*VLOOKUP(VLOOKUP(K763,$A$24:$E$1023,5,FALSE),'Scratch Sheet'!$L$22:$M$30,2,FALSE),"")</f>
        <v>11000</v>
      </c>
      <c r="N763" s="675">
        <v>500</v>
      </c>
      <c r="O763" s="675" t="str" cm="1">
        <f t="array" ref="O763">IF(OR(INDEX($B$24:$B$1023,N763)="P10",INDEX($B$24:$B$1023,N763)="P11",INDEX($B$24:$B$1023,N763)="P12",INDEX($B$24:$B$1023,N763)="P13"),"C",IF(OR(INDEX($B$24:$B$1023,N763)="P14",INDEX($B$24:$B$1023,N763)="P15",INDEX($B$24:$B$1023,N763)="P16"),"N","O"))&amp;IF(MOD(N763,100)&lt;20,1,IF(MOD(N763,100)&lt;70,2,3))</f>
        <v>C1</v>
      </c>
    </row>
    <row r="764" spans="1:15" ht="16.5" thickBot="1">
      <c r="A764" s="662">
        <v>741</v>
      </c>
      <c r="B764" s="661" t="str" cm="1">
        <f t="array" ref="B764">"P"&amp;INDEX(X!$CL$2:$CL$12,'Scratch Sheet'!H763+1)+9</f>
        <v>P12</v>
      </c>
      <c r="C764" s="661">
        <v>1</v>
      </c>
      <c r="D764" s="755">
        <f t="shared" si="44"/>
        <v>6825</v>
      </c>
      <c r="E764" s="682" t="str">
        <f t="shared" si="45"/>
        <v>C2</v>
      </c>
      <c r="F764" s="683">
        <f t="shared" si="46"/>
        <v>6.5</v>
      </c>
      <c r="H764" s="13">
        <v>971</v>
      </c>
      <c r="I764" s="13">
        <f>VLOOKUP(VLOOKUP(H764,$A$24:$B$1023,2,FALSE),'Scratch Sheet'!$U$23:$X$32,3,FALSE)</f>
        <v>3</v>
      </c>
      <c r="K764" s="13">
        <f t="shared" si="43"/>
        <v>721</v>
      </c>
      <c r="L764" s="13">
        <f>IFERROR(VLOOKUP(VLOOKUP(K764,$A$24:$B$1023,2,FALSE),'Scratch Sheet'!$U$23:$Y$32,5,FALSE)*VLOOKUP(VLOOKUP(K764,$A$24:$E$1023,5,FALSE),'Scratch Sheet'!$L$22:$M$30,2,FALSE),"")</f>
        <v>4500</v>
      </c>
      <c r="N764" s="675">
        <v>508</v>
      </c>
      <c r="O764" s="675" t="str" cm="1">
        <f t="array" ref="O764">IF(OR(INDEX($B$24:$B$1023,N764)="P10",INDEX($B$24:$B$1023,N764)="P11",INDEX($B$24:$B$1023,N764)="P12",INDEX($B$24:$B$1023,N764)="P13"),"C",IF(OR(INDEX($B$24:$B$1023,N764)="P14",INDEX($B$24:$B$1023,N764)="P15",INDEX($B$24:$B$1023,N764)="P16"),"N","O"))&amp;IF(MOD(N764,100)&lt;20,1,IF(MOD(N764,100)&lt;70,2,3))</f>
        <v>N1</v>
      </c>
    </row>
    <row r="765" spans="1:15" ht="16.5" thickBot="1">
      <c r="A765" s="662">
        <v>742</v>
      </c>
      <c r="B765" s="661" t="str" cm="1">
        <f t="array" ref="B765">"P"&amp;INDEX(X!$CL$2:$CL$12,'Scratch Sheet'!H764+1)+9</f>
        <v>P10</v>
      </c>
      <c r="C765" s="661">
        <v>1</v>
      </c>
      <c r="D765" s="755">
        <f t="shared" si="44"/>
        <v>2400</v>
      </c>
      <c r="E765" s="682" t="str">
        <f t="shared" si="45"/>
        <v>C2</v>
      </c>
      <c r="F765" s="683">
        <f t="shared" si="46"/>
        <v>3</v>
      </c>
      <c r="H765" s="13">
        <v>477</v>
      </c>
      <c r="I765" s="13">
        <f>VLOOKUP(VLOOKUP(H765,$A$24:$B$1023,2,FALSE),'Scratch Sheet'!$U$23:$X$32,3,FALSE)</f>
        <v>5</v>
      </c>
      <c r="K765" s="13">
        <f t="shared" si="43"/>
        <v>724</v>
      </c>
      <c r="L765" s="13">
        <f>IFERROR(VLOOKUP(VLOOKUP(K765,$A$24:$B$1023,2,FALSE),'Scratch Sheet'!$U$23:$Y$32,5,FALSE)*VLOOKUP(VLOOKUP(K765,$A$24:$E$1023,5,FALSE),'Scratch Sheet'!$L$22:$M$30,2,FALSE),"")</f>
        <v>6825</v>
      </c>
      <c r="N765" s="675">
        <v>510</v>
      </c>
      <c r="O765" s="675" t="str" cm="1">
        <f t="array" ref="O765">IF(OR(INDEX($B$24:$B$1023,N765)="P10",INDEX($B$24:$B$1023,N765)="P11",INDEX($B$24:$B$1023,N765)="P12",INDEX($B$24:$B$1023,N765)="P13"),"C",IF(OR(INDEX($B$24:$B$1023,N765)="P14",INDEX($B$24:$B$1023,N765)="P15",INDEX($B$24:$B$1023,N765)="P16"),"N","O"))&amp;IF(MOD(N765,100)&lt;20,1,IF(MOD(N765,100)&lt;70,2,3))</f>
        <v>C1</v>
      </c>
    </row>
    <row r="766" spans="1:15" ht="16.5" thickBot="1">
      <c r="A766" s="662">
        <v>743</v>
      </c>
      <c r="B766" s="661" t="str" cm="1">
        <f t="array" ref="B766">"P"&amp;INDEX(X!$CL$2:$CL$12,'Scratch Sheet'!H765+1)+9</f>
        <v>P10</v>
      </c>
      <c r="C766" s="661">
        <v>1</v>
      </c>
      <c r="D766" s="755">
        <f t="shared" si="44"/>
        <v>2400</v>
      </c>
      <c r="E766" s="682" t="str">
        <f t="shared" si="45"/>
        <v>C2</v>
      </c>
      <c r="F766" s="683">
        <f t="shared" si="46"/>
        <v>3</v>
      </c>
      <c r="H766" s="13">
        <v>847</v>
      </c>
      <c r="I766" s="13">
        <f>VLOOKUP(VLOOKUP(H766,$A$24:$B$1023,2,FALSE),'Scratch Sheet'!$U$23:$X$32,3,FALSE)</f>
        <v>6</v>
      </c>
      <c r="K766" s="13">
        <f t="shared" si="43"/>
        <v>719</v>
      </c>
      <c r="L766" s="13">
        <f>IFERROR(VLOOKUP(VLOOKUP(K766,$A$24:$B$1023,2,FALSE),'Scratch Sheet'!$U$23:$Y$32,5,FALSE)*VLOOKUP(VLOOKUP(K766,$A$24:$E$1023,5,FALSE),'Scratch Sheet'!$L$22:$M$30,2,FALSE),"")</f>
        <v>10800</v>
      </c>
      <c r="N766" s="675">
        <v>511</v>
      </c>
      <c r="O766" s="675" t="str" cm="1">
        <f t="array" ref="O766">IF(OR(INDEX($B$24:$B$1023,N766)="P10",INDEX($B$24:$B$1023,N766)="P11",INDEX($B$24:$B$1023,N766)="P12",INDEX($B$24:$B$1023,N766)="P13"),"C",IF(OR(INDEX($B$24:$B$1023,N766)="P14",INDEX($B$24:$B$1023,N766)="P15",INDEX($B$24:$B$1023,N766)="P16"),"N","O"))&amp;IF(MOD(N766,100)&lt;20,1,IF(MOD(N766,100)&lt;70,2,3))</f>
        <v>C1</v>
      </c>
    </row>
    <row r="767" spans="1:15" ht="16.5" thickBot="1">
      <c r="A767" s="662">
        <v>744</v>
      </c>
      <c r="B767" s="661" t="str" cm="1">
        <f t="array" ref="B767">"P"&amp;INDEX(X!$CL$2:$CL$12,'Scratch Sheet'!H766+1)+9</f>
        <v>P11</v>
      </c>
      <c r="C767" s="661">
        <v>1</v>
      </c>
      <c r="D767" s="755">
        <f t="shared" si="44"/>
        <v>11000</v>
      </c>
      <c r="E767" s="682" t="str">
        <f t="shared" si="45"/>
        <v>C2</v>
      </c>
      <c r="F767" s="683">
        <f t="shared" si="46"/>
        <v>11</v>
      </c>
      <c r="H767" s="13">
        <v>416</v>
      </c>
      <c r="I767" s="13">
        <f>VLOOKUP(VLOOKUP(H767,$A$24:$B$1023,2,FALSE),'Scratch Sheet'!$U$23:$X$32,3,FALSE)</f>
        <v>11</v>
      </c>
      <c r="K767" s="13">
        <f t="shared" ref="K767:K830" si="47">K664+100</f>
        <v>717</v>
      </c>
      <c r="L767" s="13">
        <f>IFERROR(VLOOKUP(VLOOKUP(K767,$A$24:$B$1023,2,FALSE),'Scratch Sheet'!$U$23:$Y$32,5,FALSE)*VLOOKUP(VLOOKUP(K767,$A$24:$E$1023,5,FALSE),'Scratch Sheet'!$L$22:$M$30,2,FALSE),"")</f>
        <v>13200</v>
      </c>
      <c r="N767" s="675">
        <v>517</v>
      </c>
      <c r="O767" s="675" t="str" cm="1">
        <f t="array" ref="O767">IF(OR(INDEX($B$24:$B$1023,N767)="P10",INDEX($B$24:$B$1023,N767)="P11",INDEX($B$24:$B$1023,N767)="P12",INDEX($B$24:$B$1023,N767)="P13"),"C",IF(OR(INDEX($B$24:$B$1023,N767)="P14",INDEX($B$24:$B$1023,N767)="P15",INDEX($B$24:$B$1023,N767)="P16"),"N","O"))&amp;IF(MOD(N767,100)&lt;20,1,IF(MOD(N767,100)&lt;70,2,3))</f>
        <v>C1</v>
      </c>
    </row>
    <row r="768" spans="1:15" ht="16.5" thickBot="1">
      <c r="A768" s="662">
        <v>745</v>
      </c>
      <c r="B768" s="661" t="str" cm="1">
        <f t="array" ref="B768">"P"&amp;INDEX(X!$CL$2:$CL$12,'Scratch Sheet'!H767+1)+9</f>
        <v>P18</v>
      </c>
      <c r="C768" s="661">
        <v>1</v>
      </c>
      <c r="D768" s="755">
        <f t="shared" si="44"/>
        <v>5940.0000000000009</v>
      </c>
      <c r="E768" s="682" t="str">
        <f t="shared" si="45"/>
        <v>O2</v>
      </c>
      <c r="F768" s="683">
        <f t="shared" si="46"/>
        <v>6</v>
      </c>
      <c r="H768" s="13">
        <v>637</v>
      </c>
      <c r="I768" s="13">
        <f>VLOOKUP(VLOOKUP(H768,$A$24:$B$1023,2,FALSE),'Scratch Sheet'!$U$23:$X$32,3,FALSE)</f>
        <v>11</v>
      </c>
      <c r="K768" s="13">
        <f t="shared" si="47"/>
        <v>718</v>
      </c>
      <c r="L768" s="13">
        <f>IFERROR(VLOOKUP(VLOOKUP(K768,$A$24:$B$1023,2,FALSE),'Scratch Sheet'!$U$23:$Y$32,5,FALSE)*VLOOKUP(VLOOKUP(K768,$A$24:$E$1023,5,FALSE),'Scratch Sheet'!$L$22:$M$30,2,FALSE),"")</f>
        <v>7279.9999999999991</v>
      </c>
      <c r="N768" s="675">
        <v>525</v>
      </c>
      <c r="O768" s="675" t="str" cm="1">
        <f t="array" ref="O768">IF(OR(INDEX($B$24:$B$1023,N768)="P10",INDEX($B$24:$B$1023,N768)="P11",INDEX($B$24:$B$1023,N768)="P12",INDEX($B$24:$B$1023,N768)="P13"),"C",IF(OR(INDEX($B$24:$B$1023,N768)="P14",INDEX($B$24:$B$1023,N768)="P15",INDEX($B$24:$B$1023,N768)="P16"),"N","O"))&amp;IF(MOD(N768,100)&lt;20,1,IF(MOD(N768,100)&lt;70,2,3))</f>
        <v>N2</v>
      </c>
    </row>
    <row r="769" spans="1:15" ht="16.5" thickBot="1">
      <c r="A769" s="662">
        <v>746</v>
      </c>
      <c r="B769" s="661" t="str" cm="1">
        <f t="array" ref="B769">"P"&amp;INDEX(X!$CL$2:$CL$12,'Scratch Sheet'!H768+1)+9</f>
        <v>P14</v>
      </c>
      <c r="C769" s="661">
        <v>1</v>
      </c>
      <c r="D769" s="755">
        <f t="shared" si="44"/>
        <v>6480</v>
      </c>
      <c r="E769" s="682" t="str">
        <f t="shared" si="45"/>
        <v>N2</v>
      </c>
      <c r="F769" s="683">
        <f t="shared" si="46"/>
        <v>8</v>
      </c>
      <c r="H769" s="13">
        <v>914</v>
      </c>
      <c r="I769" s="13">
        <f>VLOOKUP(VLOOKUP(H769,$A$24:$B$1023,2,FALSE),'Scratch Sheet'!$U$23:$X$32,3,FALSE)</f>
        <v>11</v>
      </c>
      <c r="K769" s="13">
        <f t="shared" si="47"/>
        <v>716</v>
      </c>
      <c r="L769" s="13">
        <f>IFERROR(VLOOKUP(VLOOKUP(K769,$A$24:$B$1023,2,FALSE),'Scratch Sheet'!$U$23:$Y$32,5,FALSE)*VLOOKUP(VLOOKUP(K769,$A$24:$E$1023,5,FALSE),'Scratch Sheet'!$L$22:$M$30,2,FALSE),"")</f>
        <v>2880</v>
      </c>
      <c r="N769" s="675">
        <v>527</v>
      </c>
      <c r="O769" s="675" t="str" cm="1">
        <f t="array" ref="O769">IF(OR(INDEX($B$24:$B$1023,N769)="P10",INDEX($B$24:$B$1023,N769)="P11",INDEX($B$24:$B$1023,N769)="P12",INDEX($B$24:$B$1023,N769)="P13"),"C",IF(OR(INDEX($B$24:$B$1023,N769)="P14",INDEX($B$24:$B$1023,N769)="P15",INDEX($B$24:$B$1023,N769)="P16"),"N","O"))&amp;IF(MOD(N769,100)&lt;20,1,IF(MOD(N769,100)&lt;70,2,3))</f>
        <v>C2</v>
      </c>
    </row>
    <row r="770" spans="1:15" ht="16.5" thickBot="1">
      <c r="A770" s="662">
        <v>747</v>
      </c>
      <c r="B770" s="661" t="str" cm="1">
        <f t="array" ref="B770">"P"&amp;INDEX(X!$CL$2:$CL$12,'Scratch Sheet'!H769+1)+9</f>
        <v>P10</v>
      </c>
      <c r="C770" s="661">
        <v>1</v>
      </c>
      <c r="D770" s="755">
        <f t="shared" si="44"/>
        <v>2400</v>
      </c>
      <c r="E770" s="682" t="str">
        <f t="shared" si="45"/>
        <v>C2</v>
      </c>
      <c r="F770" s="683">
        <f t="shared" si="46"/>
        <v>3</v>
      </c>
      <c r="H770" s="13">
        <v>384</v>
      </c>
      <c r="I770" s="13">
        <f>VLOOKUP(VLOOKUP(H770,$A$24:$B$1023,2,FALSE),'Scratch Sheet'!$U$23:$X$32,3,FALSE)</f>
        <v>6.5</v>
      </c>
      <c r="K770" s="13">
        <f t="shared" si="47"/>
        <v>715</v>
      </c>
      <c r="L770" s="13">
        <f>IFERROR(VLOOKUP(VLOOKUP(K770,$A$24:$B$1023,2,FALSE),'Scratch Sheet'!$U$23:$Y$32,5,FALSE)*VLOOKUP(VLOOKUP(K770,$A$24:$E$1023,5,FALSE),'Scratch Sheet'!$L$22:$M$30,2,FALSE),"")</f>
        <v>5400</v>
      </c>
      <c r="N770" s="675">
        <v>528</v>
      </c>
      <c r="O770" s="675" t="str" cm="1">
        <f t="array" ref="O770">IF(OR(INDEX($B$24:$B$1023,N770)="P10",INDEX($B$24:$B$1023,N770)="P11",INDEX($B$24:$B$1023,N770)="P12",INDEX($B$24:$B$1023,N770)="P13"),"C",IF(OR(INDEX($B$24:$B$1023,N770)="P14",INDEX($B$24:$B$1023,N770)="P15",INDEX($B$24:$B$1023,N770)="P16"),"N","O"))&amp;IF(MOD(N770,100)&lt;20,1,IF(MOD(N770,100)&lt;70,2,3))</f>
        <v>C2</v>
      </c>
    </row>
    <row r="771" spans="1:15" ht="16.5" thickBot="1">
      <c r="A771" s="662">
        <v>748</v>
      </c>
      <c r="B771" s="661" t="str" cm="1">
        <f t="array" ref="B771">"P"&amp;INDEX(X!$CL$2:$CL$12,'Scratch Sheet'!H770+1)+9</f>
        <v>P13</v>
      </c>
      <c r="C771" s="661">
        <v>1</v>
      </c>
      <c r="D771" s="755">
        <f t="shared" si="44"/>
        <v>4500</v>
      </c>
      <c r="E771" s="682" t="str">
        <f t="shared" si="45"/>
        <v>C2</v>
      </c>
      <c r="F771" s="683">
        <f t="shared" si="46"/>
        <v>5</v>
      </c>
      <c r="H771" s="13">
        <v>114</v>
      </c>
      <c r="I771" s="13">
        <f>VLOOKUP(VLOOKUP(H771,$A$24:$B$1023,2,FALSE),'Scratch Sheet'!$U$23:$X$32,3,FALSE)</f>
        <v>3</v>
      </c>
      <c r="K771" s="13">
        <f t="shared" si="47"/>
        <v>727</v>
      </c>
      <c r="L771" s="13">
        <f>IFERROR(VLOOKUP(VLOOKUP(K771,$A$24:$B$1023,2,FALSE),'Scratch Sheet'!$U$23:$Y$32,5,FALSE)*VLOOKUP(VLOOKUP(K771,$A$24:$E$1023,5,FALSE),'Scratch Sheet'!$L$22:$M$30,2,FALSE),"")</f>
        <v>11000</v>
      </c>
      <c r="N771" s="675">
        <v>530</v>
      </c>
      <c r="O771" s="675" t="str" cm="1">
        <f t="array" ref="O771">IF(OR(INDEX($B$24:$B$1023,N771)="P10",INDEX($B$24:$B$1023,N771)="P11",INDEX($B$24:$B$1023,N771)="P12",INDEX($B$24:$B$1023,N771)="P13"),"C",IF(OR(INDEX($B$24:$B$1023,N771)="P14",INDEX($B$24:$B$1023,N771)="P15",INDEX($B$24:$B$1023,N771)="P16"),"N","O"))&amp;IF(MOD(N771,100)&lt;20,1,IF(MOD(N771,100)&lt;70,2,3))</f>
        <v>C2</v>
      </c>
    </row>
    <row r="772" spans="1:15" ht="16.5" thickBot="1">
      <c r="A772" s="662">
        <v>749</v>
      </c>
      <c r="B772" s="661" t="str" cm="1">
        <f t="array" ref="B772">"P"&amp;INDEX(X!$CL$2:$CL$12,'Scratch Sheet'!H771+1)+9</f>
        <v>P13</v>
      </c>
      <c r="C772" s="661">
        <v>1</v>
      </c>
      <c r="D772" s="755">
        <f t="shared" si="44"/>
        <v>4500</v>
      </c>
      <c r="E772" s="682" t="str">
        <f t="shared" si="45"/>
        <v>C2</v>
      </c>
      <c r="F772" s="683">
        <f t="shared" si="46"/>
        <v>5</v>
      </c>
      <c r="H772" s="13">
        <v>796</v>
      </c>
      <c r="I772" s="13">
        <f>VLOOKUP(VLOOKUP(H772,$A$24:$B$1023,2,FALSE),'Scratch Sheet'!$U$23:$X$32,3,FALSE)</f>
        <v>6</v>
      </c>
      <c r="K772" s="13">
        <f t="shared" si="47"/>
        <v>736</v>
      </c>
      <c r="L772" s="13">
        <f>IFERROR(VLOOKUP(VLOOKUP(K772,$A$24:$B$1023,2,FALSE),'Scratch Sheet'!$U$23:$Y$32,5,FALSE)*VLOOKUP(VLOOKUP(K772,$A$24:$E$1023,5,FALSE),'Scratch Sheet'!$L$22:$M$30,2,FALSE),"")</f>
        <v>13200.000000000002</v>
      </c>
      <c r="N772" s="675">
        <v>534</v>
      </c>
      <c r="O772" s="675" t="str" cm="1">
        <f t="array" ref="O772">IF(OR(INDEX($B$24:$B$1023,N772)="P10",INDEX($B$24:$B$1023,N772)="P11",INDEX($B$24:$B$1023,N772)="P12",INDEX($B$24:$B$1023,N772)="P13"),"C",IF(OR(INDEX($B$24:$B$1023,N772)="P14",INDEX($B$24:$B$1023,N772)="P15",INDEX($B$24:$B$1023,N772)="P16"),"N","O"))&amp;IF(MOD(N772,100)&lt;20,1,IF(MOD(N772,100)&lt;70,2,3))</f>
        <v>C2</v>
      </c>
    </row>
    <row r="773" spans="1:15" ht="16.5" thickBot="1">
      <c r="A773" s="662">
        <v>750</v>
      </c>
      <c r="B773" s="661" t="str" cm="1">
        <f t="array" ref="B773">"P"&amp;INDEX(X!$CL$2:$CL$12,'Scratch Sheet'!H772+1)+9</f>
        <v>P10</v>
      </c>
      <c r="C773" s="661">
        <v>1</v>
      </c>
      <c r="D773" s="755">
        <f t="shared" si="44"/>
        <v>2400</v>
      </c>
      <c r="E773" s="682" t="str">
        <f t="shared" si="45"/>
        <v>C2</v>
      </c>
      <c r="F773" s="683">
        <f t="shared" si="46"/>
        <v>3</v>
      </c>
      <c r="H773" s="13">
        <v>713</v>
      </c>
      <c r="I773" s="13">
        <f>VLOOKUP(VLOOKUP(H773,$A$24:$B$1023,2,FALSE),'Scratch Sheet'!$U$23:$X$32,3,FALSE)</f>
        <v>3</v>
      </c>
      <c r="K773" s="13">
        <f t="shared" si="47"/>
        <v>739</v>
      </c>
      <c r="L773" s="13">
        <f>IFERROR(VLOOKUP(VLOOKUP(K773,$A$24:$B$1023,2,FALSE),'Scratch Sheet'!$U$23:$Y$32,5,FALSE)*VLOOKUP(VLOOKUP(K773,$A$24:$E$1023,5,FALSE),'Scratch Sheet'!$L$22:$M$30,2,FALSE),"")</f>
        <v>11000</v>
      </c>
      <c r="N773" s="675">
        <v>535</v>
      </c>
      <c r="O773" s="675" t="str" cm="1">
        <f t="array" ref="O773">IF(OR(INDEX($B$24:$B$1023,N773)="P10",INDEX($B$24:$B$1023,N773)="P11",INDEX($B$24:$B$1023,N773)="P12",INDEX($B$24:$B$1023,N773)="P13"),"C",IF(OR(INDEX($B$24:$B$1023,N773)="P14",INDEX($B$24:$B$1023,N773)="P15",INDEX($B$24:$B$1023,N773)="P16"),"N","O"))&amp;IF(MOD(N773,100)&lt;20,1,IF(MOD(N773,100)&lt;70,2,3))</f>
        <v>C2</v>
      </c>
    </row>
    <row r="774" spans="1:15" ht="16.5" thickBot="1">
      <c r="A774" s="662">
        <v>751</v>
      </c>
      <c r="B774" s="661" t="str" cm="1">
        <f t="array" ref="B774">"P"&amp;INDEX(X!$CL$2:$CL$12,'Scratch Sheet'!H773+1)+9</f>
        <v>P11</v>
      </c>
      <c r="C774" s="661">
        <v>1</v>
      </c>
      <c r="D774" s="755">
        <f t="shared" si="44"/>
        <v>11000</v>
      </c>
      <c r="E774" s="682" t="str">
        <f t="shared" si="45"/>
        <v>C2</v>
      </c>
      <c r="F774" s="683">
        <f t="shared" si="46"/>
        <v>11</v>
      </c>
      <c r="H774" s="13">
        <v>132</v>
      </c>
      <c r="I774" s="13">
        <f>VLOOKUP(VLOOKUP(H774,$A$24:$B$1023,2,FALSE),'Scratch Sheet'!$U$23:$X$32,3,FALSE)</f>
        <v>11</v>
      </c>
      <c r="K774" s="13">
        <f t="shared" si="47"/>
        <v>738</v>
      </c>
      <c r="L774" s="13">
        <f>IFERROR(VLOOKUP(VLOOKUP(K774,$A$24:$B$1023,2,FALSE),'Scratch Sheet'!$U$23:$Y$32,5,FALSE)*VLOOKUP(VLOOKUP(K774,$A$24:$E$1023,5,FALSE),'Scratch Sheet'!$L$22:$M$30,2,FALSE),"")</f>
        <v>4500</v>
      </c>
      <c r="N774" s="675">
        <v>536</v>
      </c>
      <c r="O774" s="675" t="str" cm="1">
        <f t="array" ref="O774">IF(OR(INDEX($B$24:$B$1023,N774)="P10",INDEX($B$24:$B$1023,N774)="P11",INDEX($B$24:$B$1023,N774)="P12",INDEX($B$24:$B$1023,N774)="P13"),"C",IF(OR(INDEX($B$24:$B$1023,N774)="P14",INDEX($B$24:$B$1023,N774)="P15",INDEX($B$24:$B$1023,N774)="P16"),"N","O"))&amp;IF(MOD(N774,100)&lt;20,1,IF(MOD(N774,100)&lt;70,2,3))</f>
        <v>C2</v>
      </c>
    </row>
    <row r="775" spans="1:15" ht="16.5" thickBot="1">
      <c r="A775" s="662">
        <v>752</v>
      </c>
      <c r="B775" s="661" t="str" cm="1">
        <f t="array" ref="B775">"P"&amp;INDEX(X!$CL$2:$CL$12,'Scratch Sheet'!H774+1)+9</f>
        <v>P16</v>
      </c>
      <c r="C775" s="661">
        <v>1</v>
      </c>
      <c r="D775" s="755">
        <f t="shared" si="44"/>
        <v>4680</v>
      </c>
      <c r="E775" s="682" t="str">
        <f t="shared" si="45"/>
        <v>N2</v>
      </c>
      <c r="F775" s="683">
        <f t="shared" si="46"/>
        <v>4</v>
      </c>
      <c r="H775" s="13">
        <v>721</v>
      </c>
      <c r="I775" s="13">
        <f>VLOOKUP(VLOOKUP(H775,$A$24:$B$1023,2,FALSE),'Scratch Sheet'!$U$23:$X$32,3,FALSE)</f>
        <v>5</v>
      </c>
      <c r="K775" s="13">
        <f t="shared" si="47"/>
        <v>733</v>
      </c>
      <c r="L775" s="13">
        <f>IFERROR(VLOOKUP(VLOOKUP(K775,$A$24:$B$1023,2,FALSE),'Scratch Sheet'!$U$23:$Y$32,5,FALSE)*VLOOKUP(VLOOKUP(K775,$A$24:$E$1023,5,FALSE),'Scratch Sheet'!$L$22:$M$30,2,FALSE),"")</f>
        <v>2400</v>
      </c>
      <c r="N775" s="675">
        <v>540</v>
      </c>
      <c r="O775" s="675" t="str" cm="1">
        <f t="array" ref="O775">IF(OR(INDEX($B$24:$B$1023,N775)="P10",INDEX($B$24:$B$1023,N775)="P11",INDEX($B$24:$B$1023,N775)="P12",INDEX($B$24:$B$1023,N775)="P13"),"C",IF(OR(INDEX($B$24:$B$1023,N775)="P14",INDEX($B$24:$B$1023,N775)="P15",INDEX($B$24:$B$1023,N775)="P16"),"N","O"))&amp;IF(MOD(N775,100)&lt;20,1,IF(MOD(N775,100)&lt;70,2,3))</f>
        <v>C2</v>
      </c>
    </row>
    <row r="776" spans="1:15" ht="16.5" thickBot="1">
      <c r="A776" s="662">
        <v>753</v>
      </c>
      <c r="B776" s="661" t="str" cm="1">
        <f t="array" ref="B776">"P"&amp;INDEX(X!$CL$2:$CL$12,'Scratch Sheet'!H775+1)+9</f>
        <v>P17</v>
      </c>
      <c r="C776" s="661">
        <v>1</v>
      </c>
      <c r="D776" s="755">
        <f t="shared" si="44"/>
        <v>26400.000000000004</v>
      </c>
      <c r="E776" s="682" t="str">
        <f t="shared" si="45"/>
        <v>O2</v>
      </c>
      <c r="F776" s="683">
        <f t="shared" si="46"/>
        <v>12</v>
      </c>
      <c r="H776" s="13">
        <v>552</v>
      </c>
      <c r="I776" s="13">
        <f>VLOOKUP(VLOOKUP(H776,$A$24:$B$1023,2,FALSE),'Scratch Sheet'!$U$23:$X$32,3,FALSE)</f>
        <v>11</v>
      </c>
      <c r="K776" s="13">
        <f t="shared" si="47"/>
        <v>735</v>
      </c>
      <c r="L776" s="13">
        <f>IFERROR(VLOOKUP(VLOOKUP(K776,$A$24:$B$1023,2,FALSE),'Scratch Sheet'!$U$23:$Y$32,5,FALSE)*VLOOKUP(VLOOKUP(K776,$A$24:$E$1023,5,FALSE),'Scratch Sheet'!$L$22:$M$30,2,FALSE),"")</f>
        <v>4680</v>
      </c>
      <c r="N776" s="675">
        <v>542</v>
      </c>
      <c r="O776" s="675" t="str" cm="1">
        <f t="array" ref="O776">IF(OR(INDEX($B$24:$B$1023,N776)="P10",INDEX($B$24:$B$1023,N776)="P11",INDEX($B$24:$B$1023,N776)="P12",INDEX($B$24:$B$1023,N776)="P13"),"C",IF(OR(INDEX($B$24:$B$1023,N776)="P14",INDEX($B$24:$B$1023,N776)="P15",INDEX($B$24:$B$1023,N776)="P16"),"N","O"))&amp;IF(MOD(N776,100)&lt;20,1,IF(MOD(N776,100)&lt;70,2,3))</f>
        <v>N2</v>
      </c>
    </row>
    <row r="777" spans="1:15" ht="16.5" thickBot="1">
      <c r="A777" s="662">
        <v>754</v>
      </c>
      <c r="B777" s="661" t="str" cm="1">
        <f t="array" ref="B777">"P"&amp;INDEX(X!$CL$2:$CL$12,'Scratch Sheet'!H776+1)+9</f>
        <v>P17</v>
      </c>
      <c r="C777" s="661">
        <v>1</v>
      </c>
      <c r="D777" s="755">
        <f t="shared" si="44"/>
        <v>13200.000000000002</v>
      </c>
      <c r="E777" s="682" t="str">
        <f t="shared" si="45"/>
        <v>O2</v>
      </c>
      <c r="F777" s="683">
        <f t="shared" si="46"/>
        <v>12</v>
      </c>
      <c r="H777" s="13">
        <v>729</v>
      </c>
      <c r="I777" s="13">
        <f>VLOOKUP(VLOOKUP(H777,$A$24:$B$1023,2,FALSE),'Scratch Sheet'!$U$23:$X$32,3,FALSE)</f>
        <v>8</v>
      </c>
      <c r="K777" s="13">
        <f t="shared" si="47"/>
        <v>734</v>
      </c>
      <c r="L777" s="13">
        <f>IFERROR(VLOOKUP(VLOOKUP(K777,$A$24:$B$1023,2,FALSE),'Scratch Sheet'!$U$23:$Y$32,5,FALSE)*VLOOKUP(VLOOKUP(K777,$A$24:$E$1023,5,FALSE),'Scratch Sheet'!$L$22:$M$30,2,FALSE),"")</f>
        <v>11000</v>
      </c>
      <c r="N777" s="675">
        <v>544</v>
      </c>
      <c r="O777" s="675" t="str" cm="1">
        <f t="array" ref="O777">IF(OR(INDEX($B$24:$B$1023,N777)="P10",INDEX($B$24:$B$1023,N777)="P11",INDEX($B$24:$B$1023,N777)="P12",INDEX($B$24:$B$1023,N777)="P13"),"C",IF(OR(INDEX($B$24:$B$1023,N777)="P14",INDEX($B$24:$B$1023,N777)="P15",INDEX($B$24:$B$1023,N777)="P16"),"N","O"))&amp;IF(MOD(N777,100)&lt;20,1,IF(MOD(N777,100)&lt;70,2,3))</f>
        <v>C2</v>
      </c>
    </row>
    <row r="778" spans="1:15" ht="16.5" thickBot="1">
      <c r="A778" s="662">
        <v>755</v>
      </c>
      <c r="B778" s="661" t="str" cm="1">
        <f t="array" ref="B778">"P"&amp;INDEX(X!$CL$2:$CL$12,'Scratch Sheet'!H777+1)+9</f>
        <v>P13</v>
      </c>
      <c r="C778" s="661">
        <v>1</v>
      </c>
      <c r="D778" s="755">
        <f t="shared" si="44"/>
        <v>4500</v>
      </c>
      <c r="E778" s="682" t="str">
        <f t="shared" si="45"/>
        <v>C2</v>
      </c>
      <c r="F778" s="683">
        <f t="shared" si="46"/>
        <v>5</v>
      </c>
      <c r="H778" s="13">
        <v>120</v>
      </c>
      <c r="I778" s="13">
        <f>VLOOKUP(VLOOKUP(H778,$A$24:$B$1023,2,FALSE),'Scratch Sheet'!$U$23:$X$32,3,FALSE)</f>
        <v>5</v>
      </c>
      <c r="K778" s="13">
        <f t="shared" si="47"/>
        <v>737</v>
      </c>
      <c r="L778" s="13">
        <f>IFERROR(VLOOKUP(VLOOKUP(K778,$A$24:$B$1023,2,FALSE),'Scratch Sheet'!$U$23:$Y$32,5,FALSE)*VLOOKUP(VLOOKUP(K778,$A$24:$E$1023,5,FALSE),'Scratch Sheet'!$L$22:$M$30,2,FALSE),"")</f>
        <v>13200.000000000002</v>
      </c>
      <c r="N778" s="675">
        <v>545</v>
      </c>
      <c r="O778" s="675" t="str" cm="1">
        <f t="array" ref="O778">IF(OR(INDEX($B$24:$B$1023,N778)="P10",INDEX($B$24:$B$1023,N778)="P11",INDEX($B$24:$B$1023,N778)="P12",INDEX($B$24:$B$1023,N778)="P13"),"C",IF(OR(INDEX($B$24:$B$1023,N778)="P14",INDEX($B$24:$B$1023,N778)="P15",INDEX($B$24:$B$1023,N778)="P16"),"N","O"))&amp;IF(MOD(N778,100)&lt;20,1,IF(MOD(N778,100)&lt;70,2,3))</f>
        <v>C2</v>
      </c>
    </row>
    <row r="779" spans="1:15" ht="16.5" thickBot="1">
      <c r="A779" s="662">
        <v>756</v>
      </c>
      <c r="B779" s="661" t="str" cm="1">
        <f t="array" ref="B779">"P"&amp;INDEX(X!$CL$2:$CL$12,'Scratch Sheet'!H778+1)+9</f>
        <v>P11</v>
      </c>
      <c r="C779" s="661">
        <v>1</v>
      </c>
      <c r="D779" s="755">
        <f t="shared" si="44"/>
        <v>11000</v>
      </c>
      <c r="E779" s="682" t="str">
        <f t="shared" si="45"/>
        <v>C2</v>
      </c>
      <c r="F779" s="683">
        <f t="shared" si="46"/>
        <v>11</v>
      </c>
      <c r="H779" s="13">
        <v>426</v>
      </c>
      <c r="I779" s="13">
        <f>VLOOKUP(VLOOKUP(H779,$A$24:$B$1023,2,FALSE),'Scratch Sheet'!$U$23:$X$32,3,FALSE)</f>
        <v>5</v>
      </c>
      <c r="K779" s="13">
        <f t="shared" si="47"/>
        <v>732</v>
      </c>
      <c r="L779" s="13">
        <f>IFERROR(VLOOKUP(VLOOKUP(K779,$A$24:$B$1023,2,FALSE),'Scratch Sheet'!$U$23:$Y$32,5,FALSE)*VLOOKUP(VLOOKUP(K779,$A$24:$E$1023,5,FALSE),'Scratch Sheet'!$L$22:$M$30,2,FALSE),"")</f>
        <v>4500</v>
      </c>
      <c r="N779" s="675">
        <v>547</v>
      </c>
      <c r="O779" s="675" t="str" cm="1">
        <f t="array" ref="O779">IF(OR(INDEX($B$24:$B$1023,N779)="P10",INDEX($B$24:$B$1023,N779)="P11",INDEX($B$24:$B$1023,N779)="P12",INDEX($B$24:$B$1023,N779)="P13"),"C",IF(OR(INDEX($B$24:$B$1023,N779)="P14",INDEX($B$24:$B$1023,N779)="P15",INDEX($B$24:$B$1023,N779)="P16"),"N","O"))&amp;IF(MOD(N779,100)&lt;20,1,IF(MOD(N779,100)&lt;70,2,3))</f>
        <v>C2</v>
      </c>
    </row>
    <row r="780" spans="1:15" ht="16.5" thickBot="1">
      <c r="A780" s="662">
        <v>757</v>
      </c>
      <c r="B780" s="661" t="str" cm="1">
        <f t="array" ref="B780">"P"&amp;INDEX(X!$CL$2:$CL$12,'Scratch Sheet'!H779+1)+9</f>
        <v>P11</v>
      </c>
      <c r="C780" s="661">
        <v>1</v>
      </c>
      <c r="D780" s="755">
        <f t="shared" si="44"/>
        <v>11000</v>
      </c>
      <c r="E780" s="682" t="str">
        <f t="shared" si="45"/>
        <v>C2</v>
      </c>
      <c r="F780" s="683">
        <f t="shared" si="46"/>
        <v>11</v>
      </c>
      <c r="H780" s="13">
        <v>264</v>
      </c>
      <c r="I780" s="13">
        <f>VLOOKUP(VLOOKUP(H780,$A$24:$B$1023,2,FALSE),'Scratch Sheet'!$U$23:$X$32,3,FALSE)</f>
        <v>11</v>
      </c>
      <c r="K780" s="13">
        <f t="shared" si="47"/>
        <v>730</v>
      </c>
      <c r="L780" s="13">
        <f>IFERROR(VLOOKUP(VLOOKUP(K780,$A$24:$B$1023,2,FALSE),'Scratch Sheet'!$U$23:$Y$32,5,FALSE)*VLOOKUP(VLOOKUP(K780,$A$24:$E$1023,5,FALSE),'Scratch Sheet'!$L$22:$M$30,2,FALSE),"")</f>
        <v>2400</v>
      </c>
      <c r="N780" s="675">
        <v>551</v>
      </c>
      <c r="O780" s="675" t="str" cm="1">
        <f t="array" ref="O780">IF(OR(INDEX($B$24:$B$1023,N780)="P10",INDEX($B$24:$B$1023,N780)="P11",INDEX($B$24:$B$1023,N780)="P12",INDEX($B$24:$B$1023,N780)="P13"),"C",IF(OR(INDEX($B$24:$B$1023,N780)="P14",INDEX($B$24:$B$1023,N780)="P15",INDEX($B$24:$B$1023,N780)="P16"),"N","O"))&amp;IF(MOD(N780,100)&lt;20,1,IF(MOD(N780,100)&lt;70,2,3))</f>
        <v>C2</v>
      </c>
    </row>
    <row r="781" spans="1:15" ht="16.5" thickBot="1">
      <c r="A781" s="662">
        <v>758</v>
      </c>
      <c r="B781" s="661" t="str" cm="1">
        <f t="array" ref="B781">"P"&amp;INDEX(X!$CL$2:$CL$12,'Scratch Sheet'!H780+1)+9</f>
        <v>P12</v>
      </c>
      <c r="C781" s="661">
        <v>1</v>
      </c>
      <c r="D781" s="755">
        <f t="shared" si="44"/>
        <v>6825</v>
      </c>
      <c r="E781" s="682" t="str">
        <f t="shared" si="45"/>
        <v>C2</v>
      </c>
      <c r="F781" s="683">
        <f t="shared" si="46"/>
        <v>6.5</v>
      </c>
      <c r="H781" s="13">
        <v>283</v>
      </c>
      <c r="I781" s="13">
        <f>VLOOKUP(VLOOKUP(H781,$A$24:$B$1023,2,FALSE),'Scratch Sheet'!$U$23:$X$32,3,FALSE)</f>
        <v>3</v>
      </c>
      <c r="K781" s="13">
        <f t="shared" si="47"/>
        <v>731</v>
      </c>
      <c r="L781" s="13">
        <f>IFERROR(VLOOKUP(VLOOKUP(K781,$A$24:$B$1023,2,FALSE),'Scratch Sheet'!$U$23:$Y$32,5,FALSE)*VLOOKUP(VLOOKUP(K781,$A$24:$E$1023,5,FALSE),'Scratch Sheet'!$L$22:$M$30,2,FALSE),"")</f>
        <v>4500</v>
      </c>
      <c r="N781" s="675">
        <v>552</v>
      </c>
      <c r="O781" s="675" t="str" cm="1">
        <f t="array" ref="O781">IF(OR(INDEX($B$24:$B$1023,N781)="P10",INDEX($B$24:$B$1023,N781)="P11",INDEX($B$24:$B$1023,N781)="P12",INDEX($B$24:$B$1023,N781)="P13"),"C",IF(OR(INDEX($B$24:$B$1023,N781)="P14",INDEX($B$24:$B$1023,N781)="P15",INDEX($B$24:$B$1023,N781)="P16"),"N","O"))&amp;IF(MOD(N781,100)&lt;20,1,IF(MOD(N781,100)&lt;70,2,3))</f>
        <v>C2</v>
      </c>
    </row>
    <row r="782" spans="1:15" ht="16.5" thickBot="1">
      <c r="A782" s="662">
        <v>759</v>
      </c>
      <c r="B782" s="661" t="str" cm="1">
        <f t="array" ref="B782">"P"&amp;INDEX(X!$CL$2:$CL$12,'Scratch Sheet'!H781+1)+9</f>
        <v>P10</v>
      </c>
      <c r="C782" s="661">
        <v>1</v>
      </c>
      <c r="D782" s="755">
        <f t="shared" si="44"/>
        <v>2400</v>
      </c>
      <c r="E782" s="682" t="str">
        <f t="shared" si="45"/>
        <v>C2</v>
      </c>
      <c r="F782" s="683">
        <f t="shared" si="46"/>
        <v>3</v>
      </c>
      <c r="H782" s="13">
        <v>352</v>
      </c>
      <c r="I782" s="13">
        <f>VLOOKUP(VLOOKUP(H782,$A$24:$B$1023,2,FALSE),'Scratch Sheet'!$U$23:$X$32,3,FALSE)</f>
        <v>3</v>
      </c>
      <c r="K782" s="13">
        <f t="shared" si="47"/>
        <v>729</v>
      </c>
      <c r="L782" s="13">
        <f>IFERROR(VLOOKUP(VLOOKUP(K782,$A$24:$B$1023,2,FALSE),'Scratch Sheet'!$U$23:$Y$32,5,FALSE)*VLOOKUP(VLOOKUP(K782,$A$24:$E$1023,5,FALSE),'Scratch Sheet'!$L$22:$M$30,2,FALSE),"")</f>
        <v>6480</v>
      </c>
      <c r="N782" s="675">
        <v>553</v>
      </c>
      <c r="O782" s="675" t="str" cm="1">
        <f t="array" ref="O782">IF(OR(INDEX($B$24:$B$1023,N782)="P10",INDEX($B$24:$B$1023,N782)="P11",INDEX($B$24:$B$1023,N782)="P12",INDEX($B$24:$B$1023,N782)="P13"),"C",IF(OR(INDEX($B$24:$B$1023,N782)="P14",INDEX($B$24:$B$1023,N782)="P15",INDEX($B$24:$B$1023,N782)="P16"),"N","O"))&amp;IF(MOD(N782,100)&lt;20,1,IF(MOD(N782,100)&lt;70,2,3))</f>
        <v>C2</v>
      </c>
    </row>
    <row r="783" spans="1:15" ht="16.5" thickBot="1">
      <c r="A783" s="662">
        <v>760</v>
      </c>
      <c r="B783" s="661" t="str" cm="1">
        <f t="array" ref="B783">"P"&amp;INDEX(X!$CL$2:$CL$12,'Scratch Sheet'!H782+1)+9</f>
        <v>P10</v>
      </c>
      <c r="C783" s="661">
        <v>1</v>
      </c>
      <c r="D783" s="755">
        <f t="shared" si="44"/>
        <v>2400</v>
      </c>
      <c r="E783" s="682" t="str">
        <f t="shared" si="45"/>
        <v>C2</v>
      </c>
      <c r="F783" s="683">
        <f t="shared" si="46"/>
        <v>3</v>
      </c>
      <c r="H783" s="13">
        <v>704</v>
      </c>
      <c r="I783" s="13">
        <f>VLOOKUP(VLOOKUP(H783,$A$24:$B$1023,2,FALSE),'Scratch Sheet'!$U$23:$X$32,3,FALSE)</f>
        <v>5</v>
      </c>
      <c r="K783" s="13">
        <f t="shared" si="47"/>
        <v>728</v>
      </c>
      <c r="L783" s="13">
        <f>IFERROR(VLOOKUP(VLOOKUP(K783,$A$24:$B$1023,2,FALSE),'Scratch Sheet'!$U$23:$Y$32,5,FALSE)*VLOOKUP(VLOOKUP(K783,$A$24:$E$1023,5,FALSE),'Scratch Sheet'!$L$22:$M$30,2,FALSE),"")</f>
        <v>5940.0000000000009</v>
      </c>
      <c r="N783" s="675">
        <v>557</v>
      </c>
      <c r="O783" s="675" t="str" cm="1">
        <f t="array" ref="O783">IF(OR(INDEX($B$24:$B$1023,N783)="P10",INDEX($B$24:$B$1023,N783)="P11",INDEX($B$24:$B$1023,N783)="P12",INDEX($B$24:$B$1023,N783)="P13"),"C",IF(OR(INDEX($B$24:$B$1023,N783)="P14",INDEX($B$24:$B$1023,N783)="P15",INDEX($B$24:$B$1023,N783)="P16"),"N","O"))&amp;IF(MOD(N783,100)&lt;20,1,IF(MOD(N783,100)&lt;70,2,3))</f>
        <v>C2</v>
      </c>
    </row>
    <row r="784" spans="1:15" ht="16.5" thickBot="1">
      <c r="A784" s="662">
        <v>761</v>
      </c>
      <c r="B784" s="661" t="str" cm="1">
        <f t="array" ref="B784">"P"&amp;INDEX(X!$CL$2:$CL$12,'Scratch Sheet'!H783+1)+9</f>
        <v>P11</v>
      </c>
      <c r="C784" s="661">
        <v>1</v>
      </c>
      <c r="D784" s="755">
        <f t="shared" si="44"/>
        <v>11000</v>
      </c>
      <c r="E784" s="682" t="str">
        <f t="shared" si="45"/>
        <v>C2</v>
      </c>
      <c r="F784" s="683">
        <f t="shared" si="46"/>
        <v>11</v>
      </c>
      <c r="H784" s="13">
        <v>177</v>
      </c>
      <c r="I784" s="13">
        <f>VLOOKUP(VLOOKUP(H784,$A$24:$B$1023,2,FALSE),'Scratch Sheet'!$U$23:$X$32,3,FALSE)</f>
        <v>5</v>
      </c>
      <c r="K784" s="13">
        <f t="shared" si="47"/>
        <v>747</v>
      </c>
      <c r="L784" s="13">
        <f>IFERROR(VLOOKUP(VLOOKUP(K784,$A$24:$B$1023,2,FALSE),'Scratch Sheet'!$U$23:$Y$32,5,FALSE)*VLOOKUP(VLOOKUP(K784,$A$24:$E$1023,5,FALSE),'Scratch Sheet'!$L$22:$M$30,2,FALSE),"")</f>
        <v>2400</v>
      </c>
      <c r="N784" s="675">
        <v>559</v>
      </c>
      <c r="O784" s="675" t="str" cm="1">
        <f t="array" ref="O784">IF(OR(INDEX($B$24:$B$1023,N784)="P10",INDEX($B$24:$B$1023,N784)="P11",INDEX($B$24:$B$1023,N784)="P12",INDEX($B$24:$B$1023,N784)="P13"),"C",IF(OR(INDEX($B$24:$B$1023,N784)="P14",INDEX($B$24:$B$1023,N784)="P15",INDEX($B$24:$B$1023,N784)="P16"),"N","O"))&amp;IF(MOD(N784,100)&lt;20,1,IF(MOD(N784,100)&lt;70,2,3))</f>
        <v>N2</v>
      </c>
    </row>
    <row r="785" spans="1:15" ht="16.5" thickBot="1">
      <c r="A785" s="662">
        <v>762</v>
      </c>
      <c r="B785" s="661" t="str" cm="1">
        <f t="array" ref="B785">"P"&amp;INDEX(X!$CL$2:$CL$12,'Scratch Sheet'!H784+1)+9</f>
        <v>P18</v>
      </c>
      <c r="C785" s="661">
        <v>1</v>
      </c>
      <c r="D785" s="755">
        <f t="shared" si="44"/>
        <v>5940.0000000000009</v>
      </c>
      <c r="E785" s="682" t="str">
        <f t="shared" si="45"/>
        <v>O2</v>
      </c>
      <c r="F785" s="683">
        <f t="shared" si="46"/>
        <v>6</v>
      </c>
      <c r="H785" s="13">
        <v>427</v>
      </c>
      <c r="I785" s="13">
        <f>VLOOKUP(VLOOKUP(H785,$A$24:$B$1023,2,FALSE),'Scratch Sheet'!$U$23:$X$32,3,FALSE)</f>
        <v>3</v>
      </c>
      <c r="K785" s="13">
        <f t="shared" si="47"/>
        <v>750</v>
      </c>
      <c r="L785" s="13">
        <f>IFERROR(VLOOKUP(VLOOKUP(K785,$A$24:$B$1023,2,FALSE),'Scratch Sheet'!$U$23:$Y$32,5,FALSE)*VLOOKUP(VLOOKUP(K785,$A$24:$E$1023,5,FALSE),'Scratch Sheet'!$L$22:$M$30,2,FALSE),"")</f>
        <v>2400</v>
      </c>
      <c r="N785" s="675">
        <v>561</v>
      </c>
      <c r="O785" s="675" t="str" cm="1">
        <f t="array" ref="O785">IF(OR(INDEX($B$24:$B$1023,N785)="P10",INDEX($B$24:$B$1023,N785)="P11",INDEX($B$24:$B$1023,N785)="P12",INDEX($B$24:$B$1023,N785)="P13"),"C",IF(OR(INDEX($B$24:$B$1023,N785)="P14",INDEX($B$24:$B$1023,N785)="P15",INDEX($B$24:$B$1023,N785)="P16"),"N","O"))&amp;IF(MOD(N785,100)&lt;20,1,IF(MOD(N785,100)&lt;70,2,3))</f>
        <v>C2</v>
      </c>
    </row>
    <row r="786" spans="1:15" ht="16.5" thickBot="1">
      <c r="A786" s="662">
        <v>763</v>
      </c>
      <c r="B786" s="661" t="str" cm="1">
        <f t="array" ref="B786">"P"&amp;INDEX(X!$CL$2:$CL$12,'Scratch Sheet'!H785+1)+9</f>
        <v>P14</v>
      </c>
      <c r="C786" s="661">
        <v>1</v>
      </c>
      <c r="D786" s="755">
        <f t="shared" si="44"/>
        <v>6480</v>
      </c>
      <c r="E786" s="682" t="str">
        <f t="shared" si="45"/>
        <v>N2</v>
      </c>
      <c r="F786" s="683">
        <f t="shared" si="46"/>
        <v>8</v>
      </c>
      <c r="H786" s="13">
        <v>366</v>
      </c>
      <c r="I786" s="13">
        <f>VLOOKUP(VLOOKUP(H786,$A$24:$B$1023,2,FALSE),'Scratch Sheet'!$U$23:$X$32,3,FALSE)</f>
        <v>11</v>
      </c>
      <c r="K786" s="13">
        <f t="shared" si="47"/>
        <v>749</v>
      </c>
      <c r="L786" s="13">
        <f>IFERROR(VLOOKUP(VLOOKUP(K786,$A$24:$B$1023,2,FALSE),'Scratch Sheet'!$U$23:$Y$32,5,FALSE)*VLOOKUP(VLOOKUP(K786,$A$24:$E$1023,5,FALSE),'Scratch Sheet'!$L$22:$M$30,2,FALSE),"")</f>
        <v>4500</v>
      </c>
      <c r="N786" s="675">
        <v>562</v>
      </c>
      <c r="O786" s="675" t="str" cm="1">
        <f t="array" ref="O786">IF(OR(INDEX($B$24:$B$1023,N786)="P10",INDEX($B$24:$B$1023,N786)="P11",INDEX($B$24:$B$1023,N786)="P12",INDEX($B$24:$B$1023,N786)="P13"),"C",IF(OR(INDEX($B$24:$B$1023,N786)="P14",INDEX($B$24:$B$1023,N786)="P15",INDEX($B$24:$B$1023,N786)="P16"),"N","O"))&amp;IF(MOD(N786,100)&lt;20,1,IF(MOD(N786,100)&lt;70,2,3))</f>
        <v>C2</v>
      </c>
    </row>
    <row r="787" spans="1:15" ht="16.5" thickBot="1">
      <c r="A787" s="662">
        <v>764</v>
      </c>
      <c r="B787" s="661" t="str" cm="1">
        <f t="array" ref="B787">"P"&amp;INDEX(X!$CL$2:$CL$12,'Scratch Sheet'!H786+1)+9</f>
        <v>P10</v>
      </c>
      <c r="C787" s="661">
        <v>1</v>
      </c>
      <c r="D787" s="755">
        <f t="shared" si="44"/>
        <v>2400</v>
      </c>
      <c r="E787" s="682" t="str">
        <f t="shared" si="45"/>
        <v>C2</v>
      </c>
      <c r="F787" s="683">
        <f t="shared" si="46"/>
        <v>3</v>
      </c>
      <c r="H787" s="13">
        <v>779</v>
      </c>
      <c r="I787" s="13">
        <f>VLOOKUP(VLOOKUP(H787,$A$24:$B$1023,2,FALSE),'Scratch Sheet'!$U$23:$X$32,3,FALSE)</f>
        <v>6</v>
      </c>
      <c r="K787" s="13">
        <f t="shared" si="47"/>
        <v>744</v>
      </c>
      <c r="L787" s="13">
        <f>IFERROR(VLOOKUP(VLOOKUP(K787,$A$24:$B$1023,2,FALSE),'Scratch Sheet'!$U$23:$Y$32,5,FALSE)*VLOOKUP(VLOOKUP(K787,$A$24:$E$1023,5,FALSE),'Scratch Sheet'!$L$22:$M$30,2,FALSE),"")</f>
        <v>11000</v>
      </c>
      <c r="N787" s="675">
        <v>564</v>
      </c>
      <c r="O787" s="675" t="str" cm="1">
        <f t="array" ref="O787">IF(OR(INDEX($B$24:$B$1023,N787)="P10",INDEX($B$24:$B$1023,N787)="P11",INDEX($B$24:$B$1023,N787)="P12",INDEX($B$24:$B$1023,N787)="P13"),"C",IF(OR(INDEX($B$24:$B$1023,N787)="P14",INDEX($B$24:$B$1023,N787)="P15",INDEX($B$24:$B$1023,N787)="P16"),"N","O"))&amp;IF(MOD(N787,100)&lt;20,1,IF(MOD(N787,100)&lt;70,2,3))</f>
        <v>C2</v>
      </c>
    </row>
    <row r="788" spans="1:15" ht="16.5" thickBot="1">
      <c r="A788" s="662">
        <v>765</v>
      </c>
      <c r="B788" s="661" t="str" cm="1">
        <f t="array" ref="B788">"P"&amp;INDEX(X!$CL$2:$CL$12,'Scratch Sheet'!H787+1)+9</f>
        <v>P13</v>
      </c>
      <c r="C788" s="661">
        <v>1</v>
      </c>
      <c r="D788" s="755">
        <f t="shared" si="44"/>
        <v>4500</v>
      </c>
      <c r="E788" s="682" t="str">
        <f t="shared" si="45"/>
        <v>C2</v>
      </c>
      <c r="F788" s="683">
        <f t="shared" si="46"/>
        <v>5</v>
      </c>
      <c r="H788" s="13">
        <v>820</v>
      </c>
      <c r="I788" s="13">
        <f>VLOOKUP(VLOOKUP(H788,$A$24:$B$1023,2,FALSE),'Scratch Sheet'!$U$23:$X$32,3,FALSE)</f>
        <v>4</v>
      </c>
      <c r="K788" s="13">
        <f t="shared" si="47"/>
        <v>746</v>
      </c>
      <c r="L788" s="13">
        <f>IFERROR(VLOOKUP(VLOOKUP(K788,$A$24:$B$1023,2,FALSE),'Scratch Sheet'!$U$23:$Y$32,5,FALSE)*VLOOKUP(VLOOKUP(K788,$A$24:$E$1023,5,FALSE),'Scratch Sheet'!$L$22:$M$30,2,FALSE),"")</f>
        <v>6480</v>
      </c>
      <c r="N788" s="675">
        <v>568</v>
      </c>
      <c r="O788" s="675" t="str" cm="1">
        <f t="array" ref="O788">IF(OR(INDEX($B$24:$B$1023,N788)="P10",INDEX($B$24:$B$1023,N788)="P11",INDEX($B$24:$B$1023,N788)="P12",INDEX($B$24:$B$1023,N788)="P13"),"C",IF(OR(INDEX($B$24:$B$1023,N788)="P14",INDEX($B$24:$B$1023,N788)="P15",INDEX($B$24:$B$1023,N788)="P16"),"N","O"))&amp;IF(MOD(N788,100)&lt;20,1,IF(MOD(N788,100)&lt;70,2,3))</f>
        <v>C2</v>
      </c>
    </row>
    <row r="789" spans="1:15" ht="16.5" thickBot="1">
      <c r="A789" s="662">
        <v>766</v>
      </c>
      <c r="B789" s="661" t="str" cm="1">
        <f t="array" ref="B789">"P"&amp;INDEX(X!$CL$2:$CL$12,'Scratch Sheet'!H788+1)+9</f>
        <v>P13</v>
      </c>
      <c r="C789" s="661">
        <v>1</v>
      </c>
      <c r="D789" s="755">
        <f t="shared" si="44"/>
        <v>4500</v>
      </c>
      <c r="E789" s="682" t="str">
        <f t="shared" si="45"/>
        <v>C2</v>
      </c>
      <c r="F789" s="683">
        <f t="shared" si="46"/>
        <v>5</v>
      </c>
      <c r="H789" s="13">
        <v>495</v>
      </c>
      <c r="I789" s="13">
        <f>VLOOKUP(VLOOKUP(H789,$A$24:$B$1023,2,FALSE),'Scratch Sheet'!$U$23:$X$32,3,FALSE)</f>
        <v>3</v>
      </c>
      <c r="K789" s="13">
        <f t="shared" si="47"/>
        <v>745</v>
      </c>
      <c r="L789" s="13">
        <f>IFERROR(VLOOKUP(VLOOKUP(K789,$A$24:$B$1023,2,FALSE),'Scratch Sheet'!$U$23:$Y$32,5,FALSE)*VLOOKUP(VLOOKUP(K789,$A$24:$E$1023,5,FALSE),'Scratch Sheet'!$L$22:$M$30,2,FALSE),"")</f>
        <v>5940.0000000000009</v>
      </c>
      <c r="N789" s="675">
        <v>569</v>
      </c>
      <c r="O789" s="675" t="str" cm="1">
        <f t="array" ref="O789">IF(OR(INDEX($B$24:$B$1023,N789)="P10",INDEX($B$24:$B$1023,N789)="P11",INDEX($B$24:$B$1023,N789)="P12",INDEX($B$24:$B$1023,N789)="P13"),"C",IF(OR(INDEX($B$24:$B$1023,N789)="P14",INDEX($B$24:$B$1023,N789)="P15",INDEX($B$24:$B$1023,N789)="P16"),"N","O"))&amp;IF(MOD(N789,100)&lt;20,1,IF(MOD(N789,100)&lt;70,2,3))</f>
        <v>C2</v>
      </c>
    </row>
    <row r="790" spans="1:15" ht="16.5" thickBot="1">
      <c r="A790" s="662">
        <v>767</v>
      </c>
      <c r="B790" s="661" t="str" cm="1">
        <f t="array" ref="B790">"P"&amp;INDEX(X!$CL$2:$CL$12,'Scratch Sheet'!H789+1)+9</f>
        <v>P10</v>
      </c>
      <c r="C790" s="661">
        <v>1</v>
      </c>
      <c r="D790" s="755">
        <f t="shared" si="44"/>
        <v>2400</v>
      </c>
      <c r="E790" s="682" t="str">
        <f t="shared" si="45"/>
        <v>C2</v>
      </c>
      <c r="F790" s="683">
        <f t="shared" si="46"/>
        <v>3</v>
      </c>
      <c r="H790" s="13">
        <v>736</v>
      </c>
      <c r="I790" s="13">
        <f>VLOOKUP(VLOOKUP(H790,$A$24:$B$1023,2,FALSE),'Scratch Sheet'!$U$23:$X$32,3,FALSE)</f>
        <v>12</v>
      </c>
      <c r="K790" s="13">
        <f t="shared" si="47"/>
        <v>748</v>
      </c>
      <c r="L790" s="13">
        <f>IFERROR(VLOOKUP(VLOOKUP(K790,$A$24:$B$1023,2,FALSE),'Scratch Sheet'!$U$23:$Y$32,5,FALSE)*VLOOKUP(VLOOKUP(K790,$A$24:$E$1023,5,FALSE),'Scratch Sheet'!$L$22:$M$30,2,FALSE),"")</f>
        <v>4500</v>
      </c>
      <c r="N790" s="675">
        <v>570</v>
      </c>
      <c r="O790" s="675" t="str" cm="1">
        <f t="array" ref="O790">IF(OR(INDEX($B$24:$B$1023,N790)="P10",INDEX($B$24:$B$1023,N790)="P11",INDEX($B$24:$B$1023,N790)="P12",INDEX($B$24:$B$1023,N790)="P13"),"C",IF(OR(INDEX($B$24:$B$1023,N790)="P14",INDEX($B$24:$B$1023,N790)="P15",INDEX($B$24:$B$1023,N790)="P16"),"N","O"))&amp;IF(MOD(N790,100)&lt;20,1,IF(MOD(N790,100)&lt;70,2,3))</f>
        <v>C3</v>
      </c>
    </row>
    <row r="791" spans="1:15" ht="16.5" thickBot="1">
      <c r="A791" s="662">
        <v>768</v>
      </c>
      <c r="B791" s="661" t="str" cm="1">
        <f t="array" ref="B791">"P"&amp;INDEX(X!$CL$2:$CL$12,'Scratch Sheet'!H790+1)+9</f>
        <v>P11</v>
      </c>
      <c r="C791" s="661">
        <v>1</v>
      </c>
      <c r="D791" s="755">
        <f t="shared" si="44"/>
        <v>11000</v>
      </c>
      <c r="E791" s="682" t="str">
        <f t="shared" si="45"/>
        <v>C2</v>
      </c>
      <c r="F791" s="683">
        <f t="shared" si="46"/>
        <v>11</v>
      </c>
      <c r="H791" s="13">
        <v>749</v>
      </c>
      <c r="I791" s="13">
        <f>VLOOKUP(VLOOKUP(H791,$A$24:$B$1023,2,FALSE),'Scratch Sheet'!$U$23:$X$32,3,FALSE)</f>
        <v>5</v>
      </c>
      <c r="K791" s="13">
        <f t="shared" si="47"/>
        <v>743</v>
      </c>
      <c r="L791" s="13">
        <f>IFERROR(VLOOKUP(VLOOKUP(K791,$A$24:$B$1023,2,FALSE),'Scratch Sheet'!$U$23:$Y$32,5,FALSE)*VLOOKUP(VLOOKUP(K791,$A$24:$E$1023,5,FALSE),'Scratch Sheet'!$L$22:$M$30,2,FALSE),"")</f>
        <v>2400</v>
      </c>
      <c r="N791" s="675">
        <v>574</v>
      </c>
      <c r="O791" s="675" t="str" cm="1">
        <f t="array" ref="O791">IF(OR(INDEX($B$24:$B$1023,N791)="P10",INDEX($B$24:$B$1023,N791)="P11",INDEX($B$24:$B$1023,N791)="P12",INDEX($B$24:$B$1023,N791)="P13"),"C",IF(OR(INDEX($B$24:$B$1023,N791)="P14",INDEX($B$24:$B$1023,N791)="P15",INDEX($B$24:$B$1023,N791)="P16"),"N","O"))&amp;IF(MOD(N791,100)&lt;20,1,IF(MOD(N791,100)&lt;70,2,3))</f>
        <v>C3</v>
      </c>
    </row>
    <row r="792" spans="1:15" ht="16.5" thickBot="1">
      <c r="A792" s="662">
        <v>769</v>
      </c>
      <c r="B792" s="661" t="str" cm="1">
        <f t="array" ref="B792">"P"&amp;INDEX(X!$CL$2:$CL$12,'Scratch Sheet'!H791+1)+9</f>
        <v>P16</v>
      </c>
      <c r="C792" s="661">
        <v>1</v>
      </c>
      <c r="D792" s="755">
        <f t="shared" si="44"/>
        <v>4680</v>
      </c>
      <c r="E792" s="682" t="str">
        <f t="shared" si="45"/>
        <v>N2</v>
      </c>
      <c r="F792" s="683">
        <f t="shared" si="46"/>
        <v>4</v>
      </c>
      <c r="H792" s="13">
        <v>931</v>
      </c>
      <c r="I792" s="13">
        <f>VLOOKUP(VLOOKUP(H792,$A$24:$B$1023,2,FALSE),'Scratch Sheet'!$U$23:$X$32,3,FALSE)</f>
        <v>11</v>
      </c>
      <c r="K792" s="13">
        <f t="shared" si="47"/>
        <v>741</v>
      </c>
      <c r="L792" s="13">
        <f>IFERROR(VLOOKUP(VLOOKUP(K792,$A$24:$B$1023,2,FALSE),'Scratch Sheet'!$U$23:$Y$32,5,FALSE)*VLOOKUP(VLOOKUP(K792,$A$24:$E$1023,5,FALSE),'Scratch Sheet'!$L$22:$M$30,2,FALSE),"")</f>
        <v>6825</v>
      </c>
      <c r="N792" s="675">
        <v>576</v>
      </c>
      <c r="O792" s="675" t="str" cm="1">
        <f t="array" ref="O792">IF(OR(INDEX($B$24:$B$1023,N792)="P10",INDEX($B$24:$B$1023,N792)="P11",INDEX($B$24:$B$1023,N792)="P12",INDEX($B$24:$B$1023,N792)="P13"),"C",IF(OR(INDEX($B$24:$B$1023,N792)="P14",INDEX($B$24:$B$1023,N792)="P15",INDEX($B$24:$B$1023,N792)="P16"),"N","O"))&amp;IF(MOD(N792,100)&lt;20,1,IF(MOD(N792,100)&lt;70,2,3))</f>
        <v>N3</v>
      </c>
    </row>
    <row r="793" spans="1:15" ht="16.5" thickBot="1">
      <c r="A793" s="662">
        <v>770</v>
      </c>
      <c r="B793" s="661" t="str" cm="1">
        <f t="array" ref="B793">"P"&amp;INDEX(X!$CL$2:$CL$12,'Scratch Sheet'!H792+1)+9</f>
        <v>P17</v>
      </c>
      <c r="C793" s="661">
        <v>1</v>
      </c>
      <c r="D793" s="755">
        <f t="shared" ref="D793:D856" si="48">SUMIF($K$24:$K$1053, $A793, $L$24:$L$1053)</f>
        <v>9600</v>
      </c>
      <c r="E793" s="682" t="str">
        <f t="shared" ref="E793:E856" si="49">INDEX($O$24:$O$1023,MATCH($A793,$N$24:$N$1023,0))</f>
        <v>O3</v>
      </c>
      <c r="F793" s="683">
        <f t="shared" ref="F793:F856" si="50">VLOOKUP(A793, $H$24:$I$1023, 2, FALSE)</f>
        <v>12</v>
      </c>
      <c r="H793" s="13">
        <v>549</v>
      </c>
      <c r="I793" s="13">
        <f>VLOOKUP(VLOOKUP(H793,$A$24:$B$1023,2,FALSE),'Scratch Sheet'!$U$23:$X$32,3,FALSE)</f>
        <v>12</v>
      </c>
      <c r="K793" s="13">
        <f t="shared" si="47"/>
        <v>742</v>
      </c>
      <c r="L793" s="13">
        <f>IFERROR(VLOOKUP(VLOOKUP(K793,$A$24:$B$1023,2,FALSE),'Scratch Sheet'!$U$23:$Y$32,5,FALSE)*VLOOKUP(VLOOKUP(K793,$A$24:$E$1023,5,FALSE),'Scratch Sheet'!$L$22:$M$30,2,FALSE),"")</f>
        <v>2400</v>
      </c>
      <c r="N793" s="675">
        <v>578</v>
      </c>
      <c r="O793" s="675" t="str" cm="1">
        <f t="array" ref="O793">IF(OR(INDEX($B$24:$B$1023,N793)="P10",INDEX($B$24:$B$1023,N793)="P11",INDEX($B$24:$B$1023,N793)="P12",INDEX($B$24:$B$1023,N793)="P13"),"C",IF(OR(INDEX($B$24:$B$1023,N793)="P14",INDEX($B$24:$B$1023,N793)="P15",INDEX($B$24:$B$1023,N793)="P16"),"N","O"))&amp;IF(MOD(N793,100)&lt;20,1,IF(MOD(N793,100)&lt;70,2,3))</f>
        <v>C3</v>
      </c>
    </row>
    <row r="794" spans="1:15" ht="16.5" thickBot="1">
      <c r="A794" s="662">
        <v>771</v>
      </c>
      <c r="B794" s="661" t="str" cm="1">
        <f t="array" ref="B794">"P"&amp;INDEX(X!$CL$2:$CL$12,'Scratch Sheet'!H793+1)+9</f>
        <v>P17</v>
      </c>
      <c r="C794" s="661">
        <v>1</v>
      </c>
      <c r="D794" s="755">
        <f t="shared" si="48"/>
        <v>9600</v>
      </c>
      <c r="E794" s="682" t="str">
        <f t="shared" si="49"/>
        <v>O3</v>
      </c>
      <c r="F794" s="683">
        <f t="shared" si="50"/>
        <v>12</v>
      </c>
      <c r="H794" s="13">
        <v>508</v>
      </c>
      <c r="I794" s="13">
        <f>VLOOKUP(VLOOKUP(H794,$A$24:$B$1023,2,FALSE),'Scratch Sheet'!$U$23:$X$32,3,FALSE)</f>
        <v>8</v>
      </c>
      <c r="K794" s="13">
        <f t="shared" si="47"/>
        <v>740</v>
      </c>
      <c r="L794" s="13">
        <f>IFERROR(VLOOKUP(VLOOKUP(K794,$A$24:$B$1023,2,FALSE),'Scratch Sheet'!$U$23:$Y$32,5,FALSE)*VLOOKUP(VLOOKUP(K794,$A$24:$E$1023,5,FALSE),'Scratch Sheet'!$L$22:$M$30,2,FALSE),"")</f>
        <v>11000</v>
      </c>
      <c r="N794" s="675">
        <v>579</v>
      </c>
      <c r="O794" s="675" t="str" cm="1">
        <f t="array" ref="O794">IF(OR(INDEX($B$24:$B$1023,N794)="P10",INDEX($B$24:$B$1023,N794)="P11",INDEX($B$24:$B$1023,N794)="P12",INDEX($B$24:$B$1023,N794)="P13"),"C",IF(OR(INDEX($B$24:$B$1023,N794)="P14",INDEX($B$24:$B$1023,N794)="P15",INDEX($B$24:$B$1023,N794)="P16"),"N","O"))&amp;IF(MOD(N794,100)&lt;20,1,IF(MOD(N794,100)&lt;70,2,3))</f>
        <v>C3</v>
      </c>
    </row>
    <row r="795" spans="1:15" ht="16.5" thickBot="1">
      <c r="A795" s="662">
        <v>772</v>
      </c>
      <c r="B795" s="661" t="str" cm="1">
        <f t="array" ref="B795">"P"&amp;INDEX(X!$CL$2:$CL$12,'Scratch Sheet'!H794+1)+9</f>
        <v>P13</v>
      </c>
      <c r="C795" s="661">
        <v>1</v>
      </c>
      <c r="D795" s="755">
        <f t="shared" si="48"/>
        <v>3600</v>
      </c>
      <c r="E795" s="682" t="str">
        <f t="shared" si="49"/>
        <v>C3</v>
      </c>
      <c r="F795" s="683">
        <f t="shared" si="50"/>
        <v>5</v>
      </c>
      <c r="H795" s="13">
        <v>831</v>
      </c>
      <c r="I795" s="13">
        <f>VLOOKUP(VLOOKUP(H795,$A$24:$B$1023,2,FALSE),'Scratch Sheet'!$U$23:$X$32,3,FALSE)</f>
        <v>8</v>
      </c>
      <c r="K795" s="13">
        <f t="shared" si="47"/>
        <v>758</v>
      </c>
      <c r="L795" s="13">
        <f>IFERROR(VLOOKUP(VLOOKUP(K795,$A$24:$B$1023,2,FALSE),'Scratch Sheet'!$U$23:$Y$32,5,FALSE)*VLOOKUP(VLOOKUP(K795,$A$24:$E$1023,5,FALSE),'Scratch Sheet'!$L$22:$M$30,2,FALSE),"")</f>
        <v>6825</v>
      </c>
      <c r="N795" s="675">
        <v>581</v>
      </c>
      <c r="O795" s="675" t="str" cm="1">
        <f t="array" ref="O795">IF(OR(INDEX($B$24:$B$1023,N795)="P10",INDEX($B$24:$B$1023,N795)="P11",INDEX($B$24:$B$1023,N795)="P12",INDEX($B$24:$B$1023,N795)="P13"),"C",IF(OR(INDEX($B$24:$B$1023,N795)="P14",INDEX($B$24:$B$1023,N795)="P15",INDEX($B$24:$B$1023,N795)="P16"),"N","O"))&amp;IF(MOD(N795,100)&lt;20,1,IF(MOD(N795,100)&lt;70,2,3))</f>
        <v>C3</v>
      </c>
    </row>
    <row r="796" spans="1:15" ht="16.5" thickBot="1">
      <c r="A796" s="662">
        <v>773</v>
      </c>
      <c r="B796" s="661" t="str" cm="1">
        <f t="array" ref="B796">"P"&amp;INDEX(X!$CL$2:$CL$12,'Scratch Sheet'!H795+1)+9</f>
        <v>P11</v>
      </c>
      <c r="C796" s="661">
        <v>1</v>
      </c>
      <c r="D796" s="755">
        <f t="shared" si="48"/>
        <v>8800</v>
      </c>
      <c r="E796" s="682" t="str">
        <f t="shared" si="49"/>
        <v>C3</v>
      </c>
      <c r="F796" s="683">
        <f t="shared" si="50"/>
        <v>11</v>
      </c>
      <c r="H796" s="13">
        <v>483</v>
      </c>
      <c r="I796" s="13">
        <f>VLOOKUP(VLOOKUP(H796,$A$24:$B$1023,2,FALSE),'Scratch Sheet'!$U$23:$X$32,3,FALSE)</f>
        <v>5</v>
      </c>
      <c r="K796" s="13">
        <f t="shared" si="47"/>
        <v>761</v>
      </c>
      <c r="L796" s="13">
        <f>IFERROR(VLOOKUP(VLOOKUP(K796,$A$24:$B$1023,2,FALSE),'Scratch Sheet'!$U$23:$Y$32,5,FALSE)*VLOOKUP(VLOOKUP(K796,$A$24:$E$1023,5,FALSE),'Scratch Sheet'!$L$22:$M$30,2,FALSE),"")</f>
        <v>11000</v>
      </c>
      <c r="N796" s="675">
        <v>585</v>
      </c>
      <c r="O796" s="675" t="str" cm="1">
        <f t="array" ref="O796">IF(OR(INDEX($B$24:$B$1023,N796)="P10",INDEX($B$24:$B$1023,N796)="P11",INDEX($B$24:$B$1023,N796)="P12",INDEX($B$24:$B$1023,N796)="P13"),"C",IF(OR(INDEX($B$24:$B$1023,N796)="P14",INDEX($B$24:$B$1023,N796)="P15",INDEX($B$24:$B$1023,N796)="P16"),"N","O"))&amp;IF(MOD(N796,100)&lt;20,1,IF(MOD(N796,100)&lt;70,2,3))</f>
        <v>C3</v>
      </c>
    </row>
    <row r="797" spans="1:15" ht="16.5" thickBot="1">
      <c r="A797" s="662">
        <v>774</v>
      </c>
      <c r="B797" s="661" t="str" cm="1">
        <f t="array" ref="B797">"P"&amp;INDEX(X!$CL$2:$CL$12,'Scratch Sheet'!H796+1)+9</f>
        <v>P11</v>
      </c>
      <c r="C797" s="661">
        <v>1</v>
      </c>
      <c r="D797" s="755">
        <f t="shared" si="48"/>
        <v>8800</v>
      </c>
      <c r="E797" s="682" t="str">
        <f t="shared" si="49"/>
        <v>C3</v>
      </c>
      <c r="F797" s="683">
        <f t="shared" si="50"/>
        <v>11</v>
      </c>
      <c r="H797" s="13">
        <v>809</v>
      </c>
      <c r="I797" s="13">
        <f>VLOOKUP(VLOOKUP(H797,$A$24:$B$1023,2,FALSE),'Scratch Sheet'!$U$23:$X$32,3,FALSE)</f>
        <v>6.5</v>
      </c>
      <c r="K797" s="13">
        <f t="shared" si="47"/>
        <v>760</v>
      </c>
      <c r="L797" s="13">
        <f>IFERROR(VLOOKUP(VLOOKUP(K797,$A$24:$B$1023,2,FALSE),'Scratch Sheet'!$U$23:$Y$32,5,FALSE)*VLOOKUP(VLOOKUP(K797,$A$24:$E$1023,5,FALSE),'Scratch Sheet'!$L$22:$M$30,2,FALSE),"")</f>
        <v>2400</v>
      </c>
      <c r="N797" s="675">
        <v>586</v>
      </c>
      <c r="O797" s="675" t="str" cm="1">
        <f t="array" ref="O797">IF(OR(INDEX($B$24:$B$1023,N797)="P10",INDEX($B$24:$B$1023,N797)="P11",INDEX($B$24:$B$1023,N797)="P12",INDEX($B$24:$B$1023,N797)="P13"),"C",IF(OR(INDEX($B$24:$B$1023,N797)="P14",INDEX($B$24:$B$1023,N797)="P15",INDEX($B$24:$B$1023,N797)="P16"),"N","O"))&amp;IF(MOD(N797,100)&lt;20,1,IF(MOD(N797,100)&lt;70,2,3))</f>
        <v>C3</v>
      </c>
    </row>
    <row r="798" spans="1:15" ht="16.5" thickBot="1">
      <c r="A798" s="662">
        <v>775</v>
      </c>
      <c r="B798" s="661" t="str" cm="1">
        <f t="array" ref="B798">"P"&amp;INDEX(X!$CL$2:$CL$12,'Scratch Sheet'!H797+1)+9</f>
        <v>P12</v>
      </c>
      <c r="C798" s="661">
        <v>1</v>
      </c>
      <c r="D798" s="755">
        <f t="shared" si="48"/>
        <v>5460</v>
      </c>
      <c r="E798" s="682" t="str">
        <f t="shared" si="49"/>
        <v>C3</v>
      </c>
      <c r="F798" s="683">
        <f t="shared" si="50"/>
        <v>6.5</v>
      </c>
      <c r="H798" s="13">
        <v>162</v>
      </c>
      <c r="I798" s="13">
        <f>VLOOKUP(VLOOKUP(H798,$A$24:$B$1023,2,FALSE),'Scratch Sheet'!$U$23:$X$32,3,FALSE)</f>
        <v>11</v>
      </c>
      <c r="K798" s="13">
        <f t="shared" si="47"/>
        <v>755</v>
      </c>
      <c r="L798" s="13">
        <f>IFERROR(VLOOKUP(VLOOKUP(K798,$A$24:$B$1023,2,FALSE),'Scratch Sheet'!$U$23:$Y$32,5,FALSE)*VLOOKUP(VLOOKUP(K798,$A$24:$E$1023,5,FALSE),'Scratch Sheet'!$L$22:$M$30,2,FALSE),"")</f>
        <v>4500</v>
      </c>
      <c r="N798" s="675">
        <v>587</v>
      </c>
      <c r="O798" s="675" t="str" cm="1">
        <f t="array" ref="O798">IF(OR(INDEX($B$24:$B$1023,N798)="P10",INDEX($B$24:$B$1023,N798)="P11",INDEX($B$24:$B$1023,N798)="P12",INDEX($B$24:$B$1023,N798)="P13"),"C",IF(OR(INDEX($B$24:$B$1023,N798)="P14",INDEX($B$24:$B$1023,N798)="P15",INDEX($B$24:$B$1023,N798)="P16"),"N","O"))&amp;IF(MOD(N798,100)&lt;20,1,IF(MOD(N798,100)&lt;70,2,3))</f>
        <v>C3</v>
      </c>
    </row>
    <row r="799" spans="1:15" ht="16.5" thickBot="1">
      <c r="A799" s="662">
        <v>776</v>
      </c>
      <c r="B799" s="661" t="str" cm="1">
        <f t="array" ref="B799">"P"&amp;INDEX(X!$CL$2:$CL$12,'Scratch Sheet'!H798+1)+9</f>
        <v>P10</v>
      </c>
      <c r="C799" s="661">
        <v>1</v>
      </c>
      <c r="D799" s="755">
        <f t="shared" si="48"/>
        <v>1920</v>
      </c>
      <c r="E799" s="682" t="str">
        <f t="shared" si="49"/>
        <v>C3</v>
      </c>
      <c r="F799" s="683">
        <f t="shared" si="50"/>
        <v>3</v>
      </c>
      <c r="H799" s="13">
        <v>819</v>
      </c>
      <c r="I799" s="13">
        <f>VLOOKUP(VLOOKUP(H799,$A$24:$B$1023,2,FALSE),'Scratch Sheet'!$U$23:$X$32,3,FALSE)</f>
        <v>11</v>
      </c>
      <c r="K799" s="13">
        <f t="shared" si="47"/>
        <v>757</v>
      </c>
      <c r="L799" s="13">
        <f>IFERROR(VLOOKUP(VLOOKUP(K799,$A$24:$B$1023,2,FALSE),'Scratch Sheet'!$U$23:$Y$32,5,FALSE)*VLOOKUP(VLOOKUP(K799,$A$24:$E$1023,5,FALSE),'Scratch Sheet'!$L$22:$M$30,2,FALSE),"")</f>
        <v>11000</v>
      </c>
      <c r="N799" s="675">
        <v>591</v>
      </c>
      <c r="O799" s="675" t="str" cm="1">
        <f t="array" ref="O799">IF(OR(INDEX($B$24:$B$1023,N799)="P10",INDEX($B$24:$B$1023,N799)="P11",INDEX($B$24:$B$1023,N799)="P12",INDEX($B$24:$B$1023,N799)="P13"),"C",IF(OR(INDEX($B$24:$B$1023,N799)="P14",INDEX($B$24:$B$1023,N799)="P15",INDEX($B$24:$B$1023,N799)="P16"),"N","O"))&amp;IF(MOD(N799,100)&lt;20,1,IF(MOD(N799,100)&lt;70,2,3))</f>
        <v>C3</v>
      </c>
    </row>
    <row r="800" spans="1:15" ht="16.5" thickBot="1">
      <c r="A800" s="662">
        <v>777</v>
      </c>
      <c r="B800" s="661" t="str" cm="1">
        <f t="array" ref="B800">"P"&amp;INDEX(X!$CL$2:$CL$12,'Scratch Sheet'!H799+1)+9</f>
        <v>P10</v>
      </c>
      <c r="C800" s="661">
        <v>1</v>
      </c>
      <c r="D800" s="755">
        <f t="shared" si="48"/>
        <v>1920</v>
      </c>
      <c r="E800" s="682" t="str">
        <f t="shared" si="49"/>
        <v>C3</v>
      </c>
      <c r="F800" s="683">
        <f t="shared" si="50"/>
        <v>3</v>
      </c>
      <c r="H800" s="13">
        <v>848</v>
      </c>
      <c r="I800" s="13">
        <f>VLOOKUP(VLOOKUP(H800,$A$24:$B$1023,2,FALSE),'Scratch Sheet'!$U$23:$X$32,3,FALSE)</f>
        <v>8</v>
      </c>
      <c r="K800" s="13">
        <f t="shared" si="47"/>
        <v>756</v>
      </c>
      <c r="L800" s="13">
        <f>IFERROR(VLOOKUP(VLOOKUP(K800,$A$24:$B$1023,2,FALSE),'Scratch Sheet'!$U$23:$Y$32,5,FALSE)*VLOOKUP(VLOOKUP(K800,$A$24:$E$1023,5,FALSE),'Scratch Sheet'!$L$22:$M$30,2,FALSE),"")</f>
        <v>11000</v>
      </c>
      <c r="N800" s="675">
        <v>593</v>
      </c>
      <c r="O800" s="675" t="str" cm="1">
        <f t="array" ref="O800">IF(OR(INDEX($B$24:$B$1023,N800)="P10",INDEX($B$24:$B$1023,N800)="P11",INDEX($B$24:$B$1023,N800)="P12",INDEX($B$24:$B$1023,N800)="P13"),"C",IF(OR(INDEX($B$24:$B$1023,N800)="P14",INDEX($B$24:$B$1023,N800)="P15",INDEX($B$24:$B$1023,N800)="P16"),"N","O"))&amp;IF(MOD(N800,100)&lt;20,1,IF(MOD(N800,100)&lt;70,2,3))</f>
        <v>N3</v>
      </c>
    </row>
    <row r="801" spans="1:15" ht="16.5" thickBot="1">
      <c r="A801" s="662">
        <v>778</v>
      </c>
      <c r="B801" s="661" t="str" cm="1">
        <f t="array" ref="B801">"P"&amp;INDEX(X!$CL$2:$CL$12,'Scratch Sheet'!H800+1)+9</f>
        <v>P11</v>
      </c>
      <c r="C801" s="661">
        <v>1</v>
      </c>
      <c r="D801" s="755">
        <f t="shared" si="48"/>
        <v>8800</v>
      </c>
      <c r="E801" s="682" t="str">
        <f t="shared" si="49"/>
        <v>C3</v>
      </c>
      <c r="F801" s="683">
        <f t="shared" si="50"/>
        <v>11</v>
      </c>
      <c r="H801" s="13">
        <v>502</v>
      </c>
      <c r="I801" s="13">
        <f>VLOOKUP(VLOOKUP(H801,$A$24:$B$1023,2,FALSE),'Scratch Sheet'!$U$23:$X$32,3,FALSE)</f>
        <v>11</v>
      </c>
      <c r="K801" s="13">
        <f t="shared" si="47"/>
        <v>759</v>
      </c>
      <c r="L801" s="13">
        <f>IFERROR(VLOOKUP(VLOOKUP(K801,$A$24:$B$1023,2,FALSE),'Scratch Sheet'!$U$23:$Y$32,5,FALSE)*VLOOKUP(VLOOKUP(K801,$A$24:$E$1023,5,FALSE),'Scratch Sheet'!$L$22:$M$30,2,FALSE),"")</f>
        <v>2400</v>
      </c>
      <c r="N801" s="675">
        <v>595</v>
      </c>
      <c r="O801" s="675" t="str" cm="1">
        <f t="array" ref="O801">IF(OR(INDEX($B$24:$B$1023,N801)="P10",INDEX($B$24:$B$1023,N801)="P11",INDEX($B$24:$B$1023,N801)="P12",INDEX($B$24:$B$1023,N801)="P13"),"C",IF(OR(INDEX($B$24:$B$1023,N801)="P14",INDEX($B$24:$B$1023,N801)="P15",INDEX($B$24:$B$1023,N801)="P16"),"N","O"))&amp;IF(MOD(N801,100)&lt;20,1,IF(MOD(N801,100)&lt;70,2,3))</f>
        <v>C3</v>
      </c>
    </row>
    <row r="802" spans="1:15" ht="16.5" thickBot="1">
      <c r="A802" s="662">
        <v>779</v>
      </c>
      <c r="B802" s="661" t="str" cm="1">
        <f t="array" ref="B802">"P"&amp;INDEX(X!$CL$2:$CL$12,'Scratch Sheet'!H801+1)+9</f>
        <v>P18</v>
      </c>
      <c r="C802" s="661">
        <v>1</v>
      </c>
      <c r="D802" s="755">
        <f t="shared" si="48"/>
        <v>4320</v>
      </c>
      <c r="E802" s="682" t="str">
        <f t="shared" si="49"/>
        <v>O3</v>
      </c>
      <c r="F802" s="683">
        <f t="shared" si="50"/>
        <v>6</v>
      </c>
      <c r="H802" s="13">
        <v>329</v>
      </c>
      <c r="I802" s="13">
        <f>VLOOKUP(VLOOKUP(H802,$A$24:$B$1023,2,FALSE),'Scratch Sheet'!$U$23:$X$32,3,FALSE)</f>
        <v>12</v>
      </c>
      <c r="K802" s="13">
        <f t="shared" si="47"/>
        <v>754</v>
      </c>
      <c r="L802" s="13">
        <f>IFERROR(VLOOKUP(VLOOKUP(K802,$A$24:$B$1023,2,FALSE),'Scratch Sheet'!$U$23:$Y$32,5,FALSE)*VLOOKUP(VLOOKUP(K802,$A$24:$E$1023,5,FALSE),'Scratch Sheet'!$L$22:$M$30,2,FALSE),"")</f>
        <v>13200.000000000002</v>
      </c>
      <c r="N802" s="675">
        <v>596</v>
      </c>
      <c r="O802" s="675" t="str" cm="1">
        <f t="array" ref="O802">IF(OR(INDEX($B$24:$B$1023,N802)="P10",INDEX($B$24:$B$1023,N802)="P11",INDEX($B$24:$B$1023,N802)="P12",INDEX($B$24:$B$1023,N802)="P13"),"C",IF(OR(INDEX($B$24:$B$1023,N802)="P14",INDEX($B$24:$B$1023,N802)="P15",INDEX($B$24:$B$1023,N802)="P16"),"N","O"))&amp;IF(MOD(N802,100)&lt;20,1,IF(MOD(N802,100)&lt;70,2,3))</f>
        <v>C3</v>
      </c>
    </row>
    <row r="803" spans="1:15" ht="16.5" thickBot="1">
      <c r="A803" s="662">
        <v>780</v>
      </c>
      <c r="B803" s="661" t="str" cm="1">
        <f t="array" ref="B803">"P"&amp;INDEX(X!$CL$2:$CL$12,'Scratch Sheet'!H802+1)+9</f>
        <v>P14</v>
      </c>
      <c r="C803" s="661">
        <v>1</v>
      </c>
      <c r="D803" s="755">
        <f t="shared" si="48"/>
        <v>7200</v>
      </c>
      <c r="E803" s="682" t="str">
        <f t="shared" si="49"/>
        <v>N3</v>
      </c>
      <c r="F803" s="683">
        <f t="shared" si="50"/>
        <v>8</v>
      </c>
      <c r="H803" s="13">
        <v>167</v>
      </c>
      <c r="I803" s="13">
        <f>VLOOKUP(VLOOKUP(H803,$A$24:$B$1023,2,FALSE),'Scratch Sheet'!$U$23:$X$32,3,FALSE)</f>
        <v>6</v>
      </c>
      <c r="K803" s="13">
        <f t="shared" si="47"/>
        <v>752</v>
      </c>
      <c r="L803" s="13">
        <f>IFERROR(VLOOKUP(VLOOKUP(K803,$A$24:$B$1023,2,FALSE),'Scratch Sheet'!$U$23:$Y$32,5,FALSE)*VLOOKUP(VLOOKUP(K803,$A$24:$E$1023,5,FALSE),'Scratch Sheet'!$L$22:$M$30,2,FALSE),"")</f>
        <v>4680</v>
      </c>
      <c r="N803" s="675">
        <v>598</v>
      </c>
      <c r="O803" s="675" t="str" cm="1">
        <f t="array" ref="O803">IF(OR(INDEX($B$24:$B$1023,N803)="P10",INDEX($B$24:$B$1023,N803)="P11",INDEX($B$24:$B$1023,N803)="P12",INDEX($B$24:$B$1023,N803)="P13"),"C",IF(OR(INDEX($B$24:$B$1023,N803)="P14",INDEX($B$24:$B$1023,N803)="P15",INDEX($B$24:$B$1023,N803)="P16"),"N","O"))&amp;IF(MOD(N803,100)&lt;20,1,IF(MOD(N803,100)&lt;70,2,3))</f>
        <v>C3</v>
      </c>
    </row>
    <row r="804" spans="1:15" ht="16.5" thickBot="1">
      <c r="A804" s="662">
        <v>781</v>
      </c>
      <c r="B804" s="661" t="str" cm="1">
        <f t="array" ref="B804">"P"&amp;INDEX(X!$CL$2:$CL$12,'Scratch Sheet'!H803+1)+9</f>
        <v>P10</v>
      </c>
      <c r="C804" s="661">
        <v>1</v>
      </c>
      <c r="D804" s="755">
        <f t="shared" si="48"/>
        <v>1920</v>
      </c>
      <c r="E804" s="682" t="str">
        <f t="shared" si="49"/>
        <v>C3</v>
      </c>
      <c r="F804" s="683">
        <f t="shared" si="50"/>
        <v>3</v>
      </c>
      <c r="H804" s="13">
        <v>621</v>
      </c>
      <c r="I804" s="13">
        <f>VLOOKUP(VLOOKUP(H804,$A$24:$B$1023,2,FALSE),'Scratch Sheet'!$U$23:$X$32,3,FALSE)</f>
        <v>11</v>
      </c>
      <c r="K804" s="13">
        <f t="shared" si="47"/>
        <v>753</v>
      </c>
      <c r="L804" s="13">
        <f>IFERROR(VLOOKUP(VLOOKUP(K804,$A$24:$B$1023,2,FALSE),'Scratch Sheet'!$U$23:$Y$32,5,FALSE)*VLOOKUP(VLOOKUP(K804,$A$24:$E$1023,5,FALSE),'Scratch Sheet'!$L$22:$M$30,2,FALSE),"")</f>
        <v>13200.000000000002</v>
      </c>
      <c r="N804" s="675">
        <v>602</v>
      </c>
      <c r="O804" s="675" t="str" cm="1">
        <f t="array" ref="O804">IF(OR(INDEX($B$24:$B$1023,N804)="P10",INDEX($B$24:$B$1023,N804)="P11",INDEX($B$24:$B$1023,N804)="P12",INDEX($B$24:$B$1023,N804)="P13"),"C",IF(OR(INDEX($B$24:$B$1023,N804)="P14",INDEX($B$24:$B$1023,N804)="P15",INDEX($B$24:$B$1023,N804)="P16"),"N","O"))&amp;IF(MOD(N804,100)&lt;20,1,IF(MOD(N804,100)&lt;70,2,3))</f>
        <v>C1</v>
      </c>
    </row>
    <row r="805" spans="1:15" ht="16.5" thickBot="1">
      <c r="A805" s="662">
        <v>782</v>
      </c>
      <c r="B805" s="661" t="str" cm="1">
        <f t="array" ref="B805">"P"&amp;INDEX(X!$CL$2:$CL$12,'Scratch Sheet'!H804+1)+9</f>
        <v>P13</v>
      </c>
      <c r="C805" s="661">
        <v>1</v>
      </c>
      <c r="D805" s="755">
        <f t="shared" si="48"/>
        <v>3600</v>
      </c>
      <c r="E805" s="682" t="str">
        <f t="shared" si="49"/>
        <v>C3</v>
      </c>
      <c r="F805" s="683">
        <f t="shared" si="50"/>
        <v>5</v>
      </c>
      <c r="H805" s="13">
        <v>505</v>
      </c>
      <c r="I805" s="13">
        <f>VLOOKUP(VLOOKUP(H805,$A$24:$B$1023,2,FALSE),'Scratch Sheet'!$U$23:$X$32,3,FALSE)</f>
        <v>3</v>
      </c>
      <c r="K805" s="13">
        <f t="shared" si="47"/>
        <v>751</v>
      </c>
      <c r="L805" s="13">
        <f>IFERROR(VLOOKUP(VLOOKUP(K805,$A$24:$B$1023,2,FALSE),'Scratch Sheet'!$U$23:$Y$32,5,FALSE)*VLOOKUP(VLOOKUP(K805,$A$24:$E$1023,5,FALSE),'Scratch Sheet'!$L$22:$M$30,2,FALSE),"")</f>
        <v>11000</v>
      </c>
      <c r="N805" s="675">
        <v>603</v>
      </c>
      <c r="O805" s="675" t="str" cm="1">
        <f t="array" ref="O805">IF(OR(INDEX($B$24:$B$1023,N805)="P10",INDEX($B$24:$B$1023,N805)="P11",INDEX($B$24:$B$1023,N805)="P12",INDEX($B$24:$B$1023,N805)="P13"),"C",IF(OR(INDEX($B$24:$B$1023,N805)="P14",INDEX($B$24:$B$1023,N805)="P15",INDEX($B$24:$B$1023,N805)="P16"),"N","O"))&amp;IF(MOD(N805,100)&lt;20,1,IF(MOD(N805,100)&lt;70,2,3))</f>
        <v>C1</v>
      </c>
    </row>
    <row r="806" spans="1:15" ht="16.5" thickBot="1">
      <c r="A806" s="662">
        <v>783</v>
      </c>
      <c r="B806" s="661" t="str" cm="1">
        <f t="array" ref="B806">"P"&amp;INDEX(X!$CL$2:$CL$12,'Scratch Sheet'!H805+1)+9</f>
        <v>P13</v>
      </c>
      <c r="C806" s="661">
        <v>1</v>
      </c>
      <c r="D806" s="755">
        <f t="shared" si="48"/>
        <v>3600</v>
      </c>
      <c r="E806" s="682" t="str">
        <f t="shared" si="49"/>
        <v>C3</v>
      </c>
      <c r="F806" s="683">
        <f t="shared" si="50"/>
        <v>5</v>
      </c>
      <c r="H806" s="13">
        <v>766</v>
      </c>
      <c r="I806" s="13">
        <f>VLOOKUP(VLOOKUP(H806,$A$24:$B$1023,2,FALSE),'Scratch Sheet'!$U$23:$X$32,3,FALSE)</f>
        <v>5</v>
      </c>
      <c r="K806" s="13">
        <f t="shared" si="47"/>
        <v>767</v>
      </c>
      <c r="L806" s="13">
        <f>IFERROR(VLOOKUP(VLOOKUP(K806,$A$24:$B$1023,2,FALSE),'Scratch Sheet'!$U$23:$Y$32,5,FALSE)*VLOOKUP(VLOOKUP(K806,$A$24:$E$1023,5,FALSE),'Scratch Sheet'!$L$22:$M$30,2,FALSE),"")</f>
        <v>2400</v>
      </c>
      <c r="N806" s="675">
        <v>604</v>
      </c>
      <c r="O806" s="675" t="str" cm="1">
        <f t="array" ref="O806">IF(OR(INDEX($B$24:$B$1023,N806)="P10",INDEX($B$24:$B$1023,N806)="P11",INDEX($B$24:$B$1023,N806)="P12",INDEX($B$24:$B$1023,N806)="P13"),"C",IF(OR(INDEX($B$24:$B$1023,N806)="P14",INDEX($B$24:$B$1023,N806)="P15",INDEX($B$24:$B$1023,N806)="P16"),"N","O"))&amp;IF(MOD(N806,100)&lt;20,1,IF(MOD(N806,100)&lt;70,2,3))</f>
        <v>C1</v>
      </c>
    </row>
    <row r="807" spans="1:15" ht="16.5" thickBot="1">
      <c r="A807" s="662">
        <v>784</v>
      </c>
      <c r="B807" s="661" t="str" cm="1">
        <f t="array" ref="B807">"P"&amp;INDEX(X!$CL$2:$CL$12,'Scratch Sheet'!H806+1)+9</f>
        <v>P10</v>
      </c>
      <c r="C807" s="661">
        <v>1</v>
      </c>
      <c r="D807" s="755">
        <f t="shared" si="48"/>
        <v>1920</v>
      </c>
      <c r="E807" s="682" t="str">
        <f t="shared" si="49"/>
        <v>C3</v>
      </c>
      <c r="F807" s="683">
        <f t="shared" si="50"/>
        <v>3</v>
      </c>
      <c r="H807" s="13">
        <v>982</v>
      </c>
      <c r="I807" s="13">
        <f>VLOOKUP(VLOOKUP(H807,$A$24:$B$1023,2,FALSE),'Scratch Sheet'!$U$23:$X$32,3,FALSE)</f>
        <v>11</v>
      </c>
      <c r="K807" s="13">
        <f t="shared" si="47"/>
        <v>770</v>
      </c>
      <c r="L807" s="13">
        <f>IFERROR(VLOOKUP(VLOOKUP(K807,$A$24:$B$1023,2,FALSE),'Scratch Sheet'!$U$23:$Y$32,5,FALSE)*VLOOKUP(VLOOKUP(K807,$A$24:$E$1023,5,FALSE),'Scratch Sheet'!$L$22:$M$30,2,FALSE),"")</f>
        <v>9600</v>
      </c>
      <c r="N807" s="675">
        <v>608</v>
      </c>
      <c r="O807" s="675" t="str" cm="1">
        <f t="array" ref="O807">IF(OR(INDEX($B$24:$B$1023,N807)="P10",INDEX($B$24:$B$1023,N807)="P11",INDEX($B$24:$B$1023,N807)="P12",INDEX($B$24:$B$1023,N807)="P13"),"C",IF(OR(INDEX($B$24:$B$1023,N807)="P14",INDEX($B$24:$B$1023,N807)="P15",INDEX($B$24:$B$1023,N807)="P16"),"N","O"))&amp;IF(MOD(N807,100)&lt;20,1,IF(MOD(N807,100)&lt;70,2,3))</f>
        <v>C1</v>
      </c>
    </row>
    <row r="808" spans="1:15" ht="16.5" thickBot="1">
      <c r="A808" s="662">
        <v>785</v>
      </c>
      <c r="B808" s="661" t="str" cm="1">
        <f t="array" ref="B808">"P"&amp;INDEX(X!$CL$2:$CL$12,'Scratch Sheet'!H807+1)+9</f>
        <v>P11</v>
      </c>
      <c r="C808" s="661">
        <v>1</v>
      </c>
      <c r="D808" s="755">
        <f t="shared" si="48"/>
        <v>8800</v>
      </c>
      <c r="E808" s="682" t="str">
        <f t="shared" si="49"/>
        <v>C3</v>
      </c>
      <c r="F808" s="683">
        <f t="shared" si="50"/>
        <v>11</v>
      </c>
      <c r="H808" s="13">
        <v>546</v>
      </c>
      <c r="I808" s="13">
        <f>VLOOKUP(VLOOKUP(H808,$A$24:$B$1023,2,FALSE),'Scratch Sheet'!$U$23:$X$32,3,FALSE)</f>
        <v>3</v>
      </c>
      <c r="K808" s="13">
        <f t="shared" si="47"/>
        <v>769</v>
      </c>
      <c r="L808" s="13">
        <f>IFERROR(VLOOKUP(VLOOKUP(K808,$A$24:$B$1023,2,FALSE),'Scratch Sheet'!$U$23:$Y$32,5,FALSE)*VLOOKUP(VLOOKUP(K808,$A$24:$E$1023,5,FALSE),'Scratch Sheet'!$L$22:$M$30,2,FALSE),"")</f>
        <v>4680</v>
      </c>
      <c r="N808" s="675">
        <v>610</v>
      </c>
      <c r="O808" s="675" t="str" cm="1">
        <f t="array" ref="O808">IF(OR(INDEX($B$24:$B$1023,N808)="P10",INDEX($B$24:$B$1023,N808)="P11",INDEX($B$24:$B$1023,N808)="P12",INDEX($B$24:$B$1023,N808)="P13"),"C",IF(OR(INDEX($B$24:$B$1023,N808)="P14",INDEX($B$24:$B$1023,N808)="P15",INDEX($B$24:$B$1023,N808)="P16"),"N","O"))&amp;IF(MOD(N808,100)&lt;20,1,IF(MOD(N808,100)&lt;70,2,3))</f>
        <v>N1</v>
      </c>
    </row>
    <row r="809" spans="1:15" ht="16.5" thickBot="1">
      <c r="A809" s="662">
        <v>786</v>
      </c>
      <c r="B809" s="661" t="str" cm="1">
        <f t="array" ref="B809">"P"&amp;INDEX(X!$CL$2:$CL$12,'Scratch Sheet'!H808+1)+9</f>
        <v>P16</v>
      </c>
      <c r="C809" s="661">
        <v>1</v>
      </c>
      <c r="D809" s="755">
        <f t="shared" si="48"/>
        <v>5200</v>
      </c>
      <c r="E809" s="682" t="str">
        <f t="shared" si="49"/>
        <v>N3</v>
      </c>
      <c r="F809" s="683">
        <f t="shared" si="50"/>
        <v>4</v>
      </c>
      <c r="H809" s="13">
        <v>938</v>
      </c>
      <c r="I809" s="13">
        <f>VLOOKUP(VLOOKUP(H809,$A$24:$B$1023,2,FALSE),'Scratch Sheet'!$U$23:$X$32,3,FALSE)</f>
        <v>11</v>
      </c>
      <c r="K809" s="13">
        <f t="shared" si="47"/>
        <v>764</v>
      </c>
      <c r="L809" s="13">
        <f>IFERROR(VLOOKUP(VLOOKUP(K809,$A$24:$B$1023,2,FALSE),'Scratch Sheet'!$U$23:$Y$32,5,FALSE)*VLOOKUP(VLOOKUP(K809,$A$24:$E$1023,5,FALSE),'Scratch Sheet'!$L$22:$M$30,2,FALSE),"")</f>
        <v>2400</v>
      </c>
      <c r="N809" s="675">
        <v>612</v>
      </c>
      <c r="O809" s="675" t="str" cm="1">
        <f t="array" ref="O809">IF(OR(INDEX($B$24:$B$1023,N809)="P10",INDEX($B$24:$B$1023,N809)="P11",INDEX($B$24:$B$1023,N809)="P12",INDEX($B$24:$B$1023,N809)="P13"),"C",IF(OR(INDEX($B$24:$B$1023,N809)="P14",INDEX($B$24:$B$1023,N809)="P15",INDEX($B$24:$B$1023,N809)="P16"),"N","O"))&amp;IF(MOD(N809,100)&lt;20,1,IF(MOD(N809,100)&lt;70,2,3))</f>
        <v>C1</v>
      </c>
    </row>
    <row r="810" spans="1:15" ht="16.5" thickBot="1">
      <c r="A810" s="662">
        <v>787</v>
      </c>
      <c r="B810" s="661" t="str" cm="1">
        <f t="array" ref="B810">"P"&amp;INDEX(X!$CL$2:$CL$12,'Scratch Sheet'!H809+1)+9</f>
        <v>P17</v>
      </c>
      <c r="C810" s="661">
        <v>1</v>
      </c>
      <c r="D810" s="755">
        <f t="shared" si="48"/>
        <v>9600</v>
      </c>
      <c r="E810" s="682" t="str">
        <f t="shared" si="49"/>
        <v>O3</v>
      </c>
      <c r="F810" s="683">
        <f t="shared" si="50"/>
        <v>12</v>
      </c>
      <c r="H810" s="13">
        <v>900</v>
      </c>
      <c r="I810" s="13">
        <f>VLOOKUP(VLOOKUP(H810,$A$24:$B$1023,2,FALSE),'Scratch Sheet'!$U$23:$X$32,3,FALSE)</f>
        <v>3</v>
      </c>
      <c r="K810" s="13">
        <f t="shared" si="47"/>
        <v>766</v>
      </c>
      <c r="L810" s="13">
        <f>IFERROR(VLOOKUP(VLOOKUP(K810,$A$24:$B$1023,2,FALSE),'Scratch Sheet'!$U$23:$Y$32,5,FALSE)*VLOOKUP(VLOOKUP(K810,$A$24:$E$1023,5,FALSE),'Scratch Sheet'!$L$22:$M$30,2,FALSE),"")</f>
        <v>4500</v>
      </c>
      <c r="N810" s="675">
        <v>613</v>
      </c>
      <c r="O810" s="675" t="str" cm="1">
        <f t="array" ref="O810">IF(OR(INDEX($B$24:$B$1023,N810)="P10",INDEX($B$24:$B$1023,N810)="P11",INDEX($B$24:$B$1023,N810)="P12",INDEX($B$24:$B$1023,N810)="P13"),"C",IF(OR(INDEX($B$24:$B$1023,N810)="P14",INDEX($B$24:$B$1023,N810)="P15",INDEX($B$24:$B$1023,N810)="P16"),"N","O"))&amp;IF(MOD(N810,100)&lt;20,1,IF(MOD(N810,100)&lt;70,2,3))</f>
        <v>C1</v>
      </c>
    </row>
    <row r="811" spans="1:15" ht="16.5" thickBot="1">
      <c r="A811" s="662">
        <v>788</v>
      </c>
      <c r="B811" s="661" t="str" cm="1">
        <f t="array" ref="B811">"P"&amp;INDEX(X!$CL$2:$CL$12,'Scratch Sheet'!H810+1)+9</f>
        <v>P17</v>
      </c>
      <c r="C811" s="661">
        <v>1</v>
      </c>
      <c r="D811" s="755">
        <f t="shared" si="48"/>
        <v>9600</v>
      </c>
      <c r="E811" s="682" t="str">
        <f t="shared" si="49"/>
        <v>O3</v>
      </c>
      <c r="F811" s="683">
        <f t="shared" si="50"/>
        <v>12</v>
      </c>
      <c r="H811" s="13">
        <v>968</v>
      </c>
      <c r="I811" s="13">
        <f>VLOOKUP(VLOOKUP(H811,$A$24:$B$1023,2,FALSE),'Scratch Sheet'!$U$23:$X$32,3,FALSE)</f>
        <v>3</v>
      </c>
      <c r="K811" s="13">
        <f t="shared" si="47"/>
        <v>765</v>
      </c>
      <c r="L811" s="13">
        <f>IFERROR(VLOOKUP(VLOOKUP(K811,$A$24:$B$1023,2,FALSE),'Scratch Sheet'!$U$23:$Y$32,5,FALSE)*VLOOKUP(VLOOKUP(K811,$A$24:$E$1023,5,FALSE),'Scratch Sheet'!$L$22:$M$30,2,FALSE),"")</f>
        <v>4500</v>
      </c>
      <c r="N811" s="675">
        <v>615</v>
      </c>
      <c r="O811" s="675" t="str" cm="1">
        <f t="array" ref="O811">IF(OR(INDEX($B$24:$B$1023,N811)="P10",INDEX($B$24:$B$1023,N811)="P11",INDEX($B$24:$B$1023,N811)="P12",INDEX($B$24:$B$1023,N811)="P13"),"C",IF(OR(INDEX($B$24:$B$1023,N811)="P14",INDEX($B$24:$B$1023,N811)="P15",INDEX($B$24:$B$1023,N811)="P16"),"N","O"))&amp;IF(MOD(N811,100)&lt;20,1,IF(MOD(N811,100)&lt;70,2,3))</f>
        <v>C1</v>
      </c>
    </row>
    <row r="812" spans="1:15" ht="16.5" thickBot="1">
      <c r="A812" s="662">
        <v>789</v>
      </c>
      <c r="B812" s="661" t="str" cm="1">
        <f t="array" ref="B812">"P"&amp;INDEX(X!$CL$2:$CL$12,'Scratch Sheet'!H811+1)+9</f>
        <v>P13</v>
      </c>
      <c r="C812" s="661">
        <v>1</v>
      </c>
      <c r="D812" s="755">
        <f t="shared" si="48"/>
        <v>3600</v>
      </c>
      <c r="E812" s="682" t="str">
        <f t="shared" si="49"/>
        <v>C3</v>
      </c>
      <c r="F812" s="683">
        <f t="shared" si="50"/>
        <v>5</v>
      </c>
      <c r="H812" s="13">
        <v>278</v>
      </c>
      <c r="I812" s="13">
        <f>VLOOKUP(VLOOKUP(H812,$A$24:$B$1023,2,FALSE),'Scratch Sheet'!$U$23:$X$32,3,FALSE)</f>
        <v>12</v>
      </c>
      <c r="K812" s="13">
        <f t="shared" si="47"/>
        <v>768</v>
      </c>
      <c r="L812" s="13">
        <f>IFERROR(VLOOKUP(VLOOKUP(K812,$A$24:$B$1023,2,FALSE),'Scratch Sheet'!$U$23:$Y$32,5,FALSE)*VLOOKUP(VLOOKUP(K812,$A$24:$E$1023,5,FALSE),'Scratch Sheet'!$L$22:$M$30,2,FALSE),"")</f>
        <v>11000</v>
      </c>
      <c r="N812" s="675">
        <v>619</v>
      </c>
      <c r="O812" s="675" t="str" cm="1">
        <f t="array" ref="O812">IF(OR(INDEX($B$24:$B$1023,N812)="P10",INDEX($B$24:$B$1023,N812)="P11",INDEX($B$24:$B$1023,N812)="P12",INDEX($B$24:$B$1023,N812)="P13"),"C",IF(OR(INDEX($B$24:$B$1023,N812)="P14",INDEX($B$24:$B$1023,N812)="P15",INDEX($B$24:$B$1023,N812)="P16"),"N","O"))&amp;IF(MOD(N812,100)&lt;20,1,IF(MOD(N812,100)&lt;70,2,3))</f>
        <v>C1</v>
      </c>
    </row>
    <row r="813" spans="1:15" ht="16.5" thickBot="1">
      <c r="A813" s="662">
        <v>790</v>
      </c>
      <c r="B813" s="661" t="str" cm="1">
        <f t="array" ref="B813">"P"&amp;INDEX(X!$CL$2:$CL$12,'Scratch Sheet'!H812+1)+9</f>
        <v>P11</v>
      </c>
      <c r="C813" s="661">
        <v>1</v>
      </c>
      <c r="D813" s="755">
        <f t="shared" si="48"/>
        <v>8800</v>
      </c>
      <c r="E813" s="682" t="str">
        <f t="shared" si="49"/>
        <v>C3</v>
      </c>
      <c r="F813" s="683">
        <f t="shared" si="50"/>
        <v>11</v>
      </c>
      <c r="H813" s="13">
        <v>878</v>
      </c>
      <c r="I813" s="13">
        <f>VLOOKUP(VLOOKUP(H813,$A$24:$B$1023,2,FALSE),'Scratch Sheet'!$U$23:$X$32,3,FALSE)</f>
        <v>3</v>
      </c>
      <c r="K813" s="13">
        <f t="shared" si="47"/>
        <v>763</v>
      </c>
      <c r="L813" s="13">
        <f>IFERROR(VLOOKUP(VLOOKUP(K813,$A$24:$B$1023,2,FALSE),'Scratch Sheet'!$U$23:$Y$32,5,FALSE)*VLOOKUP(VLOOKUP(K813,$A$24:$E$1023,5,FALSE),'Scratch Sheet'!$L$22:$M$30,2,FALSE),"")</f>
        <v>6480</v>
      </c>
      <c r="N813" s="675">
        <v>620</v>
      </c>
      <c r="O813" s="675" t="str" cm="1">
        <f t="array" ref="O813">IF(OR(INDEX($B$24:$B$1023,N813)="P10",INDEX($B$24:$B$1023,N813)="P11",INDEX($B$24:$B$1023,N813)="P12",INDEX($B$24:$B$1023,N813)="P13"),"C",IF(OR(INDEX($B$24:$B$1023,N813)="P14",INDEX($B$24:$B$1023,N813)="P15",INDEX($B$24:$B$1023,N813)="P16"),"N","O"))&amp;IF(MOD(N813,100)&lt;20,1,IF(MOD(N813,100)&lt;70,2,3))</f>
        <v>C2</v>
      </c>
    </row>
    <row r="814" spans="1:15" ht="16.5" thickBot="1">
      <c r="A814" s="662">
        <v>791</v>
      </c>
      <c r="B814" s="661" t="str" cm="1">
        <f t="array" ref="B814">"P"&amp;INDEX(X!$CL$2:$CL$12,'Scratch Sheet'!H813+1)+9</f>
        <v>P11</v>
      </c>
      <c r="C814" s="661">
        <v>1</v>
      </c>
      <c r="D814" s="755">
        <f t="shared" si="48"/>
        <v>8800</v>
      </c>
      <c r="E814" s="682" t="str">
        <f t="shared" si="49"/>
        <v>C3</v>
      </c>
      <c r="F814" s="683">
        <f t="shared" si="50"/>
        <v>11</v>
      </c>
      <c r="H814" s="13">
        <v>62</v>
      </c>
      <c r="I814" s="13">
        <f>VLOOKUP(VLOOKUP(H814,$A$24:$B$1023,2,FALSE),'Scratch Sheet'!$U$23:$X$32,3,FALSE)</f>
        <v>6.5</v>
      </c>
      <c r="K814" s="13">
        <f t="shared" si="47"/>
        <v>762</v>
      </c>
      <c r="L814" s="13">
        <f>IFERROR(VLOOKUP(VLOOKUP(K814,$A$24:$B$1023,2,FALSE),'Scratch Sheet'!$U$23:$Y$32,5,FALSE)*VLOOKUP(VLOOKUP(K814,$A$24:$E$1023,5,FALSE),'Scratch Sheet'!$L$22:$M$30,2,FALSE),"")</f>
        <v>5940.0000000000009</v>
      </c>
      <c r="N814" s="675">
        <v>621</v>
      </c>
      <c r="O814" s="675" t="str" cm="1">
        <f t="array" ref="O814">IF(OR(INDEX($B$24:$B$1023,N814)="P10",INDEX($B$24:$B$1023,N814)="P11",INDEX($B$24:$B$1023,N814)="P12",INDEX($B$24:$B$1023,N814)="P13"),"C",IF(OR(INDEX($B$24:$B$1023,N814)="P14",INDEX($B$24:$B$1023,N814)="P15",INDEX($B$24:$B$1023,N814)="P16"),"N","O"))&amp;IF(MOD(N814,100)&lt;20,1,IF(MOD(N814,100)&lt;70,2,3))</f>
        <v>C2</v>
      </c>
    </row>
    <row r="815" spans="1:15" ht="16.5" thickBot="1">
      <c r="A815" s="662">
        <v>792</v>
      </c>
      <c r="B815" s="661" t="str" cm="1">
        <f t="array" ref="B815">"P"&amp;INDEX(X!$CL$2:$CL$12,'Scratch Sheet'!H814+1)+9</f>
        <v>P12</v>
      </c>
      <c r="C815" s="661">
        <v>1</v>
      </c>
      <c r="D815" s="755">
        <f t="shared" si="48"/>
        <v>5460</v>
      </c>
      <c r="E815" s="682" t="str">
        <f t="shared" si="49"/>
        <v>C3</v>
      </c>
      <c r="F815" s="683">
        <f t="shared" si="50"/>
        <v>6.5</v>
      </c>
      <c r="H815" s="13">
        <v>738</v>
      </c>
      <c r="I815" s="13">
        <f>VLOOKUP(VLOOKUP(H815,$A$24:$B$1023,2,FALSE),'Scratch Sheet'!$U$23:$X$32,3,FALSE)</f>
        <v>5</v>
      </c>
      <c r="K815" s="13">
        <f t="shared" si="47"/>
        <v>775</v>
      </c>
      <c r="L815" s="13">
        <f>IFERROR(VLOOKUP(VLOOKUP(K815,$A$24:$B$1023,2,FALSE),'Scratch Sheet'!$U$23:$Y$32,5,FALSE)*VLOOKUP(VLOOKUP(K815,$A$24:$E$1023,5,FALSE),'Scratch Sheet'!$L$22:$M$30,2,FALSE),"")</f>
        <v>5460</v>
      </c>
      <c r="N815" s="675">
        <v>625</v>
      </c>
      <c r="O815" s="675" t="str" cm="1">
        <f t="array" ref="O815">IF(OR(INDEX($B$24:$B$1023,N815)="P10",INDEX($B$24:$B$1023,N815)="P11",INDEX($B$24:$B$1023,N815)="P12",INDEX($B$24:$B$1023,N815)="P13"),"C",IF(OR(INDEX($B$24:$B$1023,N815)="P14",INDEX($B$24:$B$1023,N815)="P15",INDEX($B$24:$B$1023,N815)="P16"),"N","O"))&amp;IF(MOD(N815,100)&lt;20,1,IF(MOD(N815,100)&lt;70,2,3))</f>
        <v>C2</v>
      </c>
    </row>
    <row r="816" spans="1:15" ht="16.5" thickBot="1">
      <c r="A816" s="662">
        <v>793</v>
      </c>
      <c r="B816" s="661" t="str" cm="1">
        <f t="array" ref="B816">"P"&amp;INDEX(X!$CL$2:$CL$12,'Scratch Sheet'!H815+1)+9</f>
        <v>P10</v>
      </c>
      <c r="C816" s="661">
        <v>1</v>
      </c>
      <c r="D816" s="755">
        <f t="shared" si="48"/>
        <v>1920</v>
      </c>
      <c r="E816" s="682" t="str">
        <f t="shared" si="49"/>
        <v>C3</v>
      </c>
      <c r="F816" s="683">
        <f t="shared" si="50"/>
        <v>3</v>
      </c>
      <c r="H816" s="13">
        <v>296</v>
      </c>
      <c r="I816" s="13">
        <f>VLOOKUP(VLOOKUP(H816,$A$24:$B$1023,2,FALSE),'Scratch Sheet'!$U$23:$X$32,3,FALSE)</f>
        <v>5</v>
      </c>
      <c r="K816" s="13">
        <f t="shared" si="47"/>
        <v>778</v>
      </c>
      <c r="L816" s="13">
        <f>IFERROR(VLOOKUP(VLOOKUP(K816,$A$24:$B$1023,2,FALSE),'Scratch Sheet'!$U$23:$Y$32,5,FALSE)*VLOOKUP(VLOOKUP(K816,$A$24:$E$1023,5,FALSE),'Scratch Sheet'!$L$22:$M$30,2,FALSE),"")</f>
        <v>8800</v>
      </c>
      <c r="N816" s="675">
        <v>627</v>
      </c>
      <c r="O816" s="675" t="str" cm="1">
        <f t="array" ref="O816">IF(OR(INDEX($B$24:$B$1023,N816)="P10",INDEX($B$24:$B$1023,N816)="P11",INDEX($B$24:$B$1023,N816)="P12",INDEX($B$24:$B$1023,N816)="P13"),"C",IF(OR(INDEX($B$24:$B$1023,N816)="P14",INDEX($B$24:$B$1023,N816)="P15",INDEX($B$24:$B$1023,N816)="P16"),"N","O"))&amp;IF(MOD(N816,100)&lt;20,1,IF(MOD(N816,100)&lt;70,2,3))</f>
        <v>N2</v>
      </c>
    </row>
    <row r="817" spans="1:15" ht="16.5" thickBot="1">
      <c r="A817" s="662">
        <v>794</v>
      </c>
      <c r="B817" s="661" t="str" cm="1">
        <f t="array" ref="B817">"P"&amp;INDEX(X!$CL$2:$CL$12,'Scratch Sheet'!H816+1)+9</f>
        <v>P10</v>
      </c>
      <c r="C817" s="661">
        <v>1</v>
      </c>
      <c r="D817" s="755">
        <f t="shared" si="48"/>
        <v>3840</v>
      </c>
      <c r="E817" s="682" t="str">
        <f t="shared" si="49"/>
        <v>C3</v>
      </c>
      <c r="F817" s="683">
        <f t="shared" si="50"/>
        <v>3</v>
      </c>
      <c r="H817" s="13">
        <v>181</v>
      </c>
      <c r="I817" s="13">
        <f>VLOOKUP(VLOOKUP(H817,$A$24:$B$1023,2,FALSE),'Scratch Sheet'!$U$23:$X$32,3,FALSE)</f>
        <v>3</v>
      </c>
      <c r="K817" s="13">
        <f t="shared" si="47"/>
        <v>777</v>
      </c>
      <c r="L817" s="13">
        <f>IFERROR(VLOOKUP(VLOOKUP(K817,$A$24:$B$1023,2,FALSE),'Scratch Sheet'!$U$23:$Y$32,5,FALSE)*VLOOKUP(VLOOKUP(K817,$A$24:$E$1023,5,FALSE),'Scratch Sheet'!$L$22:$M$30,2,FALSE),"")</f>
        <v>1920</v>
      </c>
      <c r="N817" s="675">
        <v>629</v>
      </c>
      <c r="O817" s="675" t="str" cm="1">
        <f t="array" ref="O817">IF(OR(INDEX($B$24:$B$1023,N817)="P10",INDEX($B$24:$B$1023,N817)="P11",INDEX($B$24:$B$1023,N817)="P12",INDEX($B$24:$B$1023,N817)="P13"),"C",IF(OR(INDEX($B$24:$B$1023,N817)="P14",INDEX($B$24:$B$1023,N817)="P15",INDEX($B$24:$B$1023,N817)="P16"),"N","O"))&amp;IF(MOD(N817,100)&lt;20,1,IF(MOD(N817,100)&lt;70,2,3))</f>
        <v>C2</v>
      </c>
    </row>
    <row r="818" spans="1:15" ht="16.5" thickBot="1">
      <c r="A818" s="662">
        <v>795</v>
      </c>
      <c r="B818" s="661" t="str" cm="1">
        <f t="array" ref="B818">"P"&amp;INDEX(X!$CL$2:$CL$12,'Scratch Sheet'!H817+1)+9</f>
        <v>P11</v>
      </c>
      <c r="C818" s="661">
        <v>1</v>
      </c>
      <c r="D818" s="755">
        <f t="shared" si="48"/>
        <v>8800</v>
      </c>
      <c r="E818" s="682" t="str">
        <f t="shared" si="49"/>
        <v>C3</v>
      </c>
      <c r="F818" s="683">
        <f t="shared" si="50"/>
        <v>11</v>
      </c>
      <c r="H818" s="13">
        <v>32</v>
      </c>
      <c r="I818" s="13">
        <f>VLOOKUP(VLOOKUP(H818,$A$24:$B$1023,2,FALSE),'Scratch Sheet'!$U$23:$X$32,3,FALSE)</f>
        <v>6.5</v>
      </c>
      <c r="K818" s="13">
        <f t="shared" si="47"/>
        <v>772</v>
      </c>
      <c r="L818" s="13">
        <f>IFERROR(VLOOKUP(VLOOKUP(K818,$A$24:$B$1023,2,FALSE),'Scratch Sheet'!$U$23:$Y$32,5,FALSE)*VLOOKUP(VLOOKUP(K818,$A$24:$E$1023,5,FALSE),'Scratch Sheet'!$L$22:$M$30,2,FALSE),"")</f>
        <v>3600</v>
      </c>
      <c r="N818" s="675">
        <v>630</v>
      </c>
      <c r="O818" s="675" t="str" cm="1">
        <f t="array" ref="O818">IF(OR(INDEX($B$24:$B$1023,N818)="P10",INDEX($B$24:$B$1023,N818)="P11",INDEX($B$24:$B$1023,N818)="P12",INDEX($B$24:$B$1023,N818)="P13"),"C",IF(OR(INDEX($B$24:$B$1023,N818)="P14",INDEX($B$24:$B$1023,N818)="P15",INDEX($B$24:$B$1023,N818)="P16"),"N","O"))&amp;IF(MOD(N818,100)&lt;20,1,IF(MOD(N818,100)&lt;70,2,3))</f>
        <v>C2</v>
      </c>
    </row>
    <row r="819" spans="1:15" ht="16.5" thickBot="1">
      <c r="A819" s="662">
        <v>796</v>
      </c>
      <c r="B819" s="661" t="str" cm="1">
        <f t="array" ref="B819">"P"&amp;INDEX(X!$CL$2:$CL$12,'Scratch Sheet'!H818+1)+9</f>
        <v>P18</v>
      </c>
      <c r="C819" s="661">
        <v>1</v>
      </c>
      <c r="D819" s="755">
        <f t="shared" si="48"/>
        <v>4320</v>
      </c>
      <c r="E819" s="682" t="str">
        <f t="shared" si="49"/>
        <v>O3</v>
      </c>
      <c r="F819" s="683">
        <f t="shared" si="50"/>
        <v>6</v>
      </c>
      <c r="H819" s="13">
        <v>560</v>
      </c>
      <c r="I819" s="13">
        <f>VLOOKUP(VLOOKUP(H819,$A$24:$B$1023,2,FALSE),'Scratch Sheet'!$U$23:$X$32,3,FALSE)</f>
        <v>3</v>
      </c>
      <c r="K819" s="13">
        <f t="shared" si="47"/>
        <v>774</v>
      </c>
      <c r="L819" s="13">
        <f>IFERROR(VLOOKUP(VLOOKUP(K819,$A$24:$B$1023,2,FALSE),'Scratch Sheet'!$U$23:$Y$32,5,FALSE)*VLOOKUP(VLOOKUP(K819,$A$24:$E$1023,5,FALSE),'Scratch Sheet'!$L$22:$M$30,2,FALSE),"")</f>
        <v>8800</v>
      </c>
      <c r="N819" s="675">
        <v>632</v>
      </c>
      <c r="O819" s="675" t="str" cm="1">
        <f t="array" ref="O819">IF(OR(INDEX($B$24:$B$1023,N819)="P10",INDEX($B$24:$B$1023,N819)="P11",INDEX($B$24:$B$1023,N819)="P12",INDEX($B$24:$B$1023,N819)="P13"),"C",IF(OR(INDEX($B$24:$B$1023,N819)="P14",INDEX($B$24:$B$1023,N819)="P15",INDEX($B$24:$B$1023,N819)="P16"),"N","O"))&amp;IF(MOD(N819,100)&lt;20,1,IF(MOD(N819,100)&lt;70,2,3))</f>
        <v>C2</v>
      </c>
    </row>
    <row r="820" spans="1:15" ht="16.5" thickBot="1">
      <c r="A820" s="662">
        <v>797</v>
      </c>
      <c r="B820" s="661" t="str" cm="1">
        <f t="array" ref="B820">"P"&amp;INDEX(X!$CL$2:$CL$12,'Scratch Sheet'!H819+1)+9</f>
        <v>P14</v>
      </c>
      <c r="C820" s="661">
        <v>1</v>
      </c>
      <c r="D820" s="755">
        <f t="shared" si="48"/>
        <v>7200</v>
      </c>
      <c r="E820" s="682" t="str">
        <f t="shared" si="49"/>
        <v>N3</v>
      </c>
      <c r="F820" s="683">
        <f t="shared" si="50"/>
        <v>8</v>
      </c>
      <c r="H820" s="13">
        <v>184</v>
      </c>
      <c r="I820" s="13">
        <f>VLOOKUP(VLOOKUP(H820,$A$24:$B$1023,2,FALSE),'Scratch Sheet'!$U$23:$X$32,3,FALSE)</f>
        <v>6</v>
      </c>
      <c r="K820" s="13">
        <f t="shared" si="47"/>
        <v>773</v>
      </c>
      <c r="L820" s="13">
        <f>IFERROR(VLOOKUP(VLOOKUP(K820,$A$24:$B$1023,2,FALSE),'Scratch Sheet'!$U$23:$Y$32,5,FALSE)*VLOOKUP(VLOOKUP(K820,$A$24:$E$1023,5,FALSE),'Scratch Sheet'!$L$22:$M$30,2,FALSE),"")</f>
        <v>8800</v>
      </c>
      <c r="N820" s="675">
        <v>636</v>
      </c>
      <c r="O820" s="675" t="str" cm="1">
        <f t="array" ref="O820">IF(OR(INDEX($B$24:$B$1023,N820)="P10",INDEX($B$24:$B$1023,N820)="P11",INDEX($B$24:$B$1023,N820)="P12",INDEX($B$24:$B$1023,N820)="P13"),"C",IF(OR(INDEX($B$24:$B$1023,N820)="P14",INDEX($B$24:$B$1023,N820)="P15",INDEX($B$24:$B$1023,N820)="P16"),"N","O"))&amp;IF(MOD(N820,100)&lt;20,1,IF(MOD(N820,100)&lt;70,2,3))</f>
        <v>C2</v>
      </c>
    </row>
    <row r="821" spans="1:15" ht="16.5" thickBot="1">
      <c r="A821" s="662">
        <v>798</v>
      </c>
      <c r="B821" s="661" t="str" cm="1">
        <f t="array" ref="B821">"P"&amp;INDEX(X!$CL$2:$CL$12,'Scratch Sheet'!H820+1)+9</f>
        <v>P10</v>
      </c>
      <c r="C821" s="661">
        <v>1</v>
      </c>
      <c r="D821" s="755">
        <f t="shared" si="48"/>
        <v>1920</v>
      </c>
      <c r="E821" s="682" t="str">
        <f t="shared" si="49"/>
        <v>C3</v>
      </c>
      <c r="F821" s="683">
        <f t="shared" si="50"/>
        <v>3</v>
      </c>
      <c r="H821" s="13">
        <v>921</v>
      </c>
      <c r="I821" s="13">
        <f>VLOOKUP(VLOOKUP(H821,$A$24:$B$1023,2,FALSE),'Scratch Sheet'!$U$23:$X$32,3,FALSE)</f>
        <v>11</v>
      </c>
      <c r="K821" s="13">
        <f t="shared" si="47"/>
        <v>776</v>
      </c>
      <c r="L821" s="13">
        <f>IFERROR(VLOOKUP(VLOOKUP(K821,$A$24:$B$1023,2,FALSE),'Scratch Sheet'!$U$23:$Y$32,5,FALSE)*VLOOKUP(VLOOKUP(K821,$A$24:$E$1023,5,FALSE),'Scratch Sheet'!$L$22:$M$30,2,FALSE),"")</f>
        <v>1920</v>
      </c>
      <c r="N821" s="675">
        <v>637</v>
      </c>
      <c r="O821" s="675" t="str" cm="1">
        <f t="array" ref="O821">IF(OR(INDEX($B$24:$B$1023,N821)="P10",INDEX($B$24:$B$1023,N821)="P11",INDEX($B$24:$B$1023,N821)="P12",INDEX($B$24:$B$1023,N821)="P13"),"C",IF(OR(INDEX($B$24:$B$1023,N821)="P14",INDEX($B$24:$B$1023,N821)="P15",INDEX($B$24:$B$1023,N821)="P16"),"N","O"))&amp;IF(MOD(N821,100)&lt;20,1,IF(MOD(N821,100)&lt;70,2,3))</f>
        <v>C2</v>
      </c>
    </row>
    <row r="822" spans="1:15" ht="16.5" thickBot="1">
      <c r="A822" s="662">
        <v>799</v>
      </c>
      <c r="B822" s="661" t="str" cm="1">
        <f t="array" ref="B822">"P"&amp;INDEX(X!$CL$2:$CL$12,'Scratch Sheet'!H821+1)+9</f>
        <v>P13</v>
      </c>
      <c r="C822" s="661">
        <v>1</v>
      </c>
      <c r="D822" s="755">
        <f t="shared" si="48"/>
        <v>3600</v>
      </c>
      <c r="E822" s="682" t="str">
        <f t="shared" si="49"/>
        <v>C3</v>
      </c>
      <c r="F822" s="683">
        <f t="shared" si="50"/>
        <v>5</v>
      </c>
      <c r="H822" s="13">
        <v>436</v>
      </c>
      <c r="I822" s="13">
        <f>VLOOKUP(VLOOKUP(H822,$A$24:$B$1023,2,FALSE),'Scratch Sheet'!$U$23:$X$32,3,FALSE)</f>
        <v>3</v>
      </c>
      <c r="K822" s="13">
        <f t="shared" si="47"/>
        <v>771</v>
      </c>
      <c r="L822" s="13">
        <f>IFERROR(VLOOKUP(VLOOKUP(K822,$A$24:$B$1023,2,FALSE),'Scratch Sheet'!$U$23:$Y$32,5,FALSE)*VLOOKUP(VLOOKUP(K822,$A$24:$E$1023,5,FALSE),'Scratch Sheet'!$L$22:$M$30,2,FALSE),"")</f>
        <v>9600</v>
      </c>
      <c r="N822" s="675">
        <v>638</v>
      </c>
      <c r="O822" s="675" t="str" cm="1">
        <f t="array" ref="O822">IF(OR(INDEX($B$24:$B$1023,N822)="P10",INDEX($B$24:$B$1023,N822)="P11",INDEX($B$24:$B$1023,N822)="P12",INDEX($B$24:$B$1023,N822)="P13"),"C",IF(OR(INDEX($B$24:$B$1023,N822)="P14",INDEX($B$24:$B$1023,N822)="P15",INDEX($B$24:$B$1023,N822)="P16"),"N","O"))&amp;IF(MOD(N822,100)&lt;20,1,IF(MOD(N822,100)&lt;70,2,3))</f>
        <v>C2</v>
      </c>
    </row>
    <row r="823" spans="1:15" ht="16.5" thickBot="1">
      <c r="A823" s="662">
        <v>800</v>
      </c>
      <c r="B823" s="661" t="str" cm="1">
        <f t="array" ref="B823">"P"&amp;INDEX(X!$CL$2:$CL$12,'Scratch Sheet'!H822+1)+9</f>
        <v>P13</v>
      </c>
      <c r="C823" s="661">
        <v>1</v>
      </c>
      <c r="D823" s="755">
        <f t="shared" si="48"/>
        <v>5400</v>
      </c>
      <c r="E823" s="682" t="str">
        <f t="shared" si="49"/>
        <v>C1</v>
      </c>
      <c r="F823" s="683">
        <f t="shared" si="50"/>
        <v>5</v>
      </c>
      <c r="H823" s="13">
        <v>956</v>
      </c>
      <c r="I823" s="13">
        <f>VLOOKUP(VLOOKUP(H823,$A$24:$B$1023,2,FALSE),'Scratch Sheet'!$U$23:$X$32,3,FALSE)</f>
        <v>4</v>
      </c>
      <c r="K823" s="13">
        <f t="shared" si="47"/>
        <v>782</v>
      </c>
      <c r="L823" s="13">
        <f>IFERROR(VLOOKUP(VLOOKUP(K823,$A$24:$B$1023,2,FALSE),'Scratch Sheet'!$U$23:$Y$32,5,FALSE)*VLOOKUP(VLOOKUP(K823,$A$24:$E$1023,5,FALSE),'Scratch Sheet'!$L$22:$M$30,2,FALSE),"")</f>
        <v>3600</v>
      </c>
      <c r="N823" s="675">
        <v>642</v>
      </c>
      <c r="O823" s="675" t="str" cm="1">
        <f t="array" ref="O823">IF(OR(INDEX($B$24:$B$1023,N823)="P10",INDEX($B$24:$B$1023,N823)="P11",INDEX($B$24:$B$1023,N823)="P12",INDEX($B$24:$B$1023,N823)="P13"),"C",IF(OR(INDEX($B$24:$B$1023,N823)="P14",INDEX($B$24:$B$1023,N823)="P15",INDEX($B$24:$B$1023,N823)="P16"),"N","O"))&amp;IF(MOD(N823,100)&lt;20,1,IF(MOD(N823,100)&lt;70,2,3))</f>
        <v>C2</v>
      </c>
    </row>
    <row r="824" spans="1:15" ht="16.5" thickBot="1">
      <c r="A824" s="662">
        <v>801</v>
      </c>
      <c r="B824" s="661" t="str" cm="1">
        <f t="array" ref="B824">"P"&amp;INDEX(X!$CL$2:$CL$12,'Scratch Sheet'!H823+1)+9</f>
        <v>P10</v>
      </c>
      <c r="C824" s="661">
        <v>1</v>
      </c>
      <c r="D824" s="755">
        <f t="shared" si="48"/>
        <v>2880</v>
      </c>
      <c r="E824" s="682" t="str">
        <f t="shared" si="49"/>
        <v>C1</v>
      </c>
      <c r="F824" s="683">
        <f t="shared" si="50"/>
        <v>3</v>
      </c>
      <c r="H824" s="13">
        <v>402</v>
      </c>
      <c r="I824" s="13">
        <f>VLOOKUP(VLOOKUP(H824,$A$24:$B$1023,2,FALSE),'Scratch Sheet'!$U$23:$X$32,3,FALSE)</f>
        <v>3</v>
      </c>
      <c r="K824" s="13">
        <f t="shared" si="47"/>
        <v>785</v>
      </c>
      <c r="L824" s="13">
        <f>IFERROR(VLOOKUP(VLOOKUP(K824,$A$24:$B$1023,2,FALSE),'Scratch Sheet'!$U$23:$Y$32,5,FALSE)*VLOOKUP(VLOOKUP(K824,$A$24:$E$1023,5,FALSE),'Scratch Sheet'!$L$22:$M$30,2,FALSE),"")</f>
        <v>8800</v>
      </c>
      <c r="N824" s="675">
        <v>644</v>
      </c>
      <c r="O824" s="675" t="str" cm="1">
        <f t="array" ref="O824">IF(OR(INDEX($B$24:$B$1023,N824)="P10",INDEX($B$24:$B$1023,N824)="P11",INDEX($B$24:$B$1023,N824)="P12",INDEX($B$24:$B$1023,N824)="P13"),"C",IF(OR(INDEX($B$24:$B$1023,N824)="P14",INDEX($B$24:$B$1023,N824)="P15",INDEX($B$24:$B$1023,N824)="P16"),"N","O"))&amp;IF(MOD(N824,100)&lt;20,1,IF(MOD(N824,100)&lt;70,2,3))</f>
        <v>N2</v>
      </c>
    </row>
    <row r="825" spans="1:15" ht="16.5" thickBot="1">
      <c r="A825" s="662">
        <v>802</v>
      </c>
      <c r="B825" s="661" t="str" cm="1">
        <f t="array" ref="B825">"P"&amp;INDEX(X!$CL$2:$CL$12,'Scratch Sheet'!H824+1)+9</f>
        <v>P11</v>
      </c>
      <c r="C825" s="661">
        <v>1</v>
      </c>
      <c r="D825" s="755">
        <f t="shared" si="48"/>
        <v>13200</v>
      </c>
      <c r="E825" s="682" t="str">
        <f t="shared" si="49"/>
        <v>C1</v>
      </c>
      <c r="F825" s="683">
        <f t="shared" si="50"/>
        <v>11</v>
      </c>
      <c r="H825" s="13">
        <v>660</v>
      </c>
      <c r="I825" s="13">
        <f>VLOOKUP(VLOOKUP(H825,$A$24:$B$1023,2,FALSE),'Scratch Sheet'!$U$23:$X$32,3,FALSE)</f>
        <v>6</v>
      </c>
      <c r="K825" s="13">
        <f t="shared" si="47"/>
        <v>784</v>
      </c>
      <c r="L825" s="13">
        <f>IFERROR(VLOOKUP(VLOOKUP(K825,$A$24:$B$1023,2,FALSE),'Scratch Sheet'!$U$23:$Y$32,5,FALSE)*VLOOKUP(VLOOKUP(K825,$A$24:$E$1023,5,FALSE),'Scratch Sheet'!$L$22:$M$30,2,FALSE),"")</f>
        <v>1920</v>
      </c>
      <c r="N825" s="675">
        <v>646</v>
      </c>
      <c r="O825" s="675" t="str" cm="1">
        <f t="array" ref="O825">IF(OR(INDEX($B$24:$B$1023,N825)="P10",INDEX($B$24:$B$1023,N825)="P11",INDEX($B$24:$B$1023,N825)="P12",INDEX($B$24:$B$1023,N825)="P13"),"C",IF(OR(INDEX($B$24:$B$1023,N825)="P14",INDEX($B$24:$B$1023,N825)="P15",INDEX($B$24:$B$1023,N825)="P16"),"N","O"))&amp;IF(MOD(N825,100)&lt;20,1,IF(MOD(N825,100)&lt;70,2,3))</f>
        <v>C2</v>
      </c>
    </row>
    <row r="826" spans="1:15" ht="16.5" thickBot="1">
      <c r="A826" s="662">
        <v>803</v>
      </c>
      <c r="B826" s="661" t="str" cm="1">
        <f t="array" ref="B826">"P"&amp;INDEX(X!$CL$2:$CL$12,'Scratch Sheet'!H825+1)+9</f>
        <v>P16</v>
      </c>
      <c r="C826" s="661">
        <v>1</v>
      </c>
      <c r="D826" s="755">
        <f t="shared" si="48"/>
        <v>7279.9999999999991</v>
      </c>
      <c r="E826" s="682" t="str">
        <f t="shared" si="49"/>
        <v>N1</v>
      </c>
      <c r="F826" s="683">
        <f t="shared" si="50"/>
        <v>4</v>
      </c>
      <c r="H826" s="13">
        <v>664</v>
      </c>
      <c r="I826" s="13">
        <f>VLOOKUP(VLOOKUP(H826,$A$24:$B$1023,2,FALSE),'Scratch Sheet'!$U$23:$X$32,3,FALSE)</f>
        <v>5</v>
      </c>
      <c r="K826" s="13">
        <f t="shared" si="47"/>
        <v>779</v>
      </c>
      <c r="L826" s="13">
        <f>IFERROR(VLOOKUP(VLOOKUP(K826,$A$24:$B$1023,2,FALSE),'Scratch Sheet'!$U$23:$Y$32,5,FALSE)*VLOOKUP(VLOOKUP(K826,$A$24:$E$1023,5,FALSE),'Scratch Sheet'!$L$22:$M$30,2,FALSE),"")</f>
        <v>4320</v>
      </c>
      <c r="N826" s="675">
        <v>647</v>
      </c>
      <c r="O826" s="675" t="str" cm="1">
        <f t="array" ref="O826">IF(OR(INDEX($B$24:$B$1023,N826)="P10",INDEX($B$24:$B$1023,N826)="P11",INDEX($B$24:$B$1023,N826)="P12",INDEX($B$24:$B$1023,N826)="P13"),"C",IF(OR(INDEX($B$24:$B$1023,N826)="P14",INDEX($B$24:$B$1023,N826)="P15",INDEX($B$24:$B$1023,N826)="P16"),"N","O"))&amp;IF(MOD(N826,100)&lt;20,1,IF(MOD(N826,100)&lt;70,2,3))</f>
        <v>C2</v>
      </c>
    </row>
    <row r="827" spans="1:15" ht="16.5" thickBot="1">
      <c r="A827" s="662">
        <v>804</v>
      </c>
      <c r="B827" s="661" t="str" cm="1">
        <f t="array" ref="B827">"P"&amp;INDEX(X!$CL$2:$CL$12,'Scratch Sheet'!H826+1)+9</f>
        <v>P17</v>
      </c>
      <c r="C827" s="661">
        <v>1</v>
      </c>
      <c r="D827" s="755">
        <f t="shared" si="48"/>
        <v>10800</v>
      </c>
      <c r="E827" s="682" t="str">
        <f t="shared" si="49"/>
        <v>O1</v>
      </c>
      <c r="F827" s="683">
        <f t="shared" si="50"/>
        <v>12</v>
      </c>
      <c r="H827" s="13">
        <v>966</v>
      </c>
      <c r="I827" s="13">
        <f>VLOOKUP(VLOOKUP(H827,$A$24:$B$1023,2,FALSE),'Scratch Sheet'!$U$23:$X$32,3,FALSE)</f>
        <v>6</v>
      </c>
      <c r="K827" s="13">
        <f t="shared" si="47"/>
        <v>781</v>
      </c>
      <c r="L827" s="13">
        <f>IFERROR(VLOOKUP(VLOOKUP(K827,$A$24:$B$1023,2,FALSE),'Scratch Sheet'!$U$23:$Y$32,5,FALSE)*VLOOKUP(VLOOKUP(K827,$A$24:$E$1023,5,FALSE),'Scratch Sheet'!$L$22:$M$30,2,FALSE),"")</f>
        <v>1920</v>
      </c>
      <c r="N827" s="675">
        <v>649</v>
      </c>
      <c r="O827" s="675" t="str" cm="1">
        <f t="array" ref="O827">IF(OR(INDEX($B$24:$B$1023,N827)="P10",INDEX($B$24:$B$1023,N827)="P11",INDEX($B$24:$B$1023,N827)="P12",INDEX($B$24:$B$1023,N827)="P13"),"C",IF(OR(INDEX($B$24:$B$1023,N827)="P14",INDEX($B$24:$B$1023,N827)="P15",INDEX($B$24:$B$1023,N827)="P16"),"N","O"))&amp;IF(MOD(N827,100)&lt;20,1,IF(MOD(N827,100)&lt;70,2,3))</f>
        <v>C2</v>
      </c>
    </row>
    <row r="828" spans="1:15" ht="16.5" thickBot="1">
      <c r="A828" s="662">
        <v>805</v>
      </c>
      <c r="B828" s="661" t="str" cm="1">
        <f t="array" ref="B828">"P"&amp;INDEX(X!$CL$2:$CL$12,'Scratch Sheet'!H827+1)+9</f>
        <v>P17</v>
      </c>
      <c r="C828" s="661">
        <v>1</v>
      </c>
      <c r="D828" s="755">
        <f t="shared" si="48"/>
        <v>10800</v>
      </c>
      <c r="E828" s="682" t="str">
        <f t="shared" si="49"/>
        <v>O1</v>
      </c>
      <c r="F828" s="683">
        <f t="shared" si="50"/>
        <v>12</v>
      </c>
      <c r="H828" s="13">
        <v>136</v>
      </c>
      <c r="I828" s="13">
        <f>VLOOKUP(VLOOKUP(H828,$A$24:$B$1023,2,FALSE),'Scratch Sheet'!$U$23:$X$32,3,FALSE)</f>
        <v>5</v>
      </c>
      <c r="K828" s="13">
        <f t="shared" si="47"/>
        <v>780</v>
      </c>
      <c r="L828" s="13">
        <f>IFERROR(VLOOKUP(VLOOKUP(K828,$A$24:$B$1023,2,FALSE),'Scratch Sheet'!$U$23:$Y$32,5,FALSE)*VLOOKUP(VLOOKUP(K828,$A$24:$E$1023,5,FALSE),'Scratch Sheet'!$L$22:$M$30,2,FALSE),"")</f>
        <v>7200</v>
      </c>
      <c r="N828" s="675">
        <v>653</v>
      </c>
      <c r="O828" s="675" t="str" cm="1">
        <f t="array" ref="O828">IF(OR(INDEX($B$24:$B$1023,N828)="P10",INDEX($B$24:$B$1023,N828)="P11",INDEX($B$24:$B$1023,N828)="P12",INDEX($B$24:$B$1023,N828)="P13"),"C",IF(OR(INDEX($B$24:$B$1023,N828)="P14",INDEX($B$24:$B$1023,N828)="P15",INDEX($B$24:$B$1023,N828)="P16"),"N","O"))&amp;IF(MOD(N828,100)&lt;20,1,IF(MOD(N828,100)&lt;70,2,3))</f>
        <v>C2</v>
      </c>
    </row>
    <row r="829" spans="1:15" ht="16.5" thickBot="1">
      <c r="A829" s="662">
        <v>806</v>
      </c>
      <c r="B829" s="661" t="str" cm="1">
        <f t="array" ref="B829">"P"&amp;INDEX(X!$CL$2:$CL$12,'Scratch Sheet'!H828+1)+9</f>
        <v>P13</v>
      </c>
      <c r="C829" s="661">
        <v>1</v>
      </c>
      <c r="D829" s="755">
        <f t="shared" si="48"/>
        <v>5400</v>
      </c>
      <c r="E829" s="682" t="str">
        <f t="shared" si="49"/>
        <v>C1</v>
      </c>
      <c r="F829" s="683">
        <f t="shared" si="50"/>
        <v>5</v>
      </c>
      <c r="H829" s="13">
        <v>639</v>
      </c>
      <c r="I829" s="13">
        <f>VLOOKUP(VLOOKUP(H829,$A$24:$B$1023,2,FALSE),'Scratch Sheet'!$U$23:$X$32,3,FALSE)</f>
        <v>6.5</v>
      </c>
      <c r="K829" s="13">
        <f t="shared" si="47"/>
        <v>783</v>
      </c>
      <c r="L829" s="13">
        <f>IFERROR(VLOOKUP(VLOOKUP(K829,$A$24:$B$1023,2,FALSE),'Scratch Sheet'!$U$23:$Y$32,5,FALSE)*VLOOKUP(VLOOKUP(K829,$A$24:$E$1023,5,FALSE),'Scratch Sheet'!$L$22:$M$30,2,FALSE),"")</f>
        <v>3600</v>
      </c>
      <c r="N829" s="675">
        <v>654</v>
      </c>
      <c r="O829" s="675" t="str" cm="1">
        <f t="array" ref="O829">IF(OR(INDEX($B$24:$B$1023,N829)="P10",INDEX($B$24:$B$1023,N829)="P11",INDEX($B$24:$B$1023,N829)="P12",INDEX($B$24:$B$1023,N829)="P13"),"C",IF(OR(INDEX($B$24:$B$1023,N829)="P14",INDEX($B$24:$B$1023,N829)="P15",INDEX($B$24:$B$1023,N829)="P16"),"N","O"))&amp;IF(MOD(N829,100)&lt;20,1,IF(MOD(N829,100)&lt;70,2,3))</f>
        <v>C2</v>
      </c>
    </row>
    <row r="830" spans="1:15" ht="16.5" thickBot="1">
      <c r="A830" s="662">
        <v>807</v>
      </c>
      <c r="B830" s="661" t="str" cm="1">
        <f t="array" ref="B830">"P"&amp;INDEX(X!$CL$2:$CL$12,'Scratch Sheet'!H829+1)+9</f>
        <v>P11</v>
      </c>
      <c r="C830" s="661">
        <v>1</v>
      </c>
      <c r="D830" s="755">
        <f t="shared" si="48"/>
        <v>13200</v>
      </c>
      <c r="E830" s="682" t="str">
        <f t="shared" si="49"/>
        <v>C1</v>
      </c>
      <c r="F830" s="683">
        <f t="shared" si="50"/>
        <v>11</v>
      </c>
      <c r="H830" s="13">
        <v>196</v>
      </c>
      <c r="I830" s="13">
        <f>VLOOKUP(VLOOKUP(H830,$A$24:$B$1023,2,FALSE),'Scratch Sheet'!$U$23:$X$32,3,FALSE)</f>
        <v>11</v>
      </c>
      <c r="K830" s="13">
        <f t="shared" si="47"/>
        <v>789</v>
      </c>
      <c r="L830" s="13">
        <f>IFERROR(VLOOKUP(VLOOKUP(K830,$A$24:$B$1023,2,FALSE),'Scratch Sheet'!$U$23:$Y$32,5,FALSE)*VLOOKUP(VLOOKUP(K830,$A$24:$E$1023,5,FALSE),'Scratch Sheet'!$L$22:$M$30,2,FALSE),"")</f>
        <v>3600</v>
      </c>
      <c r="N830" s="675">
        <v>655</v>
      </c>
      <c r="O830" s="675" t="str" cm="1">
        <f t="array" ref="O830">IF(OR(INDEX($B$24:$B$1023,N830)="P10",INDEX($B$24:$B$1023,N830)="P11",INDEX($B$24:$B$1023,N830)="P12",INDEX($B$24:$B$1023,N830)="P13"),"C",IF(OR(INDEX($B$24:$B$1023,N830)="P14",INDEX($B$24:$B$1023,N830)="P15",INDEX($B$24:$B$1023,N830)="P16"),"N","O"))&amp;IF(MOD(N830,100)&lt;20,1,IF(MOD(N830,100)&lt;70,2,3))</f>
        <v>C2</v>
      </c>
    </row>
    <row r="831" spans="1:15" ht="16.5" thickBot="1">
      <c r="A831" s="662">
        <v>808</v>
      </c>
      <c r="B831" s="661" t="str" cm="1">
        <f t="array" ref="B831">"P"&amp;INDEX(X!$CL$2:$CL$12,'Scratch Sheet'!H830+1)+9</f>
        <v>P11</v>
      </c>
      <c r="C831" s="661">
        <v>1</v>
      </c>
      <c r="D831" s="755">
        <f t="shared" si="48"/>
        <v>13200</v>
      </c>
      <c r="E831" s="682" t="str">
        <f t="shared" si="49"/>
        <v>C1</v>
      </c>
      <c r="F831" s="683">
        <f t="shared" si="50"/>
        <v>11</v>
      </c>
      <c r="H831" s="13">
        <v>844</v>
      </c>
      <c r="I831" s="13">
        <f>VLOOKUP(VLOOKUP(H831,$A$24:$B$1023,2,FALSE),'Scratch Sheet'!$U$23:$X$32,3,FALSE)</f>
        <v>3</v>
      </c>
      <c r="K831" s="13">
        <f t="shared" ref="K831:K894" si="51">K728+100</f>
        <v>791</v>
      </c>
      <c r="L831" s="13">
        <f>IFERROR(VLOOKUP(VLOOKUP(K831,$A$24:$B$1023,2,FALSE),'Scratch Sheet'!$U$23:$Y$32,5,FALSE)*VLOOKUP(VLOOKUP(K831,$A$24:$E$1023,5,FALSE),'Scratch Sheet'!$L$22:$M$30,2,FALSE),"")</f>
        <v>8800</v>
      </c>
      <c r="N831" s="675">
        <v>659</v>
      </c>
      <c r="O831" s="675" t="str" cm="1">
        <f t="array" ref="O831">IF(OR(INDEX($B$24:$B$1023,N831)="P10",INDEX($B$24:$B$1023,N831)="P11",INDEX($B$24:$B$1023,N831)="P12",INDEX($B$24:$B$1023,N831)="P13"),"C",IF(OR(INDEX($B$24:$B$1023,N831)="P14",INDEX($B$24:$B$1023,N831)="P15",INDEX($B$24:$B$1023,N831)="P16"),"N","O"))&amp;IF(MOD(N831,100)&lt;20,1,IF(MOD(N831,100)&lt;70,2,3))</f>
        <v>C2</v>
      </c>
    </row>
    <row r="832" spans="1:15" ht="16.5" thickBot="1">
      <c r="A832" s="662">
        <v>809</v>
      </c>
      <c r="B832" s="661" t="str" cm="1">
        <f t="array" ref="B832">"P"&amp;INDEX(X!$CL$2:$CL$12,'Scratch Sheet'!H831+1)+9</f>
        <v>P12</v>
      </c>
      <c r="C832" s="661">
        <v>1</v>
      </c>
      <c r="D832" s="755">
        <f t="shared" si="48"/>
        <v>8190</v>
      </c>
      <c r="E832" s="682" t="str">
        <f t="shared" si="49"/>
        <v>C1</v>
      </c>
      <c r="F832" s="683">
        <f t="shared" si="50"/>
        <v>6.5</v>
      </c>
      <c r="H832" s="13">
        <v>303</v>
      </c>
      <c r="I832" s="13">
        <f>VLOOKUP(VLOOKUP(H832,$A$24:$B$1023,2,FALSE),'Scratch Sheet'!$U$23:$X$32,3,FALSE)</f>
        <v>6</v>
      </c>
      <c r="K832" s="13">
        <f t="shared" si="51"/>
        <v>790</v>
      </c>
      <c r="L832" s="13">
        <f>IFERROR(VLOOKUP(VLOOKUP(K832,$A$24:$B$1023,2,FALSE),'Scratch Sheet'!$U$23:$Y$32,5,FALSE)*VLOOKUP(VLOOKUP(K832,$A$24:$E$1023,5,FALSE),'Scratch Sheet'!$L$22:$M$30,2,FALSE),"")</f>
        <v>8800</v>
      </c>
      <c r="N832" s="675">
        <v>661</v>
      </c>
      <c r="O832" s="675" t="str" cm="1">
        <f t="array" ref="O832">IF(OR(INDEX($B$24:$B$1023,N832)="P10",INDEX($B$24:$B$1023,N832)="P11",INDEX($B$24:$B$1023,N832)="P12",INDEX($B$24:$B$1023,N832)="P13"),"C",IF(OR(INDEX($B$24:$B$1023,N832)="P14",INDEX($B$24:$B$1023,N832)="P15",INDEX($B$24:$B$1023,N832)="P16"),"N","O"))&amp;IF(MOD(N832,100)&lt;20,1,IF(MOD(N832,100)&lt;70,2,3))</f>
        <v>N2</v>
      </c>
    </row>
    <row r="833" spans="1:15" ht="16.5" thickBot="1">
      <c r="A833" s="662">
        <v>810</v>
      </c>
      <c r="B833" s="661" t="str" cm="1">
        <f t="array" ref="B833">"P"&amp;INDEX(X!$CL$2:$CL$12,'Scratch Sheet'!H832+1)+9</f>
        <v>P10</v>
      </c>
      <c r="C833" s="661">
        <v>1</v>
      </c>
      <c r="D833" s="755">
        <f t="shared" si="48"/>
        <v>2880</v>
      </c>
      <c r="E833" s="682" t="str">
        <f t="shared" si="49"/>
        <v>C1</v>
      </c>
      <c r="F833" s="683">
        <f t="shared" si="50"/>
        <v>3</v>
      </c>
      <c r="H833" s="13">
        <v>889</v>
      </c>
      <c r="I833" s="13">
        <f>VLOOKUP(VLOOKUP(H833,$A$24:$B$1023,2,FALSE),'Scratch Sheet'!$U$23:$X$32,3,FALSE)</f>
        <v>12</v>
      </c>
      <c r="K833" s="13">
        <f t="shared" si="51"/>
        <v>786</v>
      </c>
      <c r="L833" s="13">
        <f>IFERROR(VLOOKUP(VLOOKUP(K833,$A$24:$B$1023,2,FALSE),'Scratch Sheet'!$U$23:$Y$32,5,FALSE)*VLOOKUP(VLOOKUP(K833,$A$24:$E$1023,5,FALSE),'Scratch Sheet'!$L$22:$M$30,2,FALSE),"")</f>
        <v>5200</v>
      </c>
      <c r="N833" s="675">
        <v>663</v>
      </c>
      <c r="O833" s="675" t="str" cm="1">
        <f t="array" ref="O833">IF(OR(INDEX($B$24:$B$1023,N833)="P10",INDEX($B$24:$B$1023,N833)="P11",INDEX($B$24:$B$1023,N833)="P12",INDEX($B$24:$B$1023,N833)="P13"),"C",IF(OR(INDEX($B$24:$B$1023,N833)="P14",INDEX($B$24:$B$1023,N833)="P15",INDEX($B$24:$B$1023,N833)="P16"),"N","O"))&amp;IF(MOD(N833,100)&lt;20,1,IF(MOD(N833,100)&lt;70,2,3))</f>
        <v>C2</v>
      </c>
    </row>
    <row r="834" spans="1:15" ht="16.5" thickBot="1">
      <c r="A834" s="662">
        <v>811</v>
      </c>
      <c r="B834" s="661" t="str" cm="1">
        <f t="array" ref="B834">"P"&amp;INDEX(X!$CL$2:$CL$12,'Scratch Sheet'!H833+1)+9</f>
        <v>P10</v>
      </c>
      <c r="C834" s="661">
        <v>1</v>
      </c>
      <c r="D834" s="755">
        <f t="shared" si="48"/>
        <v>2880</v>
      </c>
      <c r="E834" s="682" t="str">
        <f t="shared" si="49"/>
        <v>C1</v>
      </c>
      <c r="F834" s="683">
        <f t="shared" si="50"/>
        <v>3</v>
      </c>
      <c r="H834" s="13">
        <v>406</v>
      </c>
      <c r="I834" s="13">
        <f>VLOOKUP(VLOOKUP(H834,$A$24:$B$1023,2,FALSE),'Scratch Sheet'!$U$23:$X$32,3,FALSE)</f>
        <v>8</v>
      </c>
      <c r="K834" s="13">
        <f t="shared" si="51"/>
        <v>788</v>
      </c>
      <c r="L834" s="13">
        <f>IFERROR(VLOOKUP(VLOOKUP(K834,$A$24:$B$1023,2,FALSE),'Scratch Sheet'!$U$23:$Y$32,5,FALSE)*VLOOKUP(VLOOKUP(K834,$A$24:$E$1023,5,FALSE),'Scratch Sheet'!$L$22:$M$30,2,FALSE),"")</f>
        <v>9600</v>
      </c>
      <c r="N834" s="675">
        <v>664</v>
      </c>
      <c r="O834" s="675" t="str" cm="1">
        <f t="array" ref="O834">IF(OR(INDEX($B$24:$B$1023,N834)="P10",INDEX($B$24:$B$1023,N834)="P11",INDEX($B$24:$B$1023,N834)="P12",INDEX($B$24:$B$1023,N834)="P13"),"C",IF(OR(INDEX($B$24:$B$1023,N834)="P14",INDEX($B$24:$B$1023,N834)="P15",INDEX($B$24:$B$1023,N834)="P16"),"N","O"))&amp;IF(MOD(N834,100)&lt;20,1,IF(MOD(N834,100)&lt;70,2,3))</f>
        <v>C2</v>
      </c>
    </row>
    <row r="835" spans="1:15" ht="16.5" thickBot="1">
      <c r="A835" s="662">
        <v>812</v>
      </c>
      <c r="B835" s="661" t="str" cm="1">
        <f t="array" ref="B835">"P"&amp;INDEX(X!$CL$2:$CL$12,'Scratch Sheet'!H834+1)+9</f>
        <v>P11</v>
      </c>
      <c r="C835" s="661">
        <v>1</v>
      </c>
      <c r="D835" s="755">
        <f t="shared" si="48"/>
        <v>13200</v>
      </c>
      <c r="E835" s="682" t="str">
        <f t="shared" si="49"/>
        <v>C1</v>
      </c>
      <c r="F835" s="683">
        <f t="shared" si="50"/>
        <v>11</v>
      </c>
      <c r="H835" s="13">
        <v>31</v>
      </c>
      <c r="I835" s="13">
        <f>VLOOKUP(VLOOKUP(H835,$A$24:$B$1023,2,FALSE),'Scratch Sheet'!$U$23:$X$32,3,FALSE)</f>
        <v>5</v>
      </c>
      <c r="K835" s="13">
        <f t="shared" si="51"/>
        <v>787</v>
      </c>
      <c r="L835" s="13">
        <f>IFERROR(VLOOKUP(VLOOKUP(K835,$A$24:$B$1023,2,FALSE),'Scratch Sheet'!$U$23:$Y$32,5,FALSE)*VLOOKUP(VLOOKUP(K835,$A$24:$E$1023,5,FALSE),'Scratch Sheet'!$L$22:$M$30,2,FALSE),"")</f>
        <v>9600</v>
      </c>
      <c r="N835" s="675">
        <v>666</v>
      </c>
      <c r="O835" s="675" t="str" cm="1">
        <f t="array" ref="O835">IF(OR(INDEX($B$24:$B$1023,N835)="P10",INDEX($B$24:$B$1023,N835)="P11",INDEX($B$24:$B$1023,N835)="P12",INDEX($B$24:$B$1023,N835)="P13"),"C",IF(OR(INDEX($B$24:$B$1023,N835)="P14",INDEX($B$24:$B$1023,N835)="P15",INDEX($B$24:$B$1023,N835)="P16"),"N","O"))&amp;IF(MOD(N835,100)&lt;20,1,IF(MOD(N835,100)&lt;70,2,3))</f>
        <v>C2</v>
      </c>
    </row>
    <row r="836" spans="1:15" ht="16.5" thickBot="1">
      <c r="A836" s="662">
        <v>813</v>
      </c>
      <c r="B836" s="661" t="str" cm="1">
        <f t="array" ref="B836">"P"&amp;INDEX(X!$CL$2:$CL$12,'Scratch Sheet'!H835+1)+9</f>
        <v>P18</v>
      </c>
      <c r="C836" s="661">
        <v>1</v>
      </c>
      <c r="D836" s="755">
        <f t="shared" si="48"/>
        <v>4860</v>
      </c>
      <c r="E836" s="682" t="str">
        <f t="shared" si="49"/>
        <v>O1</v>
      </c>
      <c r="F836" s="683">
        <f t="shared" si="50"/>
        <v>6</v>
      </c>
      <c r="H836" s="13">
        <v>8</v>
      </c>
      <c r="I836" s="13">
        <f>VLOOKUP(VLOOKUP(H836,$A$24:$B$1023,2,FALSE),'Scratch Sheet'!$U$23:$X$32,3,FALSE)</f>
        <v>11</v>
      </c>
      <c r="K836" s="13">
        <f t="shared" si="51"/>
        <v>794</v>
      </c>
      <c r="L836" s="13">
        <f>IFERROR(VLOOKUP(VLOOKUP(K836,$A$24:$B$1023,2,FALSE),'Scratch Sheet'!$U$23:$Y$32,5,FALSE)*VLOOKUP(VLOOKUP(K836,$A$24:$E$1023,5,FALSE),'Scratch Sheet'!$L$22:$M$30,2,FALSE),"")</f>
        <v>1920</v>
      </c>
      <c r="N836" s="675">
        <v>670</v>
      </c>
      <c r="O836" s="675" t="str" cm="1">
        <f t="array" ref="O836">IF(OR(INDEX($B$24:$B$1023,N836)="P10",INDEX($B$24:$B$1023,N836)="P11",INDEX($B$24:$B$1023,N836)="P12",INDEX($B$24:$B$1023,N836)="P13"),"C",IF(OR(INDEX($B$24:$B$1023,N836)="P14",INDEX($B$24:$B$1023,N836)="P15",INDEX($B$24:$B$1023,N836)="P16"),"N","O"))&amp;IF(MOD(N836,100)&lt;20,1,IF(MOD(N836,100)&lt;70,2,3))</f>
        <v>C3</v>
      </c>
    </row>
    <row r="837" spans="1:15" ht="16.5" thickBot="1">
      <c r="A837" s="662">
        <v>814</v>
      </c>
      <c r="B837" s="661" t="str" cm="1">
        <f t="array" ref="B837">"P"&amp;INDEX(X!$CL$2:$CL$12,'Scratch Sheet'!H836+1)+9</f>
        <v>P14</v>
      </c>
      <c r="C837" s="661">
        <v>1</v>
      </c>
      <c r="D837" s="755">
        <f t="shared" si="48"/>
        <v>10080</v>
      </c>
      <c r="E837" s="682" t="str">
        <f t="shared" si="49"/>
        <v>N1</v>
      </c>
      <c r="F837" s="683">
        <f t="shared" si="50"/>
        <v>8</v>
      </c>
      <c r="H837" s="13">
        <v>58</v>
      </c>
      <c r="I837" s="13">
        <f>VLOOKUP(VLOOKUP(H837,$A$24:$B$1023,2,FALSE),'Scratch Sheet'!$U$23:$X$32,3,FALSE)</f>
        <v>8</v>
      </c>
      <c r="K837" s="13">
        <f t="shared" si="51"/>
        <v>796</v>
      </c>
      <c r="L837" s="13">
        <f>IFERROR(VLOOKUP(VLOOKUP(K837,$A$24:$B$1023,2,FALSE),'Scratch Sheet'!$U$23:$Y$32,5,FALSE)*VLOOKUP(VLOOKUP(K837,$A$24:$E$1023,5,FALSE),'Scratch Sheet'!$L$22:$M$30,2,FALSE),"")</f>
        <v>4320</v>
      </c>
      <c r="N837" s="675">
        <v>671</v>
      </c>
      <c r="O837" s="675" t="str" cm="1">
        <f t="array" ref="O837">IF(OR(INDEX($B$24:$B$1023,N837)="P10",INDEX($B$24:$B$1023,N837)="P11",INDEX($B$24:$B$1023,N837)="P12",INDEX($B$24:$B$1023,N837)="P13"),"C",IF(OR(INDEX($B$24:$B$1023,N837)="P14",INDEX($B$24:$B$1023,N837)="P15",INDEX($B$24:$B$1023,N837)="P16"),"N","O"))&amp;IF(MOD(N837,100)&lt;20,1,IF(MOD(N837,100)&lt;70,2,3))</f>
        <v>C3</v>
      </c>
    </row>
    <row r="838" spans="1:15" ht="16.5" thickBot="1">
      <c r="A838" s="662">
        <v>815</v>
      </c>
      <c r="B838" s="661" t="str" cm="1">
        <f t="array" ref="B838">"P"&amp;INDEX(X!$CL$2:$CL$12,'Scratch Sheet'!H837+1)+9</f>
        <v>P10</v>
      </c>
      <c r="C838" s="661">
        <v>1</v>
      </c>
      <c r="D838" s="755">
        <f t="shared" si="48"/>
        <v>2880</v>
      </c>
      <c r="E838" s="682" t="str">
        <f t="shared" si="49"/>
        <v>C1</v>
      </c>
      <c r="F838" s="683">
        <f t="shared" si="50"/>
        <v>3</v>
      </c>
      <c r="H838" s="13">
        <v>525</v>
      </c>
      <c r="I838" s="13">
        <f>VLOOKUP(VLOOKUP(H838,$A$24:$B$1023,2,FALSE),'Scratch Sheet'!$U$23:$X$32,3,FALSE)</f>
        <v>8</v>
      </c>
      <c r="K838" s="13">
        <f t="shared" si="51"/>
        <v>795</v>
      </c>
      <c r="L838" s="13">
        <f>IFERROR(VLOOKUP(VLOOKUP(K838,$A$24:$B$1023,2,FALSE),'Scratch Sheet'!$U$23:$Y$32,5,FALSE)*VLOOKUP(VLOOKUP(K838,$A$24:$E$1023,5,FALSE),'Scratch Sheet'!$L$22:$M$30,2,FALSE),"")</f>
        <v>8800</v>
      </c>
      <c r="N838" s="675">
        <v>672</v>
      </c>
      <c r="O838" s="675" t="str" cm="1">
        <f t="array" ref="O838">IF(OR(INDEX($B$24:$B$1023,N838)="P10",INDEX($B$24:$B$1023,N838)="P11",INDEX($B$24:$B$1023,N838)="P12",INDEX($B$24:$B$1023,N838)="P13"),"C",IF(OR(INDEX($B$24:$B$1023,N838)="P14",INDEX($B$24:$B$1023,N838)="P15",INDEX($B$24:$B$1023,N838)="P16"),"N","O"))&amp;IF(MOD(N838,100)&lt;20,1,IF(MOD(N838,100)&lt;70,2,3))</f>
        <v>C3</v>
      </c>
    </row>
    <row r="839" spans="1:15" ht="16.5" thickBot="1">
      <c r="A839" s="662">
        <v>816</v>
      </c>
      <c r="B839" s="661" t="str" cm="1">
        <f t="array" ref="B839">"P"&amp;INDEX(X!$CL$2:$CL$12,'Scratch Sheet'!H838+1)+9</f>
        <v>P13</v>
      </c>
      <c r="C839" s="661">
        <v>1</v>
      </c>
      <c r="D839" s="755">
        <f t="shared" si="48"/>
        <v>5400</v>
      </c>
      <c r="E839" s="682" t="str">
        <f t="shared" si="49"/>
        <v>C1</v>
      </c>
      <c r="F839" s="683">
        <f t="shared" si="50"/>
        <v>5</v>
      </c>
      <c r="H839" s="13">
        <v>782</v>
      </c>
      <c r="I839" s="13">
        <f>VLOOKUP(VLOOKUP(H839,$A$24:$B$1023,2,FALSE),'Scratch Sheet'!$U$23:$X$32,3,FALSE)</f>
        <v>5</v>
      </c>
      <c r="K839" s="13">
        <f t="shared" si="51"/>
        <v>792</v>
      </c>
      <c r="L839" s="13">
        <f>IFERROR(VLOOKUP(VLOOKUP(K839,$A$24:$B$1023,2,FALSE),'Scratch Sheet'!$U$23:$Y$32,5,FALSE)*VLOOKUP(VLOOKUP(K839,$A$24:$E$1023,5,FALSE),'Scratch Sheet'!$L$22:$M$30,2,FALSE),"")</f>
        <v>5460</v>
      </c>
      <c r="N839" s="675">
        <v>676</v>
      </c>
      <c r="O839" s="675" t="str" cm="1">
        <f t="array" ref="O839">IF(OR(INDEX($B$24:$B$1023,N839)="P10",INDEX($B$24:$B$1023,N839)="P11",INDEX($B$24:$B$1023,N839)="P12",INDEX($B$24:$B$1023,N839)="P13"),"C",IF(OR(INDEX($B$24:$B$1023,N839)="P14",INDEX($B$24:$B$1023,N839)="P15",INDEX($B$24:$B$1023,N839)="P16"),"N","O"))&amp;IF(MOD(N839,100)&lt;20,1,IF(MOD(N839,100)&lt;70,2,3))</f>
        <v>C3</v>
      </c>
    </row>
    <row r="840" spans="1:15" ht="16.5" thickBot="1">
      <c r="A840" s="662">
        <v>817</v>
      </c>
      <c r="B840" s="661" t="str" cm="1">
        <f t="array" ref="B840">"P"&amp;INDEX(X!$CL$2:$CL$12,'Scratch Sheet'!H839+1)+9</f>
        <v>P13</v>
      </c>
      <c r="C840" s="661">
        <v>1</v>
      </c>
      <c r="D840" s="755">
        <f t="shared" si="48"/>
        <v>5400</v>
      </c>
      <c r="E840" s="682" t="str">
        <f t="shared" si="49"/>
        <v>C1</v>
      </c>
      <c r="F840" s="683">
        <f t="shared" si="50"/>
        <v>5</v>
      </c>
      <c r="H840" s="13">
        <v>100</v>
      </c>
      <c r="I840" s="13">
        <f>VLOOKUP(VLOOKUP(H840,$A$24:$B$1023,2,FALSE),'Scratch Sheet'!$U$23:$X$32,3,FALSE)</f>
        <v>8</v>
      </c>
      <c r="K840" s="13">
        <f t="shared" si="51"/>
        <v>793</v>
      </c>
      <c r="L840" s="13">
        <f>IFERROR(VLOOKUP(VLOOKUP(K840,$A$24:$B$1023,2,FALSE),'Scratch Sheet'!$U$23:$Y$32,5,FALSE)*VLOOKUP(VLOOKUP(K840,$A$24:$E$1023,5,FALSE),'Scratch Sheet'!$L$22:$M$30,2,FALSE),"")</f>
        <v>1920</v>
      </c>
      <c r="N840" s="675">
        <v>678</v>
      </c>
      <c r="O840" s="675" t="str" cm="1">
        <f t="array" ref="O840">IF(OR(INDEX($B$24:$B$1023,N840)="P10",INDEX($B$24:$B$1023,N840)="P11",INDEX($B$24:$B$1023,N840)="P12",INDEX($B$24:$B$1023,N840)="P13"),"C",IF(OR(INDEX($B$24:$B$1023,N840)="P14",INDEX($B$24:$B$1023,N840)="P15",INDEX($B$24:$B$1023,N840)="P16"),"N","O"))&amp;IF(MOD(N840,100)&lt;20,1,IF(MOD(N840,100)&lt;70,2,3))</f>
        <v>N3</v>
      </c>
    </row>
    <row r="841" spans="1:15" ht="16.5" thickBot="1">
      <c r="A841" s="662">
        <v>818</v>
      </c>
      <c r="B841" s="661" t="str" cm="1">
        <f t="array" ref="B841">"P"&amp;INDEX(X!$CL$2:$CL$12,'Scratch Sheet'!H840+1)+9</f>
        <v>P10</v>
      </c>
      <c r="C841" s="661">
        <v>1</v>
      </c>
      <c r="D841" s="755">
        <f t="shared" si="48"/>
        <v>2880</v>
      </c>
      <c r="E841" s="682" t="str">
        <f t="shared" si="49"/>
        <v>C1</v>
      </c>
      <c r="F841" s="683">
        <f t="shared" si="50"/>
        <v>3</v>
      </c>
      <c r="H841" s="13">
        <v>160</v>
      </c>
      <c r="I841" s="13">
        <f>VLOOKUP(VLOOKUP(H841,$A$24:$B$1023,2,FALSE),'Scratch Sheet'!$U$23:$X$32,3,FALSE)</f>
        <v>5</v>
      </c>
      <c r="K841" s="13">
        <f t="shared" si="51"/>
        <v>798</v>
      </c>
      <c r="L841" s="13">
        <f>IFERROR(VLOOKUP(VLOOKUP(K841,$A$24:$B$1023,2,FALSE),'Scratch Sheet'!$U$23:$Y$32,5,FALSE)*VLOOKUP(VLOOKUP(K841,$A$24:$E$1023,5,FALSE),'Scratch Sheet'!$L$22:$M$30,2,FALSE),"")</f>
        <v>1920</v>
      </c>
      <c r="N841" s="675">
        <v>680</v>
      </c>
      <c r="O841" s="675" t="str" cm="1">
        <f t="array" ref="O841">IF(OR(INDEX($B$24:$B$1023,N841)="P10",INDEX($B$24:$B$1023,N841)="P11",INDEX($B$24:$B$1023,N841)="P12",INDEX($B$24:$B$1023,N841)="P13"),"C",IF(OR(INDEX($B$24:$B$1023,N841)="P14",INDEX($B$24:$B$1023,N841)="P15",INDEX($B$24:$B$1023,N841)="P16"),"N","O"))&amp;IF(MOD(N841,100)&lt;20,1,IF(MOD(N841,100)&lt;70,2,3))</f>
        <v>C3</v>
      </c>
    </row>
    <row r="842" spans="1:15" ht="16.5" thickBot="1">
      <c r="A842" s="662">
        <v>819</v>
      </c>
      <c r="B842" s="661" t="str" cm="1">
        <f t="array" ref="B842">"P"&amp;INDEX(X!$CL$2:$CL$12,'Scratch Sheet'!H841+1)+9</f>
        <v>P11</v>
      </c>
      <c r="C842" s="661">
        <v>1</v>
      </c>
      <c r="D842" s="755">
        <f t="shared" si="48"/>
        <v>13200</v>
      </c>
      <c r="E842" s="682" t="str">
        <f t="shared" si="49"/>
        <v>C1</v>
      </c>
      <c r="F842" s="683">
        <f t="shared" si="50"/>
        <v>11</v>
      </c>
      <c r="H842" s="13">
        <v>788</v>
      </c>
      <c r="I842" s="13">
        <f>VLOOKUP(VLOOKUP(H842,$A$24:$B$1023,2,FALSE),'Scratch Sheet'!$U$23:$X$32,3,FALSE)</f>
        <v>12</v>
      </c>
      <c r="K842" s="13">
        <f t="shared" si="51"/>
        <v>800</v>
      </c>
      <c r="L842" s="13">
        <f>IFERROR(VLOOKUP(VLOOKUP(K842,$A$24:$B$1023,2,FALSE),'Scratch Sheet'!$U$23:$Y$32,5,FALSE)*VLOOKUP(VLOOKUP(K842,$A$24:$E$1023,5,FALSE),'Scratch Sheet'!$L$22:$M$30,2,FALSE),"")</f>
        <v>5400</v>
      </c>
      <c r="N842" s="675">
        <v>681</v>
      </c>
      <c r="O842" s="675" t="str" cm="1">
        <f t="array" ref="O842">IF(OR(INDEX($B$24:$B$1023,N842)="P10",INDEX($B$24:$B$1023,N842)="P11",INDEX($B$24:$B$1023,N842)="P12",INDEX($B$24:$B$1023,N842)="P13"),"C",IF(OR(INDEX($B$24:$B$1023,N842)="P14",INDEX($B$24:$B$1023,N842)="P15",INDEX($B$24:$B$1023,N842)="P16"),"N","O"))&amp;IF(MOD(N842,100)&lt;20,1,IF(MOD(N842,100)&lt;70,2,3))</f>
        <v>C3</v>
      </c>
    </row>
    <row r="843" spans="1:15" ht="16.5" thickBot="1">
      <c r="A843" s="662">
        <v>820</v>
      </c>
      <c r="B843" s="661" t="str" cm="1">
        <f t="array" ref="B843">"P"&amp;INDEX(X!$CL$2:$CL$12,'Scratch Sheet'!H842+1)+9</f>
        <v>P16</v>
      </c>
      <c r="C843" s="661">
        <v>1</v>
      </c>
      <c r="D843" s="755">
        <f t="shared" si="48"/>
        <v>4680</v>
      </c>
      <c r="E843" s="682" t="str">
        <f t="shared" si="49"/>
        <v>N2</v>
      </c>
      <c r="F843" s="683">
        <f t="shared" si="50"/>
        <v>4</v>
      </c>
      <c r="H843" s="13">
        <v>569</v>
      </c>
      <c r="I843" s="13">
        <f>VLOOKUP(VLOOKUP(H843,$A$24:$B$1023,2,FALSE),'Scratch Sheet'!$U$23:$X$32,3,FALSE)</f>
        <v>11</v>
      </c>
      <c r="K843" s="13">
        <f t="shared" si="51"/>
        <v>799</v>
      </c>
      <c r="L843" s="13">
        <f>IFERROR(VLOOKUP(VLOOKUP(K843,$A$24:$B$1023,2,FALSE),'Scratch Sheet'!$U$23:$Y$32,5,FALSE)*VLOOKUP(VLOOKUP(K843,$A$24:$E$1023,5,FALSE),'Scratch Sheet'!$L$22:$M$30,2,FALSE),"")</f>
        <v>3600</v>
      </c>
      <c r="N843" s="675">
        <v>683</v>
      </c>
      <c r="O843" s="675" t="str" cm="1">
        <f t="array" ref="O843">IF(OR(INDEX($B$24:$B$1023,N843)="P10",INDEX($B$24:$B$1023,N843)="P11",INDEX($B$24:$B$1023,N843)="P12",INDEX($B$24:$B$1023,N843)="P13"),"C",IF(OR(INDEX($B$24:$B$1023,N843)="P14",INDEX($B$24:$B$1023,N843)="P15",INDEX($B$24:$B$1023,N843)="P16"),"N","O"))&amp;IF(MOD(N843,100)&lt;20,1,IF(MOD(N843,100)&lt;70,2,3))</f>
        <v>C3</v>
      </c>
    </row>
    <row r="844" spans="1:15" ht="16.5" thickBot="1">
      <c r="A844" s="662">
        <v>821</v>
      </c>
      <c r="B844" s="661" t="str" cm="1">
        <f t="array" ref="B844">"P"&amp;INDEX(X!$CL$2:$CL$12,'Scratch Sheet'!H843+1)+9</f>
        <v>P17</v>
      </c>
      <c r="C844" s="661">
        <v>1</v>
      </c>
      <c r="D844" s="755">
        <f t="shared" si="48"/>
        <v>13200.000000000002</v>
      </c>
      <c r="E844" s="682" t="str">
        <f t="shared" si="49"/>
        <v>O2</v>
      </c>
      <c r="F844" s="683">
        <f t="shared" si="50"/>
        <v>12</v>
      </c>
      <c r="H844" s="13">
        <v>161</v>
      </c>
      <c r="I844" s="13">
        <f>VLOOKUP(VLOOKUP(H844,$A$24:$B$1023,2,FALSE),'Scratch Sheet'!$U$23:$X$32,3,FALSE)</f>
        <v>11</v>
      </c>
      <c r="K844" s="13">
        <f t="shared" si="51"/>
        <v>797</v>
      </c>
      <c r="L844" s="13">
        <f>IFERROR(VLOOKUP(VLOOKUP(K844,$A$24:$B$1023,2,FALSE),'Scratch Sheet'!$U$23:$Y$32,5,FALSE)*VLOOKUP(VLOOKUP(K844,$A$24:$E$1023,5,FALSE),'Scratch Sheet'!$L$22:$M$30,2,FALSE),"")</f>
        <v>7200</v>
      </c>
      <c r="N844" s="675">
        <v>687</v>
      </c>
      <c r="O844" s="675" t="str" cm="1">
        <f t="array" ref="O844">IF(OR(INDEX($B$24:$B$1023,N844)="P10",INDEX($B$24:$B$1023,N844)="P11",INDEX($B$24:$B$1023,N844)="P12",INDEX($B$24:$B$1023,N844)="P13"),"C",IF(OR(INDEX($B$24:$B$1023,N844)="P14",INDEX($B$24:$B$1023,N844)="P15",INDEX($B$24:$B$1023,N844)="P16"),"N","O"))&amp;IF(MOD(N844,100)&lt;20,1,IF(MOD(N844,100)&lt;70,2,3))</f>
        <v>C3</v>
      </c>
    </row>
    <row r="845" spans="1:15" ht="16.5" thickBot="1">
      <c r="A845" s="662">
        <v>822</v>
      </c>
      <c r="B845" s="661" t="str" cm="1">
        <f t="array" ref="B845">"P"&amp;INDEX(X!$CL$2:$CL$12,'Scratch Sheet'!H844+1)+9</f>
        <v>P17</v>
      </c>
      <c r="C845" s="661">
        <v>1</v>
      </c>
      <c r="D845" s="755">
        <f t="shared" si="48"/>
        <v>13200.000000000002</v>
      </c>
      <c r="E845" s="682" t="str">
        <f t="shared" si="49"/>
        <v>O2</v>
      </c>
      <c r="F845" s="683">
        <f t="shared" si="50"/>
        <v>12</v>
      </c>
      <c r="H845" s="13">
        <v>236</v>
      </c>
      <c r="I845" s="13">
        <f>VLOOKUP(VLOOKUP(H845,$A$24:$B$1023,2,FALSE),'Scratch Sheet'!$U$23:$X$32,3,FALSE)</f>
        <v>8</v>
      </c>
      <c r="K845" s="13">
        <f t="shared" si="51"/>
        <v>738</v>
      </c>
      <c r="L845" s="13">
        <f>IFERROR(VLOOKUP(VLOOKUP(K845,$A$24:$B$1023,2,FALSE),'Scratch Sheet'!$U$23:$Y$32,5,FALSE)*VLOOKUP(VLOOKUP(K845,$A$24:$E$1023,5,FALSE),'Scratch Sheet'!$L$22:$M$30,2,FALSE),"")</f>
        <v>4500</v>
      </c>
      <c r="N845" s="675">
        <v>688</v>
      </c>
      <c r="O845" s="675" t="str" cm="1">
        <f t="array" ref="O845">IF(OR(INDEX($B$24:$B$1023,N845)="P10",INDEX($B$24:$B$1023,N845)="P11",INDEX($B$24:$B$1023,N845)="P12",INDEX($B$24:$B$1023,N845)="P13"),"C",IF(OR(INDEX($B$24:$B$1023,N845)="P14",INDEX($B$24:$B$1023,N845)="P15",INDEX($B$24:$B$1023,N845)="P16"),"N","O"))&amp;IF(MOD(N845,100)&lt;20,1,IF(MOD(N845,100)&lt;70,2,3))</f>
        <v>C3</v>
      </c>
    </row>
    <row r="846" spans="1:15" ht="16.5" thickBot="1">
      <c r="A846" s="662">
        <v>823</v>
      </c>
      <c r="B846" s="661" t="str" cm="1">
        <f t="array" ref="B846">"P"&amp;INDEX(X!$CL$2:$CL$12,'Scratch Sheet'!H845+1)+9</f>
        <v>P13</v>
      </c>
      <c r="C846" s="661">
        <v>1</v>
      </c>
      <c r="D846" s="755">
        <f t="shared" si="48"/>
        <v>4500</v>
      </c>
      <c r="E846" s="682" t="str">
        <f t="shared" si="49"/>
        <v>C2</v>
      </c>
      <c r="F846" s="683">
        <f t="shared" si="50"/>
        <v>5</v>
      </c>
      <c r="H846" s="13">
        <v>780</v>
      </c>
      <c r="I846" s="13">
        <f>VLOOKUP(VLOOKUP(H846,$A$24:$B$1023,2,FALSE),'Scratch Sheet'!$U$23:$X$32,3,FALSE)</f>
        <v>8</v>
      </c>
      <c r="K846" s="13">
        <f t="shared" si="51"/>
        <v>753</v>
      </c>
      <c r="L846" s="13">
        <f>IFERROR(VLOOKUP(VLOOKUP(K846,$A$24:$B$1023,2,FALSE),'Scratch Sheet'!$U$23:$Y$32,5,FALSE)*VLOOKUP(VLOOKUP(K846,$A$24:$E$1023,5,FALSE),'Scratch Sheet'!$L$22:$M$30,2,FALSE),"")</f>
        <v>13200.000000000002</v>
      </c>
      <c r="N846" s="675">
        <v>689</v>
      </c>
      <c r="O846" s="675" t="str" cm="1">
        <f t="array" ref="O846">IF(OR(INDEX($B$24:$B$1023,N846)="P10",INDEX($B$24:$B$1023,N846)="P11",INDEX($B$24:$B$1023,N846)="P12",INDEX($B$24:$B$1023,N846)="P13"),"C",IF(OR(INDEX($B$24:$B$1023,N846)="P14",INDEX($B$24:$B$1023,N846)="P15",INDEX($B$24:$B$1023,N846)="P16"),"N","O"))&amp;IF(MOD(N846,100)&lt;20,1,IF(MOD(N846,100)&lt;70,2,3))</f>
        <v>C3</v>
      </c>
    </row>
    <row r="847" spans="1:15" ht="16.5" thickBot="1">
      <c r="A847" s="662">
        <v>824</v>
      </c>
      <c r="B847" s="661" t="str" cm="1">
        <f t="array" ref="B847">"P"&amp;INDEX(X!$CL$2:$CL$12,'Scratch Sheet'!H846+1)+9</f>
        <v>P11</v>
      </c>
      <c r="C847" s="661">
        <v>1</v>
      </c>
      <c r="D847" s="755">
        <f t="shared" si="48"/>
        <v>11000</v>
      </c>
      <c r="E847" s="682" t="str">
        <f t="shared" si="49"/>
        <v>C2</v>
      </c>
      <c r="F847" s="683">
        <f t="shared" si="50"/>
        <v>11</v>
      </c>
      <c r="H847" s="13">
        <v>64</v>
      </c>
      <c r="I847" s="13">
        <f>VLOOKUP(VLOOKUP(H847,$A$24:$B$1023,2,FALSE),'Scratch Sheet'!$U$23:$X$32,3,FALSE)</f>
        <v>12</v>
      </c>
      <c r="K847" s="13">
        <f t="shared" si="51"/>
        <v>794</v>
      </c>
      <c r="L847" s="13">
        <f>IFERROR(VLOOKUP(VLOOKUP(K847,$A$24:$B$1023,2,FALSE),'Scratch Sheet'!$U$23:$Y$32,5,FALSE)*VLOOKUP(VLOOKUP(K847,$A$24:$E$1023,5,FALSE),'Scratch Sheet'!$L$22:$M$30,2,FALSE),"")</f>
        <v>1920</v>
      </c>
      <c r="N847" s="675">
        <v>693</v>
      </c>
      <c r="O847" s="675" t="str" cm="1">
        <f t="array" ref="O847">IF(OR(INDEX($B$24:$B$1023,N847)="P10",INDEX($B$24:$B$1023,N847)="P11",INDEX($B$24:$B$1023,N847)="P12",INDEX($B$24:$B$1023,N847)="P13"),"C",IF(OR(INDEX($B$24:$B$1023,N847)="P14",INDEX($B$24:$B$1023,N847)="P15",INDEX($B$24:$B$1023,N847)="P16"),"N","O"))&amp;IF(MOD(N847,100)&lt;20,1,IF(MOD(N847,100)&lt;70,2,3))</f>
        <v>C3</v>
      </c>
    </row>
    <row r="848" spans="1:15" ht="16.5" thickBot="1">
      <c r="A848" s="662">
        <v>825</v>
      </c>
      <c r="B848" s="661" t="str" cm="1">
        <f t="array" ref="B848">"P"&amp;INDEX(X!$CL$2:$CL$12,'Scratch Sheet'!H847+1)+9</f>
        <v>P11</v>
      </c>
      <c r="C848" s="661">
        <v>1</v>
      </c>
      <c r="D848" s="755">
        <f t="shared" si="48"/>
        <v>11000</v>
      </c>
      <c r="E848" s="682" t="str">
        <f t="shared" si="49"/>
        <v>C2</v>
      </c>
      <c r="F848" s="683">
        <f t="shared" si="50"/>
        <v>11</v>
      </c>
      <c r="H848" s="13">
        <v>78</v>
      </c>
      <c r="I848" s="13">
        <f>VLOOKUP(VLOOKUP(H848,$A$24:$B$1023,2,FALSE),'Scratch Sheet'!$U$23:$X$32,3,FALSE)</f>
        <v>11</v>
      </c>
      <c r="K848" s="13">
        <f t="shared" si="51"/>
        <v>810</v>
      </c>
      <c r="L848" s="13">
        <f>IFERROR(VLOOKUP(VLOOKUP(K848,$A$24:$B$1023,2,FALSE),'Scratch Sheet'!$U$23:$Y$32,5,FALSE)*VLOOKUP(VLOOKUP(K848,$A$24:$E$1023,5,FALSE),'Scratch Sheet'!$L$22:$M$30,2,FALSE),"")</f>
        <v>2880</v>
      </c>
      <c r="N848" s="675">
        <v>695</v>
      </c>
      <c r="O848" s="675" t="str" cm="1">
        <f t="array" ref="O848">IF(OR(INDEX($B$24:$B$1023,N848)="P10",INDEX($B$24:$B$1023,N848)="P11",INDEX($B$24:$B$1023,N848)="P12",INDEX($B$24:$B$1023,N848)="P13"),"C",IF(OR(INDEX($B$24:$B$1023,N848)="P14",INDEX($B$24:$B$1023,N848)="P15",INDEX($B$24:$B$1023,N848)="P16"),"N","O"))&amp;IF(MOD(N848,100)&lt;20,1,IF(MOD(N848,100)&lt;70,2,3))</f>
        <v>N3</v>
      </c>
    </row>
    <row r="849" spans="1:15" ht="16.5" thickBot="1">
      <c r="A849" s="662">
        <v>826</v>
      </c>
      <c r="B849" s="661" t="str" cm="1">
        <f t="array" ref="B849">"P"&amp;INDEX(X!$CL$2:$CL$12,'Scratch Sheet'!H848+1)+9</f>
        <v>P12</v>
      </c>
      <c r="C849" s="661">
        <v>1</v>
      </c>
      <c r="D849" s="755">
        <f t="shared" si="48"/>
        <v>6825</v>
      </c>
      <c r="E849" s="682" t="str">
        <f t="shared" si="49"/>
        <v>C2</v>
      </c>
      <c r="F849" s="683">
        <f t="shared" si="50"/>
        <v>6.5</v>
      </c>
      <c r="H849" s="13">
        <v>99</v>
      </c>
      <c r="I849" s="13">
        <f>VLOOKUP(VLOOKUP(H849,$A$24:$B$1023,2,FALSE),'Scratch Sheet'!$U$23:$X$32,3,FALSE)</f>
        <v>6</v>
      </c>
      <c r="K849" s="13">
        <f t="shared" si="51"/>
        <v>813</v>
      </c>
      <c r="L849" s="13">
        <f>IFERROR(VLOOKUP(VLOOKUP(K849,$A$24:$B$1023,2,FALSE),'Scratch Sheet'!$U$23:$Y$32,5,FALSE)*VLOOKUP(VLOOKUP(K849,$A$24:$E$1023,5,FALSE),'Scratch Sheet'!$L$22:$M$30,2,FALSE),"")</f>
        <v>4860</v>
      </c>
      <c r="N849" s="675">
        <v>697</v>
      </c>
      <c r="O849" s="675" t="str" cm="1">
        <f t="array" ref="O849">IF(OR(INDEX($B$24:$B$1023,N849)="P10",INDEX($B$24:$B$1023,N849)="P11",INDEX($B$24:$B$1023,N849)="P12",INDEX($B$24:$B$1023,N849)="P13"),"C",IF(OR(INDEX($B$24:$B$1023,N849)="P14",INDEX($B$24:$B$1023,N849)="P15",INDEX($B$24:$B$1023,N849)="P16"),"N","O"))&amp;IF(MOD(N849,100)&lt;20,1,IF(MOD(N849,100)&lt;70,2,3))</f>
        <v>C3</v>
      </c>
    </row>
    <row r="850" spans="1:15" ht="16.5" thickBot="1">
      <c r="A850" s="662">
        <v>827</v>
      </c>
      <c r="B850" s="661" t="str" cm="1">
        <f t="array" ref="B850">"P"&amp;INDEX(X!$CL$2:$CL$12,'Scratch Sheet'!H849+1)+9</f>
        <v>P10</v>
      </c>
      <c r="C850" s="661">
        <v>1</v>
      </c>
      <c r="D850" s="755">
        <f t="shared" si="48"/>
        <v>2400</v>
      </c>
      <c r="E850" s="682" t="str">
        <f t="shared" si="49"/>
        <v>C2</v>
      </c>
      <c r="F850" s="683">
        <f t="shared" si="50"/>
        <v>3</v>
      </c>
      <c r="H850" s="13">
        <v>817</v>
      </c>
      <c r="I850" s="13">
        <f>VLOOKUP(VLOOKUP(H850,$A$24:$B$1023,2,FALSE),'Scratch Sheet'!$U$23:$X$32,3,FALSE)</f>
        <v>5</v>
      </c>
      <c r="K850" s="13">
        <f t="shared" si="51"/>
        <v>812</v>
      </c>
      <c r="L850" s="13">
        <f>IFERROR(VLOOKUP(VLOOKUP(K850,$A$24:$B$1023,2,FALSE),'Scratch Sheet'!$U$23:$Y$32,5,FALSE)*VLOOKUP(VLOOKUP(K850,$A$24:$E$1023,5,FALSE),'Scratch Sheet'!$L$22:$M$30,2,FALSE),"")</f>
        <v>13200</v>
      </c>
      <c r="N850" s="675">
        <v>698</v>
      </c>
      <c r="O850" s="675" t="str" cm="1">
        <f t="array" ref="O850">IF(OR(INDEX($B$24:$B$1023,N850)="P10",INDEX($B$24:$B$1023,N850)="P11",INDEX($B$24:$B$1023,N850)="P12",INDEX($B$24:$B$1023,N850)="P13"),"C",IF(OR(INDEX($B$24:$B$1023,N850)="P14",INDEX($B$24:$B$1023,N850)="P15",INDEX($B$24:$B$1023,N850)="P16"),"N","O"))&amp;IF(MOD(N850,100)&lt;20,1,IF(MOD(N850,100)&lt;70,2,3))</f>
        <v>C3</v>
      </c>
    </row>
    <row r="851" spans="1:15" ht="16.5" thickBot="1">
      <c r="A851" s="662">
        <v>828</v>
      </c>
      <c r="B851" s="661" t="str" cm="1">
        <f t="array" ref="B851">"P"&amp;INDEX(X!$CL$2:$CL$12,'Scratch Sheet'!H850+1)+9</f>
        <v>P10</v>
      </c>
      <c r="C851" s="661">
        <v>1</v>
      </c>
      <c r="D851" s="755">
        <f t="shared" si="48"/>
        <v>2400</v>
      </c>
      <c r="E851" s="682" t="str">
        <f t="shared" si="49"/>
        <v>C2</v>
      </c>
      <c r="F851" s="683">
        <f t="shared" si="50"/>
        <v>3</v>
      </c>
      <c r="H851" s="13">
        <v>756</v>
      </c>
      <c r="I851" s="13">
        <f>VLOOKUP(VLOOKUP(H851,$A$24:$B$1023,2,FALSE),'Scratch Sheet'!$U$23:$X$32,3,FALSE)</f>
        <v>11</v>
      </c>
      <c r="K851" s="13">
        <f t="shared" si="51"/>
        <v>806</v>
      </c>
      <c r="L851" s="13">
        <f>IFERROR(VLOOKUP(VLOOKUP(K851,$A$24:$B$1023,2,FALSE),'Scratch Sheet'!$U$23:$Y$32,5,FALSE)*VLOOKUP(VLOOKUP(K851,$A$24:$E$1023,5,FALSE),'Scratch Sheet'!$L$22:$M$30,2,FALSE),"")</f>
        <v>5400</v>
      </c>
      <c r="N851" s="675">
        <v>700</v>
      </c>
      <c r="O851" s="675" t="str" cm="1">
        <f t="array" ref="O851">IF(OR(INDEX($B$24:$B$1023,N851)="P10",INDEX($B$24:$B$1023,N851)="P11",INDEX($B$24:$B$1023,N851)="P12",INDEX($B$24:$B$1023,N851)="P13"),"C",IF(OR(INDEX($B$24:$B$1023,N851)="P14",INDEX($B$24:$B$1023,N851)="P15",INDEX($B$24:$B$1023,N851)="P16"),"N","O"))&amp;IF(MOD(N851,100)&lt;20,1,IF(MOD(N851,100)&lt;70,2,3))</f>
        <v>C1</v>
      </c>
    </row>
    <row r="852" spans="1:15" ht="16.5" thickBot="1">
      <c r="A852" s="662">
        <v>829</v>
      </c>
      <c r="B852" s="661" t="str" cm="1">
        <f t="array" ref="B852">"P"&amp;INDEX(X!$CL$2:$CL$12,'Scratch Sheet'!H851+1)+9</f>
        <v>P11</v>
      </c>
      <c r="C852" s="661">
        <v>1</v>
      </c>
      <c r="D852" s="755">
        <f t="shared" si="48"/>
        <v>11000</v>
      </c>
      <c r="E852" s="682" t="str">
        <f t="shared" si="49"/>
        <v>C2</v>
      </c>
      <c r="F852" s="683">
        <f t="shared" si="50"/>
        <v>11</v>
      </c>
      <c r="H852" s="13">
        <v>747</v>
      </c>
      <c r="I852" s="13">
        <f>VLOOKUP(VLOOKUP(H852,$A$24:$B$1023,2,FALSE),'Scratch Sheet'!$U$23:$X$32,3,FALSE)</f>
        <v>3</v>
      </c>
      <c r="K852" s="13">
        <f t="shared" si="51"/>
        <v>809</v>
      </c>
      <c r="L852" s="13">
        <f>IFERROR(VLOOKUP(VLOOKUP(K852,$A$24:$B$1023,2,FALSE),'Scratch Sheet'!$U$23:$Y$32,5,FALSE)*VLOOKUP(VLOOKUP(K852,$A$24:$E$1023,5,FALSE),'Scratch Sheet'!$L$22:$M$30,2,FALSE),"")</f>
        <v>8190</v>
      </c>
      <c r="N852" s="675">
        <v>704</v>
      </c>
      <c r="O852" s="675" t="str" cm="1">
        <f t="array" ref="O852">IF(OR(INDEX($B$24:$B$1023,N852)="P10",INDEX($B$24:$B$1023,N852)="P11",INDEX($B$24:$B$1023,N852)="P12",INDEX($B$24:$B$1023,N852)="P13"),"C",IF(OR(INDEX($B$24:$B$1023,N852)="P14",INDEX($B$24:$B$1023,N852)="P15",INDEX($B$24:$B$1023,N852)="P16"),"N","O"))&amp;IF(MOD(N852,100)&lt;20,1,IF(MOD(N852,100)&lt;70,2,3))</f>
        <v>C1</v>
      </c>
    </row>
    <row r="853" spans="1:15" ht="16.5" thickBot="1">
      <c r="A853" s="662">
        <v>830</v>
      </c>
      <c r="B853" s="661" t="str" cm="1">
        <f t="array" ref="B853">"P"&amp;INDEX(X!$CL$2:$CL$12,'Scratch Sheet'!H852+1)+9</f>
        <v>P18</v>
      </c>
      <c r="C853" s="661">
        <v>1</v>
      </c>
      <c r="D853" s="755">
        <f t="shared" si="48"/>
        <v>5940.0000000000009</v>
      </c>
      <c r="E853" s="682" t="str">
        <f t="shared" si="49"/>
        <v>O2</v>
      </c>
      <c r="F853" s="683">
        <f t="shared" si="50"/>
        <v>6</v>
      </c>
      <c r="H853" s="13">
        <v>720</v>
      </c>
      <c r="I853" s="13">
        <f>VLOOKUP(VLOOKUP(H853,$A$24:$B$1023,2,FALSE),'Scratch Sheet'!$U$23:$X$32,3,FALSE)</f>
        <v>12</v>
      </c>
      <c r="K853" s="13">
        <f t="shared" si="51"/>
        <v>808</v>
      </c>
      <c r="L853" s="13">
        <f>IFERROR(VLOOKUP(VLOOKUP(K853,$A$24:$B$1023,2,FALSE),'Scratch Sheet'!$U$23:$Y$32,5,FALSE)*VLOOKUP(VLOOKUP(K853,$A$24:$E$1023,5,FALSE),'Scratch Sheet'!$L$22:$M$30,2,FALSE),"")</f>
        <v>13200</v>
      </c>
      <c r="N853" s="675">
        <v>705</v>
      </c>
      <c r="O853" s="675" t="str" cm="1">
        <f t="array" ref="O853">IF(OR(INDEX($B$24:$B$1023,N853)="P10",INDEX($B$24:$B$1023,N853)="P11",INDEX($B$24:$B$1023,N853)="P12",INDEX($B$24:$B$1023,N853)="P13"),"C",IF(OR(INDEX($B$24:$B$1023,N853)="P14",INDEX($B$24:$B$1023,N853)="P15",INDEX($B$24:$B$1023,N853)="P16"),"N","O"))&amp;IF(MOD(N853,100)&lt;20,1,IF(MOD(N853,100)&lt;70,2,3))</f>
        <v>C1</v>
      </c>
    </row>
    <row r="854" spans="1:15" ht="16.5" thickBot="1">
      <c r="A854" s="662">
        <v>831</v>
      </c>
      <c r="B854" s="661" t="str" cm="1">
        <f t="array" ref="B854">"P"&amp;INDEX(X!$CL$2:$CL$12,'Scratch Sheet'!H853+1)+9</f>
        <v>P14</v>
      </c>
      <c r="C854" s="661">
        <v>1</v>
      </c>
      <c r="D854" s="755">
        <f t="shared" si="48"/>
        <v>6480</v>
      </c>
      <c r="E854" s="682" t="str">
        <f t="shared" si="49"/>
        <v>N2</v>
      </c>
      <c r="F854" s="683">
        <f t="shared" si="50"/>
        <v>8</v>
      </c>
      <c r="H854" s="13">
        <v>178</v>
      </c>
      <c r="I854" s="13">
        <f>VLOOKUP(VLOOKUP(H854,$A$24:$B$1023,2,FALSE),'Scratch Sheet'!$U$23:$X$32,3,FALSE)</f>
        <v>11</v>
      </c>
      <c r="K854" s="13">
        <f t="shared" si="51"/>
        <v>811</v>
      </c>
      <c r="L854" s="13">
        <f>IFERROR(VLOOKUP(VLOOKUP(K854,$A$24:$B$1023,2,FALSE),'Scratch Sheet'!$U$23:$Y$32,5,FALSE)*VLOOKUP(VLOOKUP(K854,$A$24:$E$1023,5,FALSE),'Scratch Sheet'!$L$22:$M$30,2,FALSE),"")</f>
        <v>2880</v>
      </c>
      <c r="N854" s="675">
        <v>706</v>
      </c>
      <c r="O854" s="675" t="str" cm="1">
        <f t="array" ref="O854">IF(OR(INDEX($B$24:$B$1023,N854)="P10",INDEX($B$24:$B$1023,N854)="P11",INDEX($B$24:$B$1023,N854)="P12",INDEX($B$24:$B$1023,N854)="P13"),"C",IF(OR(INDEX($B$24:$B$1023,N854)="P14",INDEX($B$24:$B$1023,N854)="P15",INDEX($B$24:$B$1023,N854)="P16"),"N","O"))&amp;IF(MOD(N854,100)&lt;20,1,IF(MOD(N854,100)&lt;70,2,3))</f>
        <v>C1</v>
      </c>
    </row>
    <row r="855" spans="1:15" ht="16.5" thickBot="1">
      <c r="A855" s="662">
        <v>832</v>
      </c>
      <c r="B855" s="661" t="str" cm="1">
        <f t="array" ref="B855">"P"&amp;INDEX(X!$CL$2:$CL$12,'Scratch Sheet'!H854+1)+9</f>
        <v>P10</v>
      </c>
      <c r="C855" s="661">
        <v>1</v>
      </c>
      <c r="D855" s="755">
        <f t="shared" si="48"/>
        <v>2400</v>
      </c>
      <c r="E855" s="682" t="str">
        <f t="shared" si="49"/>
        <v>C2</v>
      </c>
      <c r="F855" s="683">
        <f t="shared" si="50"/>
        <v>3</v>
      </c>
      <c r="H855" s="13">
        <v>433</v>
      </c>
      <c r="I855" s="13">
        <f>VLOOKUP(VLOOKUP(H855,$A$24:$B$1023,2,FALSE),'Scratch Sheet'!$U$23:$X$32,3,FALSE)</f>
        <v>11</v>
      </c>
      <c r="K855" s="13">
        <f t="shared" si="51"/>
        <v>805</v>
      </c>
      <c r="L855" s="13">
        <f>IFERROR(VLOOKUP(VLOOKUP(K855,$A$24:$B$1023,2,FALSE),'Scratch Sheet'!$U$23:$Y$32,5,FALSE)*VLOOKUP(VLOOKUP(K855,$A$24:$E$1023,5,FALSE),'Scratch Sheet'!$L$22:$M$30,2,FALSE),"")</f>
        <v>10800</v>
      </c>
      <c r="N855" s="675">
        <v>710</v>
      </c>
      <c r="O855" s="675" t="str" cm="1">
        <f t="array" ref="O855">IF(OR(INDEX($B$24:$B$1023,N855)="P10",INDEX($B$24:$B$1023,N855)="P11",INDEX($B$24:$B$1023,N855)="P12",INDEX($B$24:$B$1023,N855)="P13"),"C",IF(OR(INDEX($B$24:$B$1023,N855)="P14",INDEX($B$24:$B$1023,N855)="P15",INDEX($B$24:$B$1023,N855)="P16"),"N","O"))&amp;IF(MOD(N855,100)&lt;20,1,IF(MOD(N855,100)&lt;70,2,3))</f>
        <v>C1</v>
      </c>
    </row>
    <row r="856" spans="1:15" ht="16.5" thickBot="1">
      <c r="A856" s="662">
        <v>833</v>
      </c>
      <c r="B856" s="661" t="str" cm="1">
        <f t="array" ref="B856">"P"&amp;INDEX(X!$CL$2:$CL$12,'Scratch Sheet'!H855+1)+9</f>
        <v>P13</v>
      </c>
      <c r="C856" s="661">
        <v>1</v>
      </c>
      <c r="D856" s="755">
        <f t="shared" si="48"/>
        <v>4500</v>
      </c>
      <c r="E856" s="682" t="str">
        <f t="shared" si="49"/>
        <v>C2</v>
      </c>
      <c r="F856" s="683">
        <f t="shared" si="50"/>
        <v>5</v>
      </c>
      <c r="H856" s="13">
        <v>455</v>
      </c>
      <c r="I856" s="13">
        <f>VLOOKUP(VLOOKUP(H856,$A$24:$B$1023,2,FALSE),'Scratch Sheet'!$U$23:$X$32,3,FALSE)</f>
        <v>11</v>
      </c>
      <c r="K856" s="13">
        <f t="shared" si="51"/>
        <v>803</v>
      </c>
      <c r="L856" s="13">
        <f>IFERROR(VLOOKUP(VLOOKUP(K856,$A$24:$B$1023,2,FALSE),'Scratch Sheet'!$U$23:$Y$32,5,FALSE)*VLOOKUP(VLOOKUP(K856,$A$24:$E$1023,5,FALSE),'Scratch Sheet'!$L$22:$M$30,2,FALSE),"")</f>
        <v>7279.9999999999991</v>
      </c>
      <c r="N856" s="675">
        <v>712</v>
      </c>
      <c r="O856" s="675" t="str" cm="1">
        <f t="array" ref="O856">IF(OR(INDEX($B$24:$B$1023,N856)="P10",INDEX($B$24:$B$1023,N856)="P11",INDEX($B$24:$B$1023,N856)="P12",INDEX($B$24:$B$1023,N856)="P13"),"C",IF(OR(INDEX($B$24:$B$1023,N856)="P14",INDEX($B$24:$B$1023,N856)="P15",INDEX($B$24:$B$1023,N856)="P16"),"N","O"))&amp;IF(MOD(N856,100)&lt;20,1,IF(MOD(N856,100)&lt;70,2,3))</f>
        <v>N1</v>
      </c>
    </row>
    <row r="857" spans="1:15" ht="16.5" thickBot="1">
      <c r="A857" s="662">
        <v>834</v>
      </c>
      <c r="B857" s="661" t="str" cm="1">
        <f t="array" ref="B857">"P"&amp;INDEX(X!$CL$2:$CL$12,'Scratch Sheet'!H856+1)+9</f>
        <v>P13</v>
      </c>
      <c r="C857" s="661">
        <v>1</v>
      </c>
      <c r="D857" s="755">
        <f t="shared" ref="D857:D920" si="52">SUMIF($K$24:$K$1053, $A857, $L$24:$L$1053)</f>
        <v>4500</v>
      </c>
      <c r="E857" s="682" t="str">
        <f t="shared" ref="E857:E920" si="53">INDEX($O$24:$O$1023,MATCH($A857,$N$24:$N$1023,0))</f>
        <v>C2</v>
      </c>
      <c r="F857" s="683">
        <f t="shared" ref="F857:F920" si="54">VLOOKUP(A857, $H$24:$I$1023, 2, FALSE)</f>
        <v>5</v>
      </c>
      <c r="H857" s="13">
        <v>760</v>
      </c>
      <c r="I857" s="13">
        <f>VLOOKUP(VLOOKUP(H857,$A$24:$B$1023,2,FALSE),'Scratch Sheet'!$U$23:$X$32,3,FALSE)</f>
        <v>3</v>
      </c>
      <c r="K857" s="13">
        <f t="shared" si="51"/>
        <v>804</v>
      </c>
      <c r="L857" s="13">
        <f>IFERROR(VLOOKUP(VLOOKUP(K857,$A$24:$B$1023,2,FALSE),'Scratch Sheet'!$U$23:$Y$32,5,FALSE)*VLOOKUP(VLOOKUP(K857,$A$24:$E$1023,5,FALSE),'Scratch Sheet'!$L$22:$M$30,2,FALSE),"")</f>
        <v>10800</v>
      </c>
      <c r="N857" s="675">
        <v>714</v>
      </c>
      <c r="O857" s="675" t="str" cm="1">
        <f t="array" ref="O857">IF(OR(INDEX($B$24:$B$1023,N857)="P10",INDEX($B$24:$B$1023,N857)="P11",INDEX($B$24:$B$1023,N857)="P12",INDEX($B$24:$B$1023,N857)="P13"),"C",IF(OR(INDEX($B$24:$B$1023,N857)="P14",INDEX($B$24:$B$1023,N857)="P15",INDEX($B$24:$B$1023,N857)="P16"),"N","O"))&amp;IF(MOD(N857,100)&lt;20,1,IF(MOD(N857,100)&lt;70,2,3))</f>
        <v>C1</v>
      </c>
    </row>
    <row r="858" spans="1:15" ht="16.5" thickBot="1">
      <c r="A858" s="662">
        <v>835</v>
      </c>
      <c r="B858" s="661" t="str" cm="1">
        <f t="array" ref="B858">"P"&amp;INDEX(X!$CL$2:$CL$12,'Scratch Sheet'!H857+1)+9</f>
        <v>P10</v>
      </c>
      <c r="C858" s="661">
        <v>1</v>
      </c>
      <c r="D858" s="755">
        <f t="shared" si="52"/>
        <v>2400</v>
      </c>
      <c r="E858" s="682" t="str">
        <f t="shared" si="53"/>
        <v>C2</v>
      </c>
      <c r="F858" s="683">
        <f t="shared" si="54"/>
        <v>3</v>
      </c>
      <c r="H858" s="13">
        <v>435</v>
      </c>
      <c r="I858" s="13">
        <f>VLOOKUP(VLOOKUP(H858,$A$24:$B$1023,2,FALSE),'Scratch Sheet'!$U$23:$X$32,3,FALSE)</f>
        <v>6.5</v>
      </c>
      <c r="K858" s="13">
        <f t="shared" si="51"/>
        <v>802</v>
      </c>
      <c r="L858" s="13">
        <f>IFERROR(VLOOKUP(VLOOKUP(K858,$A$24:$B$1023,2,FALSE),'Scratch Sheet'!$U$23:$Y$32,5,FALSE)*VLOOKUP(VLOOKUP(K858,$A$24:$E$1023,5,FALSE),'Scratch Sheet'!$L$22:$M$30,2,FALSE),"")</f>
        <v>13200</v>
      </c>
      <c r="N858" s="675">
        <v>715</v>
      </c>
      <c r="O858" s="675" t="str" cm="1">
        <f t="array" ref="O858">IF(OR(INDEX($B$24:$B$1023,N858)="P10",INDEX($B$24:$B$1023,N858)="P11",INDEX($B$24:$B$1023,N858)="P12",INDEX($B$24:$B$1023,N858)="P13"),"C",IF(OR(INDEX($B$24:$B$1023,N858)="P14",INDEX($B$24:$B$1023,N858)="P15",INDEX($B$24:$B$1023,N858)="P16"),"N","O"))&amp;IF(MOD(N858,100)&lt;20,1,IF(MOD(N858,100)&lt;70,2,3))</f>
        <v>C1</v>
      </c>
    </row>
    <row r="859" spans="1:15" ht="16.5" thickBot="1">
      <c r="A859" s="662">
        <v>836</v>
      </c>
      <c r="B859" s="661" t="str" cm="1">
        <f t="array" ref="B859">"P"&amp;INDEX(X!$CL$2:$CL$12,'Scratch Sheet'!H858+1)+9</f>
        <v>P11</v>
      </c>
      <c r="C859" s="661">
        <v>1</v>
      </c>
      <c r="D859" s="755">
        <f t="shared" si="52"/>
        <v>11000</v>
      </c>
      <c r="E859" s="682" t="str">
        <f t="shared" si="53"/>
        <v>C2</v>
      </c>
      <c r="F859" s="683">
        <f t="shared" si="54"/>
        <v>11</v>
      </c>
      <c r="H859" s="13">
        <v>482</v>
      </c>
      <c r="I859" s="13">
        <f>VLOOKUP(VLOOKUP(H859,$A$24:$B$1023,2,FALSE),'Scratch Sheet'!$U$23:$X$32,3,FALSE)</f>
        <v>12</v>
      </c>
      <c r="K859" s="13">
        <f t="shared" si="51"/>
        <v>801</v>
      </c>
      <c r="L859" s="13">
        <f>IFERROR(VLOOKUP(VLOOKUP(K859,$A$24:$B$1023,2,FALSE),'Scratch Sheet'!$U$23:$Y$32,5,FALSE)*VLOOKUP(VLOOKUP(K859,$A$24:$E$1023,5,FALSE),'Scratch Sheet'!$L$22:$M$30,2,FALSE),"")</f>
        <v>2880</v>
      </c>
      <c r="N859" s="675">
        <v>717</v>
      </c>
      <c r="O859" s="675" t="str" cm="1">
        <f t="array" ref="O859">IF(OR(INDEX($B$24:$B$1023,N859)="P10",INDEX($B$24:$B$1023,N859)="P11",INDEX($B$24:$B$1023,N859)="P12",INDEX($B$24:$B$1023,N859)="P13"),"C",IF(OR(INDEX($B$24:$B$1023,N859)="P14",INDEX($B$24:$B$1023,N859)="P15",INDEX($B$24:$B$1023,N859)="P16"),"N","O"))&amp;IF(MOD(N859,100)&lt;20,1,IF(MOD(N859,100)&lt;70,2,3))</f>
        <v>C1</v>
      </c>
    </row>
    <row r="860" spans="1:15" ht="16.5" thickBot="1">
      <c r="A860" s="662">
        <v>837</v>
      </c>
      <c r="B860" s="661" t="str" cm="1">
        <f t="array" ref="B860">"P"&amp;INDEX(X!$CL$2:$CL$12,'Scratch Sheet'!H859+1)+9</f>
        <v>P16</v>
      </c>
      <c r="C860" s="661">
        <v>1</v>
      </c>
      <c r="D860" s="755">
        <f t="shared" si="52"/>
        <v>4680</v>
      </c>
      <c r="E860" s="682" t="str">
        <f t="shared" si="53"/>
        <v>N2</v>
      </c>
      <c r="F860" s="683">
        <f t="shared" si="54"/>
        <v>4</v>
      </c>
      <c r="H860" s="13">
        <v>559</v>
      </c>
      <c r="I860" s="13">
        <f>VLOOKUP(VLOOKUP(H860,$A$24:$B$1023,2,FALSE),'Scratch Sheet'!$U$23:$X$32,3,FALSE)</f>
        <v>8</v>
      </c>
      <c r="K860" s="13">
        <f t="shared" si="51"/>
        <v>814</v>
      </c>
      <c r="L860" s="13">
        <f>IFERROR(VLOOKUP(VLOOKUP(K860,$A$24:$B$1023,2,FALSE),'Scratch Sheet'!$U$23:$Y$32,5,FALSE)*VLOOKUP(VLOOKUP(K860,$A$24:$E$1023,5,FALSE),'Scratch Sheet'!$L$22:$M$30,2,FALSE),"")</f>
        <v>10080</v>
      </c>
      <c r="N860" s="675">
        <v>721</v>
      </c>
      <c r="O860" s="675" t="str" cm="1">
        <f t="array" ref="O860">IF(OR(INDEX($B$24:$B$1023,N860)="P10",INDEX($B$24:$B$1023,N860)="P11",INDEX($B$24:$B$1023,N860)="P12",INDEX($B$24:$B$1023,N860)="P13"),"C",IF(OR(INDEX($B$24:$B$1023,N860)="P14",INDEX($B$24:$B$1023,N860)="P15",INDEX($B$24:$B$1023,N860)="P16"),"N","O"))&amp;IF(MOD(N860,100)&lt;20,1,IF(MOD(N860,100)&lt;70,2,3))</f>
        <v>C2</v>
      </c>
    </row>
    <row r="861" spans="1:15" ht="16.5" thickBot="1">
      <c r="A861" s="662">
        <v>838</v>
      </c>
      <c r="B861" s="661" t="str" cm="1">
        <f t="array" ref="B861">"P"&amp;INDEX(X!$CL$2:$CL$12,'Scratch Sheet'!H860+1)+9</f>
        <v>P17</v>
      </c>
      <c r="C861" s="661">
        <v>1</v>
      </c>
      <c r="D861" s="755">
        <f t="shared" si="52"/>
        <v>26400.000000000004</v>
      </c>
      <c r="E861" s="682" t="str">
        <f t="shared" si="53"/>
        <v>O2</v>
      </c>
      <c r="F861" s="683">
        <f t="shared" si="54"/>
        <v>12</v>
      </c>
      <c r="H861" s="13">
        <v>905</v>
      </c>
      <c r="I861" s="13">
        <f>VLOOKUP(VLOOKUP(H861,$A$24:$B$1023,2,FALSE),'Scratch Sheet'!$U$23:$X$32,3,FALSE)</f>
        <v>4</v>
      </c>
      <c r="K861" s="13">
        <f t="shared" si="51"/>
        <v>807</v>
      </c>
      <c r="L861" s="13">
        <f>IFERROR(VLOOKUP(VLOOKUP(K861,$A$24:$B$1023,2,FALSE),'Scratch Sheet'!$U$23:$Y$32,5,FALSE)*VLOOKUP(VLOOKUP(K861,$A$24:$E$1023,5,FALSE),'Scratch Sheet'!$L$22:$M$30,2,FALSE),"")</f>
        <v>13200</v>
      </c>
      <c r="N861" s="675">
        <v>722</v>
      </c>
      <c r="O861" s="675" t="str" cm="1">
        <f t="array" ref="O861">IF(OR(INDEX($B$24:$B$1023,N861)="P10",INDEX($B$24:$B$1023,N861)="P11",INDEX($B$24:$B$1023,N861)="P12",INDEX($B$24:$B$1023,N861)="P13"),"C",IF(OR(INDEX($B$24:$B$1023,N861)="P14",INDEX($B$24:$B$1023,N861)="P15",INDEX($B$24:$B$1023,N861)="P16"),"N","O"))&amp;IF(MOD(N861,100)&lt;20,1,IF(MOD(N861,100)&lt;70,2,3))</f>
        <v>C2</v>
      </c>
    </row>
    <row r="862" spans="1:15" ht="16.5" thickBot="1">
      <c r="A862" s="662">
        <v>839</v>
      </c>
      <c r="B862" s="661" t="str" cm="1">
        <f t="array" ref="B862">"P"&amp;INDEX(X!$CL$2:$CL$12,'Scratch Sheet'!H861+1)+9</f>
        <v>P17</v>
      </c>
      <c r="C862" s="661">
        <v>1</v>
      </c>
      <c r="D862" s="755">
        <f t="shared" si="52"/>
        <v>13200.000000000002</v>
      </c>
      <c r="E862" s="682" t="str">
        <f t="shared" si="53"/>
        <v>O2</v>
      </c>
      <c r="F862" s="683">
        <f t="shared" si="54"/>
        <v>12</v>
      </c>
      <c r="H862" s="13">
        <v>815</v>
      </c>
      <c r="I862" s="13">
        <f>VLOOKUP(VLOOKUP(H862,$A$24:$B$1023,2,FALSE),'Scratch Sheet'!$U$23:$X$32,3,FALSE)</f>
        <v>3</v>
      </c>
      <c r="K862" s="13">
        <f t="shared" si="51"/>
        <v>823</v>
      </c>
      <c r="L862" s="13">
        <f>IFERROR(VLOOKUP(VLOOKUP(K862,$A$24:$B$1023,2,FALSE),'Scratch Sheet'!$U$23:$Y$32,5,FALSE)*VLOOKUP(VLOOKUP(K862,$A$24:$E$1023,5,FALSE),'Scratch Sheet'!$L$22:$M$30,2,FALSE),"")</f>
        <v>4500</v>
      </c>
      <c r="N862" s="675">
        <v>723</v>
      </c>
      <c r="O862" s="675" t="str" cm="1">
        <f t="array" ref="O862">IF(OR(INDEX($B$24:$B$1023,N862)="P10",INDEX($B$24:$B$1023,N862)="P11",INDEX($B$24:$B$1023,N862)="P12",INDEX($B$24:$B$1023,N862)="P13"),"C",IF(OR(INDEX($B$24:$B$1023,N862)="P14",INDEX($B$24:$B$1023,N862)="P15",INDEX($B$24:$B$1023,N862)="P16"),"N","O"))&amp;IF(MOD(N862,100)&lt;20,1,IF(MOD(N862,100)&lt;70,2,3))</f>
        <v>C2</v>
      </c>
    </row>
    <row r="863" spans="1:15" ht="16.5" thickBot="1">
      <c r="A863" s="662">
        <v>840</v>
      </c>
      <c r="B863" s="661" t="str" cm="1">
        <f t="array" ref="B863">"P"&amp;INDEX(X!$CL$2:$CL$12,'Scratch Sheet'!H862+1)+9</f>
        <v>P13</v>
      </c>
      <c r="C863" s="661">
        <v>1</v>
      </c>
      <c r="D863" s="755">
        <f t="shared" si="52"/>
        <v>4500</v>
      </c>
      <c r="E863" s="682" t="str">
        <f t="shared" si="53"/>
        <v>C2</v>
      </c>
      <c r="F863" s="683">
        <f t="shared" si="54"/>
        <v>5</v>
      </c>
      <c r="H863" s="13">
        <v>620</v>
      </c>
      <c r="I863" s="13">
        <f>VLOOKUP(VLOOKUP(H863,$A$24:$B$1023,2,FALSE),'Scratch Sheet'!$U$23:$X$32,3,FALSE)</f>
        <v>11</v>
      </c>
      <c r="K863" s="13">
        <f t="shared" si="51"/>
        <v>826</v>
      </c>
      <c r="L863" s="13">
        <f>IFERROR(VLOOKUP(VLOOKUP(K863,$A$24:$B$1023,2,FALSE),'Scratch Sheet'!$U$23:$Y$32,5,FALSE)*VLOOKUP(VLOOKUP(K863,$A$24:$E$1023,5,FALSE),'Scratch Sheet'!$L$22:$M$30,2,FALSE),"")</f>
        <v>6825</v>
      </c>
      <c r="N863" s="675">
        <v>727</v>
      </c>
      <c r="O863" s="675" t="str" cm="1">
        <f t="array" ref="O863">IF(OR(INDEX($B$24:$B$1023,N863)="P10",INDEX($B$24:$B$1023,N863)="P11",INDEX($B$24:$B$1023,N863)="P12",INDEX($B$24:$B$1023,N863)="P13"),"C",IF(OR(INDEX($B$24:$B$1023,N863)="P14",INDEX($B$24:$B$1023,N863)="P15",INDEX($B$24:$B$1023,N863)="P16"),"N","O"))&amp;IF(MOD(N863,100)&lt;20,1,IF(MOD(N863,100)&lt;70,2,3))</f>
        <v>C2</v>
      </c>
    </row>
    <row r="864" spans="1:15" ht="16.5" thickBot="1">
      <c r="A864" s="662">
        <v>841</v>
      </c>
      <c r="B864" s="661" t="str" cm="1">
        <f t="array" ref="B864">"P"&amp;INDEX(X!$CL$2:$CL$12,'Scratch Sheet'!H863+1)+9</f>
        <v>P11</v>
      </c>
      <c r="C864" s="661">
        <v>1</v>
      </c>
      <c r="D864" s="755">
        <f t="shared" si="52"/>
        <v>11000</v>
      </c>
      <c r="E864" s="682" t="str">
        <f t="shared" si="53"/>
        <v>C2</v>
      </c>
      <c r="F864" s="683">
        <f t="shared" si="54"/>
        <v>11</v>
      </c>
      <c r="H864" s="13">
        <v>159</v>
      </c>
      <c r="I864" s="13">
        <f>VLOOKUP(VLOOKUP(H864,$A$24:$B$1023,2,FALSE),'Scratch Sheet'!$U$23:$X$32,3,FALSE)</f>
        <v>12</v>
      </c>
      <c r="K864" s="13">
        <f t="shared" si="51"/>
        <v>825</v>
      </c>
      <c r="L864" s="13">
        <f>IFERROR(VLOOKUP(VLOOKUP(K864,$A$24:$B$1023,2,FALSE),'Scratch Sheet'!$U$23:$Y$32,5,FALSE)*VLOOKUP(VLOOKUP(K864,$A$24:$E$1023,5,FALSE),'Scratch Sheet'!$L$22:$M$30,2,FALSE),"")</f>
        <v>11000</v>
      </c>
      <c r="N864" s="675">
        <v>729</v>
      </c>
      <c r="O864" s="675" t="str" cm="1">
        <f t="array" ref="O864">IF(OR(INDEX($B$24:$B$1023,N864)="P10",INDEX($B$24:$B$1023,N864)="P11",INDEX($B$24:$B$1023,N864)="P12",INDEX($B$24:$B$1023,N864)="P13"),"C",IF(OR(INDEX($B$24:$B$1023,N864)="P14",INDEX($B$24:$B$1023,N864)="P15",INDEX($B$24:$B$1023,N864)="P16"),"N","O"))&amp;IF(MOD(N864,100)&lt;20,1,IF(MOD(N864,100)&lt;70,2,3))</f>
        <v>N2</v>
      </c>
    </row>
    <row r="865" spans="1:15" ht="16.5" thickBot="1">
      <c r="A865" s="662">
        <v>842</v>
      </c>
      <c r="B865" s="661" t="str" cm="1">
        <f t="array" ref="B865">"P"&amp;INDEX(X!$CL$2:$CL$12,'Scratch Sheet'!H864+1)+9</f>
        <v>P11</v>
      </c>
      <c r="C865" s="661">
        <v>1</v>
      </c>
      <c r="D865" s="755">
        <f t="shared" si="52"/>
        <v>11000</v>
      </c>
      <c r="E865" s="682" t="str">
        <f t="shared" si="53"/>
        <v>C2</v>
      </c>
      <c r="F865" s="683">
        <f t="shared" si="54"/>
        <v>11</v>
      </c>
      <c r="H865" s="13">
        <v>615</v>
      </c>
      <c r="I865" s="13">
        <f>VLOOKUP(VLOOKUP(H865,$A$24:$B$1023,2,FALSE),'Scratch Sheet'!$U$23:$X$32,3,FALSE)</f>
        <v>11</v>
      </c>
      <c r="K865" s="13">
        <f t="shared" si="51"/>
        <v>820</v>
      </c>
      <c r="L865" s="13">
        <f>IFERROR(VLOOKUP(VLOOKUP(K865,$A$24:$B$1023,2,FALSE),'Scratch Sheet'!$U$23:$Y$32,5,FALSE)*VLOOKUP(VLOOKUP(K865,$A$24:$E$1023,5,FALSE),'Scratch Sheet'!$L$22:$M$30,2,FALSE),"")</f>
        <v>4680</v>
      </c>
      <c r="N865" s="675">
        <v>731</v>
      </c>
      <c r="O865" s="675" t="str" cm="1">
        <f t="array" ref="O865">IF(OR(INDEX($B$24:$B$1023,N865)="P10",INDEX($B$24:$B$1023,N865)="P11",INDEX($B$24:$B$1023,N865)="P12",INDEX($B$24:$B$1023,N865)="P13"),"C",IF(OR(INDEX($B$24:$B$1023,N865)="P14",INDEX($B$24:$B$1023,N865)="P15",INDEX($B$24:$B$1023,N865)="P16"),"N","O"))&amp;IF(MOD(N865,100)&lt;20,1,IF(MOD(N865,100)&lt;70,2,3))</f>
        <v>C2</v>
      </c>
    </row>
    <row r="866" spans="1:15" ht="16.5" thickBot="1">
      <c r="A866" s="662">
        <v>843</v>
      </c>
      <c r="B866" s="661" t="str" cm="1">
        <f t="array" ref="B866">"P"&amp;INDEX(X!$CL$2:$CL$12,'Scratch Sheet'!H865+1)+9</f>
        <v>P12</v>
      </c>
      <c r="C866" s="661">
        <v>1</v>
      </c>
      <c r="D866" s="755">
        <f t="shared" si="52"/>
        <v>6825</v>
      </c>
      <c r="E866" s="682" t="str">
        <f t="shared" si="53"/>
        <v>C2</v>
      </c>
      <c r="F866" s="683">
        <f t="shared" si="54"/>
        <v>6.5</v>
      </c>
      <c r="H866" s="13">
        <v>643</v>
      </c>
      <c r="I866" s="13">
        <f>VLOOKUP(VLOOKUP(H866,$A$24:$B$1023,2,FALSE),'Scratch Sheet'!$U$23:$X$32,3,FALSE)</f>
        <v>6</v>
      </c>
      <c r="K866" s="13">
        <f t="shared" si="51"/>
        <v>822</v>
      </c>
      <c r="L866" s="13">
        <f>IFERROR(VLOOKUP(VLOOKUP(K866,$A$24:$B$1023,2,FALSE),'Scratch Sheet'!$U$23:$Y$32,5,FALSE)*VLOOKUP(VLOOKUP(K866,$A$24:$E$1023,5,FALSE),'Scratch Sheet'!$L$22:$M$30,2,FALSE),"")</f>
        <v>13200.000000000002</v>
      </c>
      <c r="N866" s="675">
        <v>732</v>
      </c>
      <c r="O866" s="675" t="str" cm="1">
        <f t="array" ref="O866">IF(OR(INDEX($B$24:$B$1023,N866)="P10",INDEX($B$24:$B$1023,N866)="P11",INDEX($B$24:$B$1023,N866)="P12",INDEX($B$24:$B$1023,N866)="P13"),"C",IF(OR(INDEX($B$24:$B$1023,N866)="P14",INDEX($B$24:$B$1023,N866)="P15",INDEX($B$24:$B$1023,N866)="P16"),"N","O"))&amp;IF(MOD(N866,100)&lt;20,1,IF(MOD(N866,100)&lt;70,2,3))</f>
        <v>C2</v>
      </c>
    </row>
    <row r="867" spans="1:15" ht="16.5" thickBot="1">
      <c r="A867" s="662">
        <v>844</v>
      </c>
      <c r="B867" s="661" t="str" cm="1">
        <f t="array" ref="B867">"P"&amp;INDEX(X!$CL$2:$CL$12,'Scratch Sheet'!H866+1)+9</f>
        <v>P10</v>
      </c>
      <c r="C867" s="661">
        <v>1</v>
      </c>
      <c r="D867" s="755">
        <f t="shared" si="52"/>
        <v>2400</v>
      </c>
      <c r="E867" s="682" t="str">
        <f t="shared" si="53"/>
        <v>C2</v>
      </c>
      <c r="F867" s="683">
        <f t="shared" si="54"/>
        <v>3</v>
      </c>
      <c r="H867" s="13">
        <v>903</v>
      </c>
      <c r="I867" s="13">
        <f>VLOOKUP(VLOOKUP(H867,$A$24:$B$1023,2,FALSE),'Scratch Sheet'!$U$23:$X$32,3,FALSE)</f>
        <v>3</v>
      </c>
      <c r="K867" s="13">
        <f t="shared" si="51"/>
        <v>821</v>
      </c>
      <c r="L867" s="13">
        <f>IFERROR(VLOOKUP(VLOOKUP(K867,$A$24:$B$1023,2,FALSE),'Scratch Sheet'!$U$23:$Y$32,5,FALSE)*VLOOKUP(VLOOKUP(K867,$A$24:$E$1023,5,FALSE),'Scratch Sheet'!$L$22:$M$30,2,FALSE),"")</f>
        <v>13200.000000000002</v>
      </c>
      <c r="N867" s="675">
        <v>734</v>
      </c>
      <c r="O867" s="675" t="str" cm="1">
        <f t="array" ref="O867">IF(OR(INDEX($B$24:$B$1023,N867)="P10",INDEX($B$24:$B$1023,N867)="P11",INDEX($B$24:$B$1023,N867)="P12",INDEX($B$24:$B$1023,N867)="P13"),"C",IF(OR(INDEX($B$24:$B$1023,N867)="P14",INDEX($B$24:$B$1023,N867)="P15",INDEX($B$24:$B$1023,N867)="P16"),"N","O"))&amp;IF(MOD(N867,100)&lt;20,1,IF(MOD(N867,100)&lt;70,2,3))</f>
        <v>C2</v>
      </c>
    </row>
    <row r="868" spans="1:15" ht="16.5" thickBot="1">
      <c r="A868" s="662">
        <v>845</v>
      </c>
      <c r="B868" s="661" t="str" cm="1">
        <f t="array" ref="B868">"P"&amp;INDEX(X!$CL$2:$CL$12,'Scratch Sheet'!H867+1)+9</f>
        <v>P10</v>
      </c>
      <c r="C868" s="661">
        <v>1</v>
      </c>
      <c r="D868" s="755">
        <f t="shared" si="52"/>
        <v>2400</v>
      </c>
      <c r="E868" s="682" t="str">
        <f t="shared" si="53"/>
        <v>C2</v>
      </c>
      <c r="F868" s="683">
        <f t="shared" si="54"/>
        <v>3</v>
      </c>
      <c r="H868" s="13">
        <v>596</v>
      </c>
      <c r="I868" s="13">
        <f>VLOOKUP(VLOOKUP(H868,$A$24:$B$1023,2,FALSE),'Scratch Sheet'!$U$23:$X$32,3,FALSE)</f>
        <v>5</v>
      </c>
      <c r="K868" s="13">
        <f t="shared" si="51"/>
        <v>824</v>
      </c>
      <c r="L868" s="13">
        <f>IFERROR(VLOOKUP(VLOOKUP(K868,$A$24:$B$1023,2,FALSE),'Scratch Sheet'!$U$23:$Y$32,5,FALSE)*VLOOKUP(VLOOKUP(K868,$A$24:$E$1023,5,FALSE),'Scratch Sheet'!$L$22:$M$30,2,FALSE),"")</f>
        <v>11000</v>
      </c>
      <c r="N868" s="675">
        <v>738</v>
      </c>
      <c r="O868" s="675" t="str" cm="1">
        <f t="array" ref="O868">IF(OR(INDEX($B$24:$B$1023,N868)="P10",INDEX($B$24:$B$1023,N868)="P11",INDEX($B$24:$B$1023,N868)="P12",INDEX($B$24:$B$1023,N868)="P13"),"C",IF(OR(INDEX($B$24:$B$1023,N868)="P14",INDEX($B$24:$B$1023,N868)="P15",INDEX($B$24:$B$1023,N868)="P16"),"N","O"))&amp;IF(MOD(N868,100)&lt;20,1,IF(MOD(N868,100)&lt;70,2,3))</f>
        <v>C2</v>
      </c>
    </row>
    <row r="869" spans="1:15" ht="16.5" thickBot="1">
      <c r="A869" s="662">
        <v>846</v>
      </c>
      <c r="B869" s="661" t="str" cm="1">
        <f t="array" ref="B869">"P"&amp;INDEX(X!$CL$2:$CL$12,'Scratch Sheet'!H868+1)+9</f>
        <v>P11</v>
      </c>
      <c r="C869" s="661">
        <v>1</v>
      </c>
      <c r="D869" s="755">
        <f t="shared" si="52"/>
        <v>11000</v>
      </c>
      <c r="E869" s="682" t="str">
        <f t="shared" si="53"/>
        <v>C2</v>
      </c>
      <c r="F869" s="683">
        <f t="shared" si="54"/>
        <v>11</v>
      </c>
      <c r="H869" s="13">
        <v>644</v>
      </c>
      <c r="I869" s="13">
        <f>VLOOKUP(VLOOKUP(H869,$A$24:$B$1023,2,FALSE),'Scratch Sheet'!$U$23:$X$32,3,FALSE)</f>
        <v>8</v>
      </c>
      <c r="K869" s="13">
        <f t="shared" si="51"/>
        <v>819</v>
      </c>
      <c r="L869" s="13">
        <f>IFERROR(VLOOKUP(VLOOKUP(K869,$A$24:$B$1023,2,FALSE),'Scratch Sheet'!$U$23:$Y$32,5,FALSE)*VLOOKUP(VLOOKUP(K869,$A$24:$E$1023,5,FALSE),'Scratch Sheet'!$L$22:$M$30,2,FALSE),"")</f>
        <v>13200</v>
      </c>
      <c r="N869" s="675">
        <v>739</v>
      </c>
      <c r="O869" s="675" t="str" cm="1">
        <f t="array" ref="O869">IF(OR(INDEX($B$24:$B$1023,N869)="P10",INDEX($B$24:$B$1023,N869)="P11",INDEX($B$24:$B$1023,N869)="P12",INDEX($B$24:$B$1023,N869)="P13"),"C",IF(OR(INDEX($B$24:$B$1023,N869)="P14",INDEX($B$24:$B$1023,N869)="P15",INDEX($B$24:$B$1023,N869)="P16"),"N","O"))&amp;IF(MOD(N869,100)&lt;20,1,IF(MOD(N869,100)&lt;70,2,3))</f>
        <v>C2</v>
      </c>
    </row>
    <row r="870" spans="1:15" ht="16.5" thickBot="1">
      <c r="A870" s="662">
        <v>847</v>
      </c>
      <c r="B870" s="661" t="str" cm="1">
        <f t="array" ref="B870">"P"&amp;INDEX(X!$CL$2:$CL$12,'Scratch Sheet'!H869+1)+9</f>
        <v>P18</v>
      </c>
      <c r="C870" s="661">
        <v>1</v>
      </c>
      <c r="D870" s="755">
        <f t="shared" si="52"/>
        <v>5940.0000000000009</v>
      </c>
      <c r="E870" s="682" t="str">
        <f t="shared" si="53"/>
        <v>O2</v>
      </c>
      <c r="F870" s="683">
        <f t="shared" si="54"/>
        <v>6</v>
      </c>
      <c r="H870" s="13">
        <v>219</v>
      </c>
      <c r="I870" s="13">
        <f>VLOOKUP(VLOOKUP(H870,$A$24:$B$1023,2,FALSE),'Scratch Sheet'!$U$23:$X$32,3,FALSE)</f>
        <v>8</v>
      </c>
      <c r="K870" s="13">
        <f t="shared" si="51"/>
        <v>817</v>
      </c>
      <c r="L870" s="13">
        <f>IFERROR(VLOOKUP(VLOOKUP(K870,$A$24:$B$1023,2,FALSE),'Scratch Sheet'!$U$23:$Y$32,5,FALSE)*VLOOKUP(VLOOKUP(K870,$A$24:$E$1023,5,FALSE),'Scratch Sheet'!$L$22:$M$30,2,FALSE),"")</f>
        <v>5400</v>
      </c>
      <c r="N870" s="675">
        <v>740</v>
      </c>
      <c r="O870" s="675" t="str" cm="1">
        <f t="array" ref="O870">IF(OR(INDEX($B$24:$B$1023,N870)="P10",INDEX($B$24:$B$1023,N870)="P11",INDEX($B$24:$B$1023,N870)="P12",INDEX($B$24:$B$1023,N870)="P13"),"C",IF(OR(INDEX($B$24:$B$1023,N870)="P14",INDEX($B$24:$B$1023,N870)="P15",INDEX($B$24:$B$1023,N870)="P16"),"N","O"))&amp;IF(MOD(N870,100)&lt;20,1,IF(MOD(N870,100)&lt;70,2,3))</f>
        <v>C2</v>
      </c>
    </row>
    <row r="871" spans="1:15" ht="16.5" thickBot="1">
      <c r="A871" s="662">
        <v>848</v>
      </c>
      <c r="B871" s="661" t="str" cm="1">
        <f t="array" ref="B871">"P"&amp;INDEX(X!$CL$2:$CL$12,'Scratch Sheet'!H870+1)+9</f>
        <v>P14</v>
      </c>
      <c r="C871" s="661">
        <v>1</v>
      </c>
      <c r="D871" s="755">
        <f t="shared" si="52"/>
        <v>6480</v>
      </c>
      <c r="E871" s="682" t="str">
        <f t="shared" si="53"/>
        <v>N2</v>
      </c>
      <c r="F871" s="683">
        <f t="shared" si="54"/>
        <v>8</v>
      </c>
      <c r="H871" s="13">
        <v>883</v>
      </c>
      <c r="I871" s="13">
        <f>VLOOKUP(VLOOKUP(H871,$A$24:$B$1023,2,FALSE),'Scratch Sheet'!$U$23:$X$32,3,FALSE)</f>
        <v>3</v>
      </c>
      <c r="K871" s="13">
        <f t="shared" si="51"/>
        <v>818</v>
      </c>
      <c r="L871" s="13">
        <f>IFERROR(VLOOKUP(VLOOKUP(K871,$A$24:$B$1023,2,FALSE),'Scratch Sheet'!$U$23:$Y$32,5,FALSE)*VLOOKUP(VLOOKUP(K871,$A$24:$E$1023,5,FALSE),'Scratch Sheet'!$L$22:$M$30,2,FALSE),"")</f>
        <v>2880</v>
      </c>
      <c r="N871" s="675">
        <v>744</v>
      </c>
      <c r="O871" s="675" t="str" cm="1">
        <f t="array" ref="O871">IF(OR(INDEX($B$24:$B$1023,N871)="P10",INDEX($B$24:$B$1023,N871)="P11",INDEX($B$24:$B$1023,N871)="P12",INDEX($B$24:$B$1023,N871)="P13"),"C",IF(OR(INDEX($B$24:$B$1023,N871)="P14",INDEX($B$24:$B$1023,N871)="P15",INDEX($B$24:$B$1023,N871)="P16"),"N","O"))&amp;IF(MOD(N871,100)&lt;20,1,IF(MOD(N871,100)&lt;70,2,3))</f>
        <v>C2</v>
      </c>
    </row>
    <row r="872" spans="1:15" ht="16.5" thickBot="1">
      <c r="A872" s="662">
        <v>849</v>
      </c>
      <c r="B872" s="661" t="str" cm="1">
        <f t="array" ref="B872">"P"&amp;INDEX(X!$CL$2:$CL$12,'Scratch Sheet'!H871+1)+9</f>
        <v>P10</v>
      </c>
      <c r="C872" s="661">
        <v>1</v>
      </c>
      <c r="D872" s="755">
        <f t="shared" si="52"/>
        <v>2400</v>
      </c>
      <c r="E872" s="682" t="str">
        <f t="shared" si="53"/>
        <v>C2</v>
      </c>
      <c r="F872" s="683">
        <f t="shared" si="54"/>
        <v>3</v>
      </c>
      <c r="H872" s="13">
        <v>703</v>
      </c>
      <c r="I872" s="13">
        <f>VLOOKUP(VLOOKUP(H872,$A$24:$B$1023,2,FALSE),'Scratch Sheet'!$U$23:$X$32,3,FALSE)</f>
        <v>12</v>
      </c>
      <c r="K872" s="13">
        <f t="shared" si="51"/>
        <v>816</v>
      </c>
      <c r="L872" s="13">
        <f>IFERROR(VLOOKUP(VLOOKUP(K872,$A$24:$B$1023,2,FALSE),'Scratch Sheet'!$U$23:$Y$32,5,FALSE)*VLOOKUP(VLOOKUP(K872,$A$24:$E$1023,5,FALSE),'Scratch Sheet'!$L$22:$M$30,2,FALSE),"")</f>
        <v>5400</v>
      </c>
      <c r="N872" s="675">
        <v>746</v>
      </c>
      <c r="O872" s="675" t="str" cm="1">
        <f t="array" ref="O872">IF(OR(INDEX($B$24:$B$1023,N872)="P10",INDEX($B$24:$B$1023,N872)="P11",INDEX($B$24:$B$1023,N872)="P12",INDEX($B$24:$B$1023,N872)="P13"),"C",IF(OR(INDEX($B$24:$B$1023,N872)="P14",INDEX($B$24:$B$1023,N872)="P15",INDEX($B$24:$B$1023,N872)="P16"),"N","O"))&amp;IF(MOD(N872,100)&lt;20,1,IF(MOD(N872,100)&lt;70,2,3))</f>
        <v>N2</v>
      </c>
    </row>
    <row r="873" spans="1:15" ht="16.5" thickBot="1">
      <c r="A873" s="662">
        <v>850</v>
      </c>
      <c r="B873" s="661" t="str" cm="1">
        <f t="array" ref="B873">"P"&amp;INDEX(X!$CL$2:$CL$12,'Scratch Sheet'!H872+1)+9</f>
        <v>P13</v>
      </c>
      <c r="C873" s="661">
        <v>1</v>
      </c>
      <c r="D873" s="755">
        <f t="shared" si="52"/>
        <v>4500</v>
      </c>
      <c r="E873" s="682" t="str">
        <f t="shared" si="53"/>
        <v>C2</v>
      </c>
      <c r="F873" s="683">
        <f t="shared" si="54"/>
        <v>5</v>
      </c>
      <c r="H873" s="13">
        <v>593</v>
      </c>
      <c r="I873" s="13">
        <f>VLOOKUP(VLOOKUP(H873,$A$24:$B$1023,2,FALSE),'Scratch Sheet'!$U$23:$X$32,3,FALSE)</f>
        <v>8</v>
      </c>
      <c r="K873" s="13">
        <f t="shared" si="51"/>
        <v>815</v>
      </c>
      <c r="L873" s="13">
        <f>IFERROR(VLOOKUP(VLOOKUP(K873,$A$24:$B$1023,2,FALSE),'Scratch Sheet'!$U$23:$Y$32,5,FALSE)*VLOOKUP(VLOOKUP(K873,$A$24:$E$1023,5,FALSE),'Scratch Sheet'!$L$22:$M$30,2,FALSE),"")</f>
        <v>2880</v>
      </c>
      <c r="N873" s="675">
        <v>748</v>
      </c>
      <c r="O873" s="675" t="str" cm="1">
        <f t="array" ref="O873">IF(OR(INDEX($B$24:$B$1023,N873)="P10",INDEX($B$24:$B$1023,N873)="P11",INDEX($B$24:$B$1023,N873)="P12",INDEX($B$24:$B$1023,N873)="P13"),"C",IF(OR(INDEX($B$24:$B$1023,N873)="P14",INDEX($B$24:$B$1023,N873)="P15",INDEX($B$24:$B$1023,N873)="P16"),"N","O"))&amp;IF(MOD(N873,100)&lt;20,1,IF(MOD(N873,100)&lt;70,2,3))</f>
        <v>C2</v>
      </c>
    </row>
    <row r="874" spans="1:15" ht="16.5" thickBot="1">
      <c r="A874" s="662">
        <v>851</v>
      </c>
      <c r="B874" s="661" t="str" cm="1">
        <f t="array" ref="B874">"P"&amp;INDEX(X!$CL$2:$CL$12,'Scratch Sheet'!H873+1)+9</f>
        <v>P13</v>
      </c>
      <c r="C874" s="661">
        <v>1</v>
      </c>
      <c r="D874" s="755">
        <f t="shared" si="52"/>
        <v>4500</v>
      </c>
      <c r="E874" s="682" t="str">
        <f t="shared" si="53"/>
        <v>C2</v>
      </c>
      <c r="F874" s="683">
        <f t="shared" si="54"/>
        <v>5</v>
      </c>
      <c r="H874" s="13">
        <v>892</v>
      </c>
      <c r="I874" s="13">
        <f>VLOOKUP(VLOOKUP(H874,$A$24:$B$1023,2,FALSE),'Scratch Sheet'!$U$23:$X$32,3,FALSE)</f>
        <v>11</v>
      </c>
      <c r="K874" s="13">
        <f t="shared" si="51"/>
        <v>827</v>
      </c>
      <c r="L874" s="13">
        <f>IFERROR(VLOOKUP(VLOOKUP(K874,$A$24:$B$1023,2,FALSE),'Scratch Sheet'!$U$23:$Y$32,5,FALSE)*VLOOKUP(VLOOKUP(K874,$A$24:$E$1023,5,FALSE),'Scratch Sheet'!$L$22:$M$30,2,FALSE),"")</f>
        <v>2400</v>
      </c>
      <c r="N874" s="675">
        <v>749</v>
      </c>
      <c r="O874" s="675" t="str" cm="1">
        <f t="array" ref="O874">IF(OR(INDEX($B$24:$B$1023,N874)="P10",INDEX($B$24:$B$1023,N874)="P11",INDEX($B$24:$B$1023,N874)="P12",INDEX($B$24:$B$1023,N874)="P13"),"C",IF(OR(INDEX($B$24:$B$1023,N874)="P14",INDEX($B$24:$B$1023,N874)="P15",INDEX($B$24:$B$1023,N874)="P16"),"N","O"))&amp;IF(MOD(N874,100)&lt;20,1,IF(MOD(N874,100)&lt;70,2,3))</f>
        <v>C2</v>
      </c>
    </row>
    <row r="875" spans="1:15" ht="16.5" thickBot="1">
      <c r="A875" s="662">
        <v>852</v>
      </c>
      <c r="B875" s="661" t="str" cm="1">
        <f t="array" ref="B875">"P"&amp;INDEX(X!$CL$2:$CL$12,'Scratch Sheet'!H874+1)+9</f>
        <v>P10</v>
      </c>
      <c r="C875" s="661">
        <v>1</v>
      </c>
      <c r="D875" s="755">
        <f t="shared" si="52"/>
        <v>2400</v>
      </c>
      <c r="E875" s="682" t="str">
        <f t="shared" si="53"/>
        <v>C2</v>
      </c>
      <c r="F875" s="683">
        <f t="shared" si="54"/>
        <v>3</v>
      </c>
      <c r="H875" s="13">
        <v>566</v>
      </c>
      <c r="I875" s="13">
        <f>VLOOKUP(VLOOKUP(H875,$A$24:$B$1023,2,FALSE),'Scratch Sheet'!$U$23:$X$32,3,FALSE)</f>
        <v>12</v>
      </c>
      <c r="K875" s="13">
        <f t="shared" si="51"/>
        <v>836</v>
      </c>
      <c r="L875" s="13">
        <f>IFERROR(VLOOKUP(VLOOKUP(K875,$A$24:$B$1023,2,FALSE),'Scratch Sheet'!$U$23:$Y$32,5,FALSE)*VLOOKUP(VLOOKUP(K875,$A$24:$E$1023,5,FALSE),'Scratch Sheet'!$L$22:$M$30,2,FALSE),"")</f>
        <v>11000</v>
      </c>
      <c r="N875" s="675">
        <v>751</v>
      </c>
      <c r="O875" s="675" t="str" cm="1">
        <f t="array" ref="O875">IF(OR(INDEX($B$24:$B$1023,N875)="P10",INDEX($B$24:$B$1023,N875)="P11",INDEX($B$24:$B$1023,N875)="P12",INDEX($B$24:$B$1023,N875)="P13"),"C",IF(OR(INDEX($B$24:$B$1023,N875)="P14",INDEX($B$24:$B$1023,N875)="P15",INDEX($B$24:$B$1023,N875)="P16"),"N","O"))&amp;IF(MOD(N875,100)&lt;20,1,IF(MOD(N875,100)&lt;70,2,3))</f>
        <v>C2</v>
      </c>
    </row>
    <row r="876" spans="1:15" ht="16.5" thickBot="1">
      <c r="A876" s="662">
        <v>853</v>
      </c>
      <c r="B876" s="661" t="str" cm="1">
        <f t="array" ref="B876">"P"&amp;INDEX(X!$CL$2:$CL$12,'Scratch Sheet'!H875+1)+9</f>
        <v>P11</v>
      </c>
      <c r="C876" s="661">
        <v>1</v>
      </c>
      <c r="D876" s="755">
        <f t="shared" si="52"/>
        <v>22000</v>
      </c>
      <c r="E876" s="682" t="str">
        <f t="shared" si="53"/>
        <v>C2</v>
      </c>
      <c r="F876" s="683">
        <f t="shared" si="54"/>
        <v>11</v>
      </c>
      <c r="H876" s="13">
        <v>693</v>
      </c>
      <c r="I876" s="13">
        <f>VLOOKUP(VLOOKUP(H876,$A$24:$B$1023,2,FALSE),'Scratch Sheet'!$U$23:$X$32,3,FALSE)</f>
        <v>11</v>
      </c>
      <c r="K876" s="13">
        <f t="shared" si="51"/>
        <v>839</v>
      </c>
      <c r="L876" s="13">
        <f>IFERROR(VLOOKUP(VLOOKUP(K876,$A$24:$B$1023,2,FALSE),'Scratch Sheet'!$U$23:$Y$32,5,FALSE)*VLOOKUP(VLOOKUP(K876,$A$24:$E$1023,5,FALSE),'Scratch Sheet'!$L$22:$M$30,2,FALSE),"")</f>
        <v>13200.000000000002</v>
      </c>
      <c r="N876" s="675">
        <v>755</v>
      </c>
      <c r="O876" s="675" t="str" cm="1">
        <f t="array" ref="O876">IF(OR(INDEX($B$24:$B$1023,N876)="P10",INDEX($B$24:$B$1023,N876)="P11",INDEX($B$24:$B$1023,N876)="P12",INDEX($B$24:$B$1023,N876)="P13"),"C",IF(OR(INDEX($B$24:$B$1023,N876)="P14",INDEX($B$24:$B$1023,N876)="P15",INDEX($B$24:$B$1023,N876)="P16"),"N","O"))&amp;IF(MOD(N876,100)&lt;20,1,IF(MOD(N876,100)&lt;70,2,3))</f>
        <v>C2</v>
      </c>
    </row>
    <row r="877" spans="1:15" ht="16.5" thickBot="1">
      <c r="A877" s="662">
        <v>854</v>
      </c>
      <c r="B877" s="661" t="str" cm="1">
        <f t="array" ref="B877">"P"&amp;INDEX(X!$CL$2:$CL$12,'Scratch Sheet'!H876+1)+9</f>
        <v>P16</v>
      </c>
      <c r="C877" s="661">
        <v>1</v>
      </c>
      <c r="D877" s="755">
        <f t="shared" si="52"/>
        <v>4680</v>
      </c>
      <c r="E877" s="682" t="str">
        <f t="shared" si="53"/>
        <v>N2</v>
      </c>
      <c r="F877" s="683">
        <f t="shared" si="54"/>
        <v>4</v>
      </c>
      <c r="H877" s="13">
        <v>346</v>
      </c>
      <c r="I877" s="13">
        <f>VLOOKUP(VLOOKUP(H877,$A$24:$B$1023,2,FALSE),'Scratch Sheet'!$U$23:$X$32,3,FALSE)</f>
        <v>12</v>
      </c>
      <c r="K877" s="13">
        <f t="shared" si="51"/>
        <v>838</v>
      </c>
      <c r="L877" s="13">
        <f>IFERROR(VLOOKUP(VLOOKUP(K877,$A$24:$B$1023,2,FALSE),'Scratch Sheet'!$U$23:$Y$32,5,FALSE)*VLOOKUP(VLOOKUP(K877,$A$24:$E$1023,5,FALSE),'Scratch Sheet'!$L$22:$M$30,2,FALSE),"")</f>
        <v>13200.000000000002</v>
      </c>
      <c r="N877" s="675">
        <v>756</v>
      </c>
      <c r="O877" s="675" t="str" cm="1">
        <f t="array" ref="O877">IF(OR(INDEX($B$24:$B$1023,N877)="P10",INDEX($B$24:$B$1023,N877)="P11",INDEX($B$24:$B$1023,N877)="P12",INDEX($B$24:$B$1023,N877)="P13"),"C",IF(OR(INDEX($B$24:$B$1023,N877)="P14",INDEX($B$24:$B$1023,N877)="P15",INDEX($B$24:$B$1023,N877)="P16"),"N","O"))&amp;IF(MOD(N877,100)&lt;20,1,IF(MOD(N877,100)&lt;70,2,3))</f>
        <v>C2</v>
      </c>
    </row>
    <row r="878" spans="1:15" ht="16.5" thickBot="1">
      <c r="A878" s="662">
        <v>855</v>
      </c>
      <c r="B878" s="661" t="str" cm="1">
        <f t="array" ref="B878">"P"&amp;INDEX(X!$CL$2:$CL$12,'Scratch Sheet'!H877+1)+9</f>
        <v>P17</v>
      </c>
      <c r="C878" s="661">
        <v>1</v>
      </c>
      <c r="D878" s="755">
        <f t="shared" si="52"/>
        <v>13200.000000000002</v>
      </c>
      <c r="E878" s="682" t="str">
        <f t="shared" si="53"/>
        <v>O2</v>
      </c>
      <c r="F878" s="683">
        <f t="shared" si="54"/>
        <v>12</v>
      </c>
      <c r="H878" s="13">
        <v>711</v>
      </c>
      <c r="I878" s="13">
        <f>VLOOKUP(VLOOKUP(H878,$A$24:$B$1023,2,FALSE),'Scratch Sheet'!$U$23:$X$32,3,FALSE)</f>
        <v>6</v>
      </c>
      <c r="K878" s="13">
        <f t="shared" si="51"/>
        <v>833</v>
      </c>
      <c r="L878" s="13">
        <f>IFERROR(VLOOKUP(VLOOKUP(K878,$A$24:$B$1023,2,FALSE),'Scratch Sheet'!$U$23:$Y$32,5,FALSE)*VLOOKUP(VLOOKUP(K878,$A$24:$E$1023,5,FALSE),'Scratch Sheet'!$L$22:$M$30,2,FALSE),"")</f>
        <v>4500</v>
      </c>
      <c r="N878" s="675">
        <v>757</v>
      </c>
      <c r="O878" s="675" t="str" cm="1">
        <f t="array" ref="O878">IF(OR(INDEX($B$24:$B$1023,N878)="P10",INDEX($B$24:$B$1023,N878)="P11",INDEX($B$24:$B$1023,N878)="P12",INDEX($B$24:$B$1023,N878)="P13"),"C",IF(OR(INDEX($B$24:$B$1023,N878)="P14",INDEX($B$24:$B$1023,N878)="P15",INDEX($B$24:$B$1023,N878)="P16"),"N","O"))&amp;IF(MOD(N878,100)&lt;20,1,IF(MOD(N878,100)&lt;70,2,3))</f>
        <v>C2</v>
      </c>
    </row>
    <row r="879" spans="1:15" ht="16.5" thickBot="1">
      <c r="A879" s="662">
        <v>856</v>
      </c>
      <c r="B879" s="661" t="str" cm="1">
        <f t="array" ref="B879">"P"&amp;INDEX(X!$CL$2:$CL$12,'Scratch Sheet'!H878+1)+9</f>
        <v>P17</v>
      </c>
      <c r="C879" s="661">
        <v>1</v>
      </c>
      <c r="D879" s="755">
        <f t="shared" si="52"/>
        <v>13200.000000000002</v>
      </c>
      <c r="E879" s="682" t="str">
        <f t="shared" si="53"/>
        <v>O2</v>
      </c>
      <c r="F879" s="683">
        <f t="shared" si="54"/>
        <v>12</v>
      </c>
      <c r="H879" s="13">
        <v>607</v>
      </c>
      <c r="I879" s="13">
        <f>VLOOKUP(VLOOKUP(H879,$A$24:$B$1023,2,FALSE),'Scratch Sheet'!$U$23:$X$32,3,FALSE)</f>
        <v>3</v>
      </c>
      <c r="K879" s="13">
        <f t="shared" si="51"/>
        <v>835</v>
      </c>
      <c r="L879" s="13">
        <f>IFERROR(VLOOKUP(VLOOKUP(K879,$A$24:$B$1023,2,FALSE),'Scratch Sheet'!$U$23:$Y$32,5,FALSE)*VLOOKUP(VLOOKUP(K879,$A$24:$E$1023,5,FALSE),'Scratch Sheet'!$L$22:$M$30,2,FALSE),"")</f>
        <v>2400</v>
      </c>
      <c r="N879" s="675">
        <v>761</v>
      </c>
      <c r="O879" s="675" t="str" cm="1">
        <f t="array" ref="O879">IF(OR(INDEX($B$24:$B$1023,N879)="P10",INDEX($B$24:$B$1023,N879)="P11",INDEX($B$24:$B$1023,N879)="P12",INDEX($B$24:$B$1023,N879)="P13"),"C",IF(OR(INDEX($B$24:$B$1023,N879)="P14",INDEX($B$24:$B$1023,N879)="P15",INDEX($B$24:$B$1023,N879)="P16"),"N","O"))&amp;IF(MOD(N879,100)&lt;20,1,IF(MOD(N879,100)&lt;70,2,3))</f>
        <v>C2</v>
      </c>
    </row>
    <row r="880" spans="1:15" ht="16.5" thickBot="1">
      <c r="A880" s="662">
        <v>857</v>
      </c>
      <c r="B880" s="661" t="str" cm="1">
        <f t="array" ref="B880">"P"&amp;INDEX(X!$CL$2:$CL$12,'Scratch Sheet'!H879+1)+9</f>
        <v>P13</v>
      </c>
      <c r="C880" s="661">
        <v>1</v>
      </c>
      <c r="D880" s="755">
        <f t="shared" si="52"/>
        <v>4500</v>
      </c>
      <c r="E880" s="682" t="str">
        <f t="shared" si="53"/>
        <v>C2</v>
      </c>
      <c r="F880" s="683">
        <f t="shared" si="54"/>
        <v>5</v>
      </c>
      <c r="H880" s="13">
        <v>340</v>
      </c>
      <c r="I880" s="13">
        <f>VLOOKUP(VLOOKUP(H880,$A$24:$B$1023,2,FALSE),'Scratch Sheet'!$U$23:$X$32,3,FALSE)</f>
        <v>5</v>
      </c>
      <c r="K880" s="13">
        <f t="shared" si="51"/>
        <v>834</v>
      </c>
      <c r="L880" s="13">
        <f>IFERROR(VLOOKUP(VLOOKUP(K880,$A$24:$B$1023,2,FALSE),'Scratch Sheet'!$U$23:$Y$32,5,FALSE)*VLOOKUP(VLOOKUP(K880,$A$24:$E$1023,5,FALSE),'Scratch Sheet'!$L$22:$M$30,2,FALSE),"")</f>
        <v>4500</v>
      </c>
      <c r="N880" s="675">
        <v>763</v>
      </c>
      <c r="O880" s="675" t="str" cm="1">
        <f t="array" ref="O880">IF(OR(INDEX($B$24:$B$1023,N880)="P10",INDEX($B$24:$B$1023,N880)="P11",INDEX($B$24:$B$1023,N880)="P12",INDEX($B$24:$B$1023,N880)="P13"),"C",IF(OR(INDEX($B$24:$B$1023,N880)="P14",INDEX($B$24:$B$1023,N880)="P15",INDEX($B$24:$B$1023,N880)="P16"),"N","O"))&amp;IF(MOD(N880,100)&lt;20,1,IF(MOD(N880,100)&lt;70,2,3))</f>
        <v>N2</v>
      </c>
    </row>
    <row r="881" spans="1:15" ht="16.5" thickBot="1">
      <c r="A881" s="662">
        <v>858</v>
      </c>
      <c r="B881" s="661" t="str" cm="1">
        <f t="array" ref="B881">"P"&amp;INDEX(X!$CL$2:$CL$12,'Scratch Sheet'!H880+1)+9</f>
        <v>P11</v>
      </c>
      <c r="C881" s="661">
        <v>1</v>
      </c>
      <c r="D881" s="755">
        <f t="shared" si="52"/>
        <v>11000</v>
      </c>
      <c r="E881" s="682" t="str">
        <f t="shared" si="53"/>
        <v>C2</v>
      </c>
      <c r="F881" s="683">
        <f t="shared" si="54"/>
        <v>11</v>
      </c>
      <c r="H881" s="13">
        <v>492</v>
      </c>
      <c r="I881" s="13">
        <f>VLOOKUP(VLOOKUP(H881,$A$24:$B$1023,2,FALSE),'Scratch Sheet'!$U$23:$X$32,3,FALSE)</f>
        <v>3</v>
      </c>
      <c r="K881" s="13">
        <f t="shared" si="51"/>
        <v>837</v>
      </c>
      <c r="L881" s="13">
        <f>IFERROR(VLOOKUP(VLOOKUP(K881,$A$24:$B$1023,2,FALSE),'Scratch Sheet'!$U$23:$Y$32,5,FALSE)*VLOOKUP(VLOOKUP(K881,$A$24:$E$1023,5,FALSE),'Scratch Sheet'!$L$22:$M$30,2,FALSE),"")</f>
        <v>4680</v>
      </c>
      <c r="N881" s="675">
        <v>765</v>
      </c>
      <c r="O881" s="675" t="str" cm="1">
        <f t="array" ref="O881">IF(OR(INDEX($B$24:$B$1023,N881)="P10",INDEX($B$24:$B$1023,N881)="P11",INDEX($B$24:$B$1023,N881)="P12",INDEX($B$24:$B$1023,N881)="P13"),"C",IF(OR(INDEX($B$24:$B$1023,N881)="P14",INDEX($B$24:$B$1023,N881)="P15",INDEX($B$24:$B$1023,N881)="P16"),"N","O"))&amp;IF(MOD(N881,100)&lt;20,1,IF(MOD(N881,100)&lt;70,2,3))</f>
        <v>C2</v>
      </c>
    </row>
    <row r="882" spans="1:15" ht="16.5" thickBot="1">
      <c r="A882" s="662">
        <v>859</v>
      </c>
      <c r="B882" s="661" t="str" cm="1">
        <f t="array" ref="B882">"P"&amp;INDEX(X!$CL$2:$CL$12,'Scratch Sheet'!H881+1)+9</f>
        <v>P11</v>
      </c>
      <c r="C882" s="661">
        <v>1</v>
      </c>
      <c r="D882" s="755">
        <f t="shared" si="52"/>
        <v>11000</v>
      </c>
      <c r="E882" s="682" t="str">
        <f t="shared" si="53"/>
        <v>C2</v>
      </c>
      <c r="F882" s="683">
        <f t="shared" si="54"/>
        <v>11</v>
      </c>
      <c r="H882" s="13">
        <v>665</v>
      </c>
      <c r="I882" s="13">
        <f>VLOOKUP(VLOOKUP(H882,$A$24:$B$1023,2,FALSE),'Scratch Sheet'!$U$23:$X$32,3,FALSE)</f>
        <v>3</v>
      </c>
      <c r="K882" s="13">
        <f t="shared" si="51"/>
        <v>832</v>
      </c>
      <c r="L882" s="13">
        <f>IFERROR(VLOOKUP(VLOOKUP(K882,$A$24:$B$1023,2,FALSE),'Scratch Sheet'!$U$23:$Y$32,5,FALSE)*VLOOKUP(VLOOKUP(K882,$A$24:$E$1023,5,FALSE),'Scratch Sheet'!$L$22:$M$30,2,FALSE),"")</f>
        <v>2400</v>
      </c>
      <c r="N882" s="675">
        <v>766</v>
      </c>
      <c r="O882" s="675" t="str" cm="1">
        <f t="array" ref="O882">IF(OR(INDEX($B$24:$B$1023,N882)="P10",INDEX($B$24:$B$1023,N882)="P11",INDEX($B$24:$B$1023,N882)="P12",INDEX($B$24:$B$1023,N882)="P13"),"C",IF(OR(INDEX($B$24:$B$1023,N882)="P14",INDEX($B$24:$B$1023,N882)="P15",INDEX($B$24:$B$1023,N882)="P16"),"N","O"))&amp;IF(MOD(N882,100)&lt;20,1,IF(MOD(N882,100)&lt;70,2,3))</f>
        <v>C2</v>
      </c>
    </row>
    <row r="883" spans="1:15" ht="16.5" thickBot="1">
      <c r="A883" s="662">
        <v>860</v>
      </c>
      <c r="B883" s="661" t="str" cm="1">
        <f t="array" ref="B883">"P"&amp;INDEX(X!$CL$2:$CL$12,'Scratch Sheet'!H882+1)+9</f>
        <v>P12</v>
      </c>
      <c r="C883" s="661">
        <v>1</v>
      </c>
      <c r="D883" s="755">
        <f t="shared" si="52"/>
        <v>6825</v>
      </c>
      <c r="E883" s="682" t="str">
        <f t="shared" si="53"/>
        <v>C2</v>
      </c>
      <c r="F883" s="683">
        <f t="shared" si="54"/>
        <v>6.5</v>
      </c>
      <c r="H883" s="13">
        <v>790</v>
      </c>
      <c r="I883" s="13">
        <f>VLOOKUP(VLOOKUP(H883,$A$24:$B$1023,2,FALSE),'Scratch Sheet'!$U$23:$X$32,3,FALSE)</f>
        <v>11</v>
      </c>
      <c r="K883" s="13">
        <f t="shared" si="51"/>
        <v>830</v>
      </c>
      <c r="L883" s="13">
        <f>IFERROR(VLOOKUP(VLOOKUP(K883,$A$24:$B$1023,2,FALSE),'Scratch Sheet'!$U$23:$Y$32,5,FALSE)*VLOOKUP(VLOOKUP(K883,$A$24:$E$1023,5,FALSE),'Scratch Sheet'!$L$22:$M$30,2,FALSE),"")</f>
        <v>5940.0000000000009</v>
      </c>
      <c r="N883" s="675">
        <v>768</v>
      </c>
      <c r="O883" s="675" t="str" cm="1">
        <f t="array" ref="O883">IF(OR(INDEX($B$24:$B$1023,N883)="P10",INDEX($B$24:$B$1023,N883)="P11",INDEX($B$24:$B$1023,N883)="P12",INDEX($B$24:$B$1023,N883)="P13"),"C",IF(OR(INDEX($B$24:$B$1023,N883)="P14",INDEX($B$24:$B$1023,N883)="P15",INDEX($B$24:$B$1023,N883)="P16"),"N","O"))&amp;IF(MOD(N883,100)&lt;20,1,IF(MOD(N883,100)&lt;70,2,3))</f>
        <v>C2</v>
      </c>
    </row>
    <row r="884" spans="1:15" ht="16.5" thickBot="1">
      <c r="A884" s="662">
        <v>861</v>
      </c>
      <c r="B884" s="661" t="str" cm="1">
        <f t="array" ref="B884">"P"&amp;INDEX(X!$CL$2:$CL$12,'Scratch Sheet'!H883+1)+9</f>
        <v>P10</v>
      </c>
      <c r="C884" s="661">
        <v>1</v>
      </c>
      <c r="D884" s="755">
        <f t="shared" si="52"/>
        <v>2400</v>
      </c>
      <c r="E884" s="682" t="str">
        <f t="shared" si="53"/>
        <v>C2</v>
      </c>
      <c r="F884" s="683">
        <f t="shared" si="54"/>
        <v>3</v>
      </c>
      <c r="H884" s="13">
        <v>165</v>
      </c>
      <c r="I884" s="13">
        <f>VLOOKUP(VLOOKUP(H884,$A$24:$B$1023,2,FALSE),'Scratch Sheet'!$U$23:$X$32,3,FALSE)</f>
        <v>3</v>
      </c>
      <c r="K884" s="13">
        <f t="shared" si="51"/>
        <v>831</v>
      </c>
      <c r="L884" s="13">
        <f>IFERROR(VLOOKUP(VLOOKUP(K884,$A$24:$B$1023,2,FALSE),'Scratch Sheet'!$U$23:$Y$32,5,FALSE)*VLOOKUP(VLOOKUP(K884,$A$24:$E$1023,5,FALSE),'Scratch Sheet'!$L$22:$M$30,2,FALSE),"")</f>
        <v>6480</v>
      </c>
      <c r="N884" s="675">
        <v>772</v>
      </c>
      <c r="O884" s="675" t="str" cm="1">
        <f t="array" ref="O884">IF(OR(INDEX($B$24:$B$1023,N884)="P10",INDEX($B$24:$B$1023,N884)="P11",INDEX($B$24:$B$1023,N884)="P12",INDEX($B$24:$B$1023,N884)="P13"),"C",IF(OR(INDEX($B$24:$B$1023,N884)="P14",INDEX($B$24:$B$1023,N884)="P15",INDEX($B$24:$B$1023,N884)="P16"),"N","O"))&amp;IF(MOD(N884,100)&lt;20,1,IF(MOD(N884,100)&lt;70,2,3))</f>
        <v>C3</v>
      </c>
    </row>
    <row r="885" spans="1:15" ht="16.5" thickBot="1">
      <c r="A885" s="662">
        <v>862</v>
      </c>
      <c r="B885" s="661" t="str" cm="1">
        <f t="array" ref="B885">"P"&amp;INDEX(X!$CL$2:$CL$12,'Scratch Sheet'!H884+1)+9</f>
        <v>P10</v>
      </c>
      <c r="C885" s="661">
        <v>1</v>
      </c>
      <c r="D885" s="755">
        <f t="shared" si="52"/>
        <v>2400</v>
      </c>
      <c r="E885" s="682" t="str">
        <f t="shared" si="53"/>
        <v>C2</v>
      </c>
      <c r="F885" s="683">
        <f t="shared" si="54"/>
        <v>3</v>
      </c>
      <c r="H885" s="13">
        <v>400</v>
      </c>
      <c r="I885" s="13">
        <f>VLOOKUP(VLOOKUP(H885,$A$24:$B$1023,2,FALSE),'Scratch Sheet'!$U$23:$X$32,3,FALSE)</f>
        <v>11</v>
      </c>
      <c r="K885" s="13">
        <f t="shared" si="51"/>
        <v>829</v>
      </c>
      <c r="L885" s="13">
        <f>IFERROR(VLOOKUP(VLOOKUP(K885,$A$24:$B$1023,2,FALSE),'Scratch Sheet'!$U$23:$Y$32,5,FALSE)*VLOOKUP(VLOOKUP(K885,$A$24:$E$1023,5,FALSE),'Scratch Sheet'!$L$22:$M$30,2,FALSE),"")</f>
        <v>11000</v>
      </c>
      <c r="N885" s="675">
        <v>773</v>
      </c>
      <c r="O885" s="675" t="str" cm="1">
        <f t="array" ref="O885">IF(OR(INDEX($B$24:$B$1023,N885)="P10",INDEX($B$24:$B$1023,N885)="P11",INDEX($B$24:$B$1023,N885)="P12",INDEX($B$24:$B$1023,N885)="P13"),"C",IF(OR(INDEX($B$24:$B$1023,N885)="P14",INDEX($B$24:$B$1023,N885)="P15",INDEX($B$24:$B$1023,N885)="P16"),"N","O"))&amp;IF(MOD(N885,100)&lt;20,1,IF(MOD(N885,100)&lt;70,2,3))</f>
        <v>C3</v>
      </c>
    </row>
    <row r="886" spans="1:15" ht="16.5" thickBot="1">
      <c r="A886" s="662">
        <v>863</v>
      </c>
      <c r="B886" s="661" t="str" cm="1">
        <f t="array" ref="B886">"P"&amp;INDEX(X!$CL$2:$CL$12,'Scratch Sheet'!H885+1)+9</f>
        <v>P11</v>
      </c>
      <c r="C886" s="661">
        <v>1</v>
      </c>
      <c r="D886" s="755">
        <f t="shared" si="52"/>
        <v>11000</v>
      </c>
      <c r="E886" s="682" t="str">
        <f t="shared" si="53"/>
        <v>C2</v>
      </c>
      <c r="F886" s="683">
        <f t="shared" si="54"/>
        <v>11</v>
      </c>
      <c r="H886" s="13">
        <v>61</v>
      </c>
      <c r="I886" s="13">
        <f>VLOOKUP(VLOOKUP(H886,$A$24:$B$1023,2,FALSE),'Scratch Sheet'!$U$23:$X$32,3,FALSE)</f>
        <v>11</v>
      </c>
      <c r="K886" s="13">
        <f t="shared" si="51"/>
        <v>828</v>
      </c>
      <c r="L886" s="13">
        <f>IFERROR(VLOOKUP(VLOOKUP(K886,$A$24:$B$1023,2,FALSE),'Scratch Sheet'!$U$23:$Y$32,5,FALSE)*VLOOKUP(VLOOKUP(K886,$A$24:$E$1023,5,FALSE),'Scratch Sheet'!$L$22:$M$30,2,FALSE),"")</f>
        <v>2400</v>
      </c>
      <c r="N886" s="675">
        <v>774</v>
      </c>
      <c r="O886" s="675" t="str" cm="1">
        <f t="array" ref="O886">IF(OR(INDEX($B$24:$B$1023,N886)="P10",INDEX($B$24:$B$1023,N886)="P11",INDEX($B$24:$B$1023,N886)="P12",INDEX($B$24:$B$1023,N886)="P13"),"C",IF(OR(INDEX($B$24:$B$1023,N886)="P14",INDEX($B$24:$B$1023,N886)="P15",INDEX($B$24:$B$1023,N886)="P16"),"N","O"))&amp;IF(MOD(N886,100)&lt;20,1,IF(MOD(N886,100)&lt;70,2,3))</f>
        <v>C3</v>
      </c>
    </row>
    <row r="887" spans="1:15" ht="16.5" thickBot="1">
      <c r="A887" s="662">
        <v>864</v>
      </c>
      <c r="B887" s="661" t="str" cm="1">
        <f t="array" ref="B887">"P"&amp;INDEX(X!$CL$2:$CL$12,'Scratch Sheet'!H886+1)+9</f>
        <v>P18</v>
      </c>
      <c r="C887" s="661">
        <v>1</v>
      </c>
      <c r="D887" s="755">
        <f t="shared" si="52"/>
        <v>5940.0000000000009</v>
      </c>
      <c r="E887" s="682" t="str">
        <f t="shared" si="53"/>
        <v>O2</v>
      </c>
      <c r="F887" s="683">
        <f t="shared" si="54"/>
        <v>6</v>
      </c>
      <c r="H887" s="13">
        <v>448</v>
      </c>
      <c r="I887" s="13">
        <f>VLOOKUP(VLOOKUP(H887,$A$24:$B$1023,2,FALSE),'Scratch Sheet'!$U$23:$X$32,3,FALSE)</f>
        <v>12</v>
      </c>
      <c r="K887" s="13">
        <f t="shared" si="51"/>
        <v>847</v>
      </c>
      <c r="L887" s="13">
        <f>IFERROR(VLOOKUP(VLOOKUP(K887,$A$24:$B$1023,2,FALSE),'Scratch Sheet'!$U$23:$Y$32,5,FALSE)*VLOOKUP(VLOOKUP(K887,$A$24:$E$1023,5,FALSE),'Scratch Sheet'!$L$22:$M$30,2,FALSE),"")</f>
        <v>5940.0000000000009</v>
      </c>
      <c r="N887" s="675">
        <v>778</v>
      </c>
      <c r="O887" s="675" t="str" cm="1">
        <f t="array" ref="O887">IF(OR(INDEX($B$24:$B$1023,N887)="P10",INDEX($B$24:$B$1023,N887)="P11",INDEX($B$24:$B$1023,N887)="P12",INDEX($B$24:$B$1023,N887)="P13"),"C",IF(OR(INDEX($B$24:$B$1023,N887)="P14",INDEX($B$24:$B$1023,N887)="P15",INDEX($B$24:$B$1023,N887)="P16"),"N","O"))&amp;IF(MOD(N887,100)&lt;20,1,IF(MOD(N887,100)&lt;70,2,3))</f>
        <v>C3</v>
      </c>
    </row>
    <row r="888" spans="1:15" ht="16.5" thickBot="1">
      <c r="A888" s="662">
        <v>865</v>
      </c>
      <c r="B888" s="661" t="str" cm="1">
        <f t="array" ref="B888">"P"&amp;INDEX(X!$CL$2:$CL$12,'Scratch Sheet'!H887+1)+9</f>
        <v>P14</v>
      </c>
      <c r="C888" s="661">
        <v>1</v>
      </c>
      <c r="D888" s="755">
        <f t="shared" si="52"/>
        <v>6480</v>
      </c>
      <c r="E888" s="682" t="str">
        <f t="shared" si="53"/>
        <v>N2</v>
      </c>
      <c r="F888" s="683">
        <f t="shared" si="54"/>
        <v>8</v>
      </c>
      <c r="H888" s="13">
        <v>873</v>
      </c>
      <c r="I888" s="13">
        <f>VLOOKUP(VLOOKUP(H888,$A$24:$B$1023,2,FALSE),'Scratch Sheet'!$U$23:$X$32,3,FALSE)</f>
        <v>12</v>
      </c>
      <c r="K888" s="13">
        <f t="shared" si="51"/>
        <v>850</v>
      </c>
      <c r="L888" s="13">
        <f>IFERROR(VLOOKUP(VLOOKUP(K888,$A$24:$B$1023,2,FALSE),'Scratch Sheet'!$U$23:$Y$32,5,FALSE)*VLOOKUP(VLOOKUP(K888,$A$24:$E$1023,5,FALSE),'Scratch Sheet'!$L$22:$M$30,2,FALSE),"")</f>
        <v>4500</v>
      </c>
      <c r="N888" s="675">
        <v>780</v>
      </c>
      <c r="O888" s="675" t="str" cm="1">
        <f t="array" ref="O888">IF(OR(INDEX($B$24:$B$1023,N888)="P10",INDEX($B$24:$B$1023,N888)="P11",INDEX($B$24:$B$1023,N888)="P12",INDEX($B$24:$B$1023,N888)="P13"),"C",IF(OR(INDEX($B$24:$B$1023,N888)="P14",INDEX($B$24:$B$1023,N888)="P15",INDEX($B$24:$B$1023,N888)="P16"),"N","O"))&amp;IF(MOD(N888,100)&lt;20,1,IF(MOD(N888,100)&lt;70,2,3))</f>
        <v>N3</v>
      </c>
    </row>
    <row r="889" spans="1:15" ht="16.5" thickBot="1">
      <c r="A889" s="662">
        <v>866</v>
      </c>
      <c r="B889" s="661" t="str" cm="1">
        <f t="array" ref="B889">"P"&amp;INDEX(X!$CL$2:$CL$12,'Scratch Sheet'!H888+1)+9</f>
        <v>P10</v>
      </c>
      <c r="C889" s="661">
        <v>1</v>
      </c>
      <c r="D889" s="755">
        <f t="shared" si="52"/>
        <v>2400</v>
      </c>
      <c r="E889" s="682" t="str">
        <f t="shared" si="53"/>
        <v>C2</v>
      </c>
      <c r="F889" s="683">
        <f t="shared" si="54"/>
        <v>3</v>
      </c>
      <c r="H889" s="13">
        <v>884</v>
      </c>
      <c r="I889" s="13">
        <f>VLOOKUP(VLOOKUP(H889,$A$24:$B$1023,2,FALSE),'Scratch Sheet'!$U$23:$X$32,3,FALSE)</f>
        <v>5</v>
      </c>
      <c r="K889" s="13">
        <f t="shared" si="51"/>
        <v>849</v>
      </c>
      <c r="L889" s="13">
        <f>IFERROR(VLOOKUP(VLOOKUP(K889,$A$24:$B$1023,2,FALSE),'Scratch Sheet'!$U$23:$Y$32,5,FALSE)*VLOOKUP(VLOOKUP(K889,$A$24:$E$1023,5,FALSE),'Scratch Sheet'!$L$22:$M$30,2,FALSE),"")</f>
        <v>2400</v>
      </c>
      <c r="N889" s="675">
        <v>782</v>
      </c>
      <c r="O889" s="675" t="str" cm="1">
        <f t="array" ref="O889">IF(OR(INDEX($B$24:$B$1023,N889)="P10",INDEX($B$24:$B$1023,N889)="P11",INDEX($B$24:$B$1023,N889)="P12",INDEX($B$24:$B$1023,N889)="P13"),"C",IF(OR(INDEX($B$24:$B$1023,N889)="P14",INDEX($B$24:$B$1023,N889)="P15",INDEX($B$24:$B$1023,N889)="P16"),"N","O"))&amp;IF(MOD(N889,100)&lt;20,1,IF(MOD(N889,100)&lt;70,2,3))</f>
        <v>C3</v>
      </c>
    </row>
    <row r="890" spans="1:15" ht="16.5" thickBot="1">
      <c r="A890" s="662">
        <v>867</v>
      </c>
      <c r="B890" s="661" t="str" cm="1">
        <f t="array" ref="B890">"P"&amp;INDEX(X!$CL$2:$CL$12,'Scratch Sheet'!H889+1)+9</f>
        <v>P13</v>
      </c>
      <c r="C890" s="661">
        <v>1</v>
      </c>
      <c r="D890" s="755">
        <f t="shared" si="52"/>
        <v>4500</v>
      </c>
      <c r="E890" s="682" t="str">
        <f t="shared" si="53"/>
        <v>C2</v>
      </c>
      <c r="F890" s="683">
        <f t="shared" si="54"/>
        <v>5</v>
      </c>
      <c r="H890" s="13">
        <v>592</v>
      </c>
      <c r="I890" s="13">
        <f>VLOOKUP(VLOOKUP(H890,$A$24:$B$1023,2,FALSE),'Scratch Sheet'!$U$23:$X$32,3,FALSE)</f>
        <v>6</v>
      </c>
      <c r="K890" s="13">
        <f t="shared" si="51"/>
        <v>844</v>
      </c>
      <c r="L890" s="13">
        <f>IFERROR(VLOOKUP(VLOOKUP(K890,$A$24:$B$1023,2,FALSE),'Scratch Sheet'!$U$23:$Y$32,5,FALSE)*VLOOKUP(VLOOKUP(K890,$A$24:$E$1023,5,FALSE),'Scratch Sheet'!$L$22:$M$30,2,FALSE),"")</f>
        <v>2400</v>
      </c>
      <c r="N890" s="675">
        <v>783</v>
      </c>
      <c r="O890" s="675" t="str" cm="1">
        <f t="array" ref="O890">IF(OR(INDEX($B$24:$B$1023,N890)="P10",INDEX($B$24:$B$1023,N890)="P11",INDEX($B$24:$B$1023,N890)="P12",INDEX($B$24:$B$1023,N890)="P13"),"C",IF(OR(INDEX($B$24:$B$1023,N890)="P14",INDEX($B$24:$B$1023,N890)="P15",INDEX($B$24:$B$1023,N890)="P16"),"N","O"))&amp;IF(MOD(N890,100)&lt;20,1,IF(MOD(N890,100)&lt;70,2,3))</f>
        <v>C3</v>
      </c>
    </row>
    <row r="891" spans="1:15" ht="16.5" thickBot="1">
      <c r="A891" s="662">
        <v>868</v>
      </c>
      <c r="B891" s="661" t="str" cm="1">
        <f t="array" ref="B891">"P"&amp;INDEX(X!$CL$2:$CL$12,'Scratch Sheet'!H890+1)+9</f>
        <v>P13</v>
      </c>
      <c r="C891" s="661">
        <v>1</v>
      </c>
      <c r="D891" s="755">
        <f t="shared" si="52"/>
        <v>4500</v>
      </c>
      <c r="E891" s="682" t="str">
        <f t="shared" si="53"/>
        <v>C2</v>
      </c>
      <c r="F891" s="683">
        <f t="shared" si="54"/>
        <v>5</v>
      </c>
      <c r="H891" s="13">
        <v>893</v>
      </c>
      <c r="I891" s="13">
        <f>VLOOKUP(VLOOKUP(H891,$A$24:$B$1023,2,FALSE),'Scratch Sheet'!$U$23:$X$32,3,FALSE)</f>
        <v>11</v>
      </c>
      <c r="K891" s="13">
        <f t="shared" si="51"/>
        <v>846</v>
      </c>
      <c r="L891" s="13">
        <f>IFERROR(VLOOKUP(VLOOKUP(K891,$A$24:$B$1023,2,FALSE),'Scratch Sheet'!$U$23:$Y$32,5,FALSE)*VLOOKUP(VLOOKUP(K891,$A$24:$E$1023,5,FALSE),'Scratch Sheet'!$L$22:$M$30,2,FALSE),"")</f>
        <v>11000</v>
      </c>
      <c r="N891" s="675">
        <v>785</v>
      </c>
      <c r="O891" s="675" t="str" cm="1">
        <f t="array" ref="O891">IF(OR(INDEX($B$24:$B$1023,N891)="P10",INDEX($B$24:$B$1023,N891)="P11",INDEX($B$24:$B$1023,N891)="P12",INDEX($B$24:$B$1023,N891)="P13"),"C",IF(OR(INDEX($B$24:$B$1023,N891)="P14",INDEX($B$24:$B$1023,N891)="P15",INDEX($B$24:$B$1023,N891)="P16"),"N","O"))&amp;IF(MOD(N891,100)&lt;20,1,IF(MOD(N891,100)&lt;70,2,3))</f>
        <v>C3</v>
      </c>
    </row>
    <row r="892" spans="1:15" ht="16.5" thickBot="1">
      <c r="A892" s="662">
        <v>869</v>
      </c>
      <c r="B892" s="661" t="str" cm="1">
        <f t="array" ref="B892">"P"&amp;INDEX(X!$CL$2:$CL$12,'Scratch Sheet'!H891+1)+9</f>
        <v>P10</v>
      </c>
      <c r="C892" s="661">
        <v>1</v>
      </c>
      <c r="D892" s="755">
        <f t="shared" si="52"/>
        <v>2400</v>
      </c>
      <c r="E892" s="682" t="str">
        <f t="shared" si="53"/>
        <v>C2</v>
      </c>
      <c r="F892" s="683">
        <f t="shared" si="54"/>
        <v>3</v>
      </c>
      <c r="H892" s="13">
        <v>328</v>
      </c>
      <c r="I892" s="13">
        <f>VLOOKUP(VLOOKUP(H892,$A$24:$B$1023,2,FALSE),'Scratch Sheet'!$U$23:$X$32,3,FALSE)</f>
        <v>12</v>
      </c>
      <c r="K892" s="13">
        <f t="shared" si="51"/>
        <v>845</v>
      </c>
      <c r="L892" s="13">
        <f>IFERROR(VLOOKUP(VLOOKUP(K892,$A$24:$B$1023,2,FALSE),'Scratch Sheet'!$U$23:$Y$32,5,FALSE)*VLOOKUP(VLOOKUP(K892,$A$24:$E$1023,5,FALSE),'Scratch Sheet'!$L$22:$M$30,2,FALSE),"")</f>
        <v>2400</v>
      </c>
      <c r="N892" s="675">
        <v>789</v>
      </c>
      <c r="O892" s="675" t="str" cm="1">
        <f t="array" ref="O892">IF(OR(INDEX($B$24:$B$1023,N892)="P10",INDEX($B$24:$B$1023,N892)="P11",INDEX($B$24:$B$1023,N892)="P12",INDEX($B$24:$B$1023,N892)="P13"),"C",IF(OR(INDEX($B$24:$B$1023,N892)="P14",INDEX($B$24:$B$1023,N892)="P15",INDEX($B$24:$B$1023,N892)="P16"),"N","O"))&amp;IF(MOD(N892,100)&lt;20,1,IF(MOD(N892,100)&lt;70,2,3))</f>
        <v>C3</v>
      </c>
    </row>
    <row r="893" spans="1:15" ht="16.5" thickBot="1">
      <c r="A893" s="662">
        <v>870</v>
      </c>
      <c r="B893" s="661" t="str" cm="1">
        <f t="array" ref="B893">"P"&amp;INDEX(X!$CL$2:$CL$12,'Scratch Sheet'!H892+1)+9</f>
        <v>P11</v>
      </c>
      <c r="C893" s="661">
        <v>1</v>
      </c>
      <c r="D893" s="755">
        <f t="shared" si="52"/>
        <v>8800</v>
      </c>
      <c r="E893" s="682" t="str">
        <f t="shared" si="53"/>
        <v>C3</v>
      </c>
      <c r="F893" s="683">
        <f t="shared" si="54"/>
        <v>11</v>
      </c>
      <c r="H893" s="13">
        <v>705</v>
      </c>
      <c r="I893" s="13">
        <f>VLOOKUP(VLOOKUP(H893,$A$24:$B$1023,2,FALSE),'Scratch Sheet'!$U$23:$X$32,3,FALSE)</f>
        <v>11</v>
      </c>
      <c r="K893" s="13">
        <f t="shared" si="51"/>
        <v>848</v>
      </c>
      <c r="L893" s="13">
        <f>IFERROR(VLOOKUP(VLOOKUP(K893,$A$24:$B$1023,2,FALSE),'Scratch Sheet'!$U$23:$Y$32,5,FALSE)*VLOOKUP(VLOOKUP(K893,$A$24:$E$1023,5,FALSE),'Scratch Sheet'!$L$22:$M$30,2,FALSE),"")</f>
        <v>6480</v>
      </c>
      <c r="N893" s="675">
        <v>790</v>
      </c>
      <c r="O893" s="675" t="str" cm="1">
        <f t="array" ref="O893">IF(OR(INDEX($B$24:$B$1023,N893)="P10",INDEX($B$24:$B$1023,N893)="P11",INDEX($B$24:$B$1023,N893)="P12",INDEX($B$24:$B$1023,N893)="P13"),"C",IF(OR(INDEX($B$24:$B$1023,N893)="P14",INDEX($B$24:$B$1023,N893)="P15",INDEX($B$24:$B$1023,N893)="P16"),"N","O"))&amp;IF(MOD(N893,100)&lt;20,1,IF(MOD(N893,100)&lt;70,2,3))</f>
        <v>C3</v>
      </c>
    </row>
    <row r="894" spans="1:15" ht="16.5" thickBot="1">
      <c r="A894" s="662">
        <v>871</v>
      </c>
      <c r="B894" s="661" t="str" cm="1">
        <f t="array" ref="B894">"P"&amp;INDEX(X!$CL$2:$CL$12,'Scratch Sheet'!H893+1)+9</f>
        <v>P16</v>
      </c>
      <c r="C894" s="661">
        <v>1</v>
      </c>
      <c r="D894" s="755">
        <f t="shared" si="52"/>
        <v>5200</v>
      </c>
      <c r="E894" s="682" t="str">
        <f t="shared" si="53"/>
        <v>N3</v>
      </c>
      <c r="F894" s="683">
        <f t="shared" si="54"/>
        <v>4</v>
      </c>
      <c r="H894" s="13">
        <v>958</v>
      </c>
      <c r="I894" s="13">
        <f>VLOOKUP(VLOOKUP(H894,$A$24:$B$1023,2,FALSE),'Scratch Sheet'!$U$23:$X$32,3,FALSE)</f>
        <v>12</v>
      </c>
      <c r="K894" s="13">
        <f t="shared" si="51"/>
        <v>843</v>
      </c>
      <c r="L894" s="13">
        <f>IFERROR(VLOOKUP(VLOOKUP(K894,$A$24:$B$1023,2,FALSE),'Scratch Sheet'!$U$23:$Y$32,5,FALSE)*VLOOKUP(VLOOKUP(K894,$A$24:$E$1023,5,FALSE),'Scratch Sheet'!$L$22:$M$30,2,FALSE),"")</f>
        <v>6825</v>
      </c>
      <c r="N894" s="675">
        <v>791</v>
      </c>
      <c r="O894" s="675" t="str" cm="1">
        <f t="array" ref="O894">IF(OR(INDEX($B$24:$B$1023,N894)="P10",INDEX($B$24:$B$1023,N894)="P11",INDEX($B$24:$B$1023,N894)="P12",INDEX($B$24:$B$1023,N894)="P13"),"C",IF(OR(INDEX($B$24:$B$1023,N894)="P14",INDEX($B$24:$B$1023,N894)="P15",INDEX($B$24:$B$1023,N894)="P16"),"N","O"))&amp;IF(MOD(N894,100)&lt;20,1,IF(MOD(N894,100)&lt;70,2,3))</f>
        <v>C3</v>
      </c>
    </row>
    <row r="895" spans="1:15" ht="16.5" thickBot="1">
      <c r="A895" s="662">
        <v>872</v>
      </c>
      <c r="B895" s="661" t="str" cm="1">
        <f t="array" ref="B895">"P"&amp;INDEX(X!$CL$2:$CL$12,'Scratch Sheet'!H894+1)+9</f>
        <v>P17</v>
      </c>
      <c r="C895" s="661">
        <v>1</v>
      </c>
      <c r="D895" s="755">
        <f t="shared" si="52"/>
        <v>9600</v>
      </c>
      <c r="E895" s="682" t="str">
        <f t="shared" si="53"/>
        <v>O3</v>
      </c>
      <c r="F895" s="683">
        <f t="shared" si="54"/>
        <v>12</v>
      </c>
      <c r="H895" s="13">
        <v>547</v>
      </c>
      <c r="I895" s="13">
        <f>VLOOKUP(VLOOKUP(H895,$A$24:$B$1023,2,FALSE),'Scratch Sheet'!$U$23:$X$32,3,FALSE)</f>
        <v>11</v>
      </c>
      <c r="K895" s="13">
        <f t="shared" ref="K895:K958" si="55">K792+100</f>
        <v>841</v>
      </c>
      <c r="L895" s="13">
        <f>IFERROR(VLOOKUP(VLOOKUP(K895,$A$24:$B$1023,2,FALSE),'Scratch Sheet'!$U$23:$Y$32,5,FALSE)*VLOOKUP(VLOOKUP(K895,$A$24:$E$1023,5,FALSE),'Scratch Sheet'!$L$22:$M$30,2,FALSE),"")</f>
        <v>11000</v>
      </c>
      <c r="N895" s="675">
        <v>795</v>
      </c>
      <c r="O895" s="675" t="str" cm="1">
        <f t="array" ref="O895">IF(OR(INDEX($B$24:$B$1023,N895)="P10",INDEX($B$24:$B$1023,N895)="P11",INDEX($B$24:$B$1023,N895)="P12",INDEX($B$24:$B$1023,N895)="P13"),"C",IF(OR(INDEX($B$24:$B$1023,N895)="P14",INDEX($B$24:$B$1023,N895)="P15",INDEX($B$24:$B$1023,N895)="P16"),"N","O"))&amp;IF(MOD(N895,100)&lt;20,1,IF(MOD(N895,100)&lt;70,2,3))</f>
        <v>C3</v>
      </c>
    </row>
    <row r="896" spans="1:15" ht="16.5" thickBot="1">
      <c r="A896" s="662">
        <v>873</v>
      </c>
      <c r="B896" s="661" t="str" cm="1">
        <f t="array" ref="B896">"P"&amp;INDEX(X!$CL$2:$CL$12,'Scratch Sheet'!H895+1)+9</f>
        <v>P17</v>
      </c>
      <c r="C896" s="661">
        <v>1</v>
      </c>
      <c r="D896" s="755">
        <f t="shared" si="52"/>
        <v>9600</v>
      </c>
      <c r="E896" s="682" t="str">
        <f t="shared" si="53"/>
        <v>O3</v>
      </c>
      <c r="F896" s="683">
        <f t="shared" si="54"/>
        <v>12</v>
      </c>
      <c r="H896" s="13">
        <v>46</v>
      </c>
      <c r="I896" s="13">
        <f>VLOOKUP(VLOOKUP(H896,$A$24:$B$1023,2,FALSE),'Scratch Sheet'!$U$23:$X$32,3,FALSE)</f>
        <v>12</v>
      </c>
      <c r="K896" s="13">
        <f t="shared" si="55"/>
        <v>842</v>
      </c>
      <c r="L896" s="13">
        <f>IFERROR(VLOOKUP(VLOOKUP(K896,$A$24:$B$1023,2,FALSE),'Scratch Sheet'!$U$23:$Y$32,5,FALSE)*VLOOKUP(VLOOKUP(K896,$A$24:$E$1023,5,FALSE),'Scratch Sheet'!$L$22:$M$30,2,FALSE),"")</f>
        <v>11000</v>
      </c>
      <c r="N896" s="675">
        <v>797</v>
      </c>
      <c r="O896" s="675" t="str" cm="1">
        <f t="array" ref="O896">IF(OR(INDEX($B$24:$B$1023,N896)="P10",INDEX($B$24:$B$1023,N896)="P11",INDEX($B$24:$B$1023,N896)="P12",INDEX($B$24:$B$1023,N896)="P13"),"C",IF(OR(INDEX($B$24:$B$1023,N896)="P14",INDEX($B$24:$B$1023,N896)="P15",INDEX($B$24:$B$1023,N896)="P16"),"N","O"))&amp;IF(MOD(N896,100)&lt;20,1,IF(MOD(N896,100)&lt;70,2,3))</f>
        <v>N3</v>
      </c>
    </row>
    <row r="897" spans="1:15" ht="16.5" thickBot="1">
      <c r="A897" s="662">
        <v>874</v>
      </c>
      <c r="B897" s="661" t="str" cm="1">
        <f t="array" ref="B897">"P"&amp;INDEX(X!$CL$2:$CL$12,'Scratch Sheet'!H896+1)+9</f>
        <v>P13</v>
      </c>
      <c r="C897" s="661">
        <v>1</v>
      </c>
      <c r="D897" s="755">
        <f t="shared" si="52"/>
        <v>3600</v>
      </c>
      <c r="E897" s="682" t="str">
        <f t="shared" si="53"/>
        <v>C3</v>
      </c>
      <c r="F897" s="683">
        <f t="shared" si="54"/>
        <v>5</v>
      </c>
      <c r="H897" s="13">
        <v>27</v>
      </c>
      <c r="I897" s="13">
        <f>VLOOKUP(VLOOKUP(H897,$A$24:$B$1023,2,FALSE),'Scratch Sheet'!$U$23:$X$32,3,FALSE)</f>
        <v>4</v>
      </c>
      <c r="K897" s="13">
        <f t="shared" si="55"/>
        <v>840</v>
      </c>
      <c r="L897" s="13">
        <f>IFERROR(VLOOKUP(VLOOKUP(K897,$A$24:$B$1023,2,FALSE),'Scratch Sheet'!$U$23:$Y$32,5,FALSE)*VLOOKUP(VLOOKUP(K897,$A$24:$E$1023,5,FALSE),'Scratch Sheet'!$L$22:$M$30,2,FALSE),"")</f>
        <v>4500</v>
      </c>
      <c r="N897" s="675">
        <v>799</v>
      </c>
      <c r="O897" s="675" t="str" cm="1">
        <f t="array" ref="O897">IF(OR(INDEX($B$24:$B$1023,N897)="P10",INDEX($B$24:$B$1023,N897)="P11",INDEX($B$24:$B$1023,N897)="P12",INDEX($B$24:$B$1023,N897)="P13"),"C",IF(OR(INDEX($B$24:$B$1023,N897)="P14",INDEX($B$24:$B$1023,N897)="P15",INDEX($B$24:$B$1023,N897)="P16"),"N","O"))&amp;IF(MOD(N897,100)&lt;20,1,IF(MOD(N897,100)&lt;70,2,3))</f>
        <v>C3</v>
      </c>
    </row>
    <row r="898" spans="1:15" ht="16.5" thickBot="1">
      <c r="A898" s="662">
        <v>875</v>
      </c>
      <c r="B898" s="661" t="str" cm="1">
        <f t="array" ref="B898">"P"&amp;INDEX(X!$CL$2:$CL$12,'Scratch Sheet'!H897+1)+9</f>
        <v>P11</v>
      </c>
      <c r="C898" s="661">
        <v>1</v>
      </c>
      <c r="D898" s="755">
        <f t="shared" si="52"/>
        <v>8800</v>
      </c>
      <c r="E898" s="682" t="str">
        <f t="shared" si="53"/>
        <v>C3</v>
      </c>
      <c r="F898" s="683">
        <f t="shared" si="54"/>
        <v>11</v>
      </c>
      <c r="H898" s="13">
        <v>95</v>
      </c>
      <c r="I898" s="13">
        <f>VLOOKUP(VLOOKUP(H898,$A$24:$B$1023,2,FALSE),'Scratch Sheet'!$U$23:$X$32,3,FALSE)</f>
        <v>6.5</v>
      </c>
      <c r="K898" s="13">
        <f t="shared" si="55"/>
        <v>858</v>
      </c>
      <c r="L898" s="13">
        <f>IFERROR(VLOOKUP(VLOOKUP(K898,$A$24:$B$1023,2,FALSE),'Scratch Sheet'!$U$23:$Y$32,5,FALSE)*VLOOKUP(VLOOKUP(K898,$A$24:$E$1023,5,FALSE),'Scratch Sheet'!$L$22:$M$30,2,FALSE),"")</f>
        <v>11000</v>
      </c>
      <c r="N898" s="675">
        <v>800</v>
      </c>
      <c r="O898" s="675" t="str" cm="1">
        <f t="array" ref="O898">IF(OR(INDEX($B$24:$B$1023,N898)="P10",INDEX($B$24:$B$1023,N898)="P11",INDEX($B$24:$B$1023,N898)="P12",INDEX($B$24:$B$1023,N898)="P13"),"C",IF(OR(INDEX($B$24:$B$1023,N898)="P14",INDEX($B$24:$B$1023,N898)="P15",INDEX($B$24:$B$1023,N898)="P16"),"N","O"))&amp;IF(MOD(N898,100)&lt;20,1,IF(MOD(N898,100)&lt;70,2,3))</f>
        <v>C1</v>
      </c>
    </row>
    <row r="899" spans="1:15" ht="16.5" thickBot="1">
      <c r="A899" s="662">
        <v>876</v>
      </c>
      <c r="B899" s="661" t="str" cm="1">
        <f t="array" ref="B899">"P"&amp;INDEX(X!$CL$2:$CL$12,'Scratch Sheet'!H898+1)+9</f>
        <v>P11</v>
      </c>
      <c r="C899" s="661">
        <v>1</v>
      </c>
      <c r="D899" s="755">
        <f t="shared" si="52"/>
        <v>8800</v>
      </c>
      <c r="E899" s="682" t="str">
        <f t="shared" si="53"/>
        <v>C3</v>
      </c>
      <c r="F899" s="683">
        <f t="shared" si="54"/>
        <v>11</v>
      </c>
      <c r="H899" s="13">
        <v>208</v>
      </c>
      <c r="I899" s="13">
        <f>VLOOKUP(VLOOKUP(H899,$A$24:$B$1023,2,FALSE),'Scratch Sheet'!$U$23:$X$32,3,FALSE)</f>
        <v>4</v>
      </c>
      <c r="K899" s="13">
        <f t="shared" si="55"/>
        <v>861</v>
      </c>
      <c r="L899" s="13">
        <f>IFERROR(VLOOKUP(VLOOKUP(K899,$A$24:$B$1023,2,FALSE),'Scratch Sheet'!$U$23:$Y$32,5,FALSE)*VLOOKUP(VLOOKUP(K899,$A$24:$E$1023,5,FALSE),'Scratch Sheet'!$L$22:$M$30,2,FALSE),"")</f>
        <v>2400</v>
      </c>
      <c r="N899" s="675">
        <v>802</v>
      </c>
      <c r="O899" s="675" t="str" cm="1">
        <f t="array" ref="O899">IF(OR(INDEX($B$24:$B$1023,N899)="P10",INDEX($B$24:$B$1023,N899)="P11",INDEX($B$24:$B$1023,N899)="P12",INDEX($B$24:$B$1023,N899)="P13"),"C",IF(OR(INDEX($B$24:$B$1023,N899)="P14",INDEX($B$24:$B$1023,N899)="P15",INDEX($B$24:$B$1023,N899)="P16"),"N","O"))&amp;IF(MOD(N899,100)&lt;20,1,IF(MOD(N899,100)&lt;70,2,3))</f>
        <v>C1</v>
      </c>
    </row>
    <row r="900" spans="1:15" ht="16.5" thickBot="1">
      <c r="A900" s="662">
        <v>877</v>
      </c>
      <c r="B900" s="661" t="str" cm="1">
        <f t="array" ref="B900">"P"&amp;INDEX(X!$CL$2:$CL$12,'Scratch Sheet'!H899+1)+9</f>
        <v>P12</v>
      </c>
      <c r="C900" s="661">
        <v>1</v>
      </c>
      <c r="D900" s="755">
        <f t="shared" si="52"/>
        <v>5460</v>
      </c>
      <c r="E900" s="682" t="str">
        <f t="shared" si="53"/>
        <v>C3</v>
      </c>
      <c r="F900" s="683">
        <f t="shared" si="54"/>
        <v>6.5</v>
      </c>
      <c r="H900" s="13">
        <v>205</v>
      </c>
      <c r="I900" s="13">
        <f>VLOOKUP(VLOOKUP(H900,$A$24:$B$1023,2,FALSE),'Scratch Sheet'!$U$23:$X$32,3,FALSE)</f>
        <v>5</v>
      </c>
      <c r="K900" s="13">
        <f t="shared" si="55"/>
        <v>860</v>
      </c>
      <c r="L900" s="13">
        <f>IFERROR(VLOOKUP(VLOOKUP(K900,$A$24:$B$1023,2,FALSE),'Scratch Sheet'!$U$23:$Y$32,5,FALSE)*VLOOKUP(VLOOKUP(K900,$A$24:$E$1023,5,FALSE),'Scratch Sheet'!$L$22:$M$30,2,FALSE),"")</f>
        <v>6825</v>
      </c>
      <c r="N900" s="675">
        <v>806</v>
      </c>
      <c r="O900" s="675" t="str" cm="1">
        <f t="array" ref="O900">IF(OR(INDEX($B$24:$B$1023,N900)="P10",INDEX($B$24:$B$1023,N900)="P11",INDEX($B$24:$B$1023,N900)="P12",INDEX($B$24:$B$1023,N900)="P13"),"C",IF(OR(INDEX($B$24:$B$1023,N900)="P14",INDEX($B$24:$B$1023,N900)="P15",INDEX($B$24:$B$1023,N900)="P16"),"N","O"))&amp;IF(MOD(N900,100)&lt;20,1,IF(MOD(N900,100)&lt;70,2,3))</f>
        <v>C1</v>
      </c>
    </row>
    <row r="901" spans="1:15" ht="16.5" thickBot="1">
      <c r="A901" s="662">
        <v>878</v>
      </c>
      <c r="B901" s="661" t="str" cm="1">
        <f t="array" ref="B901">"P"&amp;INDEX(X!$CL$2:$CL$12,'Scratch Sheet'!H900+1)+9</f>
        <v>P10</v>
      </c>
      <c r="C901" s="661">
        <v>1</v>
      </c>
      <c r="D901" s="755">
        <f t="shared" si="52"/>
        <v>1920</v>
      </c>
      <c r="E901" s="682" t="str">
        <f t="shared" si="53"/>
        <v>C3</v>
      </c>
      <c r="F901" s="683">
        <f t="shared" si="54"/>
        <v>3</v>
      </c>
      <c r="H901" s="13">
        <v>572</v>
      </c>
      <c r="I901" s="13">
        <f>VLOOKUP(VLOOKUP(H901,$A$24:$B$1023,2,FALSE),'Scratch Sheet'!$U$23:$X$32,3,FALSE)</f>
        <v>3</v>
      </c>
      <c r="K901" s="13">
        <f t="shared" si="55"/>
        <v>855</v>
      </c>
      <c r="L901" s="13">
        <f>IFERROR(VLOOKUP(VLOOKUP(K901,$A$24:$B$1023,2,FALSE),'Scratch Sheet'!$U$23:$Y$32,5,FALSE)*VLOOKUP(VLOOKUP(K901,$A$24:$E$1023,5,FALSE),'Scratch Sheet'!$L$22:$M$30,2,FALSE),"")</f>
        <v>13200.000000000002</v>
      </c>
      <c r="N901" s="675">
        <v>807</v>
      </c>
      <c r="O901" s="675" t="str" cm="1">
        <f t="array" ref="O901">IF(OR(INDEX($B$24:$B$1023,N901)="P10",INDEX($B$24:$B$1023,N901)="P11",INDEX($B$24:$B$1023,N901)="P12",INDEX($B$24:$B$1023,N901)="P13"),"C",IF(OR(INDEX($B$24:$B$1023,N901)="P14",INDEX($B$24:$B$1023,N901)="P15",INDEX($B$24:$B$1023,N901)="P16"),"N","O"))&amp;IF(MOD(N901,100)&lt;20,1,IF(MOD(N901,100)&lt;70,2,3))</f>
        <v>C1</v>
      </c>
    </row>
    <row r="902" spans="1:15" ht="16.5" thickBot="1">
      <c r="A902" s="662">
        <v>879</v>
      </c>
      <c r="B902" s="661" t="str" cm="1">
        <f t="array" ref="B902">"P"&amp;INDEX(X!$CL$2:$CL$12,'Scratch Sheet'!H901+1)+9</f>
        <v>P10</v>
      </c>
      <c r="C902" s="661">
        <v>1</v>
      </c>
      <c r="D902" s="755">
        <f t="shared" si="52"/>
        <v>1920</v>
      </c>
      <c r="E902" s="682" t="str">
        <f t="shared" si="53"/>
        <v>C3</v>
      </c>
      <c r="F902" s="683">
        <f t="shared" si="54"/>
        <v>3</v>
      </c>
      <c r="H902" s="13">
        <v>252</v>
      </c>
      <c r="I902" s="13">
        <f>VLOOKUP(VLOOKUP(H902,$A$24:$B$1023,2,FALSE),'Scratch Sheet'!$U$23:$X$32,3,FALSE)</f>
        <v>6</v>
      </c>
      <c r="K902" s="13">
        <f t="shared" si="55"/>
        <v>857</v>
      </c>
      <c r="L902" s="13">
        <f>IFERROR(VLOOKUP(VLOOKUP(K902,$A$24:$B$1023,2,FALSE),'Scratch Sheet'!$U$23:$Y$32,5,FALSE)*VLOOKUP(VLOOKUP(K902,$A$24:$E$1023,5,FALSE),'Scratch Sheet'!$L$22:$M$30,2,FALSE),"")</f>
        <v>4500</v>
      </c>
      <c r="N902" s="675">
        <v>808</v>
      </c>
      <c r="O902" s="675" t="str" cm="1">
        <f t="array" ref="O902">IF(OR(INDEX($B$24:$B$1023,N902)="P10",INDEX($B$24:$B$1023,N902)="P11",INDEX($B$24:$B$1023,N902)="P12",INDEX($B$24:$B$1023,N902)="P13"),"C",IF(OR(INDEX($B$24:$B$1023,N902)="P14",INDEX($B$24:$B$1023,N902)="P15",INDEX($B$24:$B$1023,N902)="P16"),"N","O"))&amp;IF(MOD(N902,100)&lt;20,1,IF(MOD(N902,100)&lt;70,2,3))</f>
        <v>C1</v>
      </c>
    </row>
    <row r="903" spans="1:15" ht="16.5" thickBot="1">
      <c r="A903" s="662">
        <v>880</v>
      </c>
      <c r="B903" s="661" t="str" cm="1">
        <f t="array" ref="B903">"P"&amp;INDEX(X!$CL$2:$CL$12,'Scratch Sheet'!H902+1)+9</f>
        <v>P11</v>
      </c>
      <c r="C903" s="661">
        <v>1</v>
      </c>
      <c r="D903" s="755">
        <f t="shared" si="52"/>
        <v>8800</v>
      </c>
      <c r="E903" s="682" t="str">
        <f t="shared" si="53"/>
        <v>C3</v>
      </c>
      <c r="F903" s="683">
        <f t="shared" si="54"/>
        <v>11</v>
      </c>
      <c r="H903" s="13">
        <v>411</v>
      </c>
      <c r="I903" s="13">
        <f>VLOOKUP(VLOOKUP(H903,$A$24:$B$1023,2,FALSE),'Scratch Sheet'!$U$23:$X$32,3,FALSE)</f>
        <v>11</v>
      </c>
      <c r="K903" s="13">
        <f t="shared" si="55"/>
        <v>856</v>
      </c>
      <c r="L903" s="13">
        <f>IFERROR(VLOOKUP(VLOOKUP(K903,$A$24:$B$1023,2,FALSE),'Scratch Sheet'!$U$23:$Y$32,5,FALSE)*VLOOKUP(VLOOKUP(K903,$A$24:$E$1023,5,FALSE),'Scratch Sheet'!$L$22:$M$30,2,FALSE),"")</f>
        <v>13200.000000000002</v>
      </c>
      <c r="N903" s="675">
        <v>812</v>
      </c>
      <c r="O903" s="675" t="str" cm="1">
        <f t="array" ref="O903">IF(OR(INDEX($B$24:$B$1023,N903)="P10",INDEX($B$24:$B$1023,N903)="P11",INDEX($B$24:$B$1023,N903)="P12",INDEX($B$24:$B$1023,N903)="P13"),"C",IF(OR(INDEX($B$24:$B$1023,N903)="P14",INDEX($B$24:$B$1023,N903)="P15",INDEX($B$24:$B$1023,N903)="P16"),"N","O"))&amp;IF(MOD(N903,100)&lt;20,1,IF(MOD(N903,100)&lt;70,2,3))</f>
        <v>C1</v>
      </c>
    </row>
    <row r="904" spans="1:15" ht="16.5" thickBot="1">
      <c r="A904" s="662">
        <v>881</v>
      </c>
      <c r="B904" s="661" t="str" cm="1">
        <f t="array" ref="B904">"P"&amp;INDEX(X!$CL$2:$CL$12,'Scratch Sheet'!H903+1)+9</f>
        <v>P18</v>
      </c>
      <c r="C904" s="661">
        <v>1</v>
      </c>
      <c r="D904" s="755">
        <f t="shared" si="52"/>
        <v>4320</v>
      </c>
      <c r="E904" s="682" t="str">
        <f t="shared" si="53"/>
        <v>O3</v>
      </c>
      <c r="F904" s="683">
        <f t="shared" si="54"/>
        <v>6</v>
      </c>
      <c r="H904" s="13">
        <v>51</v>
      </c>
      <c r="I904" s="13">
        <f>VLOOKUP(VLOOKUP(H904,$A$24:$B$1023,2,FALSE),'Scratch Sheet'!$U$23:$X$32,3,FALSE)</f>
        <v>12</v>
      </c>
      <c r="K904" s="13">
        <f t="shared" si="55"/>
        <v>859</v>
      </c>
      <c r="L904" s="13">
        <f>IFERROR(VLOOKUP(VLOOKUP(K904,$A$24:$B$1023,2,FALSE),'Scratch Sheet'!$U$23:$Y$32,5,FALSE)*VLOOKUP(VLOOKUP(K904,$A$24:$E$1023,5,FALSE),'Scratch Sheet'!$L$22:$M$30,2,FALSE),"")</f>
        <v>11000</v>
      </c>
      <c r="N904" s="675">
        <v>814</v>
      </c>
      <c r="O904" s="675" t="str" cm="1">
        <f t="array" ref="O904">IF(OR(INDEX($B$24:$B$1023,N904)="P10",INDEX($B$24:$B$1023,N904)="P11",INDEX($B$24:$B$1023,N904)="P12",INDEX($B$24:$B$1023,N904)="P13"),"C",IF(OR(INDEX($B$24:$B$1023,N904)="P14",INDEX($B$24:$B$1023,N904)="P15",INDEX($B$24:$B$1023,N904)="P16"),"N","O"))&amp;IF(MOD(N904,100)&lt;20,1,IF(MOD(N904,100)&lt;70,2,3))</f>
        <v>N1</v>
      </c>
    </row>
    <row r="905" spans="1:15" ht="16.5" thickBot="1">
      <c r="A905" s="662">
        <v>882</v>
      </c>
      <c r="B905" s="661" t="str" cm="1">
        <f t="array" ref="B905">"P"&amp;INDEX(X!$CL$2:$CL$12,'Scratch Sheet'!H904+1)+9</f>
        <v>P14</v>
      </c>
      <c r="C905" s="661">
        <v>1</v>
      </c>
      <c r="D905" s="755">
        <f t="shared" si="52"/>
        <v>7200</v>
      </c>
      <c r="E905" s="682" t="str">
        <f t="shared" si="53"/>
        <v>N3</v>
      </c>
      <c r="F905" s="683">
        <f t="shared" si="54"/>
        <v>8</v>
      </c>
      <c r="H905" s="13">
        <v>943</v>
      </c>
      <c r="I905" s="13">
        <f>VLOOKUP(VLOOKUP(H905,$A$24:$B$1023,2,FALSE),'Scratch Sheet'!$U$23:$X$32,3,FALSE)</f>
        <v>11</v>
      </c>
      <c r="K905" s="13">
        <f t="shared" si="55"/>
        <v>854</v>
      </c>
      <c r="L905" s="13">
        <f>IFERROR(VLOOKUP(VLOOKUP(K905,$A$24:$B$1023,2,FALSE),'Scratch Sheet'!$U$23:$Y$32,5,FALSE)*VLOOKUP(VLOOKUP(K905,$A$24:$E$1023,5,FALSE),'Scratch Sheet'!$L$22:$M$30,2,FALSE),"")</f>
        <v>4680</v>
      </c>
      <c r="N905" s="675">
        <v>816</v>
      </c>
      <c r="O905" s="675" t="str" cm="1">
        <f t="array" ref="O905">IF(OR(INDEX($B$24:$B$1023,N905)="P10",INDEX($B$24:$B$1023,N905)="P11",INDEX($B$24:$B$1023,N905)="P12",INDEX($B$24:$B$1023,N905)="P13"),"C",IF(OR(INDEX($B$24:$B$1023,N905)="P14",INDEX($B$24:$B$1023,N905)="P15",INDEX($B$24:$B$1023,N905)="P16"),"N","O"))&amp;IF(MOD(N905,100)&lt;20,1,IF(MOD(N905,100)&lt;70,2,3))</f>
        <v>C1</v>
      </c>
    </row>
    <row r="906" spans="1:15" ht="16.5" thickBot="1">
      <c r="A906" s="662">
        <v>883</v>
      </c>
      <c r="B906" s="661" t="str" cm="1">
        <f t="array" ref="B906">"P"&amp;INDEX(X!$CL$2:$CL$12,'Scratch Sheet'!H905+1)+9</f>
        <v>P10</v>
      </c>
      <c r="C906" s="661">
        <v>1</v>
      </c>
      <c r="D906" s="755">
        <f t="shared" si="52"/>
        <v>1920</v>
      </c>
      <c r="E906" s="682" t="str">
        <f t="shared" si="53"/>
        <v>C3</v>
      </c>
      <c r="F906" s="683">
        <f t="shared" si="54"/>
        <v>3</v>
      </c>
      <c r="H906" s="13">
        <v>174</v>
      </c>
      <c r="I906" s="13">
        <f>VLOOKUP(VLOOKUP(H906,$A$24:$B$1023,2,FALSE),'Scratch Sheet'!$U$23:$X$32,3,FALSE)</f>
        <v>4</v>
      </c>
      <c r="K906" s="13">
        <f t="shared" si="55"/>
        <v>852</v>
      </c>
      <c r="L906" s="13">
        <f>IFERROR(VLOOKUP(VLOOKUP(K906,$A$24:$B$1023,2,FALSE),'Scratch Sheet'!$U$23:$Y$32,5,FALSE)*VLOOKUP(VLOOKUP(K906,$A$24:$E$1023,5,FALSE),'Scratch Sheet'!$L$22:$M$30,2,FALSE),"")</f>
        <v>2400</v>
      </c>
      <c r="N906" s="675">
        <v>817</v>
      </c>
      <c r="O906" s="675" t="str" cm="1">
        <f t="array" ref="O906">IF(OR(INDEX($B$24:$B$1023,N906)="P10",INDEX($B$24:$B$1023,N906)="P11",INDEX($B$24:$B$1023,N906)="P12",INDEX($B$24:$B$1023,N906)="P13"),"C",IF(OR(INDEX($B$24:$B$1023,N906)="P14",INDEX($B$24:$B$1023,N906)="P15",INDEX($B$24:$B$1023,N906)="P16"),"N","O"))&amp;IF(MOD(N906,100)&lt;20,1,IF(MOD(N906,100)&lt;70,2,3))</f>
        <v>C1</v>
      </c>
    </row>
    <row r="907" spans="1:15" ht="16.5" thickBot="1">
      <c r="A907" s="662">
        <v>884</v>
      </c>
      <c r="B907" s="661" t="str" cm="1">
        <f t="array" ref="B907">"P"&amp;INDEX(X!$CL$2:$CL$12,'Scratch Sheet'!H906+1)+9</f>
        <v>P13</v>
      </c>
      <c r="C907" s="661">
        <v>1</v>
      </c>
      <c r="D907" s="755">
        <f t="shared" si="52"/>
        <v>3600</v>
      </c>
      <c r="E907" s="682" t="str">
        <f t="shared" si="53"/>
        <v>C3</v>
      </c>
      <c r="F907" s="683">
        <f t="shared" si="54"/>
        <v>5</v>
      </c>
      <c r="H907" s="13">
        <v>887</v>
      </c>
      <c r="I907" s="13">
        <f>VLOOKUP(VLOOKUP(H907,$A$24:$B$1023,2,FALSE),'Scratch Sheet'!$U$23:$X$32,3,FALSE)</f>
        <v>11</v>
      </c>
      <c r="K907" s="13">
        <f t="shared" si="55"/>
        <v>853</v>
      </c>
      <c r="L907" s="13">
        <f>IFERROR(VLOOKUP(VLOOKUP(K907,$A$24:$B$1023,2,FALSE),'Scratch Sheet'!$U$23:$Y$32,5,FALSE)*VLOOKUP(VLOOKUP(K907,$A$24:$E$1023,5,FALSE),'Scratch Sheet'!$L$22:$M$30,2,FALSE),"")</f>
        <v>11000</v>
      </c>
      <c r="N907" s="675">
        <v>819</v>
      </c>
      <c r="O907" s="675" t="str" cm="1">
        <f t="array" ref="O907">IF(OR(INDEX($B$24:$B$1023,N907)="P10",INDEX($B$24:$B$1023,N907)="P11",INDEX($B$24:$B$1023,N907)="P12",INDEX($B$24:$B$1023,N907)="P13"),"C",IF(OR(INDEX($B$24:$B$1023,N907)="P14",INDEX($B$24:$B$1023,N907)="P15",INDEX($B$24:$B$1023,N907)="P16"),"N","O"))&amp;IF(MOD(N907,100)&lt;20,1,IF(MOD(N907,100)&lt;70,2,3))</f>
        <v>C1</v>
      </c>
    </row>
    <row r="908" spans="1:15" ht="16.5" thickBot="1">
      <c r="A908" s="662">
        <v>885</v>
      </c>
      <c r="B908" s="661" t="str" cm="1">
        <f t="array" ref="B908">"P"&amp;INDEX(X!$CL$2:$CL$12,'Scratch Sheet'!H907+1)+9</f>
        <v>P13</v>
      </c>
      <c r="C908" s="661">
        <v>1</v>
      </c>
      <c r="D908" s="755">
        <f t="shared" si="52"/>
        <v>3600</v>
      </c>
      <c r="E908" s="682" t="str">
        <f t="shared" si="53"/>
        <v>C3</v>
      </c>
      <c r="F908" s="683">
        <f t="shared" si="54"/>
        <v>5</v>
      </c>
      <c r="H908" s="13">
        <v>617</v>
      </c>
      <c r="I908" s="13">
        <f>VLOOKUP(VLOOKUP(H908,$A$24:$B$1023,2,FALSE),'Scratch Sheet'!$U$23:$X$32,3,FALSE)</f>
        <v>12</v>
      </c>
      <c r="K908" s="13">
        <f t="shared" si="55"/>
        <v>851</v>
      </c>
      <c r="L908" s="13">
        <f>IFERROR(VLOOKUP(VLOOKUP(K908,$A$24:$B$1023,2,FALSE),'Scratch Sheet'!$U$23:$Y$32,5,FALSE)*VLOOKUP(VLOOKUP(K908,$A$24:$E$1023,5,FALSE),'Scratch Sheet'!$L$22:$M$30,2,FALSE),"")</f>
        <v>4500</v>
      </c>
      <c r="N908" s="675">
        <v>824</v>
      </c>
      <c r="O908" s="675" t="str" cm="1">
        <f t="array" ref="O908">IF(OR(INDEX($B$24:$B$1023,N908)="P10",INDEX($B$24:$B$1023,N908)="P11",INDEX($B$24:$B$1023,N908)="P12",INDEX($B$24:$B$1023,N908)="P13"),"C",IF(OR(INDEX($B$24:$B$1023,N908)="P14",INDEX($B$24:$B$1023,N908)="P15",INDEX($B$24:$B$1023,N908)="P16"),"N","O"))&amp;IF(MOD(N908,100)&lt;20,1,IF(MOD(N908,100)&lt;70,2,3))</f>
        <v>C2</v>
      </c>
    </row>
    <row r="909" spans="1:15" ht="16.5" thickBot="1">
      <c r="A909" s="662">
        <v>886</v>
      </c>
      <c r="B909" s="661" t="str" cm="1">
        <f t="array" ref="B909">"P"&amp;INDEX(X!$CL$2:$CL$12,'Scratch Sheet'!H908+1)+9</f>
        <v>P10</v>
      </c>
      <c r="C909" s="661">
        <v>1</v>
      </c>
      <c r="D909" s="755">
        <f t="shared" si="52"/>
        <v>1920</v>
      </c>
      <c r="E909" s="682" t="str">
        <f t="shared" si="53"/>
        <v>C3</v>
      </c>
      <c r="F909" s="683">
        <f t="shared" si="54"/>
        <v>3</v>
      </c>
      <c r="H909" s="13">
        <v>838</v>
      </c>
      <c r="I909" s="13">
        <f>VLOOKUP(VLOOKUP(H909,$A$24:$B$1023,2,FALSE),'Scratch Sheet'!$U$23:$X$32,3,FALSE)</f>
        <v>12</v>
      </c>
      <c r="K909" s="13">
        <f t="shared" si="55"/>
        <v>867</v>
      </c>
      <c r="L909" s="13">
        <f>IFERROR(VLOOKUP(VLOOKUP(K909,$A$24:$B$1023,2,FALSE),'Scratch Sheet'!$U$23:$Y$32,5,FALSE)*VLOOKUP(VLOOKUP(K909,$A$24:$E$1023,5,FALSE),'Scratch Sheet'!$L$22:$M$30,2,FALSE),"")</f>
        <v>4500</v>
      </c>
      <c r="N909" s="675">
        <v>825</v>
      </c>
      <c r="O909" s="675" t="str" cm="1">
        <f t="array" ref="O909">IF(OR(INDEX($B$24:$B$1023,N909)="P10",INDEX($B$24:$B$1023,N909)="P11",INDEX($B$24:$B$1023,N909)="P12",INDEX($B$24:$B$1023,N909)="P13"),"C",IF(OR(INDEX($B$24:$B$1023,N909)="P14",INDEX($B$24:$B$1023,N909)="P15",INDEX($B$24:$B$1023,N909)="P16"),"N","O"))&amp;IF(MOD(N909,100)&lt;20,1,IF(MOD(N909,100)&lt;70,2,3))</f>
        <v>C2</v>
      </c>
    </row>
    <row r="910" spans="1:15" ht="16.5" thickBot="1">
      <c r="A910" s="662">
        <v>887</v>
      </c>
      <c r="B910" s="661" t="str" cm="1">
        <f t="array" ref="B910">"P"&amp;INDEX(X!$CL$2:$CL$12,'Scratch Sheet'!H909+1)+9</f>
        <v>P11</v>
      </c>
      <c r="C910" s="661">
        <v>1</v>
      </c>
      <c r="D910" s="755">
        <f t="shared" si="52"/>
        <v>8800</v>
      </c>
      <c r="E910" s="682" t="str">
        <f t="shared" si="53"/>
        <v>C3</v>
      </c>
      <c r="F910" s="683">
        <f t="shared" si="54"/>
        <v>11</v>
      </c>
      <c r="H910" s="13">
        <v>464</v>
      </c>
      <c r="I910" s="13">
        <f>VLOOKUP(VLOOKUP(H910,$A$24:$B$1023,2,FALSE),'Scratch Sheet'!$U$23:$X$32,3,FALSE)</f>
        <v>12</v>
      </c>
      <c r="K910" s="13">
        <f t="shared" si="55"/>
        <v>870</v>
      </c>
      <c r="L910" s="13">
        <f>IFERROR(VLOOKUP(VLOOKUP(K910,$A$24:$B$1023,2,FALSE),'Scratch Sheet'!$U$23:$Y$32,5,FALSE)*VLOOKUP(VLOOKUP(K910,$A$24:$E$1023,5,FALSE),'Scratch Sheet'!$L$22:$M$30,2,FALSE),"")</f>
        <v>8800</v>
      </c>
      <c r="N910" s="675">
        <v>829</v>
      </c>
      <c r="O910" s="675" t="str" cm="1">
        <f t="array" ref="O910">IF(OR(INDEX($B$24:$B$1023,N910)="P10",INDEX($B$24:$B$1023,N910)="P11",INDEX($B$24:$B$1023,N910)="P12",INDEX($B$24:$B$1023,N910)="P13"),"C",IF(OR(INDEX($B$24:$B$1023,N910)="P14",INDEX($B$24:$B$1023,N910)="P15",INDEX($B$24:$B$1023,N910)="P16"),"N","O"))&amp;IF(MOD(N910,100)&lt;20,1,IF(MOD(N910,100)&lt;70,2,3))</f>
        <v>C2</v>
      </c>
    </row>
    <row r="911" spans="1:15" ht="16.5" thickBot="1">
      <c r="A911" s="662">
        <v>888</v>
      </c>
      <c r="B911" s="661" t="str" cm="1">
        <f t="array" ref="B911">"P"&amp;INDEX(X!$CL$2:$CL$12,'Scratch Sheet'!H910+1)+9</f>
        <v>P16</v>
      </c>
      <c r="C911" s="661">
        <v>1</v>
      </c>
      <c r="D911" s="755">
        <f t="shared" si="52"/>
        <v>5200</v>
      </c>
      <c r="E911" s="682" t="str">
        <f t="shared" si="53"/>
        <v>N3</v>
      </c>
      <c r="F911" s="683">
        <f t="shared" si="54"/>
        <v>4</v>
      </c>
      <c r="H911" s="13">
        <v>454</v>
      </c>
      <c r="I911" s="13">
        <f>VLOOKUP(VLOOKUP(H911,$A$24:$B$1023,2,FALSE),'Scratch Sheet'!$U$23:$X$32,3,FALSE)</f>
        <v>3</v>
      </c>
      <c r="K911" s="13">
        <f t="shared" si="55"/>
        <v>869</v>
      </c>
      <c r="L911" s="13">
        <f>IFERROR(VLOOKUP(VLOOKUP(K911,$A$24:$B$1023,2,FALSE),'Scratch Sheet'!$U$23:$Y$32,5,FALSE)*VLOOKUP(VLOOKUP(K911,$A$24:$E$1023,5,FALSE),'Scratch Sheet'!$L$22:$M$30,2,FALSE),"")</f>
        <v>2400</v>
      </c>
      <c r="N911" s="675">
        <v>831</v>
      </c>
      <c r="O911" s="675" t="str" cm="1">
        <f t="array" ref="O911">IF(OR(INDEX($B$24:$B$1023,N911)="P10",INDEX($B$24:$B$1023,N911)="P11",INDEX($B$24:$B$1023,N911)="P12",INDEX($B$24:$B$1023,N911)="P13"),"C",IF(OR(INDEX($B$24:$B$1023,N911)="P14",INDEX($B$24:$B$1023,N911)="P15",INDEX($B$24:$B$1023,N911)="P16"),"N","O"))&amp;IF(MOD(N911,100)&lt;20,1,IF(MOD(N911,100)&lt;70,2,3))</f>
        <v>N2</v>
      </c>
    </row>
    <row r="912" spans="1:15" ht="16.5" thickBot="1">
      <c r="A912" s="662">
        <v>889</v>
      </c>
      <c r="B912" s="661" t="str" cm="1">
        <f t="array" ref="B912">"P"&amp;INDEX(X!$CL$2:$CL$12,'Scratch Sheet'!H911+1)+9</f>
        <v>P17</v>
      </c>
      <c r="C912" s="661">
        <v>1</v>
      </c>
      <c r="D912" s="755">
        <f t="shared" si="52"/>
        <v>9600</v>
      </c>
      <c r="E912" s="682" t="str">
        <f t="shared" si="53"/>
        <v>O3</v>
      </c>
      <c r="F912" s="683">
        <f t="shared" si="54"/>
        <v>12</v>
      </c>
      <c r="H912" s="13">
        <v>909</v>
      </c>
      <c r="I912" s="13">
        <f>VLOOKUP(VLOOKUP(H912,$A$24:$B$1023,2,FALSE),'Scratch Sheet'!$U$23:$X$32,3,FALSE)</f>
        <v>11</v>
      </c>
      <c r="K912" s="13">
        <f t="shared" si="55"/>
        <v>864</v>
      </c>
      <c r="L912" s="13">
        <f>IFERROR(VLOOKUP(VLOOKUP(K912,$A$24:$B$1023,2,FALSE),'Scratch Sheet'!$U$23:$Y$32,5,FALSE)*VLOOKUP(VLOOKUP(K912,$A$24:$E$1023,5,FALSE),'Scratch Sheet'!$L$22:$M$30,2,FALSE),"")</f>
        <v>5940.0000000000009</v>
      </c>
      <c r="N912" s="675">
        <v>836</v>
      </c>
      <c r="O912" s="675" t="str" cm="1">
        <f t="array" ref="O912">IF(OR(INDEX($B$24:$B$1023,N912)="P10",INDEX($B$24:$B$1023,N912)="P11",INDEX($B$24:$B$1023,N912)="P12",INDEX($B$24:$B$1023,N912)="P13"),"C",IF(OR(INDEX($B$24:$B$1023,N912)="P14",INDEX($B$24:$B$1023,N912)="P15",INDEX($B$24:$B$1023,N912)="P16"),"N","O"))&amp;IF(MOD(N912,100)&lt;20,1,IF(MOD(N912,100)&lt;70,2,3))</f>
        <v>C2</v>
      </c>
    </row>
    <row r="913" spans="1:15" ht="16.5" thickBot="1">
      <c r="A913" s="662">
        <v>890</v>
      </c>
      <c r="B913" s="661" t="str" cm="1">
        <f t="array" ref="B913">"P"&amp;INDEX(X!$CL$2:$CL$12,'Scratch Sheet'!H912+1)+9</f>
        <v>P17</v>
      </c>
      <c r="C913" s="661">
        <v>1</v>
      </c>
      <c r="D913" s="755">
        <f t="shared" si="52"/>
        <v>9600</v>
      </c>
      <c r="E913" s="682" t="str">
        <f t="shared" si="53"/>
        <v>O3</v>
      </c>
      <c r="F913" s="683">
        <f t="shared" si="54"/>
        <v>12</v>
      </c>
      <c r="H913" s="13">
        <v>830</v>
      </c>
      <c r="I913" s="13">
        <f>VLOOKUP(VLOOKUP(H913,$A$24:$B$1023,2,FALSE),'Scratch Sheet'!$U$23:$X$32,3,FALSE)</f>
        <v>6</v>
      </c>
      <c r="K913" s="13">
        <f t="shared" si="55"/>
        <v>866</v>
      </c>
      <c r="L913" s="13">
        <f>IFERROR(VLOOKUP(VLOOKUP(K913,$A$24:$B$1023,2,FALSE),'Scratch Sheet'!$U$23:$Y$32,5,FALSE)*VLOOKUP(VLOOKUP(K913,$A$24:$E$1023,5,FALSE),'Scratch Sheet'!$L$22:$M$30,2,FALSE),"")</f>
        <v>2400</v>
      </c>
      <c r="N913" s="675">
        <v>841</v>
      </c>
      <c r="O913" s="675" t="str" cm="1">
        <f t="array" ref="O913">IF(OR(INDEX($B$24:$B$1023,N913)="P10",INDEX($B$24:$B$1023,N913)="P11",INDEX($B$24:$B$1023,N913)="P12",INDEX($B$24:$B$1023,N913)="P13"),"C",IF(OR(INDEX($B$24:$B$1023,N913)="P14",INDEX($B$24:$B$1023,N913)="P15",INDEX($B$24:$B$1023,N913)="P16"),"N","O"))&amp;IF(MOD(N913,100)&lt;20,1,IF(MOD(N913,100)&lt;70,2,3))</f>
        <v>C2</v>
      </c>
    </row>
    <row r="914" spans="1:15" ht="16.5" thickBot="1">
      <c r="A914" s="662">
        <v>891</v>
      </c>
      <c r="B914" s="661" t="str" cm="1">
        <f t="array" ref="B914">"P"&amp;INDEX(X!$CL$2:$CL$12,'Scratch Sheet'!H913+1)+9</f>
        <v>P13</v>
      </c>
      <c r="C914" s="661">
        <v>1</v>
      </c>
      <c r="D914" s="755">
        <f t="shared" si="52"/>
        <v>3600</v>
      </c>
      <c r="E914" s="682" t="str">
        <f t="shared" si="53"/>
        <v>C3</v>
      </c>
      <c r="F914" s="683">
        <f t="shared" si="54"/>
        <v>5</v>
      </c>
      <c r="H914" s="13">
        <v>963</v>
      </c>
      <c r="I914" s="13">
        <f>VLOOKUP(VLOOKUP(H914,$A$24:$B$1023,2,FALSE),'Scratch Sheet'!$U$23:$X$32,3,FALSE)</f>
        <v>3</v>
      </c>
      <c r="K914" s="13">
        <f t="shared" si="55"/>
        <v>865</v>
      </c>
      <c r="L914" s="13">
        <f>IFERROR(VLOOKUP(VLOOKUP(K914,$A$24:$B$1023,2,FALSE),'Scratch Sheet'!$U$23:$Y$32,5,FALSE)*VLOOKUP(VLOOKUP(K914,$A$24:$E$1023,5,FALSE),'Scratch Sheet'!$L$22:$M$30,2,FALSE),"")</f>
        <v>6480</v>
      </c>
      <c r="N914" s="675">
        <v>842</v>
      </c>
      <c r="O914" s="675" t="str" cm="1">
        <f t="array" ref="O914">IF(OR(INDEX($B$24:$B$1023,N914)="P10",INDEX($B$24:$B$1023,N914)="P11",INDEX($B$24:$B$1023,N914)="P12",INDEX($B$24:$B$1023,N914)="P13"),"C",IF(OR(INDEX($B$24:$B$1023,N914)="P14",INDEX($B$24:$B$1023,N914)="P15",INDEX($B$24:$B$1023,N914)="P16"),"N","O"))&amp;IF(MOD(N914,100)&lt;20,1,IF(MOD(N914,100)&lt;70,2,3))</f>
        <v>C2</v>
      </c>
    </row>
    <row r="915" spans="1:15" ht="16.5" thickBot="1">
      <c r="A915" s="662">
        <v>892</v>
      </c>
      <c r="B915" s="661" t="str" cm="1">
        <f t="array" ref="B915">"P"&amp;INDEX(X!$CL$2:$CL$12,'Scratch Sheet'!H914+1)+9</f>
        <v>P11</v>
      </c>
      <c r="C915" s="661">
        <v>1</v>
      </c>
      <c r="D915" s="755">
        <f t="shared" si="52"/>
        <v>8800</v>
      </c>
      <c r="E915" s="682" t="str">
        <f t="shared" si="53"/>
        <v>C3</v>
      </c>
      <c r="F915" s="683">
        <f t="shared" si="54"/>
        <v>11</v>
      </c>
      <c r="H915" s="13">
        <v>583</v>
      </c>
      <c r="I915" s="13">
        <f>VLOOKUP(VLOOKUP(H915,$A$24:$B$1023,2,FALSE),'Scratch Sheet'!$U$23:$X$32,3,FALSE)</f>
        <v>12</v>
      </c>
      <c r="K915" s="13">
        <f t="shared" si="55"/>
        <v>868</v>
      </c>
      <c r="L915" s="13">
        <f>IFERROR(VLOOKUP(VLOOKUP(K915,$A$24:$B$1023,2,FALSE),'Scratch Sheet'!$U$23:$Y$32,5,FALSE)*VLOOKUP(VLOOKUP(K915,$A$24:$E$1023,5,FALSE),'Scratch Sheet'!$L$22:$M$30,2,FALSE),"")</f>
        <v>4500</v>
      </c>
      <c r="N915" s="675">
        <v>846</v>
      </c>
      <c r="O915" s="675" t="str" cm="1">
        <f t="array" ref="O915">IF(OR(INDEX($B$24:$B$1023,N915)="P10",INDEX($B$24:$B$1023,N915)="P11",INDEX($B$24:$B$1023,N915)="P12",INDEX($B$24:$B$1023,N915)="P13"),"C",IF(OR(INDEX($B$24:$B$1023,N915)="P14",INDEX($B$24:$B$1023,N915)="P15",INDEX($B$24:$B$1023,N915)="P16"),"N","O"))&amp;IF(MOD(N915,100)&lt;20,1,IF(MOD(N915,100)&lt;70,2,3))</f>
        <v>C2</v>
      </c>
    </row>
    <row r="916" spans="1:15" ht="16.5" thickBot="1">
      <c r="A916" s="662">
        <v>893</v>
      </c>
      <c r="B916" s="661" t="str" cm="1">
        <f t="array" ref="B916">"P"&amp;INDEX(X!$CL$2:$CL$12,'Scratch Sheet'!H915+1)+9</f>
        <v>P11</v>
      </c>
      <c r="C916" s="661">
        <v>1</v>
      </c>
      <c r="D916" s="755">
        <f t="shared" si="52"/>
        <v>8800</v>
      </c>
      <c r="E916" s="682" t="str">
        <f t="shared" si="53"/>
        <v>C3</v>
      </c>
      <c r="F916" s="683">
        <f t="shared" si="54"/>
        <v>11</v>
      </c>
      <c r="H916" s="13">
        <v>86</v>
      </c>
      <c r="I916" s="13">
        <f>VLOOKUP(VLOOKUP(H916,$A$24:$B$1023,2,FALSE),'Scratch Sheet'!$U$23:$X$32,3,FALSE)</f>
        <v>5</v>
      </c>
      <c r="K916" s="13">
        <f t="shared" si="55"/>
        <v>863</v>
      </c>
      <c r="L916" s="13">
        <f>IFERROR(VLOOKUP(VLOOKUP(K916,$A$24:$B$1023,2,FALSE),'Scratch Sheet'!$U$23:$Y$32,5,FALSE)*VLOOKUP(VLOOKUP(K916,$A$24:$E$1023,5,FALSE),'Scratch Sheet'!$L$22:$M$30,2,FALSE),"")</f>
        <v>11000</v>
      </c>
      <c r="N916" s="675">
        <v>848</v>
      </c>
      <c r="O916" s="675" t="str" cm="1">
        <f t="array" ref="O916">IF(OR(INDEX($B$24:$B$1023,N916)="P10",INDEX($B$24:$B$1023,N916)="P11",INDEX($B$24:$B$1023,N916)="P12",INDEX($B$24:$B$1023,N916)="P13"),"C",IF(OR(INDEX($B$24:$B$1023,N916)="P14",INDEX($B$24:$B$1023,N916)="P15",INDEX($B$24:$B$1023,N916)="P16"),"N","O"))&amp;IF(MOD(N916,100)&lt;20,1,IF(MOD(N916,100)&lt;70,2,3))</f>
        <v>N2</v>
      </c>
    </row>
    <row r="917" spans="1:15" ht="16.5" thickBot="1">
      <c r="A917" s="662">
        <v>894</v>
      </c>
      <c r="B917" s="661" t="str" cm="1">
        <f t="array" ref="B917">"P"&amp;INDEX(X!$CL$2:$CL$12,'Scratch Sheet'!H916+1)+9</f>
        <v>P12</v>
      </c>
      <c r="C917" s="661">
        <v>1</v>
      </c>
      <c r="D917" s="755">
        <f t="shared" si="52"/>
        <v>10920</v>
      </c>
      <c r="E917" s="682" t="str">
        <f t="shared" si="53"/>
        <v>C3</v>
      </c>
      <c r="F917" s="683">
        <f t="shared" si="54"/>
        <v>6.5</v>
      </c>
      <c r="H917" s="13">
        <v>131</v>
      </c>
      <c r="I917" s="13">
        <f>VLOOKUP(VLOOKUP(H917,$A$24:$B$1023,2,FALSE),'Scratch Sheet'!$U$23:$X$32,3,FALSE)</f>
        <v>3</v>
      </c>
      <c r="K917" s="13">
        <f t="shared" si="55"/>
        <v>862</v>
      </c>
      <c r="L917" s="13">
        <f>IFERROR(VLOOKUP(VLOOKUP(K917,$A$24:$B$1023,2,FALSE),'Scratch Sheet'!$U$23:$Y$32,5,FALSE)*VLOOKUP(VLOOKUP(K917,$A$24:$E$1023,5,FALSE),'Scratch Sheet'!$L$22:$M$30,2,FALSE),"")</f>
        <v>2400</v>
      </c>
      <c r="N917" s="675">
        <v>853</v>
      </c>
      <c r="O917" s="675" t="str" cm="1">
        <f t="array" ref="O917">IF(OR(INDEX($B$24:$B$1023,N917)="P10",INDEX($B$24:$B$1023,N917)="P11",INDEX($B$24:$B$1023,N917)="P12",INDEX($B$24:$B$1023,N917)="P13"),"C",IF(OR(INDEX($B$24:$B$1023,N917)="P14",INDEX($B$24:$B$1023,N917)="P15",INDEX($B$24:$B$1023,N917)="P16"),"N","O"))&amp;IF(MOD(N917,100)&lt;20,1,IF(MOD(N917,100)&lt;70,2,3))</f>
        <v>C2</v>
      </c>
    </row>
    <row r="918" spans="1:15" ht="16.5" thickBot="1">
      <c r="A918" s="662">
        <v>895</v>
      </c>
      <c r="B918" s="661" t="str" cm="1">
        <f t="array" ref="B918">"P"&amp;INDEX(X!$CL$2:$CL$12,'Scratch Sheet'!H917+1)+9</f>
        <v>P10</v>
      </c>
      <c r="C918" s="661">
        <v>1</v>
      </c>
      <c r="D918" s="755">
        <f t="shared" si="52"/>
        <v>1920</v>
      </c>
      <c r="E918" s="682" t="str">
        <f t="shared" si="53"/>
        <v>C3</v>
      </c>
      <c r="F918" s="683">
        <f t="shared" si="54"/>
        <v>3</v>
      </c>
      <c r="H918" s="13">
        <v>420</v>
      </c>
      <c r="I918" s="13">
        <f>VLOOKUP(VLOOKUP(H918,$A$24:$B$1023,2,FALSE),'Scratch Sheet'!$U$23:$X$32,3,FALSE)</f>
        <v>3</v>
      </c>
      <c r="K918" s="13">
        <f t="shared" si="55"/>
        <v>875</v>
      </c>
      <c r="L918" s="13">
        <f>IFERROR(VLOOKUP(VLOOKUP(K918,$A$24:$B$1023,2,FALSE),'Scratch Sheet'!$U$23:$Y$32,5,FALSE)*VLOOKUP(VLOOKUP(K918,$A$24:$E$1023,5,FALSE),'Scratch Sheet'!$L$22:$M$30,2,FALSE),"")</f>
        <v>8800</v>
      </c>
      <c r="N918" s="675">
        <v>858</v>
      </c>
      <c r="O918" s="675" t="str" cm="1">
        <f t="array" ref="O918">IF(OR(INDEX($B$24:$B$1023,N918)="P10",INDEX($B$24:$B$1023,N918)="P11",INDEX($B$24:$B$1023,N918)="P12",INDEX($B$24:$B$1023,N918)="P13"),"C",IF(OR(INDEX($B$24:$B$1023,N918)="P14",INDEX($B$24:$B$1023,N918)="P15",INDEX($B$24:$B$1023,N918)="P16"),"N","O"))&amp;IF(MOD(N918,100)&lt;20,1,IF(MOD(N918,100)&lt;70,2,3))</f>
        <v>C2</v>
      </c>
    </row>
    <row r="919" spans="1:15" ht="16.5" thickBot="1">
      <c r="A919" s="662">
        <v>896</v>
      </c>
      <c r="B919" s="661" t="str" cm="1">
        <f t="array" ref="B919">"P"&amp;INDEX(X!$CL$2:$CL$12,'Scratch Sheet'!H918+1)+9</f>
        <v>P10</v>
      </c>
      <c r="C919" s="661">
        <v>1</v>
      </c>
      <c r="D919" s="755">
        <f t="shared" si="52"/>
        <v>1920</v>
      </c>
      <c r="E919" s="682" t="str">
        <f t="shared" si="53"/>
        <v>C3</v>
      </c>
      <c r="F919" s="683">
        <f t="shared" si="54"/>
        <v>3</v>
      </c>
      <c r="H919" s="13">
        <v>934</v>
      </c>
      <c r="I919" s="13">
        <f>VLOOKUP(VLOOKUP(H919,$A$24:$B$1023,2,FALSE),'Scratch Sheet'!$U$23:$X$32,3,FALSE)</f>
        <v>3</v>
      </c>
      <c r="K919" s="13">
        <f t="shared" si="55"/>
        <v>878</v>
      </c>
      <c r="L919" s="13">
        <f>IFERROR(VLOOKUP(VLOOKUP(K919,$A$24:$B$1023,2,FALSE),'Scratch Sheet'!$U$23:$Y$32,5,FALSE)*VLOOKUP(VLOOKUP(K919,$A$24:$E$1023,5,FALSE),'Scratch Sheet'!$L$22:$M$30,2,FALSE),"")</f>
        <v>1920</v>
      </c>
      <c r="N919" s="675">
        <v>859</v>
      </c>
      <c r="O919" s="675" t="str" cm="1">
        <f t="array" ref="O919">IF(OR(INDEX($B$24:$B$1023,N919)="P10",INDEX($B$24:$B$1023,N919)="P11",INDEX($B$24:$B$1023,N919)="P12",INDEX($B$24:$B$1023,N919)="P13"),"C",IF(OR(INDEX($B$24:$B$1023,N919)="P14",INDEX($B$24:$B$1023,N919)="P15",INDEX($B$24:$B$1023,N919)="P16"),"N","O"))&amp;IF(MOD(N919,100)&lt;20,1,IF(MOD(N919,100)&lt;70,2,3))</f>
        <v>C2</v>
      </c>
    </row>
    <row r="920" spans="1:15" ht="16.5" thickBot="1">
      <c r="A920" s="662">
        <v>897</v>
      </c>
      <c r="B920" s="661" t="str" cm="1">
        <f t="array" ref="B920">"P"&amp;INDEX(X!$CL$2:$CL$12,'Scratch Sheet'!H919+1)+9</f>
        <v>P11</v>
      </c>
      <c r="C920" s="661">
        <v>1</v>
      </c>
      <c r="D920" s="755">
        <f t="shared" si="52"/>
        <v>8800</v>
      </c>
      <c r="E920" s="682" t="str">
        <f t="shared" si="53"/>
        <v>C3</v>
      </c>
      <c r="F920" s="683">
        <f t="shared" si="54"/>
        <v>11</v>
      </c>
      <c r="H920" s="13">
        <v>562</v>
      </c>
      <c r="I920" s="13">
        <f>VLOOKUP(VLOOKUP(H920,$A$24:$B$1023,2,FALSE),'Scratch Sheet'!$U$23:$X$32,3,FALSE)</f>
        <v>5</v>
      </c>
      <c r="K920" s="13">
        <f t="shared" si="55"/>
        <v>877</v>
      </c>
      <c r="L920" s="13">
        <f>IFERROR(VLOOKUP(VLOOKUP(K920,$A$24:$B$1023,2,FALSE),'Scratch Sheet'!$U$23:$Y$32,5,FALSE)*VLOOKUP(VLOOKUP(K920,$A$24:$E$1023,5,FALSE),'Scratch Sheet'!$L$22:$M$30,2,FALSE),"")</f>
        <v>5460</v>
      </c>
      <c r="N920" s="675">
        <v>863</v>
      </c>
      <c r="O920" s="675" t="str" cm="1">
        <f t="array" ref="O920">IF(OR(INDEX($B$24:$B$1023,N920)="P10",INDEX($B$24:$B$1023,N920)="P11",INDEX($B$24:$B$1023,N920)="P12",INDEX($B$24:$B$1023,N920)="P13"),"C",IF(OR(INDEX($B$24:$B$1023,N920)="P14",INDEX($B$24:$B$1023,N920)="P15",INDEX($B$24:$B$1023,N920)="P16"),"N","O"))&amp;IF(MOD(N920,100)&lt;20,1,IF(MOD(N920,100)&lt;70,2,3))</f>
        <v>C2</v>
      </c>
    </row>
    <row r="921" spans="1:15" ht="16.5" thickBot="1">
      <c r="A921" s="662">
        <v>898</v>
      </c>
      <c r="B921" s="661" t="str" cm="1">
        <f t="array" ref="B921">"P"&amp;INDEX(X!$CL$2:$CL$12,'Scratch Sheet'!H920+1)+9</f>
        <v>P18</v>
      </c>
      <c r="C921" s="661">
        <v>1</v>
      </c>
      <c r="D921" s="755">
        <f t="shared" ref="D921:D984" si="56">SUMIF($K$24:$K$1053, $A921, $L$24:$L$1053)</f>
        <v>4320</v>
      </c>
      <c r="E921" s="682" t="str">
        <f t="shared" ref="E921:E984" si="57">INDEX($O$24:$O$1023,MATCH($A921,$N$24:$N$1023,0))</f>
        <v>O3</v>
      </c>
      <c r="F921" s="683">
        <f t="shared" ref="F921:F984" si="58">VLOOKUP(A921, $H$24:$I$1023, 2, FALSE)</f>
        <v>6</v>
      </c>
      <c r="H921" s="13">
        <v>706</v>
      </c>
      <c r="I921" s="13">
        <f>VLOOKUP(VLOOKUP(H921,$A$24:$B$1023,2,FALSE),'Scratch Sheet'!$U$23:$X$32,3,FALSE)</f>
        <v>11</v>
      </c>
      <c r="K921" s="13">
        <f t="shared" si="55"/>
        <v>872</v>
      </c>
      <c r="L921" s="13">
        <f>IFERROR(VLOOKUP(VLOOKUP(K921,$A$24:$B$1023,2,FALSE),'Scratch Sheet'!$U$23:$Y$32,5,FALSE)*VLOOKUP(VLOOKUP(K921,$A$24:$E$1023,5,FALSE),'Scratch Sheet'!$L$22:$M$30,2,FALSE),"")</f>
        <v>9600</v>
      </c>
      <c r="N921" s="675">
        <v>865</v>
      </c>
      <c r="O921" s="675" t="str" cm="1">
        <f t="array" ref="O921">IF(OR(INDEX($B$24:$B$1023,N921)="P10",INDEX($B$24:$B$1023,N921)="P11",INDEX($B$24:$B$1023,N921)="P12",INDEX($B$24:$B$1023,N921)="P13"),"C",IF(OR(INDEX($B$24:$B$1023,N921)="P14",INDEX($B$24:$B$1023,N921)="P15",INDEX($B$24:$B$1023,N921)="P16"),"N","O"))&amp;IF(MOD(N921,100)&lt;20,1,IF(MOD(N921,100)&lt;70,2,3))</f>
        <v>N2</v>
      </c>
    </row>
    <row r="922" spans="1:15" ht="16.5" thickBot="1">
      <c r="A922" s="662">
        <v>899</v>
      </c>
      <c r="B922" s="661" t="str" cm="1">
        <f t="array" ref="B922">"P"&amp;INDEX(X!$CL$2:$CL$12,'Scratch Sheet'!H921+1)+9</f>
        <v>P14</v>
      </c>
      <c r="C922" s="661">
        <v>1</v>
      </c>
      <c r="D922" s="755">
        <f t="shared" si="56"/>
        <v>7200</v>
      </c>
      <c r="E922" s="682" t="str">
        <f t="shared" si="57"/>
        <v>N3</v>
      </c>
      <c r="F922" s="683">
        <f t="shared" si="58"/>
        <v>8</v>
      </c>
      <c r="H922" s="13">
        <v>394</v>
      </c>
      <c r="I922" s="13">
        <f>VLOOKUP(VLOOKUP(H922,$A$24:$B$1023,2,FALSE),'Scratch Sheet'!$U$23:$X$32,3,FALSE)</f>
        <v>11</v>
      </c>
      <c r="K922" s="13">
        <f t="shared" si="55"/>
        <v>874</v>
      </c>
      <c r="L922" s="13">
        <f>IFERROR(VLOOKUP(VLOOKUP(K922,$A$24:$B$1023,2,FALSE),'Scratch Sheet'!$U$23:$Y$32,5,FALSE)*VLOOKUP(VLOOKUP(K922,$A$24:$E$1023,5,FALSE),'Scratch Sheet'!$L$22:$M$30,2,FALSE),"")</f>
        <v>3600</v>
      </c>
      <c r="N922" s="675">
        <v>870</v>
      </c>
      <c r="O922" s="675" t="str" cm="1">
        <f t="array" ref="O922">IF(OR(INDEX($B$24:$B$1023,N922)="P10",INDEX($B$24:$B$1023,N922)="P11",INDEX($B$24:$B$1023,N922)="P12",INDEX($B$24:$B$1023,N922)="P13"),"C",IF(OR(INDEX($B$24:$B$1023,N922)="P14",INDEX($B$24:$B$1023,N922)="P15",INDEX($B$24:$B$1023,N922)="P16"),"N","O"))&amp;IF(MOD(N922,100)&lt;20,1,IF(MOD(N922,100)&lt;70,2,3))</f>
        <v>C3</v>
      </c>
    </row>
    <row r="923" spans="1:15" ht="16.5" thickBot="1">
      <c r="A923" s="662">
        <v>900</v>
      </c>
      <c r="B923" s="661" t="str" cm="1">
        <f t="array" ref="B923">"P"&amp;INDEX(X!$CL$2:$CL$12,'Scratch Sheet'!H922+1)+9</f>
        <v>P10</v>
      </c>
      <c r="C923" s="661">
        <v>1</v>
      </c>
      <c r="D923" s="755">
        <f t="shared" si="56"/>
        <v>2880</v>
      </c>
      <c r="E923" s="682" t="str">
        <f t="shared" si="57"/>
        <v>C1</v>
      </c>
      <c r="F923" s="683">
        <f t="shared" si="58"/>
        <v>3</v>
      </c>
      <c r="H923" s="13">
        <v>997</v>
      </c>
      <c r="I923" s="13">
        <f>VLOOKUP(VLOOKUP(H923,$A$24:$B$1023,2,FALSE),'Scratch Sheet'!$U$23:$X$32,3,FALSE)</f>
        <v>3</v>
      </c>
      <c r="K923" s="13">
        <f t="shared" si="55"/>
        <v>873</v>
      </c>
      <c r="L923" s="13">
        <f>IFERROR(VLOOKUP(VLOOKUP(K923,$A$24:$B$1023,2,FALSE),'Scratch Sheet'!$U$23:$Y$32,5,FALSE)*VLOOKUP(VLOOKUP(K923,$A$24:$E$1023,5,FALSE),'Scratch Sheet'!$L$22:$M$30,2,FALSE),"")</f>
        <v>9600</v>
      </c>
      <c r="N923" s="675">
        <v>875</v>
      </c>
      <c r="O923" s="675" t="str" cm="1">
        <f t="array" ref="O923">IF(OR(INDEX($B$24:$B$1023,N923)="P10",INDEX($B$24:$B$1023,N923)="P11",INDEX($B$24:$B$1023,N923)="P12",INDEX($B$24:$B$1023,N923)="P13"),"C",IF(OR(INDEX($B$24:$B$1023,N923)="P14",INDEX($B$24:$B$1023,N923)="P15",INDEX($B$24:$B$1023,N923)="P16"),"N","O"))&amp;IF(MOD(N923,100)&lt;20,1,IF(MOD(N923,100)&lt;70,2,3))</f>
        <v>C3</v>
      </c>
    </row>
    <row r="924" spans="1:15" ht="16.5" thickBot="1">
      <c r="A924" s="662">
        <v>901</v>
      </c>
      <c r="B924" s="661" t="str" cm="1">
        <f t="array" ref="B924">"P"&amp;INDEX(X!$CL$2:$CL$12,'Scratch Sheet'!H923+1)+9</f>
        <v>P13</v>
      </c>
      <c r="C924" s="661">
        <v>1</v>
      </c>
      <c r="D924" s="755">
        <f t="shared" si="56"/>
        <v>5400</v>
      </c>
      <c r="E924" s="682" t="str">
        <f t="shared" si="57"/>
        <v>C1</v>
      </c>
      <c r="F924" s="683">
        <f t="shared" si="58"/>
        <v>5</v>
      </c>
      <c r="H924" s="13">
        <v>719</v>
      </c>
      <c r="I924" s="13">
        <f>VLOOKUP(VLOOKUP(H924,$A$24:$B$1023,2,FALSE),'Scratch Sheet'!$U$23:$X$32,3,FALSE)</f>
        <v>12</v>
      </c>
      <c r="K924" s="13">
        <f t="shared" si="55"/>
        <v>876</v>
      </c>
      <c r="L924" s="13">
        <f>IFERROR(VLOOKUP(VLOOKUP(K924,$A$24:$B$1023,2,FALSE),'Scratch Sheet'!$U$23:$Y$32,5,FALSE)*VLOOKUP(VLOOKUP(K924,$A$24:$E$1023,5,FALSE),'Scratch Sheet'!$L$22:$M$30,2,FALSE),"")</f>
        <v>8800</v>
      </c>
      <c r="N924" s="675">
        <v>876</v>
      </c>
      <c r="O924" s="675" t="str" cm="1">
        <f t="array" ref="O924">IF(OR(INDEX($B$24:$B$1023,N924)="P10",INDEX($B$24:$B$1023,N924)="P11",INDEX($B$24:$B$1023,N924)="P12",INDEX($B$24:$B$1023,N924)="P13"),"C",IF(OR(INDEX($B$24:$B$1023,N924)="P14",INDEX($B$24:$B$1023,N924)="P15",INDEX($B$24:$B$1023,N924)="P16"),"N","O"))&amp;IF(MOD(N924,100)&lt;20,1,IF(MOD(N924,100)&lt;70,2,3))</f>
        <v>C3</v>
      </c>
    </row>
    <row r="925" spans="1:15" ht="16.5" thickBot="1">
      <c r="A925" s="662">
        <v>902</v>
      </c>
      <c r="B925" s="661" t="str" cm="1">
        <f t="array" ref="B925">"P"&amp;INDEX(X!$CL$2:$CL$12,'Scratch Sheet'!H924+1)+9</f>
        <v>P13</v>
      </c>
      <c r="C925" s="661">
        <v>1</v>
      </c>
      <c r="D925" s="755">
        <f t="shared" si="56"/>
        <v>5400</v>
      </c>
      <c r="E925" s="682" t="str">
        <f t="shared" si="57"/>
        <v>C1</v>
      </c>
      <c r="F925" s="683">
        <f t="shared" si="58"/>
        <v>5</v>
      </c>
      <c r="H925" s="13">
        <v>875</v>
      </c>
      <c r="I925" s="13">
        <f>VLOOKUP(VLOOKUP(H925,$A$24:$B$1023,2,FALSE),'Scratch Sheet'!$U$23:$X$32,3,FALSE)</f>
        <v>11</v>
      </c>
      <c r="K925" s="13">
        <f t="shared" si="55"/>
        <v>871</v>
      </c>
      <c r="L925" s="13">
        <f>IFERROR(VLOOKUP(VLOOKUP(K925,$A$24:$B$1023,2,FALSE),'Scratch Sheet'!$U$23:$Y$32,5,FALSE)*VLOOKUP(VLOOKUP(K925,$A$24:$E$1023,5,FALSE),'Scratch Sheet'!$L$22:$M$30,2,FALSE),"")</f>
        <v>5200</v>
      </c>
      <c r="N925" s="675">
        <v>880</v>
      </c>
      <c r="O925" s="675" t="str" cm="1">
        <f t="array" ref="O925">IF(OR(INDEX($B$24:$B$1023,N925)="P10",INDEX($B$24:$B$1023,N925)="P11",INDEX($B$24:$B$1023,N925)="P12",INDEX($B$24:$B$1023,N925)="P13"),"C",IF(OR(INDEX($B$24:$B$1023,N925)="P14",INDEX($B$24:$B$1023,N925)="P15",INDEX($B$24:$B$1023,N925)="P16"),"N","O"))&amp;IF(MOD(N925,100)&lt;20,1,IF(MOD(N925,100)&lt;70,2,3))</f>
        <v>C3</v>
      </c>
    </row>
    <row r="926" spans="1:15" ht="16.5" thickBot="1">
      <c r="A926" s="662">
        <v>903</v>
      </c>
      <c r="B926" s="661" t="str" cm="1">
        <f t="array" ref="B926">"P"&amp;INDEX(X!$CL$2:$CL$12,'Scratch Sheet'!H925+1)+9</f>
        <v>P10</v>
      </c>
      <c r="C926" s="661">
        <v>1</v>
      </c>
      <c r="D926" s="755">
        <f t="shared" si="56"/>
        <v>2880</v>
      </c>
      <c r="E926" s="682" t="str">
        <f t="shared" si="57"/>
        <v>C1</v>
      </c>
      <c r="F926" s="683">
        <f t="shared" si="58"/>
        <v>3</v>
      </c>
      <c r="H926" s="13">
        <v>18</v>
      </c>
      <c r="I926" s="13">
        <f>VLOOKUP(VLOOKUP(H926,$A$24:$B$1023,2,FALSE),'Scratch Sheet'!$U$23:$X$32,3,FALSE)</f>
        <v>3</v>
      </c>
      <c r="K926" s="13">
        <f t="shared" si="55"/>
        <v>882</v>
      </c>
      <c r="L926" s="13">
        <f>IFERROR(VLOOKUP(VLOOKUP(K926,$A$24:$B$1023,2,FALSE),'Scratch Sheet'!$U$23:$Y$32,5,FALSE)*VLOOKUP(VLOOKUP(K926,$A$24:$E$1023,5,FALSE),'Scratch Sheet'!$L$22:$M$30,2,FALSE),"")</f>
        <v>7200</v>
      </c>
      <c r="N926" s="675">
        <v>887</v>
      </c>
      <c r="O926" s="675" t="str" cm="1">
        <f t="array" ref="O926">IF(OR(INDEX($B$24:$B$1023,N926)="P10",INDEX($B$24:$B$1023,N926)="P11",INDEX($B$24:$B$1023,N926)="P12",INDEX($B$24:$B$1023,N926)="P13"),"C",IF(OR(INDEX($B$24:$B$1023,N926)="P14",INDEX($B$24:$B$1023,N926)="P15",INDEX($B$24:$B$1023,N926)="P16"),"N","O"))&amp;IF(MOD(N926,100)&lt;20,1,IF(MOD(N926,100)&lt;70,2,3))</f>
        <v>C3</v>
      </c>
    </row>
    <row r="927" spans="1:15" ht="16.5" thickBot="1">
      <c r="A927" s="662">
        <v>904</v>
      </c>
      <c r="B927" s="661" t="str" cm="1">
        <f t="array" ref="B927">"P"&amp;INDEX(X!$CL$2:$CL$12,'Scratch Sheet'!H926+1)+9</f>
        <v>P11</v>
      </c>
      <c r="C927" s="661">
        <v>1</v>
      </c>
      <c r="D927" s="755">
        <f t="shared" si="56"/>
        <v>13200</v>
      </c>
      <c r="E927" s="682" t="str">
        <f t="shared" si="57"/>
        <v>C1</v>
      </c>
      <c r="F927" s="683">
        <f t="shared" si="58"/>
        <v>11</v>
      </c>
      <c r="H927" s="13">
        <v>763</v>
      </c>
      <c r="I927" s="13">
        <f>VLOOKUP(VLOOKUP(H927,$A$24:$B$1023,2,FALSE),'Scratch Sheet'!$U$23:$X$32,3,FALSE)</f>
        <v>8</v>
      </c>
      <c r="K927" s="13">
        <f t="shared" si="55"/>
        <v>885</v>
      </c>
      <c r="L927" s="13">
        <f>IFERROR(VLOOKUP(VLOOKUP(K927,$A$24:$B$1023,2,FALSE),'Scratch Sheet'!$U$23:$Y$32,5,FALSE)*VLOOKUP(VLOOKUP(K927,$A$24:$E$1023,5,FALSE),'Scratch Sheet'!$L$22:$M$30,2,FALSE),"")</f>
        <v>3600</v>
      </c>
      <c r="N927" s="675">
        <v>892</v>
      </c>
      <c r="O927" s="675" t="str" cm="1">
        <f t="array" ref="O927">IF(OR(INDEX($B$24:$B$1023,N927)="P10",INDEX($B$24:$B$1023,N927)="P11",INDEX($B$24:$B$1023,N927)="P12",INDEX($B$24:$B$1023,N927)="P13"),"C",IF(OR(INDEX($B$24:$B$1023,N927)="P14",INDEX($B$24:$B$1023,N927)="P15",INDEX($B$24:$B$1023,N927)="P16"),"N","O"))&amp;IF(MOD(N927,100)&lt;20,1,IF(MOD(N927,100)&lt;70,2,3))</f>
        <v>C3</v>
      </c>
    </row>
    <row r="928" spans="1:15" ht="16.5" thickBot="1">
      <c r="A928" s="662">
        <v>905</v>
      </c>
      <c r="B928" s="661" t="str" cm="1">
        <f t="array" ref="B928">"P"&amp;INDEX(X!$CL$2:$CL$12,'Scratch Sheet'!H927+1)+9</f>
        <v>P16</v>
      </c>
      <c r="C928" s="661">
        <v>1</v>
      </c>
      <c r="D928" s="755">
        <f t="shared" si="56"/>
        <v>7279.9999999999991</v>
      </c>
      <c r="E928" s="682" t="str">
        <f t="shared" si="57"/>
        <v>N1</v>
      </c>
      <c r="F928" s="683">
        <f t="shared" si="58"/>
        <v>4</v>
      </c>
      <c r="H928" s="13">
        <v>461</v>
      </c>
      <c r="I928" s="13">
        <f>VLOOKUP(VLOOKUP(H928,$A$24:$B$1023,2,FALSE),'Scratch Sheet'!$U$23:$X$32,3,FALSE)</f>
        <v>3</v>
      </c>
      <c r="K928" s="13">
        <f t="shared" si="55"/>
        <v>884</v>
      </c>
      <c r="L928" s="13">
        <f>IFERROR(VLOOKUP(VLOOKUP(K928,$A$24:$B$1023,2,FALSE),'Scratch Sheet'!$U$23:$Y$32,5,FALSE)*VLOOKUP(VLOOKUP(K928,$A$24:$E$1023,5,FALSE),'Scratch Sheet'!$L$22:$M$30,2,FALSE),"")</f>
        <v>3600</v>
      </c>
      <c r="N928" s="675">
        <v>893</v>
      </c>
      <c r="O928" s="675" t="str" cm="1">
        <f t="array" ref="O928">IF(OR(INDEX($B$24:$B$1023,N928)="P10",INDEX($B$24:$B$1023,N928)="P11",INDEX($B$24:$B$1023,N928)="P12",INDEX($B$24:$B$1023,N928)="P13"),"C",IF(OR(INDEX($B$24:$B$1023,N928)="P14",INDEX($B$24:$B$1023,N928)="P15",INDEX($B$24:$B$1023,N928)="P16"),"N","O"))&amp;IF(MOD(N928,100)&lt;20,1,IF(MOD(N928,100)&lt;70,2,3))</f>
        <v>C3</v>
      </c>
    </row>
    <row r="929" spans="1:15" ht="16.5" thickBot="1">
      <c r="A929" s="662">
        <v>906</v>
      </c>
      <c r="B929" s="661" t="str" cm="1">
        <f t="array" ref="B929">"P"&amp;INDEX(X!$CL$2:$CL$12,'Scratch Sheet'!H928+1)+9</f>
        <v>P17</v>
      </c>
      <c r="C929" s="661">
        <v>1</v>
      </c>
      <c r="D929" s="755">
        <f t="shared" si="56"/>
        <v>10800</v>
      </c>
      <c r="E929" s="682" t="str">
        <f t="shared" si="57"/>
        <v>O1</v>
      </c>
      <c r="F929" s="683">
        <f t="shared" si="58"/>
        <v>12</v>
      </c>
      <c r="H929" s="13">
        <v>119</v>
      </c>
      <c r="I929" s="13">
        <f>VLOOKUP(VLOOKUP(H929,$A$24:$B$1023,2,FALSE),'Scratch Sheet'!$U$23:$X$32,3,FALSE)</f>
        <v>5</v>
      </c>
      <c r="K929" s="13">
        <f t="shared" si="55"/>
        <v>879</v>
      </c>
      <c r="L929" s="13">
        <f>IFERROR(VLOOKUP(VLOOKUP(K929,$A$24:$B$1023,2,FALSE),'Scratch Sheet'!$U$23:$Y$32,5,FALSE)*VLOOKUP(VLOOKUP(K929,$A$24:$E$1023,5,FALSE),'Scratch Sheet'!$L$22:$M$30,2,FALSE),"")</f>
        <v>1920</v>
      </c>
      <c r="N929" s="675">
        <v>897</v>
      </c>
      <c r="O929" s="675" t="str" cm="1">
        <f t="array" ref="O929">IF(OR(INDEX($B$24:$B$1023,N929)="P10",INDEX($B$24:$B$1023,N929)="P11",INDEX($B$24:$B$1023,N929)="P12",INDEX($B$24:$B$1023,N929)="P13"),"C",IF(OR(INDEX($B$24:$B$1023,N929)="P14",INDEX($B$24:$B$1023,N929)="P15",INDEX($B$24:$B$1023,N929)="P16"),"N","O"))&amp;IF(MOD(N929,100)&lt;20,1,IF(MOD(N929,100)&lt;70,2,3))</f>
        <v>C3</v>
      </c>
    </row>
    <row r="930" spans="1:15" ht="16.5" thickBot="1">
      <c r="A930" s="662">
        <v>907</v>
      </c>
      <c r="B930" s="661" t="str" cm="1">
        <f t="array" ref="B930">"P"&amp;INDEX(X!$CL$2:$CL$12,'Scratch Sheet'!H929+1)+9</f>
        <v>P17</v>
      </c>
      <c r="C930" s="661">
        <v>1</v>
      </c>
      <c r="D930" s="755">
        <f t="shared" si="56"/>
        <v>10800</v>
      </c>
      <c r="E930" s="682" t="str">
        <f t="shared" si="57"/>
        <v>O1</v>
      </c>
      <c r="F930" s="683">
        <f t="shared" si="58"/>
        <v>12</v>
      </c>
      <c r="H930" s="13">
        <v>989</v>
      </c>
      <c r="I930" s="13">
        <f>VLOOKUP(VLOOKUP(H930,$A$24:$B$1023,2,FALSE),'Scratch Sheet'!$U$23:$X$32,3,FALSE)</f>
        <v>11</v>
      </c>
      <c r="K930" s="13">
        <f t="shared" si="55"/>
        <v>881</v>
      </c>
      <c r="L930" s="13">
        <f>IFERROR(VLOOKUP(VLOOKUP(K930,$A$24:$B$1023,2,FALSE),'Scratch Sheet'!$U$23:$Y$32,5,FALSE)*VLOOKUP(VLOOKUP(K930,$A$24:$E$1023,5,FALSE),'Scratch Sheet'!$L$22:$M$30,2,FALSE),"")</f>
        <v>4320</v>
      </c>
      <c r="N930" s="675">
        <v>904</v>
      </c>
      <c r="O930" s="675" t="str" cm="1">
        <f t="array" ref="O930">IF(OR(INDEX($B$24:$B$1023,N930)="P10",INDEX($B$24:$B$1023,N930)="P11",INDEX($B$24:$B$1023,N930)="P12",INDEX($B$24:$B$1023,N930)="P13"),"C",IF(OR(INDEX($B$24:$B$1023,N930)="P14",INDEX($B$24:$B$1023,N930)="P15",INDEX($B$24:$B$1023,N930)="P16"),"N","O"))&amp;IF(MOD(N930,100)&lt;20,1,IF(MOD(N930,100)&lt;70,2,3))</f>
        <v>C1</v>
      </c>
    </row>
    <row r="931" spans="1:15" ht="16.5" thickBot="1">
      <c r="A931" s="662">
        <v>908</v>
      </c>
      <c r="B931" s="661" t="str" cm="1">
        <f t="array" ref="B931">"P"&amp;INDEX(X!$CL$2:$CL$12,'Scratch Sheet'!H930+1)+9</f>
        <v>P13</v>
      </c>
      <c r="C931" s="661">
        <v>1</v>
      </c>
      <c r="D931" s="755">
        <f t="shared" si="56"/>
        <v>5400</v>
      </c>
      <c r="E931" s="682" t="str">
        <f t="shared" si="57"/>
        <v>C1</v>
      </c>
      <c r="F931" s="683">
        <f t="shared" si="58"/>
        <v>5</v>
      </c>
      <c r="H931" s="13">
        <v>929</v>
      </c>
      <c r="I931" s="13">
        <f>VLOOKUP(VLOOKUP(H931,$A$24:$B$1023,2,FALSE),'Scratch Sheet'!$U$23:$X$32,3,FALSE)</f>
        <v>3</v>
      </c>
      <c r="K931" s="13">
        <f t="shared" si="55"/>
        <v>880</v>
      </c>
      <c r="L931" s="13">
        <f>IFERROR(VLOOKUP(VLOOKUP(K931,$A$24:$B$1023,2,FALSE),'Scratch Sheet'!$U$23:$Y$32,5,FALSE)*VLOOKUP(VLOOKUP(K931,$A$24:$E$1023,5,FALSE),'Scratch Sheet'!$L$22:$M$30,2,FALSE),"")</f>
        <v>8800</v>
      </c>
      <c r="N931" s="675">
        <v>909</v>
      </c>
      <c r="O931" s="675" t="str" cm="1">
        <f t="array" ref="O931">IF(OR(INDEX($B$24:$B$1023,N931)="P10",INDEX($B$24:$B$1023,N931)="P11",INDEX($B$24:$B$1023,N931)="P12",INDEX($B$24:$B$1023,N931)="P13"),"C",IF(OR(INDEX($B$24:$B$1023,N931)="P14",INDEX($B$24:$B$1023,N931)="P15",INDEX($B$24:$B$1023,N931)="P16"),"N","O"))&amp;IF(MOD(N931,100)&lt;20,1,IF(MOD(N931,100)&lt;70,2,3))</f>
        <v>C1</v>
      </c>
    </row>
    <row r="932" spans="1:15" ht="16.5" thickBot="1">
      <c r="A932" s="662">
        <v>909</v>
      </c>
      <c r="B932" s="661" t="str" cm="1">
        <f t="array" ref="B932">"P"&amp;INDEX(X!$CL$2:$CL$12,'Scratch Sheet'!H931+1)+9</f>
        <v>P11</v>
      </c>
      <c r="C932" s="661">
        <v>1</v>
      </c>
      <c r="D932" s="755">
        <f t="shared" si="56"/>
        <v>13200</v>
      </c>
      <c r="E932" s="682" t="str">
        <f t="shared" si="57"/>
        <v>C1</v>
      </c>
      <c r="F932" s="683">
        <f t="shared" si="58"/>
        <v>11</v>
      </c>
      <c r="H932" s="13">
        <v>822</v>
      </c>
      <c r="I932" s="13">
        <f>VLOOKUP(VLOOKUP(H932,$A$24:$B$1023,2,FALSE),'Scratch Sheet'!$U$23:$X$32,3,FALSE)</f>
        <v>12</v>
      </c>
      <c r="K932" s="13">
        <f t="shared" si="55"/>
        <v>883</v>
      </c>
      <c r="L932" s="13">
        <f>IFERROR(VLOOKUP(VLOOKUP(K932,$A$24:$B$1023,2,FALSE),'Scratch Sheet'!$U$23:$Y$32,5,FALSE)*VLOOKUP(VLOOKUP(K932,$A$24:$E$1023,5,FALSE),'Scratch Sheet'!$L$22:$M$30,2,FALSE),"")</f>
        <v>1920</v>
      </c>
      <c r="N932" s="675">
        <v>910</v>
      </c>
      <c r="O932" s="675" t="str" cm="1">
        <f t="array" ref="O932">IF(OR(INDEX($B$24:$B$1023,N932)="P10",INDEX($B$24:$B$1023,N932)="P11",INDEX($B$24:$B$1023,N932)="P12",INDEX($B$24:$B$1023,N932)="P13"),"C",IF(OR(INDEX($B$24:$B$1023,N932)="P14",INDEX($B$24:$B$1023,N932)="P15",INDEX($B$24:$B$1023,N932)="P16"),"N","O"))&amp;IF(MOD(N932,100)&lt;20,1,IF(MOD(N932,100)&lt;70,2,3))</f>
        <v>C1</v>
      </c>
    </row>
    <row r="933" spans="1:15" ht="16.5" thickBot="1">
      <c r="A933" s="662">
        <v>910</v>
      </c>
      <c r="B933" s="661" t="str" cm="1">
        <f t="array" ref="B933">"P"&amp;INDEX(X!$CL$2:$CL$12,'Scratch Sheet'!H932+1)+9</f>
        <v>P11</v>
      </c>
      <c r="C933" s="661">
        <v>1</v>
      </c>
      <c r="D933" s="755">
        <f t="shared" si="56"/>
        <v>13200</v>
      </c>
      <c r="E933" s="682" t="str">
        <f t="shared" si="57"/>
        <v>C1</v>
      </c>
      <c r="F933" s="683">
        <f t="shared" si="58"/>
        <v>11</v>
      </c>
      <c r="H933" s="13">
        <v>355</v>
      </c>
      <c r="I933" s="13">
        <f>VLOOKUP(VLOOKUP(H933,$A$24:$B$1023,2,FALSE),'Scratch Sheet'!$U$23:$X$32,3,FALSE)</f>
        <v>8</v>
      </c>
      <c r="K933" s="13">
        <f t="shared" si="55"/>
        <v>889</v>
      </c>
      <c r="L933" s="13">
        <f>IFERROR(VLOOKUP(VLOOKUP(K933,$A$24:$B$1023,2,FALSE),'Scratch Sheet'!$U$23:$Y$32,5,FALSE)*VLOOKUP(VLOOKUP(K933,$A$24:$E$1023,5,FALSE),'Scratch Sheet'!$L$22:$M$30,2,FALSE),"")</f>
        <v>9600</v>
      </c>
      <c r="N933" s="675">
        <v>914</v>
      </c>
      <c r="O933" s="675" t="str" cm="1">
        <f t="array" ref="O933">IF(OR(INDEX($B$24:$B$1023,N933)="P10",INDEX($B$24:$B$1023,N933)="P11",INDEX($B$24:$B$1023,N933)="P12",INDEX($B$24:$B$1023,N933)="P13"),"C",IF(OR(INDEX($B$24:$B$1023,N933)="P14",INDEX($B$24:$B$1023,N933)="P15",INDEX($B$24:$B$1023,N933)="P16"),"N","O"))&amp;IF(MOD(N933,100)&lt;20,1,IF(MOD(N933,100)&lt;70,2,3))</f>
        <v>C1</v>
      </c>
    </row>
    <row r="934" spans="1:15" ht="16.5" thickBot="1">
      <c r="A934" s="662">
        <v>911</v>
      </c>
      <c r="B934" s="661" t="str" cm="1">
        <f t="array" ref="B934">"P"&amp;INDEX(X!$CL$2:$CL$12,'Scratch Sheet'!H933+1)+9</f>
        <v>P12</v>
      </c>
      <c r="C934" s="661">
        <v>1</v>
      </c>
      <c r="D934" s="755">
        <f t="shared" si="56"/>
        <v>8190</v>
      </c>
      <c r="E934" s="682" t="str">
        <f t="shared" si="57"/>
        <v>C1</v>
      </c>
      <c r="F934" s="683">
        <f t="shared" si="58"/>
        <v>6.5</v>
      </c>
      <c r="H934" s="13">
        <v>734</v>
      </c>
      <c r="I934" s="13">
        <f>VLOOKUP(VLOOKUP(H934,$A$24:$B$1023,2,FALSE),'Scratch Sheet'!$U$23:$X$32,3,FALSE)</f>
        <v>11</v>
      </c>
      <c r="K934" s="13">
        <f t="shared" si="55"/>
        <v>891</v>
      </c>
      <c r="L934" s="13">
        <f>IFERROR(VLOOKUP(VLOOKUP(K934,$A$24:$B$1023,2,FALSE),'Scratch Sheet'!$U$23:$Y$32,5,FALSE)*VLOOKUP(VLOOKUP(K934,$A$24:$E$1023,5,FALSE),'Scratch Sheet'!$L$22:$M$30,2,FALSE),"")</f>
        <v>3600</v>
      </c>
      <c r="N934" s="675">
        <v>921</v>
      </c>
      <c r="O934" s="675" t="str" cm="1">
        <f t="array" ref="O934">IF(OR(INDEX($B$24:$B$1023,N934)="P10",INDEX($B$24:$B$1023,N934)="P11",INDEX($B$24:$B$1023,N934)="P12",INDEX($B$24:$B$1023,N934)="P13"),"C",IF(OR(INDEX($B$24:$B$1023,N934)="P14",INDEX($B$24:$B$1023,N934)="P15",INDEX($B$24:$B$1023,N934)="P16"),"N","O"))&amp;IF(MOD(N934,100)&lt;20,1,IF(MOD(N934,100)&lt;70,2,3))</f>
        <v>C2</v>
      </c>
    </row>
    <row r="935" spans="1:15" ht="16.5" thickBot="1">
      <c r="A935" s="662">
        <v>912</v>
      </c>
      <c r="B935" s="661" t="str" cm="1">
        <f t="array" ref="B935">"P"&amp;INDEX(X!$CL$2:$CL$12,'Scratch Sheet'!H934+1)+9</f>
        <v>P10</v>
      </c>
      <c r="C935" s="661">
        <v>1</v>
      </c>
      <c r="D935" s="755">
        <f t="shared" si="56"/>
        <v>2880</v>
      </c>
      <c r="E935" s="682" t="str">
        <f t="shared" si="57"/>
        <v>C1</v>
      </c>
      <c r="F935" s="683">
        <f t="shared" si="58"/>
        <v>3</v>
      </c>
      <c r="H935" s="13">
        <v>752</v>
      </c>
      <c r="I935" s="13">
        <f>VLOOKUP(VLOOKUP(H935,$A$24:$B$1023,2,FALSE),'Scratch Sheet'!$U$23:$X$32,3,FALSE)</f>
        <v>4</v>
      </c>
      <c r="K935" s="13">
        <f t="shared" si="55"/>
        <v>890</v>
      </c>
      <c r="L935" s="13">
        <f>IFERROR(VLOOKUP(VLOOKUP(K935,$A$24:$B$1023,2,FALSE),'Scratch Sheet'!$U$23:$Y$32,5,FALSE)*VLOOKUP(VLOOKUP(K935,$A$24:$E$1023,5,FALSE),'Scratch Sheet'!$L$22:$M$30,2,FALSE),"")</f>
        <v>9600</v>
      </c>
      <c r="N935" s="675">
        <v>926</v>
      </c>
      <c r="O935" s="675" t="str" cm="1">
        <f t="array" ref="O935">IF(OR(INDEX($B$24:$B$1023,N935)="P10",INDEX($B$24:$B$1023,N935)="P11",INDEX($B$24:$B$1023,N935)="P12",INDEX($B$24:$B$1023,N935)="P13"),"C",IF(OR(INDEX($B$24:$B$1023,N935)="P14",INDEX($B$24:$B$1023,N935)="P15",INDEX($B$24:$B$1023,N935)="P16"),"N","O"))&amp;IF(MOD(N935,100)&lt;20,1,IF(MOD(N935,100)&lt;70,2,3))</f>
        <v>C2</v>
      </c>
    </row>
    <row r="936" spans="1:15" ht="16.5" thickBot="1">
      <c r="A936" s="662">
        <v>913</v>
      </c>
      <c r="B936" s="661" t="str" cm="1">
        <f t="array" ref="B936">"P"&amp;INDEX(X!$CL$2:$CL$12,'Scratch Sheet'!H935+1)+9</f>
        <v>P10</v>
      </c>
      <c r="C936" s="661">
        <v>1</v>
      </c>
      <c r="D936" s="755">
        <f t="shared" si="56"/>
        <v>2880</v>
      </c>
      <c r="E936" s="682" t="str">
        <f t="shared" si="57"/>
        <v>C1</v>
      </c>
      <c r="F936" s="683">
        <f t="shared" si="58"/>
        <v>3</v>
      </c>
      <c r="H936" s="13">
        <v>65</v>
      </c>
      <c r="I936" s="13">
        <f>VLOOKUP(VLOOKUP(H936,$A$24:$B$1023,2,FALSE),'Scratch Sheet'!$U$23:$X$32,3,FALSE)</f>
        <v>6.5</v>
      </c>
      <c r="K936" s="13">
        <f t="shared" si="55"/>
        <v>886</v>
      </c>
      <c r="L936" s="13">
        <f>IFERROR(VLOOKUP(VLOOKUP(K936,$A$24:$B$1023,2,FALSE),'Scratch Sheet'!$U$23:$Y$32,5,FALSE)*VLOOKUP(VLOOKUP(K936,$A$24:$E$1023,5,FALSE),'Scratch Sheet'!$L$22:$M$30,2,FALSE),"")</f>
        <v>1920</v>
      </c>
      <c r="N936" s="675">
        <v>927</v>
      </c>
      <c r="O936" s="675" t="str" cm="1">
        <f t="array" ref="O936">IF(OR(INDEX($B$24:$B$1023,N936)="P10",INDEX($B$24:$B$1023,N936)="P11",INDEX($B$24:$B$1023,N936)="P12",INDEX($B$24:$B$1023,N936)="P13"),"C",IF(OR(INDEX($B$24:$B$1023,N936)="P14",INDEX($B$24:$B$1023,N936)="P15",INDEX($B$24:$B$1023,N936)="P16"),"N","O"))&amp;IF(MOD(N936,100)&lt;20,1,IF(MOD(N936,100)&lt;70,2,3))</f>
        <v>C2</v>
      </c>
    </row>
    <row r="937" spans="1:15" ht="16.5" thickBot="1">
      <c r="A937" s="662">
        <v>914</v>
      </c>
      <c r="B937" s="661" t="str" cm="1">
        <f t="array" ref="B937">"P"&amp;INDEX(X!$CL$2:$CL$12,'Scratch Sheet'!H936+1)+9</f>
        <v>P11</v>
      </c>
      <c r="C937" s="661">
        <v>1</v>
      </c>
      <c r="D937" s="755">
        <f t="shared" si="56"/>
        <v>13200</v>
      </c>
      <c r="E937" s="682" t="str">
        <f t="shared" si="57"/>
        <v>C1</v>
      </c>
      <c r="F937" s="683">
        <f t="shared" si="58"/>
        <v>11</v>
      </c>
      <c r="H937" s="13">
        <v>101</v>
      </c>
      <c r="I937" s="13">
        <f>VLOOKUP(VLOOKUP(H937,$A$24:$B$1023,2,FALSE),'Scratch Sheet'!$U$23:$X$32,3,FALSE)</f>
        <v>3</v>
      </c>
      <c r="K937" s="13">
        <f t="shared" si="55"/>
        <v>888</v>
      </c>
      <c r="L937" s="13">
        <f>IFERROR(VLOOKUP(VLOOKUP(K937,$A$24:$B$1023,2,FALSE),'Scratch Sheet'!$U$23:$Y$32,5,FALSE)*VLOOKUP(VLOOKUP(K937,$A$24:$E$1023,5,FALSE),'Scratch Sheet'!$L$22:$M$30,2,FALSE),"")</f>
        <v>5200</v>
      </c>
      <c r="N937" s="675">
        <v>931</v>
      </c>
      <c r="O937" s="675" t="str" cm="1">
        <f t="array" ref="O937">IF(OR(INDEX($B$24:$B$1023,N937)="P10",INDEX($B$24:$B$1023,N937)="P11",INDEX($B$24:$B$1023,N937)="P12",INDEX($B$24:$B$1023,N937)="P13"),"C",IF(OR(INDEX($B$24:$B$1023,N937)="P14",INDEX($B$24:$B$1023,N937)="P15",INDEX($B$24:$B$1023,N937)="P16"),"N","O"))&amp;IF(MOD(N937,100)&lt;20,1,IF(MOD(N937,100)&lt;70,2,3))</f>
        <v>C2</v>
      </c>
    </row>
    <row r="938" spans="1:15" ht="16.5" thickBot="1">
      <c r="A938" s="662">
        <v>915</v>
      </c>
      <c r="B938" s="661" t="str" cm="1">
        <f t="array" ref="B938">"P"&amp;INDEX(X!$CL$2:$CL$12,'Scratch Sheet'!H937+1)+9</f>
        <v>P18</v>
      </c>
      <c r="C938" s="661">
        <v>1</v>
      </c>
      <c r="D938" s="755">
        <f t="shared" si="56"/>
        <v>4860</v>
      </c>
      <c r="E938" s="682" t="str">
        <f t="shared" si="57"/>
        <v>O1</v>
      </c>
      <c r="F938" s="683">
        <f t="shared" si="58"/>
        <v>6</v>
      </c>
      <c r="H938" s="13">
        <v>666</v>
      </c>
      <c r="I938" s="13">
        <f>VLOOKUP(VLOOKUP(H938,$A$24:$B$1023,2,FALSE),'Scratch Sheet'!$U$23:$X$32,3,FALSE)</f>
        <v>11</v>
      </c>
      <c r="K938" s="13">
        <f t="shared" si="55"/>
        <v>887</v>
      </c>
      <c r="L938" s="13">
        <f>IFERROR(VLOOKUP(VLOOKUP(K938,$A$24:$B$1023,2,FALSE),'Scratch Sheet'!$U$23:$Y$32,5,FALSE)*VLOOKUP(VLOOKUP(K938,$A$24:$E$1023,5,FALSE),'Scratch Sheet'!$L$22:$M$30,2,FALSE),"")</f>
        <v>8800</v>
      </c>
      <c r="N938" s="675">
        <v>938</v>
      </c>
      <c r="O938" s="675" t="str" cm="1">
        <f t="array" ref="O938">IF(OR(INDEX($B$24:$B$1023,N938)="P10",INDEX($B$24:$B$1023,N938)="P11",INDEX($B$24:$B$1023,N938)="P12",INDEX($B$24:$B$1023,N938)="P13"),"C",IF(OR(INDEX($B$24:$B$1023,N938)="P14",INDEX($B$24:$B$1023,N938)="P15",INDEX($B$24:$B$1023,N938)="P16"),"N","O"))&amp;IF(MOD(N938,100)&lt;20,1,IF(MOD(N938,100)&lt;70,2,3))</f>
        <v>C2</v>
      </c>
    </row>
    <row r="939" spans="1:15" ht="16.5" thickBot="1">
      <c r="A939" s="662">
        <v>916</v>
      </c>
      <c r="B939" s="661" t="str" cm="1">
        <f t="array" ref="B939">"P"&amp;INDEX(X!$CL$2:$CL$12,'Scratch Sheet'!H938+1)+9</f>
        <v>P14</v>
      </c>
      <c r="C939" s="661">
        <v>1</v>
      </c>
      <c r="D939" s="755">
        <f t="shared" si="56"/>
        <v>10080</v>
      </c>
      <c r="E939" s="682" t="str">
        <f t="shared" si="57"/>
        <v>N1</v>
      </c>
      <c r="F939" s="683">
        <f t="shared" si="58"/>
        <v>8</v>
      </c>
      <c r="H939" s="13">
        <v>827</v>
      </c>
      <c r="I939" s="13">
        <f>VLOOKUP(VLOOKUP(H939,$A$24:$B$1023,2,FALSE),'Scratch Sheet'!$U$23:$X$32,3,FALSE)</f>
        <v>3</v>
      </c>
      <c r="K939" s="13">
        <f t="shared" si="55"/>
        <v>894</v>
      </c>
      <c r="L939" s="13">
        <f>IFERROR(VLOOKUP(VLOOKUP(K939,$A$24:$B$1023,2,FALSE),'Scratch Sheet'!$U$23:$Y$32,5,FALSE)*VLOOKUP(VLOOKUP(K939,$A$24:$E$1023,5,FALSE),'Scratch Sheet'!$L$22:$M$30,2,FALSE),"")</f>
        <v>5460</v>
      </c>
      <c r="N939" s="675">
        <v>943</v>
      </c>
      <c r="O939" s="675" t="str" cm="1">
        <f t="array" ref="O939">IF(OR(INDEX($B$24:$B$1023,N939)="P10",INDEX($B$24:$B$1023,N939)="P11",INDEX($B$24:$B$1023,N939)="P12",INDEX($B$24:$B$1023,N939)="P13"),"C",IF(OR(INDEX($B$24:$B$1023,N939)="P14",INDEX($B$24:$B$1023,N939)="P15",INDEX($B$24:$B$1023,N939)="P16"),"N","O"))&amp;IF(MOD(N939,100)&lt;20,1,IF(MOD(N939,100)&lt;70,2,3))</f>
        <v>C2</v>
      </c>
    </row>
    <row r="940" spans="1:15" ht="16.5" thickBot="1">
      <c r="A940" s="662">
        <v>917</v>
      </c>
      <c r="B940" s="661" t="str" cm="1">
        <f t="array" ref="B940">"P"&amp;INDEX(X!$CL$2:$CL$12,'Scratch Sheet'!H939+1)+9</f>
        <v>P10</v>
      </c>
      <c r="C940" s="661">
        <v>1</v>
      </c>
      <c r="D940" s="755">
        <f t="shared" si="56"/>
        <v>2880</v>
      </c>
      <c r="E940" s="682" t="str">
        <f t="shared" si="57"/>
        <v>C1</v>
      </c>
      <c r="F940" s="683">
        <f t="shared" si="58"/>
        <v>3</v>
      </c>
      <c r="H940" s="13">
        <v>425</v>
      </c>
      <c r="I940" s="13">
        <f>VLOOKUP(VLOOKUP(H940,$A$24:$B$1023,2,FALSE),'Scratch Sheet'!$U$23:$X$32,3,FALSE)</f>
        <v>5</v>
      </c>
      <c r="K940" s="13">
        <f t="shared" si="55"/>
        <v>896</v>
      </c>
      <c r="L940" s="13">
        <f>IFERROR(VLOOKUP(VLOOKUP(K940,$A$24:$B$1023,2,FALSE),'Scratch Sheet'!$U$23:$Y$32,5,FALSE)*VLOOKUP(VLOOKUP(K940,$A$24:$E$1023,5,FALSE),'Scratch Sheet'!$L$22:$M$30,2,FALSE),"")</f>
        <v>1920</v>
      </c>
      <c r="N940" s="675">
        <v>944</v>
      </c>
      <c r="O940" s="675" t="str" cm="1">
        <f t="array" ref="O940">IF(OR(INDEX($B$24:$B$1023,N940)="P10",INDEX($B$24:$B$1023,N940)="P11",INDEX($B$24:$B$1023,N940)="P12",INDEX($B$24:$B$1023,N940)="P13"),"C",IF(OR(INDEX($B$24:$B$1023,N940)="P14",INDEX($B$24:$B$1023,N940)="P15",INDEX($B$24:$B$1023,N940)="P16"),"N","O"))&amp;IF(MOD(N940,100)&lt;20,1,IF(MOD(N940,100)&lt;70,2,3))</f>
        <v>C2</v>
      </c>
    </row>
    <row r="941" spans="1:15" ht="16.5" thickBot="1">
      <c r="A941" s="662">
        <v>918</v>
      </c>
      <c r="B941" s="661" t="str" cm="1">
        <f t="array" ref="B941">"P"&amp;INDEX(X!$CL$2:$CL$12,'Scratch Sheet'!H940+1)+9</f>
        <v>P13</v>
      </c>
      <c r="C941" s="661">
        <v>1</v>
      </c>
      <c r="D941" s="755">
        <f t="shared" si="56"/>
        <v>5400</v>
      </c>
      <c r="E941" s="682" t="str">
        <f t="shared" si="57"/>
        <v>C1</v>
      </c>
      <c r="F941" s="683">
        <f t="shared" si="58"/>
        <v>5</v>
      </c>
      <c r="H941" s="13">
        <v>243</v>
      </c>
      <c r="I941" s="13">
        <f>VLOOKUP(VLOOKUP(H941,$A$24:$B$1023,2,FALSE),'Scratch Sheet'!$U$23:$X$32,3,FALSE)</f>
        <v>12</v>
      </c>
      <c r="K941" s="13">
        <f t="shared" si="55"/>
        <v>895</v>
      </c>
      <c r="L941" s="13">
        <f>IFERROR(VLOOKUP(VLOOKUP(K941,$A$24:$B$1023,2,FALSE),'Scratch Sheet'!$U$23:$Y$32,5,FALSE)*VLOOKUP(VLOOKUP(K941,$A$24:$E$1023,5,FALSE),'Scratch Sheet'!$L$22:$M$30,2,FALSE),"")</f>
        <v>1920</v>
      </c>
      <c r="N941" s="675">
        <v>948</v>
      </c>
      <c r="O941" s="675" t="str" cm="1">
        <f t="array" ref="O941">IF(OR(INDEX($B$24:$B$1023,N941)="P10",INDEX($B$24:$B$1023,N941)="P11",INDEX($B$24:$B$1023,N941)="P12",INDEX($B$24:$B$1023,N941)="P13"),"C",IF(OR(INDEX($B$24:$B$1023,N941)="P14",INDEX($B$24:$B$1023,N941)="P15",INDEX($B$24:$B$1023,N941)="P16"),"N","O"))&amp;IF(MOD(N941,100)&lt;20,1,IF(MOD(N941,100)&lt;70,2,3))</f>
        <v>C2</v>
      </c>
    </row>
    <row r="942" spans="1:15" ht="16.5" thickBot="1">
      <c r="A942" s="662">
        <v>919</v>
      </c>
      <c r="B942" s="661" t="str" cm="1">
        <f t="array" ref="B942">"P"&amp;INDEX(X!$CL$2:$CL$12,'Scratch Sheet'!H941+1)+9</f>
        <v>P13</v>
      </c>
      <c r="C942" s="661">
        <v>1</v>
      </c>
      <c r="D942" s="755">
        <f t="shared" si="56"/>
        <v>5400</v>
      </c>
      <c r="E942" s="682" t="str">
        <f t="shared" si="57"/>
        <v>C1</v>
      </c>
      <c r="F942" s="683">
        <f t="shared" si="58"/>
        <v>5</v>
      </c>
      <c r="H942" s="13">
        <v>374</v>
      </c>
      <c r="I942" s="13">
        <f>VLOOKUP(VLOOKUP(H942,$A$24:$B$1023,2,FALSE),'Scratch Sheet'!$U$23:$X$32,3,FALSE)</f>
        <v>5</v>
      </c>
      <c r="K942" s="13">
        <f t="shared" si="55"/>
        <v>892</v>
      </c>
      <c r="L942" s="13">
        <f>IFERROR(VLOOKUP(VLOOKUP(K942,$A$24:$B$1023,2,FALSE),'Scratch Sheet'!$U$23:$Y$32,5,FALSE)*VLOOKUP(VLOOKUP(K942,$A$24:$E$1023,5,FALSE),'Scratch Sheet'!$L$22:$M$30,2,FALSE),"")</f>
        <v>8800</v>
      </c>
      <c r="N942" s="675">
        <v>955</v>
      </c>
      <c r="O942" s="675" t="str" cm="1">
        <f t="array" ref="O942">IF(OR(INDEX($B$24:$B$1023,N942)="P10",INDEX($B$24:$B$1023,N942)="P11",INDEX($B$24:$B$1023,N942)="P12",INDEX($B$24:$B$1023,N942)="P13"),"C",IF(OR(INDEX($B$24:$B$1023,N942)="P14",INDEX($B$24:$B$1023,N942)="P15",INDEX($B$24:$B$1023,N942)="P16"),"N","O"))&amp;IF(MOD(N942,100)&lt;20,1,IF(MOD(N942,100)&lt;70,2,3))</f>
        <v>C2</v>
      </c>
    </row>
    <row r="943" spans="1:15" ht="16.5" thickBot="1">
      <c r="A943" s="662">
        <v>920</v>
      </c>
      <c r="B943" s="661" t="str" cm="1">
        <f t="array" ref="B943">"P"&amp;INDEX(X!$CL$2:$CL$12,'Scratch Sheet'!H942+1)+9</f>
        <v>P10</v>
      </c>
      <c r="C943" s="661">
        <v>1</v>
      </c>
      <c r="D943" s="755">
        <f t="shared" si="56"/>
        <v>2400</v>
      </c>
      <c r="E943" s="682" t="str">
        <f t="shared" si="57"/>
        <v>C2</v>
      </c>
      <c r="F943" s="683">
        <f t="shared" si="58"/>
        <v>3</v>
      </c>
      <c r="H943" s="13">
        <v>891</v>
      </c>
      <c r="I943" s="13">
        <f>VLOOKUP(VLOOKUP(H943,$A$24:$B$1023,2,FALSE),'Scratch Sheet'!$U$23:$X$32,3,FALSE)</f>
        <v>5</v>
      </c>
      <c r="K943" s="13">
        <f t="shared" si="55"/>
        <v>893</v>
      </c>
      <c r="L943" s="13">
        <f>IFERROR(VLOOKUP(VLOOKUP(K943,$A$24:$B$1023,2,FALSE),'Scratch Sheet'!$U$23:$Y$32,5,FALSE)*VLOOKUP(VLOOKUP(K943,$A$24:$E$1023,5,FALSE),'Scratch Sheet'!$L$22:$M$30,2,FALSE),"")</f>
        <v>8800</v>
      </c>
      <c r="N943" s="675">
        <v>960</v>
      </c>
      <c r="O943" s="675" t="str" cm="1">
        <f t="array" ref="O943">IF(OR(INDEX($B$24:$B$1023,N943)="P10",INDEX($B$24:$B$1023,N943)="P11",INDEX($B$24:$B$1023,N943)="P12",INDEX($B$24:$B$1023,N943)="P13"),"C",IF(OR(INDEX($B$24:$B$1023,N943)="P14",INDEX($B$24:$B$1023,N943)="P15",INDEX($B$24:$B$1023,N943)="P16"),"N","O"))&amp;IF(MOD(N943,100)&lt;20,1,IF(MOD(N943,100)&lt;70,2,3))</f>
        <v>C2</v>
      </c>
    </row>
    <row r="944" spans="1:15" ht="16.5" thickBot="1">
      <c r="A944" s="662">
        <v>921</v>
      </c>
      <c r="B944" s="661" t="str" cm="1">
        <f t="array" ref="B944">"P"&amp;INDEX(X!$CL$2:$CL$12,'Scratch Sheet'!H943+1)+9</f>
        <v>P11</v>
      </c>
      <c r="C944" s="661">
        <v>1</v>
      </c>
      <c r="D944" s="755">
        <f t="shared" si="56"/>
        <v>11000</v>
      </c>
      <c r="E944" s="682" t="str">
        <f t="shared" si="57"/>
        <v>C2</v>
      </c>
      <c r="F944" s="683">
        <f t="shared" si="58"/>
        <v>11</v>
      </c>
      <c r="H944" s="13">
        <v>685</v>
      </c>
      <c r="I944" s="13">
        <f>VLOOKUP(VLOOKUP(H944,$A$24:$B$1023,2,FALSE),'Scratch Sheet'!$U$23:$X$32,3,FALSE)</f>
        <v>12</v>
      </c>
      <c r="K944" s="13">
        <f t="shared" si="55"/>
        <v>898</v>
      </c>
      <c r="L944" s="13">
        <f>IFERROR(VLOOKUP(VLOOKUP(K944,$A$24:$B$1023,2,FALSE),'Scratch Sheet'!$U$23:$Y$32,5,FALSE)*VLOOKUP(VLOOKUP(K944,$A$24:$E$1023,5,FALSE),'Scratch Sheet'!$L$22:$M$30,2,FALSE),"")</f>
        <v>4320</v>
      </c>
      <c r="N944" s="675">
        <v>961</v>
      </c>
      <c r="O944" s="675" t="str" cm="1">
        <f t="array" ref="O944">IF(OR(INDEX($B$24:$B$1023,N944)="P10",INDEX($B$24:$B$1023,N944)="P11",INDEX($B$24:$B$1023,N944)="P12",INDEX($B$24:$B$1023,N944)="P13"),"C",IF(OR(INDEX($B$24:$B$1023,N944)="P14",INDEX($B$24:$B$1023,N944)="P15",INDEX($B$24:$B$1023,N944)="P16"),"N","O"))&amp;IF(MOD(N944,100)&lt;20,1,IF(MOD(N944,100)&lt;70,2,3))</f>
        <v>C2</v>
      </c>
    </row>
    <row r="945" spans="1:15" ht="16.5" thickBot="1">
      <c r="A945" s="662">
        <v>922</v>
      </c>
      <c r="B945" s="661" t="str" cm="1">
        <f t="array" ref="B945">"P"&amp;INDEX(X!$CL$2:$CL$12,'Scratch Sheet'!H944+1)+9</f>
        <v>P16</v>
      </c>
      <c r="C945" s="661">
        <v>1</v>
      </c>
      <c r="D945" s="755">
        <f t="shared" si="56"/>
        <v>4680</v>
      </c>
      <c r="E945" s="682" t="str">
        <f t="shared" si="57"/>
        <v>N2</v>
      </c>
      <c r="F945" s="683">
        <f t="shared" si="58"/>
        <v>4</v>
      </c>
      <c r="H945" s="13">
        <v>17</v>
      </c>
      <c r="I945" s="13">
        <f>VLOOKUP(VLOOKUP(H945,$A$24:$B$1023,2,FALSE),'Scratch Sheet'!$U$23:$X$32,3,FALSE)</f>
        <v>3</v>
      </c>
      <c r="K945" s="13">
        <f t="shared" si="55"/>
        <v>900</v>
      </c>
      <c r="L945" s="13">
        <f>IFERROR(VLOOKUP(VLOOKUP(K945,$A$24:$B$1023,2,FALSE),'Scratch Sheet'!$U$23:$Y$32,5,FALSE)*VLOOKUP(VLOOKUP(K945,$A$24:$E$1023,5,FALSE),'Scratch Sheet'!$L$22:$M$30,2,FALSE),"")</f>
        <v>2880</v>
      </c>
      <c r="N945" s="675">
        <v>965</v>
      </c>
      <c r="O945" s="675" t="str" cm="1">
        <f t="array" ref="O945">IF(OR(INDEX($B$24:$B$1023,N945)="P10",INDEX($B$24:$B$1023,N945)="P11",INDEX($B$24:$B$1023,N945)="P12",INDEX($B$24:$B$1023,N945)="P13"),"C",IF(OR(INDEX($B$24:$B$1023,N945)="P14",INDEX($B$24:$B$1023,N945)="P15",INDEX($B$24:$B$1023,N945)="P16"),"N","O"))&amp;IF(MOD(N945,100)&lt;20,1,IF(MOD(N945,100)&lt;70,2,3))</f>
        <v>C2</v>
      </c>
    </row>
    <row r="946" spans="1:15" ht="16.5" thickBot="1">
      <c r="A946" s="662">
        <v>923</v>
      </c>
      <c r="B946" s="661" t="str" cm="1">
        <f t="array" ref="B946">"P"&amp;INDEX(X!$CL$2:$CL$12,'Scratch Sheet'!H945+1)+9</f>
        <v>P17</v>
      </c>
      <c r="C946" s="661">
        <v>1</v>
      </c>
      <c r="D946" s="755">
        <f t="shared" si="56"/>
        <v>13200.000000000002</v>
      </c>
      <c r="E946" s="682" t="str">
        <f t="shared" si="57"/>
        <v>O2</v>
      </c>
      <c r="F946" s="683">
        <f t="shared" si="58"/>
        <v>12</v>
      </c>
      <c r="H946" s="13">
        <v>424</v>
      </c>
      <c r="I946" s="13">
        <f>VLOOKUP(VLOOKUP(H946,$A$24:$B$1023,2,FALSE),'Scratch Sheet'!$U$23:$X$32,3,FALSE)</f>
        <v>3</v>
      </c>
      <c r="K946" s="13">
        <f t="shared" si="55"/>
        <v>899</v>
      </c>
      <c r="L946" s="13">
        <f>IFERROR(VLOOKUP(VLOOKUP(K946,$A$24:$B$1023,2,FALSE),'Scratch Sheet'!$U$23:$Y$32,5,FALSE)*VLOOKUP(VLOOKUP(K946,$A$24:$E$1023,5,FALSE),'Scratch Sheet'!$L$22:$M$30,2,FALSE),"")</f>
        <v>7200</v>
      </c>
      <c r="N946" s="675">
        <v>972</v>
      </c>
      <c r="O946" s="675" t="str" cm="1">
        <f t="array" ref="O946">IF(OR(INDEX($B$24:$B$1023,N946)="P10",INDEX($B$24:$B$1023,N946)="P11",INDEX($B$24:$B$1023,N946)="P12",INDEX($B$24:$B$1023,N946)="P13"),"C",IF(OR(INDEX($B$24:$B$1023,N946)="P14",INDEX($B$24:$B$1023,N946)="P15",INDEX($B$24:$B$1023,N946)="P16"),"N","O"))&amp;IF(MOD(N946,100)&lt;20,1,IF(MOD(N946,100)&lt;70,2,3))</f>
        <v>C3</v>
      </c>
    </row>
    <row r="947" spans="1:15" ht="16.5" thickBot="1">
      <c r="A947" s="662">
        <v>924</v>
      </c>
      <c r="B947" s="661" t="str" cm="1">
        <f t="array" ref="B947">"P"&amp;INDEX(X!$CL$2:$CL$12,'Scratch Sheet'!H946+1)+9</f>
        <v>P17</v>
      </c>
      <c r="C947" s="661">
        <v>1</v>
      </c>
      <c r="D947" s="755">
        <f t="shared" si="56"/>
        <v>13200.000000000002</v>
      </c>
      <c r="E947" s="682" t="str">
        <f t="shared" si="57"/>
        <v>O2</v>
      </c>
      <c r="F947" s="683">
        <f t="shared" si="58"/>
        <v>12</v>
      </c>
      <c r="H947" s="13">
        <v>117</v>
      </c>
      <c r="I947" s="13">
        <f>VLOOKUP(VLOOKUP(H947,$A$24:$B$1023,2,FALSE),'Scratch Sheet'!$U$23:$X$32,3,FALSE)</f>
        <v>8</v>
      </c>
      <c r="K947" s="13">
        <f t="shared" si="55"/>
        <v>897</v>
      </c>
      <c r="L947" s="13">
        <f>IFERROR(VLOOKUP(VLOOKUP(K947,$A$24:$B$1023,2,FALSE),'Scratch Sheet'!$U$23:$Y$32,5,FALSE)*VLOOKUP(VLOOKUP(K947,$A$24:$E$1023,5,FALSE),'Scratch Sheet'!$L$22:$M$30,2,FALSE),"")</f>
        <v>8800</v>
      </c>
      <c r="N947" s="675">
        <v>977</v>
      </c>
      <c r="O947" s="675" t="str" cm="1">
        <f t="array" ref="O947">IF(OR(INDEX($B$24:$B$1023,N947)="P10",INDEX($B$24:$B$1023,N947)="P11",INDEX($B$24:$B$1023,N947)="P12",INDEX($B$24:$B$1023,N947)="P13"),"C",IF(OR(INDEX($B$24:$B$1023,N947)="P14",INDEX($B$24:$B$1023,N947)="P15",INDEX($B$24:$B$1023,N947)="P16"),"N","O"))&amp;IF(MOD(N947,100)&lt;20,1,IF(MOD(N947,100)&lt;70,2,3))</f>
        <v>C3</v>
      </c>
    </row>
    <row r="948" spans="1:15" ht="16.5" thickBot="1">
      <c r="A948" s="662">
        <v>925</v>
      </c>
      <c r="B948" s="661" t="str" cm="1">
        <f t="array" ref="B948">"P"&amp;INDEX(X!$CL$2:$CL$12,'Scratch Sheet'!H947+1)+9</f>
        <v>P13</v>
      </c>
      <c r="C948" s="661">
        <v>1</v>
      </c>
      <c r="D948" s="755">
        <f t="shared" si="56"/>
        <v>4500</v>
      </c>
      <c r="E948" s="682" t="str">
        <f t="shared" si="57"/>
        <v>C2</v>
      </c>
      <c r="F948" s="683">
        <f t="shared" si="58"/>
        <v>5</v>
      </c>
      <c r="H948" s="13">
        <v>481</v>
      </c>
      <c r="I948" s="13">
        <f>VLOOKUP(VLOOKUP(H948,$A$24:$B$1023,2,FALSE),'Scratch Sheet'!$U$23:$X$32,3,FALSE)</f>
        <v>12</v>
      </c>
      <c r="K948" s="13">
        <f t="shared" si="55"/>
        <v>838</v>
      </c>
      <c r="L948" s="13">
        <f>IFERROR(VLOOKUP(VLOOKUP(K948,$A$24:$B$1023,2,FALSE),'Scratch Sheet'!$U$23:$Y$32,5,FALSE)*VLOOKUP(VLOOKUP(K948,$A$24:$E$1023,5,FALSE),'Scratch Sheet'!$L$22:$M$30,2,FALSE),"")</f>
        <v>13200.000000000002</v>
      </c>
      <c r="N948" s="675">
        <v>469</v>
      </c>
      <c r="O948" s="675" t="str" cm="1">
        <f t="array" ref="O948">IF(OR(INDEX($B$24:$B$1023,N948)="P10",INDEX($B$24:$B$1023,N948)="P11",INDEX($B$24:$B$1023,N948)="P12",INDEX($B$24:$B$1023,N948)="P13"),"C",IF(OR(INDEX($B$24:$B$1023,N948)="P14",INDEX($B$24:$B$1023,N948)="P15",INDEX($B$24:$B$1023,N948)="P16"),"N","O"))&amp;IF(MOD(N948,100)&lt;20,1,IF(MOD(N948,100)&lt;70,2,3))</f>
        <v>C2</v>
      </c>
    </row>
    <row r="949" spans="1:15" ht="16.5" thickBot="1">
      <c r="A949" s="662">
        <v>926</v>
      </c>
      <c r="B949" s="661" t="str" cm="1">
        <f t="array" ref="B949">"P"&amp;INDEX(X!$CL$2:$CL$12,'Scratch Sheet'!H948+1)+9</f>
        <v>P11</v>
      </c>
      <c r="C949" s="661">
        <v>1</v>
      </c>
      <c r="D949" s="755">
        <f t="shared" si="56"/>
        <v>11000</v>
      </c>
      <c r="E949" s="682" t="str">
        <f t="shared" si="57"/>
        <v>C2</v>
      </c>
      <c r="F949" s="683">
        <f t="shared" si="58"/>
        <v>11</v>
      </c>
      <c r="H949" s="13">
        <v>292</v>
      </c>
      <c r="I949" s="13">
        <f>VLOOKUP(VLOOKUP(H949,$A$24:$B$1023,2,FALSE),'Scratch Sheet'!$U$23:$X$32,3,FALSE)</f>
        <v>11</v>
      </c>
      <c r="K949" s="13">
        <f t="shared" si="55"/>
        <v>853</v>
      </c>
      <c r="L949" s="13">
        <f>IFERROR(VLOOKUP(VLOOKUP(K949,$A$24:$B$1023,2,FALSE),'Scratch Sheet'!$U$23:$Y$32,5,FALSE)*VLOOKUP(VLOOKUP(K949,$A$24:$E$1023,5,FALSE),'Scratch Sheet'!$L$22:$M$30,2,FALSE),"")</f>
        <v>11000</v>
      </c>
      <c r="N949" s="675">
        <v>486</v>
      </c>
      <c r="O949" s="675" t="str" cm="1">
        <f t="array" ref="O949">IF(OR(INDEX($B$24:$B$1023,N949)="P10",INDEX($B$24:$B$1023,N949)="P11",INDEX($B$24:$B$1023,N949)="P12",INDEX($B$24:$B$1023,N949)="P13"),"C",IF(OR(INDEX($B$24:$B$1023,N949)="P14",INDEX($B$24:$B$1023,N949)="P15",INDEX($B$24:$B$1023,N949)="P16"),"N","O"))&amp;IF(MOD(N949,100)&lt;20,1,IF(MOD(N949,100)&lt;70,2,3))</f>
        <v>C3</v>
      </c>
    </row>
    <row r="950" spans="1:15" ht="16.5" thickBot="1">
      <c r="A950" s="662">
        <v>927</v>
      </c>
      <c r="B950" s="661" t="str" cm="1">
        <f t="array" ref="B950">"P"&amp;INDEX(X!$CL$2:$CL$12,'Scratch Sheet'!H949+1)+9</f>
        <v>P11</v>
      </c>
      <c r="C950" s="661">
        <v>1</v>
      </c>
      <c r="D950" s="755">
        <f t="shared" si="56"/>
        <v>11000</v>
      </c>
      <c r="E950" s="682" t="str">
        <f t="shared" si="57"/>
        <v>C2</v>
      </c>
      <c r="F950" s="683">
        <f t="shared" si="58"/>
        <v>11</v>
      </c>
      <c r="H950" s="13">
        <v>48</v>
      </c>
      <c r="I950" s="13">
        <f>VLOOKUP(VLOOKUP(H950,$A$24:$B$1023,2,FALSE),'Scratch Sheet'!$U$23:$X$32,3,FALSE)</f>
        <v>8</v>
      </c>
      <c r="K950" s="13">
        <f t="shared" si="55"/>
        <v>894</v>
      </c>
      <c r="L950" s="13">
        <f>IFERROR(VLOOKUP(VLOOKUP(K950,$A$24:$B$1023,2,FALSE),'Scratch Sheet'!$U$23:$Y$32,5,FALSE)*VLOOKUP(VLOOKUP(K950,$A$24:$E$1023,5,FALSE),'Scratch Sheet'!$L$22:$M$30,2,FALSE),"")</f>
        <v>5460</v>
      </c>
      <c r="N950" s="675">
        <v>503</v>
      </c>
      <c r="O950" s="675" t="str" cm="1">
        <f t="array" ref="O950">IF(OR(INDEX($B$24:$B$1023,N950)="P10",INDEX($B$24:$B$1023,N950)="P11",INDEX($B$24:$B$1023,N950)="P12",INDEX($B$24:$B$1023,N950)="P13"),"C",IF(OR(INDEX($B$24:$B$1023,N950)="P14",INDEX($B$24:$B$1023,N950)="P15",INDEX($B$24:$B$1023,N950)="P16"),"N","O"))&amp;IF(MOD(N950,100)&lt;20,1,IF(MOD(N950,100)&lt;70,2,3))</f>
        <v>C1</v>
      </c>
    </row>
    <row r="951" spans="1:15" ht="16.5" thickBot="1">
      <c r="A951" s="662">
        <v>928</v>
      </c>
      <c r="B951" s="661" t="str" cm="1">
        <f t="array" ref="B951">"P"&amp;INDEX(X!$CL$2:$CL$12,'Scratch Sheet'!H950+1)+9</f>
        <v>P12</v>
      </c>
      <c r="C951" s="661">
        <v>1</v>
      </c>
      <c r="D951" s="755">
        <f t="shared" si="56"/>
        <v>6825</v>
      </c>
      <c r="E951" s="682" t="str">
        <f t="shared" si="57"/>
        <v>C2</v>
      </c>
      <c r="F951" s="683">
        <f t="shared" si="58"/>
        <v>6.5</v>
      </c>
      <c r="H951" s="13">
        <v>961</v>
      </c>
      <c r="I951" s="13">
        <f>VLOOKUP(VLOOKUP(H951,$A$24:$B$1023,2,FALSE),'Scratch Sheet'!$U$23:$X$32,3,FALSE)</f>
        <v>11</v>
      </c>
      <c r="K951" s="13">
        <f t="shared" si="55"/>
        <v>910</v>
      </c>
      <c r="L951" s="13">
        <f>IFERROR(VLOOKUP(VLOOKUP(K951,$A$24:$B$1023,2,FALSE),'Scratch Sheet'!$U$23:$Y$32,5,FALSE)*VLOOKUP(VLOOKUP(K951,$A$24:$E$1023,5,FALSE),'Scratch Sheet'!$L$22:$M$30,2,FALSE),"")</f>
        <v>13200</v>
      </c>
      <c r="N951" s="675">
        <v>520</v>
      </c>
      <c r="O951" s="675" t="str" cm="1">
        <f t="array" ref="O951">IF(OR(INDEX($B$24:$B$1023,N951)="P10",INDEX($B$24:$B$1023,N951)="P11",INDEX($B$24:$B$1023,N951)="P12",INDEX($B$24:$B$1023,N951)="P13"),"C",IF(OR(INDEX($B$24:$B$1023,N951)="P14",INDEX($B$24:$B$1023,N951)="P15",INDEX($B$24:$B$1023,N951)="P16"),"N","O"))&amp;IF(MOD(N951,100)&lt;20,1,IF(MOD(N951,100)&lt;70,2,3))</f>
        <v>C2</v>
      </c>
    </row>
    <row r="952" spans="1:15" ht="16.5" thickBot="1">
      <c r="A952" s="662">
        <v>929</v>
      </c>
      <c r="B952" s="661" t="str" cm="1">
        <f t="array" ref="B952">"P"&amp;INDEX(X!$CL$2:$CL$12,'Scratch Sheet'!H951+1)+9</f>
        <v>P10</v>
      </c>
      <c r="C952" s="661">
        <v>1</v>
      </c>
      <c r="D952" s="755">
        <f t="shared" si="56"/>
        <v>2400</v>
      </c>
      <c r="E952" s="682" t="str">
        <f t="shared" si="57"/>
        <v>C2</v>
      </c>
      <c r="F952" s="683">
        <f t="shared" si="58"/>
        <v>3</v>
      </c>
      <c r="H952" s="13">
        <v>127</v>
      </c>
      <c r="I952" s="13">
        <f>VLOOKUP(VLOOKUP(H952,$A$24:$B$1023,2,FALSE),'Scratch Sheet'!$U$23:$X$32,3,FALSE)</f>
        <v>11</v>
      </c>
      <c r="K952" s="13">
        <f t="shared" si="55"/>
        <v>913</v>
      </c>
      <c r="L952" s="13">
        <f>IFERROR(VLOOKUP(VLOOKUP(K952,$A$24:$B$1023,2,FALSE),'Scratch Sheet'!$U$23:$Y$32,5,FALSE)*VLOOKUP(VLOOKUP(K952,$A$24:$E$1023,5,FALSE),'Scratch Sheet'!$L$22:$M$30,2,FALSE),"")</f>
        <v>2880</v>
      </c>
      <c r="N952" s="675">
        <v>537</v>
      </c>
      <c r="O952" s="675" t="str" cm="1">
        <f t="array" ref="O952">IF(OR(INDEX($B$24:$B$1023,N952)="P10",INDEX($B$24:$B$1023,N952)="P11",INDEX($B$24:$B$1023,N952)="P12",INDEX($B$24:$B$1023,N952)="P13"),"C",IF(OR(INDEX($B$24:$B$1023,N952)="P14",INDEX($B$24:$B$1023,N952)="P15",INDEX($B$24:$B$1023,N952)="P16"),"N","O"))&amp;IF(MOD(N952,100)&lt;20,1,IF(MOD(N952,100)&lt;70,2,3))</f>
        <v>C2</v>
      </c>
    </row>
    <row r="953" spans="1:15" ht="16.5" thickBot="1">
      <c r="A953" s="662">
        <v>930</v>
      </c>
      <c r="B953" s="661" t="str" cm="1">
        <f t="array" ref="B953">"P"&amp;INDEX(X!$CL$2:$CL$12,'Scratch Sheet'!H952+1)+9</f>
        <v>P10</v>
      </c>
      <c r="C953" s="661">
        <v>1</v>
      </c>
      <c r="D953" s="755">
        <f t="shared" si="56"/>
        <v>2400</v>
      </c>
      <c r="E953" s="682" t="str">
        <f t="shared" si="57"/>
        <v>C2</v>
      </c>
      <c r="F953" s="683">
        <f t="shared" si="58"/>
        <v>3</v>
      </c>
      <c r="H953" s="13">
        <v>122</v>
      </c>
      <c r="I953" s="13">
        <f>VLOOKUP(VLOOKUP(H953,$A$24:$B$1023,2,FALSE),'Scratch Sheet'!$U$23:$X$32,3,FALSE)</f>
        <v>11</v>
      </c>
      <c r="K953" s="13">
        <f t="shared" si="55"/>
        <v>912</v>
      </c>
      <c r="L953" s="13">
        <f>IFERROR(VLOOKUP(VLOOKUP(K953,$A$24:$B$1023,2,FALSE),'Scratch Sheet'!$U$23:$Y$32,5,FALSE)*VLOOKUP(VLOOKUP(K953,$A$24:$E$1023,5,FALSE),'Scratch Sheet'!$L$22:$M$30,2,FALSE),"")</f>
        <v>2880</v>
      </c>
      <c r="N953" s="675">
        <v>554</v>
      </c>
      <c r="O953" s="675" t="str" cm="1">
        <f t="array" ref="O953">IF(OR(INDEX($B$24:$B$1023,N953)="P10",INDEX($B$24:$B$1023,N953)="P11",INDEX($B$24:$B$1023,N953)="P12",INDEX($B$24:$B$1023,N953)="P13"),"C",IF(OR(INDEX($B$24:$B$1023,N953)="P14",INDEX($B$24:$B$1023,N953)="P15",INDEX($B$24:$B$1023,N953)="P16"),"N","O"))&amp;IF(MOD(N953,100)&lt;20,1,IF(MOD(N953,100)&lt;70,2,3))</f>
        <v>C2</v>
      </c>
    </row>
    <row r="954" spans="1:15" ht="16.5" thickBot="1">
      <c r="A954" s="662">
        <v>931</v>
      </c>
      <c r="B954" s="661" t="str" cm="1">
        <f t="array" ref="B954">"P"&amp;INDEX(X!$CL$2:$CL$12,'Scratch Sheet'!H953+1)+9</f>
        <v>P11</v>
      </c>
      <c r="C954" s="661">
        <v>1</v>
      </c>
      <c r="D954" s="755">
        <f t="shared" si="56"/>
        <v>11000</v>
      </c>
      <c r="E954" s="682" t="str">
        <f t="shared" si="57"/>
        <v>C2</v>
      </c>
      <c r="F954" s="683">
        <f t="shared" si="58"/>
        <v>11</v>
      </c>
      <c r="H954" s="13">
        <v>484</v>
      </c>
      <c r="I954" s="13">
        <f>VLOOKUP(VLOOKUP(H954,$A$24:$B$1023,2,FALSE),'Scratch Sheet'!$U$23:$X$32,3,FALSE)</f>
        <v>11</v>
      </c>
      <c r="K954" s="13">
        <f t="shared" si="55"/>
        <v>906</v>
      </c>
      <c r="L954" s="13">
        <f>IFERROR(VLOOKUP(VLOOKUP(K954,$A$24:$B$1023,2,FALSE),'Scratch Sheet'!$U$23:$Y$32,5,FALSE)*VLOOKUP(VLOOKUP(K954,$A$24:$E$1023,5,FALSE),'Scratch Sheet'!$L$22:$M$30,2,FALSE),"")</f>
        <v>10800</v>
      </c>
      <c r="N954" s="675">
        <v>571</v>
      </c>
      <c r="O954" s="675" t="str" cm="1">
        <f t="array" ref="O954">IF(OR(INDEX($B$24:$B$1023,N954)="P10",INDEX($B$24:$B$1023,N954)="P11",INDEX($B$24:$B$1023,N954)="P12",INDEX($B$24:$B$1023,N954)="P13"),"C",IF(OR(INDEX($B$24:$B$1023,N954)="P14",INDEX($B$24:$B$1023,N954)="P15",INDEX($B$24:$B$1023,N954)="P16"),"N","O"))&amp;IF(MOD(N954,100)&lt;20,1,IF(MOD(N954,100)&lt;70,2,3))</f>
        <v>C3</v>
      </c>
    </row>
    <row r="955" spans="1:15" ht="16.5" thickBot="1">
      <c r="A955" s="662">
        <v>932</v>
      </c>
      <c r="B955" s="661" t="str" cm="1">
        <f t="array" ref="B955">"P"&amp;INDEX(X!$CL$2:$CL$12,'Scratch Sheet'!H954+1)+9</f>
        <v>P18</v>
      </c>
      <c r="C955" s="661">
        <v>1</v>
      </c>
      <c r="D955" s="755">
        <f t="shared" si="56"/>
        <v>5940.0000000000009</v>
      </c>
      <c r="E955" s="682" t="str">
        <f t="shared" si="57"/>
        <v>O2</v>
      </c>
      <c r="F955" s="683">
        <f t="shared" si="58"/>
        <v>6</v>
      </c>
      <c r="H955" s="13">
        <v>169</v>
      </c>
      <c r="I955" s="13">
        <f>VLOOKUP(VLOOKUP(H955,$A$24:$B$1023,2,FALSE),'Scratch Sheet'!$U$23:$X$32,3,FALSE)</f>
        <v>3</v>
      </c>
      <c r="K955" s="13">
        <f t="shared" si="55"/>
        <v>909</v>
      </c>
      <c r="L955" s="13">
        <f>IFERROR(VLOOKUP(VLOOKUP(K955,$A$24:$B$1023,2,FALSE),'Scratch Sheet'!$U$23:$Y$32,5,FALSE)*VLOOKUP(VLOOKUP(K955,$A$24:$E$1023,5,FALSE),'Scratch Sheet'!$L$22:$M$30,2,FALSE),"")</f>
        <v>13200</v>
      </c>
      <c r="N955" s="675">
        <v>588</v>
      </c>
      <c r="O955" s="675" t="str" cm="1">
        <f t="array" ref="O955">IF(OR(INDEX($B$24:$B$1023,N955)="P10",INDEX($B$24:$B$1023,N955)="P11",INDEX($B$24:$B$1023,N955)="P12",INDEX($B$24:$B$1023,N955)="P13"),"C",IF(OR(INDEX($B$24:$B$1023,N955)="P14",INDEX($B$24:$B$1023,N955)="P15",INDEX($B$24:$B$1023,N955)="P16"),"N","O"))&amp;IF(MOD(N955,100)&lt;20,1,IF(MOD(N955,100)&lt;70,2,3))</f>
        <v>C3</v>
      </c>
    </row>
    <row r="956" spans="1:15" ht="16.5" thickBot="1">
      <c r="A956" s="662">
        <v>933</v>
      </c>
      <c r="B956" s="661" t="str" cm="1">
        <f t="array" ref="B956">"P"&amp;INDEX(X!$CL$2:$CL$12,'Scratch Sheet'!H955+1)+9</f>
        <v>P14</v>
      </c>
      <c r="C956" s="661">
        <v>1</v>
      </c>
      <c r="D956" s="755">
        <f t="shared" si="56"/>
        <v>6480</v>
      </c>
      <c r="E956" s="682" t="str">
        <f t="shared" si="57"/>
        <v>N2</v>
      </c>
      <c r="F956" s="683">
        <f t="shared" si="58"/>
        <v>8</v>
      </c>
      <c r="H956" s="13">
        <v>597</v>
      </c>
      <c r="I956" s="13">
        <f>VLOOKUP(VLOOKUP(H956,$A$24:$B$1023,2,FALSE),'Scratch Sheet'!$U$23:$X$32,3,FALSE)</f>
        <v>3</v>
      </c>
      <c r="K956" s="13">
        <f t="shared" si="55"/>
        <v>908</v>
      </c>
      <c r="L956" s="13">
        <f>IFERROR(VLOOKUP(VLOOKUP(K956,$A$24:$B$1023,2,FALSE),'Scratch Sheet'!$U$23:$Y$32,5,FALSE)*VLOOKUP(VLOOKUP(K956,$A$24:$E$1023,5,FALSE),'Scratch Sheet'!$L$22:$M$30,2,FALSE),"")</f>
        <v>5400</v>
      </c>
      <c r="N956" s="675">
        <v>605</v>
      </c>
      <c r="O956" s="675" t="str" cm="1">
        <f t="array" ref="O956">IF(OR(INDEX($B$24:$B$1023,N956)="P10",INDEX($B$24:$B$1023,N956)="P11",INDEX($B$24:$B$1023,N956)="P12",INDEX($B$24:$B$1023,N956)="P13"),"C",IF(OR(INDEX($B$24:$B$1023,N956)="P14",INDEX($B$24:$B$1023,N956)="P15",INDEX($B$24:$B$1023,N956)="P16"),"N","O"))&amp;IF(MOD(N956,100)&lt;20,1,IF(MOD(N956,100)&lt;70,2,3))</f>
        <v>C1</v>
      </c>
    </row>
    <row r="957" spans="1:15" ht="16.5" thickBot="1">
      <c r="A957" s="662">
        <v>934</v>
      </c>
      <c r="B957" s="661" t="str" cm="1">
        <f t="array" ref="B957">"P"&amp;INDEX(X!$CL$2:$CL$12,'Scratch Sheet'!H956+1)+9</f>
        <v>P10</v>
      </c>
      <c r="C957" s="661">
        <v>1</v>
      </c>
      <c r="D957" s="755">
        <f t="shared" si="56"/>
        <v>2400</v>
      </c>
      <c r="E957" s="682" t="str">
        <f t="shared" si="57"/>
        <v>C2</v>
      </c>
      <c r="F957" s="683">
        <f t="shared" si="58"/>
        <v>3</v>
      </c>
      <c r="H957" s="13">
        <v>726</v>
      </c>
      <c r="I957" s="13">
        <f>VLOOKUP(VLOOKUP(H957,$A$24:$B$1023,2,FALSE),'Scratch Sheet'!$U$23:$X$32,3,FALSE)</f>
        <v>3</v>
      </c>
      <c r="K957" s="13">
        <f t="shared" si="55"/>
        <v>911</v>
      </c>
      <c r="L957" s="13">
        <f>IFERROR(VLOOKUP(VLOOKUP(K957,$A$24:$B$1023,2,FALSE),'Scratch Sheet'!$U$23:$Y$32,5,FALSE)*VLOOKUP(VLOOKUP(K957,$A$24:$E$1023,5,FALSE),'Scratch Sheet'!$L$22:$M$30,2,FALSE),"")</f>
        <v>8190</v>
      </c>
      <c r="N957" s="675">
        <v>622</v>
      </c>
      <c r="O957" s="675" t="str" cm="1">
        <f t="array" ref="O957">IF(OR(INDEX($B$24:$B$1023,N957)="P10",INDEX($B$24:$B$1023,N957)="P11",INDEX($B$24:$B$1023,N957)="P12",INDEX($B$24:$B$1023,N957)="P13"),"C",IF(OR(INDEX($B$24:$B$1023,N957)="P14",INDEX($B$24:$B$1023,N957)="P15",INDEX($B$24:$B$1023,N957)="P16"),"N","O"))&amp;IF(MOD(N957,100)&lt;20,1,IF(MOD(N957,100)&lt;70,2,3))</f>
        <v>C2</v>
      </c>
    </row>
    <row r="958" spans="1:15" ht="16.5" thickBot="1">
      <c r="A958" s="662">
        <v>935</v>
      </c>
      <c r="B958" s="661" t="str" cm="1">
        <f t="array" ref="B958">"P"&amp;INDEX(X!$CL$2:$CL$12,'Scratch Sheet'!H957+1)+9</f>
        <v>P13</v>
      </c>
      <c r="C958" s="661">
        <v>1</v>
      </c>
      <c r="D958" s="755">
        <f t="shared" si="56"/>
        <v>4500</v>
      </c>
      <c r="E958" s="682" t="str">
        <f t="shared" si="57"/>
        <v>C2</v>
      </c>
      <c r="F958" s="683">
        <f t="shared" si="58"/>
        <v>5</v>
      </c>
      <c r="H958" s="13">
        <v>452</v>
      </c>
      <c r="I958" s="13">
        <f>VLOOKUP(VLOOKUP(H958,$A$24:$B$1023,2,FALSE),'Scratch Sheet'!$U$23:$X$32,3,FALSE)</f>
        <v>6.5</v>
      </c>
      <c r="K958" s="13">
        <f t="shared" si="55"/>
        <v>905</v>
      </c>
      <c r="L958" s="13">
        <f>IFERROR(VLOOKUP(VLOOKUP(K958,$A$24:$B$1023,2,FALSE),'Scratch Sheet'!$U$23:$Y$32,5,FALSE)*VLOOKUP(VLOOKUP(K958,$A$24:$E$1023,5,FALSE),'Scratch Sheet'!$L$22:$M$30,2,FALSE),"")</f>
        <v>7279.9999999999991</v>
      </c>
      <c r="N958" s="675">
        <v>639</v>
      </c>
      <c r="O958" s="675" t="str" cm="1">
        <f t="array" ref="O958">IF(OR(INDEX($B$24:$B$1023,N958)="P10",INDEX($B$24:$B$1023,N958)="P11",INDEX($B$24:$B$1023,N958)="P12",INDEX($B$24:$B$1023,N958)="P13"),"C",IF(OR(INDEX($B$24:$B$1023,N958)="P14",INDEX($B$24:$B$1023,N958)="P15",INDEX($B$24:$B$1023,N958)="P16"),"N","O"))&amp;IF(MOD(N958,100)&lt;20,1,IF(MOD(N958,100)&lt;70,2,3))</f>
        <v>C2</v>
      </c>
    </row>
    <row r="959" spans="1:15" ht="16.5" thickBot="1">
      <c r="A959" s="662">
        <v>936</v>
      </c>
      <c r="B959" s="661" t="str" cm="1">
        <f t="array" ref="B959">"P"&amp;INDEX(X!$CL$2:$CL$12,'Scratch Sheet'!H958+1)+9</f>
        <v>P13</v>
      </c>
      <c r="C959" s="661">
        <v>1</v>
      </c>
      <c r="D959" s="755">
        <f t="shared" si="56"/>
        <v>4500</v>
      </c>
      <c r="E959" s="682" t="str">
        <f t="shared" si="57"/>
        <v>C2</v>
      </c>
      <c r="F959" s="683">
        <f t="shared" si="58"/>
        <v>5</v>
      </c>
      <c r="H959" s="13">
        <v>564</v>
      </c>
      <c r="I959" s="13">
        <f>VLOOKUP(VLOOKUP(H959,$A$24:$B$1023,2,FALSE),'Scratch Sheet'!$U$23:$X$32,3,FALSE)</f>
        <v>11</v>
      </c>
      <c r="K959" s="13">
        <f t="shared" ref="K959:K1022" si="59">K856+100</f>
        <v>903</v>
      </c>
      <c r="L959" s="13">
        <f>IFERROR(VLOOKUP(VLOOKUP(K959,$A$24:$B$1023,2,FALSE),'Scratch Sheet'!$U$23:$Y$32,5,FALSE)*VLOOKUP(VLOOKUP(K959,$A$24:$E$1023,5,FALSE),'Scratch Sheet'!$L$22:$M$30,2,FALSE),"")</f>
        <v>2880</v>
      </c>
      <c r="N959" s="675">
        <v>656</v>
      </c>
      <c r="O959" s="675" t="str" cm="1">
        <f t="array" ref="O959">IF(OR(INDEX($B$24:$B$1023,N959)="P10",INDEX($B$24:$B$1023,N959)="P11",INDEX($B$24:$B$1023,N959)="P12",INDEX($B$24:$B$1023,N959)="P13"),"C",IF(OR(INDEX($B$24:$B$1023,N959)="P14",INDEX($B$24:$B$1023,N959)="P15",INDEX($B$24:$B$1023,N959)="P16"),"N","O"))&amp;IF(MOD(N959,100)&lt;20,1,IF(MOD(N959,100)&lt;70,2,3))</f>
        <v>C2</v>
      </c>
    </row>
    <row r="960" spans="1:15" ht="16.5" thickBot="1">
      <c r="A960" s="662">
        <v>937</v>
      </c>
      <c r="B960" s="661" t="str" cm="1">
        <f t="array" ref="B960">"P"&amp;INDEX(X!$CL$2:$CL$12,'Scratch Sheet'!H959+1)+9</f>
        <v>P10</v>
      </c>
      <c r="C960" s="661">
        <v>1</v>
      </c>
      <c r="D960" s="755">
        <f t="shared" si="56"/>
        <v>2400</v>
      </c>
      <c r="E960" s="682" t="str">
        <f t="shared" si="57"/>
        <v>C2</v>
      </c>
      <c r="F960" s="683">
        <f t="shared" si="58"/>
        <v>3</v>
      </c>
      <c r="H960" s="13">
        <v>324</v>
      </c>
      <c r="I960" s="13">
        <f>VLOOKUP(VLOOKUP(H960,$A$24:$B$1023,2,FALSE),'Scratch Sheet'!$U$23:$X$32,3,FALSE)</f>
        <v>5</v>
      </c>
      <c r="K960" s="13">
        <f t="shared" si="59"/>
        <v>904</v>
      </c>
      <c r="L960" s="13">
        <f>IFERROR(VLOOKUP(VLOOKUP(K960,$A$24:$B$1023,2,FALSE),'Scratch Sheet'!$U$23:$Y$32,5,FALSE)*VLOOKUP(VLOOKUP(K960,$A$24:$E$1023,5,FALSE),'Scratch Sheet'!$L$22:$M$30,2,FALSE),"")</f>
        <v>13200</v>
      </c>
      <c r="N960" s="675">
        <v>673</v>
      </c>
      <c r="O960" s="675" t="str" cm="1">
        <f t="array" ref="O960">IF(OR(INDEX($B$24:$B$1023,N960)="P10",INDEX($B$24:$B$1023,N960)="P11",INDEX($B$24:$B$1023,N960)="P12",INDEX($B$24:$B$1023,N960)="P13"),"C",IF(OR(INDEX($B$24:$B$1023,N960)="P14",INDEX($B$24:$B$1023,N960)="P15",INDEX($B$24:$B$1023,N960)="P16"),"N","O"))&amp;IF(MOD(N960,100)&lt;20,1,IF(MOD(N960,100)&lt;70,2,3))</f>
        <v>C3</v>
      </c>
    </row>
    <row r="961" spans="1:15" ht="16.5" thickBot="1">
      <c r="A961" s="662">
        <v>938</v>
      </c>
      <c r="B961" s="661" t="str" cm="1">
        <f t="array" ref="B961">"P"&amp;INDEX(X!$CL$2:$CL$12,'Scratch Sheet'!H960+1)+9</f>
        <v>P11</v>
      </c>
      <c r="C961" s="661">
        <v>1</v>
      </c>
      <c r="D961" s="755">
        <f t="shared" si="56"/>
        <v>22000</v>
      </c>
      <c r="E961" s="682" t="str">
        <f t="shared" si="57"/>
        <v>C2</v>
      </c>
      <c r="F961" s="683">
        <f t="shared" si="58"/>
        <v>11</v>
      </c>
      <c r="H961" s="13">
        <v>475</v>
      </c>
      <c r="I961" s="13">
        <f>VLOOKUP(VLOOKUP(H961,$A$24:$B$1023,2,FALSE),'Scratch Sheet'!$U$23:$X$32,3,FALSE)</f>
        <v>3</v>
      </c>
      <c r="K961" s="13">
        <f t="shared" si="59"/>
        <v>902</v>
      </c>
      <c r="L961" s="13">
        <f>IFERROR(VLOOKUP(VLOOKUP(K961,$A$24:$B$1023,2,FALSE),'Scratch Sheet'!$U$23:$Y$32,5,FALSE)*VLOOKUP(VLOOKUP(K961,$A$24:$E$1023,5,FALSE),'Scratch Sheet'!$L$22:$M$30,2,FALSE),"")</f>
        <v>5400</v>
      </c>
      <c r="N961" s="675">
        <v>690</v>
      </c>
      <c r="O961" s="675" t="str" cm="1">
        <f t="array" ref="O961">IF(OR(INDEX($B$24:$B$1023,N961)="P10",INDEX($B$24:$B$1023,N961)="P11",INDEX($B$24:$B$1023,N961)="P12",INDEX($B$24:$B$1023,N961)="P13"),"C",IF(OR(INDEX($B$24:$B$1023,N961)="P14",INDEX($B$24:$B$1023,N961)="P15",INDEX($B$24:$B$1023,N961)="P16"),"N","O"))&amp;IF(MOD(N961,100)&lt;20,1,IF(MOD(N961,100)&lt;70,2,3))</f>
        <v>C3</v>
      </c>
    </row>
    <row r="962" spans="1:15" ht="16.5" thickBot="1">
      <c r="A962" s="662">
        <v>939</v>
      </c>
      <c r="B962" s="661" t="str" cm="1">
        <f t="array" ref="B962">"P"&amp;INDEX(X!$CL$2:$CL$12,'Scratch Sheet'!H961+1)+9</f>
        <v>P16</v>
      </c>
      <c r="C962" s="661">
        <v>1</v>
      </c>
      <c r="D962" s="755">
        <f t="shared" si="56"/>
        <v>4680</v>
      </c>
      <c r="E962" s="682" t="str">
        <f t="shared" si="57"/>
        <v>N2</v>
      </c>
      <c r="F962" s="683">
        <f t="shared" si="58"/>
        <v>4</v>
      </c>
      <c r="H962" s="13">
        <v>295</v>
      </c>
      <c r="I962" s="13">
        <f>VLOOKUP(VLOOKUP(H962,$A$24:$B$1023,2,FALSE),'Scratch Sheet'!$U$23:$X$32,3,FALSE)</f>
        <v>12</v>
      </c>
      <c r="K962" s="13">
        <f t="shared" si="59"/>
        <v>901</v>
      </c>
      <c r="L962" s="13">
        <f>IFERROR(VLOOKUP(VLOOKUP(K962,$A$24:$B$1023,2,FALSE),'Scratch Sheet'!$U$23:$Y$32,5,FALSE)*VLOOKUP(VLOOKUP(K962,$A$24:$E$1023,5,FALSE),'Scratch Sheet'!$L$22:$M$30,2,FALSE),"")</f>
        <v>5400</v>
      </c>
      <c r="N962" s="675">
        <v>707</v>
      </c>
      <c r="O962" s="675" t="str" cm="1">
        <f t="array" ref="O962">IF(OR(INDEX($B$24:$B$1023,N962)="P10",INDEX($B$24:$B$1023,N962)="P11",INDEX($B$24:$B$1023,N962)="P12",INDEX($B$24:$B$1023,N962)="P13"),"C",IF(OR(INDEX($B$24:$B$1023,N962)="P14",INDEX($B$24:$B$1023,N962)="P15",INDEX($B$24:$B$1023,N962)="P16"),"N","O"))&amp;IF(MOD(N962,100)&lt;20,1,IF(MOD(N962,100)&lt;70,2,3))</f>
        <v>C1</v>
      </c>
    </row>
    <row r="963" spans="1:15" ht="16.5" thickBot="1">
      <c r="A963" s="662">
        <v>940</v>
      </c>
      <c r="B963" s="661" t="str" cm="1">
        <f t="array" ref="B963">"P"&amp;INDEX(X!$CL$2:$CL$12,'Scratch Sheet'!H962+1)+9</f>
        <v>P17</v>
      </c>
      <c r="C963" s="661">
        <v>1</v>
      </c>
      <c r="D963" s="755">
        <f t="shared" si="56"/>
        <v>13200.000000000002</v>
      </c>
      <c r="E963" s="682" t="str">
        <f t="shared" si="57"/>
        <v>O2</v>
      </c>
      <c r="F963" s="683">
        <f t="shared" si="58"/>
        <v>12</v>
      </c>
      <c r="H963" s="13">
        <v>913</v>
      </c>
      <c r="I963" s="13">
        <f>VLOOKUP(VLOOKUP(H963,$A$24:$B$1023,2,FALSE),'Scratch Sheet'!$U$23:$X$32,3,FALSE)</f>
        <v>3</v>
      </c>
      <c r="K963" s="13">
        <f t="shared" si="59"/>
        <v>914</v>
      </c>
      <c r="L963" s="13">
        <f>IFERROR(VLOOKUP(VLOOKUP(K963,$A$24:$B$1023,2,FALSE),'Scratch Sheet'!$U$23:$Y$32,5,FALSE)*VLOOKUP(VLOOKUP(K963,$A$24:$E$1023,5,FALSE),'Scratch Sheet'!$L$22:$M$30,2,FALSE),"")</f>
        <v>13200</v>
      </c>
      <c r="N963" s="675">
        <v>724</v>
      </c>
      <c r="O963" s="675" t="str" cm="1">
        <f t="array" ref="O963">IF(OR(INDEX($B$24:$B$1023,N963)="P10",INDEX($B$24:$B$1023,N963)="P11",INDEX($B$24:$B$1023,N963)="P12",INDEX($B$24:$B$1023,N963)="P13"),"C",IF(OR(INDEX($B$24:$B$1023,N963)="P14",INDEX($B$24:$B$1023,N963)="P15",INDEX($B$24:$B$1023,N963)="P16"),"N","O"))&amp;IF(MOD(N963,100)&lt;20,1,IF(MOD(N963,100)&lt;70,2,3))</f>
        <v>C2</v>
      </c>
    </row>
    <row r="964" spans="1:15" ht="16.5" thickBot="1">
      <c r="A964" s="662">
        <v>941</v>
      </c>
      <c r="B964" s="661" t="str" cm="1">
        <f t="array" ref="B964">"P"&amp;INDEX(X!$CL$2:$CL$12,'Scratch Sheet'!H963+1)+9</f>
        <v>P17</v>
      </c>
      <c r="C964" s="661">
        <v>1</v>
      </c>
      <c r="D964" s="755">
        <f t="shared" si="56"/>
        <v>13200.000000000002</v>
      </c>
      <c r="E964" s="682" t="str">
        <f t="shared" si="57"/>
        <v>O2</v>
      </c>
      <c r="F964" s="683">
        <f t="shared" si="58"/>
        <v>12</v>
      </c>
      <c r="H964" s="13">
        <v>757</v>
      </c>
      <c r="I964" s="13">
        <f>VLOOKUP(VLOOKUP(H964,$A$24:$B$1023,2,FALSE),'Scratch Sheet'!$U$23:$X$32,3,FALSE)</f>
        <v>11</v>
      </c>
      <c r="K964" s="13">
        <f t="shared" si="59"/>
        <v>907</v>
      </c>
      <c r="L964" s="13">
        <f>IFERROR(VLOOKUP(VLOOKUP(K964,$A$24:$B$1023,2,FALSE),'Scratch Sheet'!$U$23:$Y$32,5,FALSE)*VLOOKUP(VLOOKUP(K964,$A$24:$E$1023,5,FALSE),'Scratch Sheet'!$L$22:$M$30,2,FALSE),"")</f>
        <v>10800</v>
      </c>
      <c r="N964" s="675">
        <v>741</v>
      </c>
      <c r="O964" s="675" t="str" cm="1">
        <f t="array" ref="O964">IF(OR(INDEX($B$24:$B$1023,N964)="P10",INDEX($B$24:$B$1023,N964)="P11",INDEX($B$24:$B$1023,N964)="P12",INDEX($B$24:$B$1023,N964)="P13"),"C",IF(OR(INDEX($B$24:$B$1023,N964)="P14",INDEX($B$24:$B$1023,N964)="P15",INDEX($B$24:$B$1023,N964)="P16"),"N","O"))&amp;IF(MOD(N964,100)&lt;20,1,IF(MOD(N964,100)&lt;70,2,3))</f>
        <v>C2</v>
      </c>
    </row>
    <row r="965" spans="1:15" ht="16.5" thickBot="1">
      <c r="A965" s="662">
        <v>942</v>
      </c>
      <c r="B965" s="661" t="str" cm="1">
        <f t="array" ref="B965">"P"&amp;INDEX(X!$CL$2:$CL$12,'Scratch Sheet'!H964+1)+9</f>
        <v>P13</v>
      </c>
      <c r="C965" s="661">
        <v>1</v>
      </c>
      <c r="D965" s="755">
        <f t="shared" si="56"/>
        <v>4500</v>
      </c>
      <c r="E965" s="682" t="str">
        <f t="shared" si="57"/>
        <v>C2</v>
      </c>
      <c r="F965" s="683">
        <f t="shared" si="58"/>
        <v>5</v>
      </c>
      <c r="H965" s="13">
        <v>286</v>
      </c>
      <c r="I965" s="13">
        <f>VLOOKUP(VLOOKUP(H965,$A$24:$B$1023,2,FALSE),'Scratch Sheet'!$U$23:$X$32,3,FALSE)</f>
        <v>6</v>
      </c>
      <c r="K965" s="13">
        <f t="shared" si="59"/>
        <v>923</v>
      </c>
      <c r="L965" s="13">
        <f>IFERROR(VLOOKUP(VLOOKUP(K965,$A$24:$B$1023,2,FALSE),'Scratch Sheet'!$U$23:$Y$32,5,FALSE)*VLOOKUP(VLOOKUP(K965,$A$24:$E$1023,5,FALSE),'Scratch Sheet'!$L$22:$M$30,2,FALSE),"")</f>
        <v>13200.000000000002</v>
      </c>
      <c r="N965" s="675">
        <v>758</v>
      </c>
      <c r="O965" s="675" t="str" cm="1">
        <f t="array" ref="O965">IF(OR(INDEX($B$24:$B$1023,N965)="P10",INDEX($B$24:$B$1023,N965)="P11",INDEX($B$24:$B$1023,N965)="P12",INDEX($B$24:$B$1023,N965)="P13"),"C",IF(OR(INDEX($B$24:$B$1023,N965)="P14",INDEX($B$24:$B$1023,N965)="P15",INDEX($B$24:$B$1023,N965)="P16"),"N","O"))&amp;IF(MOD(N965,100)&lt;20,1,IF(MOD(N965,100)&lt;70,2,3))</f>
        <v>C2</v>
      </c>
    </row>
    <row r="966" spans="1:15" ht="16.5" thickBot="1">
      <c r="A966" s="662">
        <v>943</v>
      </c>
      <c r="B966" s="661" t="str" cm="1">
        <f t="array" ref="B966">"P"&amp;INDEX(X!$CL$2:$CL$12,'Scratch Sheet'!H965+1)+9</f>
        <v>P11</v>
      </c>
      <c r="C966" s="661">
        <v>1</v>
      </c>
      <c r="D966" s="755">
        <f t="shared" si="56"/>
        <v>11000</v>
      </c>
      <c r="E966" s="682" t="str">
        <f t="shared" si="57"/>
        <v>C2</v>
      </c>
      <c r="F966" s="683">
        <f t="shared" si="58"/>
        <v>11</v>
      </c>
      <c r="H966" s="13">
        <v>504</v>
      </c>
      <c r="I966" s="13">
        <f>VLOOKUP(VLOOKUP(H966,$A$24:$B$1023,2,FALSE),'Scratch Sheet'!$U$23:$X$32,3,FALSE)</f>
        <v>3</v>
      </c>
      <c r="K966" s="13">
        <f t="shared" si="59"/>
        <v>926</v>
      </c>
      <c r="L966" s="13">
        <f>IFERROR(VLOOKUP(VLOOKUP(K966,$A$24:$B$1023,2,FALSE),'Scratch Sheet'!$U$23:$Y$32,5,FALSE)*VLOOKUP(VLOOKUP(K966,$A$24:$E$1023,5,FALSE),'Scratch Sheet'!$L$22:$M$30,2,FALSE),"")</f>
        <v>11000</v>
      </c>
      <c r="N966" s="675">
        <v>775</v>
      </c>
      <c r="O966" s="675" t="str" cm="1">
        <f t="array" ref="O966">IF(OR(INDEX($B$24:$B$1023,N966)="P10",INDEX($B$24:$B$1023,N966)="P11",INDEX($B$24:$B$1023,N966)="P12",INDEX($B$24:$B$1023,N966)="P13"),"C",IF(OR(INDEX($B$24:$B$1023,N966)="P14",INDEX($B$24:$B$1023,N966)="P15",INDEX($B$24:$B$1023,N966)="P16"),"N","O"))&amp;IF(MOD(N966,100)&lt;20,1,IF(MOD(N966,100)&lt;70,2,3))</f>
        <v>C3</v>
      </c>
    </row>
    <row r="967" spans="1:15" ht="16.5" thickBot="1">
      <c r="A967" s="662">
        <v>944</v>
      </c>
      <c r="B967" s="661" t="str" cm="1">
        <f t="array" ref="B967">"P"&amp;INDEX(X!$CL$2:$CL$12,'Scratch Sheet'!H966+1)+9</f>
        <v>P11</v>
      </c>
      <c r="C967" s="661">
        <v>1</v>
      </c>
      <c r="D967" s="755">
        <f t="shared" si="56"/>
        <v>11000</v>
      </c>
      <c r="E967" s="682" t="str">
        <f t="shared" si="57"/>
        <v>C2</v>
      </c>
      <c r="F967" s="683">
        <f t="shared" si="58"/>
        <v>11</v>
      </c>
      <c r="H967" s="13">
        <v>907</v>
      </c>
      <c r="I967" s="13">
        <f>VLOOKUP(VLOOKUP(H967,$A$24:$B$1023,2,FALSE),'Scratch Sheet'!$U$23:$X$32,3,FALSE)</f>
        <v>12</v>
      </c>
      <c r="K967" s="13">
        <f t="shared" si="59"/>
        <v>925</v>
      </c>
      <c r="L967" s="13">
        <f>IFERROR(VLOOKUP(VLOOKUP(K967,$A$24:$B$1023,2,FALSE),'Scratch Sheet'!$U$23:$Y$32,5,FALSE)*VLOOKUP(VLOOKUP(K967,$A$24:$E$1023,5,FALSE),'Scratch Sheet'!$L$22:$M$30,2,FALSE),"")</f>
        <v>4500</v>
      </c>
      <c r="N967" s="675">
        <v>792</v>
      </c>
      <c r="O967" s="675" t="str" cm="1">
        <f t="array" ref="O967">IF(OR(INDEX($B$24:$B$1023,N967)="P10",INDEX($B$24:$B$1023,N967)="P11",INDEX($B$24:$B$1023,N967)="P12",INDEX($B$24:$B$1023,N967)="P13"),"C",IF(OR(INDEX($B$24:$B$1023,N967)="P14",INDEX($B$24:$B$1023,N967)="P15",INDEX($B$24:$B$1023,N967)="P16"),"N","O"))&amp;IF(MOD(N967,100)&lt;20,1,IF(MOD(N967,100)&lt;70,2,3))</f>
        <v>C3</v>
      </c>
    </row>
    <row r="968" spans="1:15" ht="16.5" thickBot="1">
      <c r="A968" s="662">
        <v>945</v>
      </c>
      <c r="B968" s="661" t="str" cm="1">
        <f t="array" ref="B968">"P"&amp;INDEX(X!$CL$2:$CL$12,'Scratch Sheet'!H967+1)+9</f>
        <v>P12</v>
      </c>
      <c r="C968" s="661">
        <v>1</v>
      </c>
      <c r="D968" s="755">
        <f t="shared" si="56"/>
        <v>6825</v>
      </c>
      <c r="E968" s="682" t="str">
        <f t="shared" si="57"/>
        <v>C2</v>
      </c>
      <c r="F968" s="683">
        <f t="shared" si="58"/>
        <v>6.5</v>
      </c>
      <c r="H968" s="13">
        <v>344</v>
      </c>
      <c r="I968" s="13">
        <f>VLOOKUP(VLOOKUP(H968,$A$24:$B$1023,2,FALSE),'Scratch Sheet'!$U$23:$X$32,3,FALSE)</f>
        <v>4</v>
      </c>
      <c r="K968" s="13">
        <f t="shared" si="59"/>
        <v>920</v>
      </c>
      <c r="L968" s="13">
        <f>IFERROR(VLOOKUP(VLOOKUP(K968,$A$24:$B$1023,2,FALSE),'Scratch Sheet'!$U$23:$Y$32,5,FALSE)*VLOOKUP(VLOOKUP(K968,$A$24:$E$1023,5,FALSE),'Scratch Sheet'!$L$22:$M$30,2,FALSE),"")</f>
        <v>2400</v>
      </c>
      <c r="N968" s="675">
        <v>809</v>
      </c>
      <c r="O968" s="675" t="str" cm="1">
        <f t="array" ref="O968">IF(OR(INDEX($B$24:$B$1023,N968)="P10",INDEX($B$24:$B$1023,N968)="P11",INDEX($B$24:$B$1023,N968)="P12",INDEX($B$24:$B$1023,N968)="P13"),"C",IF(OR(INDEX($B$24:$B$1023,N968)="P14",INDEX($B$24:$B$1023,N968)="P15",INDEX($B$24:$B$1023,N968)="P16"),"N","O"))&amp;IF(MOD(N968,100)&lt;20,1,IF(MOD(N968,100)&lt;70,2,3))</f>
        <v>C1</v>
      </c>
    </row>
    <row r="969" spans="1:15" ht="16.5" thickBot="1">
      <c r="A969" s="662">
        <v>946</v>
      </c>
      <c r="B969" s="661" t="str" cm="1">
        <f t="array" ref="B969">"P"&amp;INDEX(X!$CL$2:$CL$12,'Scratch Sheet'!H968+1)+9</f>
        <v>P10</v>
      </c>
      <c r="C969" s="661">
        <v>1</v>
      </c>
      <c r="D969" s="755">
        <f t="shared" si="56"/>
        <v>2400</v>
      </c>
      <c r="E969" s="682" t="str">
        <f t="shared" si="57"/>
        <v>C2</v>
      </c>
      <c r="F969" s="683">
        <f t="shared" si="58"/>
        <v>3</v>
      </c>
      <c r="H969" s="13">
        <v>230</v>
      </c>
      <c r="I969" s="13">
        <f>VLOOKUP(VLOOKUP(H969,$A$24:$B$1023,2,FALSE),'Scratch Sheet'!$U$23:$X$32,3,FALSE)</f>
        <v>11</v>
      </c>
      <c r="K969" s="13">
        <f t="shared" si="59"/>
        <v>922</v>
      </c>
      <c r="L969" s="13">
        <f>IFERROR(VLOOKUP(VLOOKUP(K969,$A$24:$B$1023,2,FALSE),'Scratch Sheet'!$U$23:$Y$32,5,FALSE)*VLOOKUP(VLOOKUP(K969,$A$24:$E$1023,5,FALSE),'Scratch Sheet'!$L$22:$M$30,2,FALSE),"")</f>
        <v>4680</v>
      </c>
      <c r="N969" s="675">
        <v>823</v>
      </c>
      <c r="O969" s="675" t="str" cm="1">
        <f t="array" ref="O969">IF(OR(INDEX($B$24:$B$1023,N969)="P10",INDEX($B$24:$B$1023,N969)="P11",INDEX($B$24:$B$1023,N969)="P12",INDEX($B$24:$B$1023,N969)="P13"),"C",IF(OR(INDEX($B$24:$B$1023,N969)="P14",INDEX($B$24:$B$1023,N969)="P15",INDEX($B$24:$B$1023,N969)="P16"),"N","O"))&amp;IF(MOD(N969,100)&lt;20,1,IF(MOD(N969,100)&lt;70,2,3))</f>
        <v>C2</v>
      </c>
    </row>
    <row r="970" spans="1:15" ht="16.5" thickBot="1">
      <c r="A970" s="662">
        <v>947</v>
      </c>
      <c r="B970" s="661" t="str" cm="1">
        <f t="array" ref="B970">"P"&amp;INDEX(X!$CL$2:$CL$12,'Scratch Sheet'!H969+1)+9</f>
        <v>P10</v>
      </c>
      <c r="C970" s="661">
        <v>1</v>
      </c>
      <c r="D970" s="755">
        <f t="shared" si="56"/>
        <v>2400</v>
      </c>
      <c r="E970" s="682" t="str">
        <f t="shared" si="57"/>
        <v>C2</v>
      </c>
      <c r="F970" s="683">
        <f t="shared" si="58"/>
        <v>3</v>
      </c>
      <c r="H970" s="13">
        <v>106</v>
      </c>
      <c r="I970" s="13">
        <f>VLOOKUP(VLOOKUP(H970,$A$24:$B$1023,2,FALSE),'Scratch Sheet'!$U$23:$X$32,3,FALSE)</f>
        <v>4</v>
      </c>
      <c r="K970" s="13">
        <f t="shared" si="59"/>
        <v>921</v>
      </c>
      <c r="L970" s="13">
        <f>IFERROR(VLOOKUP(VLOOKUP(K970,$A$24:$B$1023,2,FALSE),'Scratch Sheet'!$U$23:$Y$32,5,FALSE)*VLOOKUP(VLOOKUP(K970,$A$24:$E$1023,5,FALSE),'Scratch Sheet'!$L$22:$M$30,2,FALSE),"")</f>
        <v>11000</v>
      </c>
      <c r="N970" s="675">
        <v>826</v>
      </c>
      <c r="O970" s="675" t="str" cm="1">
        <f t="array" ref="O970">IF(OR(INDEX($B$24:$B$1023,N970)="P10",INDEX($B$24:$B$1023,N970)="P11",INDEX($B$24:$B$1023,N970)="P12",INDEX($B$24:$B$1023,N970)="P13"),"C",IF(OR(INDEX($B$24:$B$1023,N970)="P14",INDEX($B$24:$B$1023,N970)="P15",INDEX($B$24:$B$1023,N970)="P16"),"N","O"))&amp;IF(MOD(N970,100)&lt;20,1,IF(MOD(N970,100)&lt;70,2,3))</f>
        <v>C2</v>
      </c>
    </row>
    <row r="971" spans="1:15" ht="16.5" thickBot="1">
      <c r="A971" s="662">
        <v>948</v>
      </c>
      <c r="B971" s="661" t="str" cm="1">
        <f t="array" ref="B971">"P"&amp;INDEX(X!$CL$2:$CL$12,'Scratch Sheet'!H970+1)+9</f>
        <v>P11</v>
      </c>
      <c r="C971" s="661">
        <v>1</v>
      </c>
      <c r="D971" s="755">
        <f t="shared" si="56"/>
        <v>11000</v>
      </c>
      <c r="E971" s="682" t="str">
        <f t="shared" si="57"/>
        <v>C2</v>
      </c>
      <c r="F971" s="683">
        <f t="shared" si="58"/>
        <v>11</v>
      </c>
      <c r="H971" s="13">
        <v>692</v>
      </c>
      <c r="I971" s="13">
        <f>VLOOKUP(VLOOKUP(H971,$A$24:$B$1023,2,FALSE),'Scratch Sheet'!$U$23:$X$32,3,FALSE)</f>
        <v>3</v>
      </c>
      <c r="K971" s="13">
        <f t="shared" si="59"/>
        <v>924</v>
      </c>
      <c r="L971" s="13">
        <f>IFERROR(VLOOKUP(VLOOKUP(K971,$A$24:$B$1023,2,FALSE),'Scratch Sheet'!$U$23:$Y$32,5,FALSE)*VLOOKUP(VLOOKUP(K971,$A$24:$E$1023,5,FALSE),'Scratch Sheet'!$L$22:$M$30,2,FALSE),"")</f>
        <v>13200.000000000002</v>
      </c>
      <c r="N971" s="675">
        <v>833</v>
      </c>
      <c r="O971" s="675" t="str" cm="1">
        <f t="array" ref="O971">IF(OR(INDEX($B$24:$B$1023,N971)="P10",INDEX($B$24:$B$1023,N971)="P11",INDEX($B$24:$B$1023,N971)="P12",INDEX($B$24:$B$1023,N971)="P13"),"C",IF(OR(INDEX($B$24:$B$1023,N971)="P14",INDEX($B$24:$B$1023,N971)="P15",INDEX($B$24:$B$1023,N971)="P16"),"N","O"))&amp;IF(MOD(N971,100)&lt;20,1,IF(MOD(N971,100)&lt;70,2,3))</f>
        <v>C2</v>
      </c>
    </row>
    <row r="972" spans="1:15" ht="16.5" thickBot="1">
      <c r="A972" s="662">
        <v>949</v>
      </c>
      <c r="B972" s="661" t="str" cm="1">
        <f t="array" ref="B972">"P"&amp;INDEX(X!$CL$2:$CL$12,'Scratch Sheet'!H971+1)+9</f>
        <v>P18</v>
      </c>
      <c r="C972" s="661">
        <v>1</v>
      </c>
      <c r="D972" s="755">
        <f t="shared" si="56"/>
        <v>5940.0000000000009</v>
      </c>
      <c r="E972" s="682" t="str">
        <f t="shared" si="57"/>
        <v>O2</v>
      </c>
      <c r="F972" s="683">
        <f t="shared" si="58"/>
        <v>6</v>
      </c>
      <c r="H972" s="13">
        <v>851</v>
      </c>
      <c r="I972" s="13">
        <f>VLOOKUP(VLOOKUP(H972,$A$24:$B$1023,2,FALSE),'Scratch Sheet'!$U$23:$X$32,3,FALSE)</f>
        <v>5</v>
      </c>
      <c r="K972" s="13">
        <f t="shared" si="59"/>
        <v>919</v>
      </c>
      <c r="L972" s="13">
        <f>IFERROR(VLOOKUP(VLOOKUP(K972,$A$24:$B$1023,2,FALSE),'Scratch Sheet'!$U$23:$Y$32,5,FALSE)*VLOOKUP(VLOOKUP(K972,$A$24:$E$1023,5,FALSE),'Scratch Sheet'!$L$22:$M$30,2,FALSE),"")</f>
        <v>5400</v>
      </c>
      <c r="N972" s="675">
        <v>834</v>
      </c>
      <c r="O972" s="675" t="str" cm="1">
        <f t="array" ref="O972">IF(OR(INDEX($B$24:$B$1023,N972)="P10",INDEX($B$24:$B$1023,N972)="P11",INDEX($B$24:$B$1023,N972)="P12",INDEX($B$24:$B$1023,N972)="P13"),"C",IF(OR(INDEX($B$24:$B$1023,N972)="P14",INDEX($B$24:$B$1023,N972)="P15",INDEX($B$24:$B$1023,N972)="P16"),"N","O"))&amp;IF(MOD(N972,100)&lt;20,1,IF(MOD(N972,100)&lt;70,2,3))</f>
        <v>C2</v>
      </c>
    </row>
    <row r="973" spans="1:15" ht="16.5" thickBot="1">
      <c r="A973" s="662">
        <v>950</v>
      </c>
      <c r="B973" s="661" t="str" cm="1">
        <f t="array" ref="B973">"P"&amp;INDEX(X!$CL$2:$CL$12,'Scratch Sheet'!H972+1)+9</f>
        <v>P14</v>
      </c>
      <c r="C973" s="661">
        <v>1</v>
      </c>
      <c r="D973" s="755">
        <f t="shared" si="56"/>
        <v>6480</v>
      </c>
      <c r="E973" s="682" t="str">
        <f t="shared" si="57"/>
        <v>N2</v>
      </c>
      <c r="F973" s="683">
        <f t="shared" si="58"/>
        <v>8</v>
      </c>
      <c r="H973" s="13">
        <v>923</v>
      </c>
      <c r="I973" s="13">
        <f>VLOOKUP(VLOOKUP(H973,$A$24:$B$1023,2,FALSE),'Scratch Sheet'!$U$23:$X$32,3,FALSE)</f>
        <v>12</v>
      </c>
      <c r="K973" s="13">
        <f t="shared" si="59"/>
        <v>917</v>
      </c>
      <c r="L973" s="13">
        <f>IFERROR(VLOOKUP(VLOOKUP(K973,$A$24:$B$1023,2,FALSE),'Scratch Sheet'!$U$23:$Y$32,5,FALSE)*VLOOKUP(VLOOKUP(K973,$A$24:$E$1023,5,FALSE),'Scratch Sheet'!$L$22:$M$30,2,FALSE),"")</f>
        <v>2880</v>
      </c>
      <c r="N973" s="675">
        <v>840</v>
      </c>
      <c r="O973" s="675" t="str" cm="1">
        <f t="array" ref="O973">IF(OR(INDEX($B$24:$B$1023,N973)="P10",INDEX($B$24:$B$1023,N973)="P11",INDEX($B$24:$B$1023,N973)="P12",INDEX($B$24:$B$1023,N973)="P13"),"C",IF(OR(INDEX($B$24:$B$1023,N973)="P14",INDEX($B$24:$B$1023,N973)="P15",INDEX($B$24:$B$1023,N973)="P16"),"N","O"))&amp;IF(MOD(N973,100)&lt;20,1,IF(MOD(N973,100)&lt;70,2,3))</f>
        <v>C2</v>
      </c>
    </row>
    <row r="974" spans="1:15" ht="16.5" thickBot="1">
      <c r="A974" s="662">
        <v>951</v>
      </c>
      <c r="B974" s="661" t="str" cm="1">
        <f t="array" ref="B974">"P"&amp;INDEX(X!$CL$2:$CL$12,'Scratch Sheet'!H973+1)+9</f>
        <v>P10</v>
      </c>
      <c r="C974" s="661">
        <v>1</v>
      </c>
      <c r="D974" s="755">
        <f t="shared" si="56"/>
        <v>2400</v>
      </c>
      <c r="E974" s="682" t="str">
        <f t="shared" si="57"/>
        <v>C2</v>
      </c>
      <c r="F974" s="683">
        <f t="shared" si="58"/>
        <v>3</v>
      </c>
      <c r="H974" s="13">
        <v>625</v>
      </c>
      <c r="I974" s="13">
        <f>VLOOKUP(VLOOKUP(H974,$A$24:$B$1023,2,FALSE),'Scratch Sheet'!$U$23:$X$32,3,FALSE)</f>
        <v>11</v>
      </c>
      <c r="K974" s="13">
        <f t="shared" si="59"/>
        <v>918</v>
      </c>
      <c r="L974" s="13">
        <f>IFERROR(VLOOKUP(VLOOKUP(K974,$A$24:$B$1023,2,FALSE),'Scratch Sheet'!$U$23:$Y$32,5,FALSE)*VLOOKUP(VLOOKUP(K974,$A$24:$E$1023,5,FALSE),'Scratch Sheet'!$L$22:$M$30,2,FALSE),"")</f>
        <v>5400</v>
      </c>
      <c r="N974" s="675">
        <v>843</v>
      </c>
      <c r="O974" s="675" t="str" cm="1">
        <f t="array" ref="O974">IF(OR(INDEX($B$24:$B$1023,N974)="P10",INDEX($B$24:$B$1023,N974)="P11",INDEX($B$24:$B$1023,N974)="P12",INDEX($B$24:$B$1023,N974)="P13"),"C",IF(OR(INDEX($B$24:$B$1023,N974)="P14",INDEX($B$24:$B$1023,N974)="P15",INDEX($B$24:$B$1023,N974)="P16"),"N","O"))&amp;IF(MOD(N974,100)&lt;20,1,IF(MOD(N974,100)&lt;70,2,3))</f>
        <v>C2</v>
      </c>
    </row>
    <row r="975" spans="1:15" ht="16.5" thickBot="1">
      <c r="A975" s="662">
        <v>952</v>
      </c>
      <c r="B975" s="661" t="str" cm="1">
        <f t="array" ref="B975">"P"&amp;INDEX(X!$CL$2:$CL$12,'Scratch Sheet'!H974+1)+9</f>
        <v>P13</v>
      </c>
      <c r="C975" s="661">
        <v>1</v>
      </c>
      <c r="D975" s="755">
        <f t="shared" si="56"/>
        <v>4500</v>
      </c>
      <c r="E975" s="682" t="str">
        <f t="shared" si="57"/>
        <v>C2</v>
      </c>
      <c r="F975" s="683">
        <f t="shared" si="58"/>
        <v>5</v>
      </c>
      <c r="H975" s="13">
        <v>349</v>
      </c>
      <c r="I975" s="13">
        <f>VLOOKUP(VLOOKUP(H975,$A$24:$B$1023,2,FALSE),'Scratch Sheet'!$U$23:$X$32,3,FALSE)</f>
        <v>11</v>
      </c>
      <c r="K975" s="13">
        <f t="shared" si="59"/>
        <v>916</v>
      </c>
      <c r="L975" s="13">
        <f>IFERROR(VLOOKUP(VLOOKUP(K975,$A$24:$B$1023,2,FALSE),'Scratch Sheet'!$U$23:$Y$32,5,FALSE)*VLOOKUP(VLOOKUP(K975,$A$24:$E$1023,5,FALSE),'Scratch Sheet'!$L$22:$M$30,2,FALSE),"")</f>
        <v>10080</v>
      </c>
      <c r="N975" s="675">
        <v>850</v>
      </c>
      <c r="O975" s="675" t="str" cm="1">
        <f t="array" ref="O975">IF(OR(INDEX($B$24:$B$1023,N975)="P10",INDEX($B$24:$B$1023,N975)="P11",INDEX($B$24:$B$1023,N975)="P12",INDEX($B$24:$B$1023,N975)="P13"),"C",IF(OR(INDEX($B$24:$B$1023,N975)="P14",INDEX($B$24:$B$1023,N975)="P15",INDEX($B$24:$B$1023,N975)="P16"),"N","O"))&amp;IF(MOD(N975,100)&lt;20,1,IF(MOD(N975,100)&lt;70,2,3))</f>
        <v>C2</v>
      </c>
    </row>
    <row r="976" spans="1:15" ht="16.5" thickBot="1">
      <c r="A976" s="662">
        <v>953</v>
      </c>
      <c r="B976" s="661" t="str" cm="1">
        <f t="array" ref="B976">"P"&amp;INDEX(X!$CL$2:$CL$12,'Scratch Sheet'!H975+1)+9</f>
        <v>P13</v>
      </c>
      <c r="C976" s="661">
        <v>1</v>
      </c>
      <c r="D976" s="755">
        <f t="shared" si="56"/>
        <v>9000</v>
      </c>
      <c r="E976" s="682" t="str">
        <f t="shared" si="57"/>
        <v>C2</v>
      </c>
      <c r="F976" s="683">
        <f t="shared" si="58"/>
        <v>5</v>
      </c>
      <c r="H976" s="13">
        <v>104</v>
      </c>
      <c r="I976" s="13">
        <f>VLOOKUP(VLOOKUP(H976,$A$24:$B$1023,2,FALSE),'Scratch Sheet'!$U$23:$X$32,3,FALSE)</f>
        <v>3</v>
      </c>
      <c r="K976" s="13">
        <f t="shared" si="59"/>
        <v>915</v>
      </c>
      <c r="L976" s="13">
        <f>IFERROR(VLOOKUP(VLOOKUP(K976,$A$24:$B$1023,2,FALSE),'Scratch Sheet'!$U$23:$Y$32,5,FALSE)*VLOOKUP(VLOOKUP(K976,$A$24:$E$1023,5,FALSE),'Scratch Sheet'!$L$22:$M$30,2,FALSE),"")</f>
        <v>4860</v>
      </c>
      <c r="N976" s="675">
        <v>851</v>
      </c>
      <c r="O976" s="675" t="str" cm="1">
        <f t="array" ref="O976">IF(OR(INDEX($B$24:$B$1023,N976)="P10",INDEX($B$24:$B$1023,N976)="P11",INDEX($B$24:$B$1023,N976)="P12",INDEX($B$24:$B$1023,N976)="P13"),"C",IF(OR(INDEX($B$24:$B$1023,N976)="P14",INDEX($B$24:$B$1023,N976)="P15",INDEX($B$24:$B$1023,N976)="P16"),"N","O"))&amp;IF(MOD(N976,100)&lt;20,1,IF(MOD(N976,100)&lt;70,2,3))</f>
        <v>C2</v>
      </c>
    </row>
    <row r="977" spans="1:15" ht="16.5" thickBot="1">
      <c r="A977" s="662">
        <v>954</v>
      </c>
      <c r="B977" s="661" t="str" cm="1">
        <f t="array" ref="B977">"P"&amp;INDEX(X!$CL$2:$CL$12,'Scratch Sheet'!H976+1)+9</f>
        <v>P10</v>
      </c>
      <c r="C977" s="661">
        <v>1</v>
      </c>
      <c r="D977" s="755">
        <f t="shared" si="56"/>
        <v>2400</v>
      </c>
      <c r="E977" s="682" t="str">
        <f t="shared" si="57"/>
        <v>C2</v>
      </c>
      <c r="F977" s="683">
        <f t="shared" si="58"/>
        <v>3</v>
      </c>
      <c r="H977" s="13">
        <v>157</v>
      </c>
      <c r="I977" s="13">
        <f>VLOOKUP(VLOOKUP(H977,$A$24:$B$1023,2,FALSE),'Scratch Sheet'!$U$23:$X$32,3,FALSE)</f>
        <v>4</v>
      </c>
      <c r="K977" s="13">
        <f t="shared" si="59"/>
        <v>927</v>
      </c>
      <c r="L977" s="13">
        <f>IFERROR(VLOOKUP(VLOOKUP(K977,$A$24:$B$1023,2,FALSE),'Scratch Sheet'!$U$23:$Y$32,5,FALSE)*VLOOKUP(VLOOKUP(K977,$A$24:$E$1023,5,FALSE),'Scratch Sheet'!$L$22:$M$30,2,FALSE),"")</f>
        <v>11000</v>
      </c>
      <c r="N977" s="675">
        <v>857</v>
      </c>
      <c r="O977" s="675" t="str" cm="1">
        <f t="array" ref="O977">IF(OR(INDEX($B$24:$B$1023,N977)="P10",INDEX($B$24:$B$1023,N977)="P11",INDEX($B$24:$B$1023,N977)="P12",INDEX($B$24:$B$1023,N977)="P13"),"C",IF(OR(INDEX($B$24:$B$1023,N977)="P14",INDEX($B$24:$B$1023,N977)="P15",INDEX($B$24:$B$1023,N977)="P16"),"N","O"))&amp;IF(MOD(N977,100)&lt;20,1,IF(MOD(N977,100)&lt;70,2,3))</f>
        <v>C2</v>
      </c>
    </row>
    <row r="978" spans="1:15" ht="16.5" thickBot="1">
      <c r="A978" s="662">
        <v>955</v>
      </c>
      <c r="B978" s="661" t="str" cm="1">
        <f t="array" ref="B978">"P"&amp;INDEX(X!$CL$2:$CL$12,'Scratch Sheet'!H977+1)+9</f>
        <v>P11</v>
      </c>
      <c r="C978" s="661">
        <v>1</v>
      </c>
      <c r="D978" s="755">
        <f t="shared" si="56"/>
        <v>11000</v>
      </c>
      <c r="E978" s="682" t="str">
        <f t="shared" si="57"/>
        <v>C2</v>
      </c>
      <c r="F978" s="683">
        <f t="shared" si="58"/>
        <v>11</v>
      </c>
      <c r="H978" s="13">
        <v>557</v>
      </c>
      <c r="I978" s="13">
        <f>VLOOKUP(VLOOKUP(H978,$A$24:$B$1023,2,FALSE),'Scratch Sheet'!$U$23:$X$32,3,FALSE)</f>
        <v>11</v>
      </c>
      <c r="K978" s="13">
        <f t="shared" si="59"/>
        <v>936</v>
      </c>
      <c r="L978" s="13">
        <f>IFERROR(VLOOKUP(VLOOKUP(K978,$A$24:$B$1023,2,FALSE),'Scratch Sheet'!$U$23:$Y$32,5,FALSE)*VLOOKUP(VLOOKUP(K978,$A$24:$E$1023,5,FALSE),'Scratch Sheet'!$L$22:$M$30,2,FALSE),"")</f>
        <v>4500</v>
      </c>
      <c r="N978" s="675">
        <v>860</v>
      </c>
      <c r="O978" s="675" t="str" cm="1">
        <f t="array" ref="O978">IF(OR(INDEX($B$24:$B$1023,N978)="P10",INDEX($B$24:$B$1023,N978)="P11",INDEX($B$24:$B$1023,N978)="P12",INDEX($B$24:$B$1023,N978)="P13"),"C",IF(OR(INDEX($B$24:$B$1023,N978)="P14",INDEX($B$24:$B$1023,N978)="P15",INDEX($B$24:$B$1023,N978)="P16"),"N","O"))&amp;IF(MOD(N978,100)&lt;20,1,IF(MOD(N978,100)&lt;70,2,3))</f>
        <v>C2</v>
      </c>
    </row>
    <row r="979" spans="1:15" ht="16.5" thickBot="1">
      <c r="A979" s="662">
        <v>956</v>
      </c>
      <c r="B979" s="661" t="str" cm="1">
        <f t="array" ref="B979">"P"&amp;INDEX(X!$CL$2:$CL$12,'Scratch Sheet'!H978+1)+9</f>
        <v>P16</v>
      </c>
      <c r="C979" s="661">
        <v>1</v>
      </c>
      <c r="D979" s="755">
        <f t="shared" si="56"/>
        <v>4680</v>
      </c>
      <c r="E979" s="682" t="str">
        <f t="shared" si="57"/>
        <v>N2</v>
      </c>
      <c r="F979" s="683">
        <f t="shared" si="58"/>
        <v>4</v>
      </c>
      <c r="H979" s="13">
        <v>441</v>
      </c>
      <c r="I979" s="13">
        <f>VLOOKUP(VLOOKUP(H979,$A$24:$B$1023,2,FALSE),'Scratch Sheet'!$U$23:$X$32,3,FALSE)</f>
        <v>3</v>
      </c>
      <c r="K979" s="13">
        <f t="shared" si="59"/>
        <v>939</v>
      </c>
      <c r="L979" s="13">
        <f>IFERROR(VLOOKUP(VLOOKUP(K979,$A$24:$B$1023,2,FALSE),'Scratch Sheet'!$U$23:$Y$32,5,FALSE)*VLOOKUP(VLOOKUP(K979,$A$24:$E$1023,5,FALSE),'Scratch Sheet'!$L$22:$M$30,2,FALSE),"")</f>
        <v>4680</v>
      </c>
      <c r="N979" s="675">
        <v>867</v>
      </c>
      <c r="O979" s="675" t="str" cm="1">
        <f t="array" ref="O979">IF(OR(INDEX($B$24:$B$1023,N979)="P10",INDEX($B$24:$B$1023,N979)="P11",INDEX($B$24:$B$1023,N979)="P12",INDEX($B$24:$B$1023,N979)="P13"),"C",IF(OR(INDEX($B$24:$B$1023,N979)="P14",INDEX($B$24:$B$1023,N979)="P15",INDEX($B$24:$B$1023,N979)="P16"),"N","O"))&amp;IF(MOD(N979,100)&lt;20,1,IF(MOD(N979,100)&lt;70,2,3))</f>
        <v>C2</v>
      </c>
    </row>
    <row r="980" spans="1:15" ht="16.5" thickBot="1">
      <c r="A980" s="662">
        <v>957</v>
      </c>
      <c r="B980" s="661" t="str" cm="1">
        <f t="array" ref="B980">"P"&amp;INDEX(X!$CL$2:$CL$12,'Scratch Sheet'!H979+1)+9</f>
        <v>P17</v>
      </c>
      <c r="C980" s="661">
        <v>1</v>
      </c>
      <c r="D980" s="755">
        <f t="shared" si="56"/>
        <v>13200.000000000002</v>
      </c>
      <c r="E980" s="682" t="str">
        <f t="shared" si="57"/>
        <v>O2</v>
      </c>
      <c r="F980" s="683">
        <f t="shared" si="58"/>
        <v>12</v>
      </c>
      <c r="H980" s="13">
        <v>880</v>
      </c>
      <c r="I980" s="13">
        <f>VLOOKUP(VLOOKUP(H980,$A$24:$B$1023,2,FALSE),'Scratch Sheet'!$U$23:$X$32,3,FALSE)</f>
        <v>11</v>
      </c>
      <c r="K980" s="13">
        <f t="shared" si="59"/>
        <v>938</v>
      </c>
      <c r="L980" s="13">
        <f>IFERROR(VLOOKUP(VLOOKUP(K980,$A$24:$B$1023,2,FALSE),'Scratch Sheet'!$U$23:$Y$32,5,FALSE)*VLOOKUP(VLOOKUP(K980,$A$24:$E$1023,5,FALSE),'Scratch Sheet'!$L$22:$M$30,2,FALSE),"")</f>
        <v>11000</v>
      </c>
      <c r="N980" s="675">
        <v>868</v>
      </c>
      <c r="O980" s="675" t="str" cm="1">
        <f t="array" ref="O980">IF(OR(INDEX($B$24:$B$1023,N980)="P10",INDEX($B$24:$B$1023,N980)="P11",INDEX($B$24:$B$1023,N980)="P12",INDEX($B$24:$B$1023,N980)="P13"),"C",IF(OR(INDEX($B$24:$B$1023,N980)="P14",INDEX($B$24:$B$1023,N980)="P15",INDEX($B$24:$B$1023,N980)="P16"),"N","O"))&amp;IF(MOD(N980,100)&lt;20,1,IF(MOD(N980,100)&lt;70,2,3))</f>
        <v>C2</v>
      </c>
    </row>
    <row r="981" spans="1:15" ht="16.5" thickBot="1">
      <c r="A981" s="662">
        <v>958</v>
      </c>
      <c r="B981" s="661" t="str" cm="1">
        <f t="array" ref="B981">"P"&amp;INDEX(X!$CL$2:$CL$12,'Scratch Sheet'!H980+1)+9</f>
        <v>P17</v>
      </c>
      <c r="C981" s="661">
        <v>1</v>
      </c>
      <c r="D981" s="755">
        <f t="shared" si="56"/>
        <v>13200.000000000002</v>
      </c>
      <c r="E981" s="682" t="str">
        <f t="shared" si="57"/>
        <v>O2</v>
      </c>
      <c r="F981" s="683">
        <f t="shared" si="58"/>
        <v>12</v>
      </c>
      <c r="H981" s="13">
        <v>72</v>
      </c>
      <c r="I981" s="13">
        <f>VLOOKUP(VLOOKUP(H981,$A$24:$B$1023,2,FALSE),'Scratch Sheet'!$U$23:$X$32,3,FALSE)</f>
        <v>11</v>
      </c>
      <c r="K981" s="13">
        <f t="shared" si="59"/>
        <v>933</v>
      </c>
      <c r="L981" s="13">
        <f>IFERROR(VLOOKUP(VLOOKUP(K981,$A$24:$B$1023,2,FALSE),'Scratch Sheet'!$U$23:$Y$32,5,FALSE)*VLOOKUP(VLOOKUP(K981,$A$24:$E$1023,5,FALSE),'Scratch Sheet'!$L$22:$M$30,2,FALSE),"")</f>
        <v>6480</v>
      </c>
      <c r="N981" s="675">
        <v>874</v>
      </c>
      <c r="O981" s="675" t="str" cm="1">
        <f t="array" ref="O981">IF(OR(INDEX($B$24:$B$1023,N981)="P10",INDEX($B$24:$B$1023,N981)="P11",INDEX($B$24:$B$1023,N981)="P12",INDEX($B$24:$B$1023,N981)="P13"),"C",IF(OR(INDEX($B$24:$B$1023,N981)="P14",INDEX($B$24:$B$1023,N981)="P15",INDEX($B$24:$B$1023,N981)="P16"),"N","O"))&amp;IF(MOD(N981,100)&lt;20,1,IF(MOD(N981,100)&lt;70,2,3))</f>
        <v>C3</v>
      </c>
    </row>
    <row r="982" spans="1:15" ht="16.5" thickBot="1">
      <c r="A982" s="662">
        <v>959</v>
      </c>
      <c r="B982" s="661" t="str" cm="1">
        <f t="array" ref="B982">"P"&amp;INDEX(X!$CL$2:$CL$12,'Scratch Sheet'!H981+1)+9</f>
        <v>P13</v>
      </c>
      <c r="C982" s="661">
        <v>1</v>
      </c>
      <c r="D982" s="755">
        <f t="shared" si="56"/>
        <v>4500</v>
      </c>
      <c r="E982" s="682" t="str">
        <f t="shared" si="57"/>
        <v>C2</v>
      </c>
      <c r="F982" s="683">
        <f t="shared" si="58"/>
        <v>5</v>
      </c>
      <c r="H982" s="13">
        <v>791</v>
      </c>
      <c r="I982" s="13">
        <f>VLOOKUP(VLOOKUP(H982,$A$24:$B$1023,2,FALSE),'Scratch Sheet'!$U$23:$X$32,3,FALSE)</f>
        <v>11</v>
      </c>
      <c r="K982" s="13">
        <f t="shared" si="59"/>
        <v>935</v>
      </c>
      <c r="L982" s="13">
        <f>IFERROR(VLOOKUP(VLOOKUP(K982,$A$24:$B$1023,2,FALSE),'Scratch Sheet'!$U$23:$Y$32,5,FALSE)*VLOOKUP(VLOOKUP(K982,$A$24:$E$1023,5,FALSE),'Scratch Sheet'!$L$22:$M$30,2,FALSE),"")</f>
        <v>4500</v>
      </c>
      <c r="N982" s="675">
        <v>877</v>
      </c>
      <c r="O982" s="675" t="str" cm="1">
        <f t="array" ref="O982">IF(OR(INDEX($B$24:$B$1023,N982)="P10",INDEX($B$24:$B$1023,N982)="P11",INDEX($B$24:$B$1023,N982)="P12",INDEX($B$24:$B$1023,N982)="P13"),"C",IF(OR(INDEX($B$24:$B$1023,N982)="P14",INDEX($B$24:$B$1023,N982)="P15",INDEX($B$24:$B$1023,N982)="P16"),"N","O"))&amp;IF(MOD(N982,100)&lt;20,1,IF(MOD(N982,100)&lt;70,2,3))</f>
        <v>C3</v>
      </c>
    </row>
    <row r="983" spans="1:15" ht="16.5" thickBot="1">
      <c r="A983" s="662">
        <v>960</v>
      </c>
      <c r="B983" s="661" t="str" cm="1">
        <f t="array" ref="B983">"P"&amp;INDEX(X!$CL$2:$CL$12,'Scratch Sheet'!H982+1)+9</f>
        <v>P11</v>
      </c>
      <c r="C983" s="661">
        <v>1</v>
      </c>
      <c r="D983" s="755">
        <f t="shared" si="56"/>
        <v>11000</v>
      </c>
      <c r="E983" s="682" t="str">
        <f t="shared" si="57"/>
        <v>C2</v>
      </c>
      <c r="F983" s="683">
        <f t="shared" si="58"/>
        <v>11</v>
      </c>
      <c r="H983" s="13">
        <v>717</v>
      </c>
      <c r="I983" s="13">
        <f>VLOOKUP(VLOOKUP(H983,$A$24:$B$1023,2,FALSE),'Scratch Sheet'!$U$23:$X$32,3,FALSE)</f>
        <v>11</v>
      </c>
      <c r="K983" s="13">
        <f t="shared" si="59"/>
        <v>934</v>
      </c>
      <c r="L983" s="13">
        <f>IFERROR(VLOOKUP(VLOOKUP(K983,$A$24:$B$1023,2,FALSE),'Scratch Sheet'!$U$23:$Y$32,5,FALSE)*VLOOKUP(VLOOKUP(K983,$A$24:$E$1023,5,FALSE),'Scratch Sheet'!$L$22:$M$30,2,FALSE),"")</f>
        <v>2400</v>
      </c>
      <c r="N983" s="675">
        <v>882</v>
      </c>
      <c r="O983" s="675" t="str" cm="1">
        <f t="array" ref="O983">IF(OR(INDEX($B$24:$B$1023,N983)="P10",INDEX($B$24:$B$1023,N983)="P11",INDEX($B$24:$B$1023,N983)="P12",INDEX($B$24:$B$1023,N983)="P13"),"C",IF(OR(INDEX($B$24:$B$1023,N983)="P14",INDEX($B$24:$B$1023,N983)="P15",INDEX($B$24:$B$1023,N983)="P16"),"N","O"))&amp;IF(MOD(N983,100)&lt;20,1,IF(MOD(N983,100)&lt;70,2,3))</f>
        <v>N3</v>
      </c>
    </row>
    <row r="984" spans="1:15" ht="16.5" thickBot="1">
      <c r="A984" s="662">
        <v>961</v>
      </c>
      <c r="B984" s="661" t="str" cm="1">
        <f t="array" ref="B984">"P"&amp;INDEX(X!$CL$2:$CL$12,'Scratch Sheet'!H983+1)+9</f>
        <v>P11</v>
      </c>
      <c r="C984" s="661">
        <v>1</v>
      </c>
      <c r="D984" s="755">
        <f t="shared" si="56"/>
        <v>11000</v>
      </c>
      <c r="E984" s="682" t="str">
        <f t="shared" si="57"/>
        <v>C2</v>
      </c>
      <c r="F984" s="683">
        <f t="shared" si="58"/>
        <v>11</v>
      </c>
      <c r="H984" s="13">
        <v>456</v>
      </c>
      <c r="I984" s="13">
        <f>VLOOKUP(VLOOKUP(H984,$A$24:$B$1023,2,FALSE),'Scratch Sheet'!$U$23:$X$32,3,FALSE)</f>
        <v>6</v>
      </c>
      <c r="K984" s="13">
        <f t="shared" si="59"/>
        <v>937</v>
      </c>
      <c r="L984" s="13">
        <f>IFERROR(VLOOKUP(VLOOKUP(K984,$A$24:$B$1023,2,FALSE),'Scratch Sheet'!$U$23:$Y$32,5,FALSE)*VLOOKUP(VLOOKUP(K984,$A$24:$E$1023,5,FALSE),'Scratch Sheet'!$L$22:$M$30,2,FALSE),"")</f>
        <v>2400</v>
      </c>
      <c r="N984" s="675">
        <v>884</v>
      </c>
      <c r="O984" s="675" t="str" cm="1">
        <f t="array" ref="O984">IF(OR(INDEX($B$24:$B$1023,N984)="P10",INDEX($B$24:$B$1023,N984)="P11",INDEX($B$24:$B$1023,N984)="P12",INDEX($B$24:$B$1023,N984)="P13"),"C",IF(OR(INDEX($B$24:$B$1023,N984)="P14",INDEX($B$24:$B$1023,N984)="P15",INDEX($B$24:$B$1023,N984)="P16"),"N","O"))&amp;IF(MOD(N984,100)&lt;20,1,IF(MOD(N984,100)&lt;70,2,3))</f>
        <v>C3</v>
      </c>
    </row>
    <row r="985" spans="1:15" ht="16.5" thickBot="1">
      <c r="A985" s="662">
        <v>962</v>
      </c>
      <c r="B985" s="661" t="str" cm="1">
        <f t="array" ref="B985">"P"&amp;INDEX(X!$CL$2:$CL$12,'Scratch Sheet'!H984+1)+9</f>
        <v>P12</v>
      </c>
      <c r="C985" s="661">
        <v>1</v>
      </c>
      <c r="D985" s="755">
        <f t="shared" ref="D985:D1023" si="60">SUMIF($K$24:$K$1053, $A985, $L$24:$L$1053)</f>
        <v>6825</v>
      </c>
      <c r="E985" s="682" t="str">
        <f t="shared" ref="E985:E1023" si="61">INDEX($O$24:$O$1023,MATCH($A985,$N$24:$N$1023,0))</f>
        <v>C2</v>
      </c>
      <c r="F985" s="683">
        <f t="shared" ref="F985:F1023" si="62">VLOOKUP(A985, $H$24:$I$1023, 2, FALSE)</f>
        <v>6.5</v>
      </c>
      <c r="H985" s="13">
        <v>56</v>
      </c>
      <c r="I985" s="13">
        <f>VLOOKUP(VLOOKUP(H985,$A$24:$B$1023,2,FALSE),'Scratch Sheet'!$U$23:$X$32,3,FALSE)</f>
        <v>5</v>
      </c>
      <c r="K985" s="13">
        <f t="shared" si="59"/>
        <v>932</v>
      </c>
      <c r="L985" s="13">
        <f>IFERROR(VLOOKUP(VLOOKUP(K985,$A$24:$B$1023,2,FALSE),'Scratch Sheet'!$U$23:$Y$32,5,FALSE)*VLOOKUP(VLOOKUP(K985,$A$24:$E$1023,5,FALSE),'Scratch Sheet'!$L$22:$M$30,2,FALSE),"")</f>
        <v>5940.0000000000009</v>
      </c>
      <c r="N985" s="675">
        <v>885</v>
      </c>
      <c r="O985" s="675" t="str" cm="1">
        <f t="array" ref="O985">IF(OR(INDEX($B$24:$B$1023,N985)="P10",INDEX($B$24:$B$1023,N985)="P11",INDEX($B$24:$B$1023,N985)="P12",INDEX($B$24:$B$1023,N985)="P13"),"C",IF(OR(INDEX($B$24:$B$1023,N985)="P14",INDEX($B$24:$B$1023,N985)="P15",INDEX($B$24:$B$1023,N985)="P16"),"N","O"))&amp;IF(MOD(N985,100)&lt;20,1,IF(MOD(N985,100)&lt;70,2,3))</f>
        <v>C3</v>
      </c>
    </row>
    <row r="986" spans="1:15" ht="16.5" thickBot="1">
      <c r="A986" s="662">
        <v>963</v>
      </c>
      <c r="B986" s="661" t="str" cm="1">
        <f t="array" ref="B986">"P"&amp;INDEX(X!$CL$2:$CL$12,'Scratch Sheet'!H985+1)+9</f>
        <v>P10</v>
      </c>
      <c r="C986" s="661">
        <v>1</v>
      </c>
      <c r="D986" s="755">
        <f t="shared" si="60"/>
        <v>2400</v>
      </c>
      <c r="E986" s="682" t="str">
        <f t="shared" si="61"/>
        <v>C2</v>
      </c>
      <c r="F986" s="683">
        <f t="shared" si="62"/>
        <v>3</v>
      </c>
      <c r="H986" s="13">
        <v>882</v>
      </c>
      <c r="I986" s="13">
        <f>VLOOKUP(VLOOKUP(H986,$A$24:$B$1023,2,FALSE),'Scratch Sheet'!$U$23:$X$32,3,FALSE)</f>
        <v>8</v>
      </c>
      <c r="K986" s="13">
        <f t="shared" si="59"/>
        <v>930</v>
      </c>
      <c r="L986" s="13">
        <f>IFERROR(VLOOKUP(VLOOKUP(K986,$A$24:$B$1023,2,FALSE),'Scratch Sheet'!$U$23:$Y$32,5,FALSE)*VLOOKUP(VLOOKUP(K986,$A$24:$E$1023,5,FALSE),'Scratch Sheet'!$L$22:$M$30,2,FALSE),"")</f>
        <v>2400</v>
      </c>
      <c r="N986" s="675">
        <v>891</v>
      </c>
      <c r="O986" s="675" t="str" cm="1">
        <f t="array" ref="O986">IF(OR(INDEX($B$24:$B$1023,N986)="P10",INDEX($B$24:$B$1023,N986)="P11",INDEX($B$24:$B$1023,N986)="P12",INDEX($B$24:$B$1023,N986)="P13"),"C",IF(OR(INDEX($B$24:$B$1023,N986)="P14",INDEX($B$24:$B$1023,N986)="P15",INDEX($B$24:$B$1023,N986)="P16"),"N","O"))&amp;IF(MOD(N986,100)&lt;20,1,IF(MOD(N986,100)&lt;70,2,3))</f>
        <v>C3</v>
      </c>
    </row>
    <row r="987" spans="1:15" ht="16.5" thickBot="1">
      <c r="A987" s="662">
        <v>964</v>
      </c>
      <c r="B987" s="661" t="str" cm="1">
        <f t="array" ref="B987">"P"&amp;INDEX(X!$CL$2:$CL$12,'Scratch Sheet'!H986+1)+9</f>
        <v>P10</v>
      </c>
      <c r="C987" s="661">
        <v>1</v>
      </c>
      <c r="D987" s="755">
        <f t="shared" si="60"/>
        <v>2400</v>
      </c>
      <c r="E987" s="682" t="str">
        <f t="shared" si="61"/>
        <v>C2</v>
      </c>
      <c r="F987" s="683">
        <f t="shared" si="62"/>
        <v>3</v>
      </c>
      <c r="H987" s="13">
        <v>641</v>
      </c>
      <c r="I987" s="13">
        <f>VLOOKUP(VLOOKUP(H987,$A$24:$B$1023,2,FALSE),'Scratch Sheet'!$U$23:$X$32,3,FALSE)</f>
        <v>3</v>
      </c>
      <c r="K987" s="13">
        <f t="shared" si="59"/>
        <v>931</v>
      </c>
      <c r="L987" s="13">
        <f>IFERROR(VLOOKUP(VLOOKUP(K987,$A$24:$B$1023,2,FALSE),'Scratch Sheet'!$U$23:$Y$32,5,FALSE)*VLOOKUP(VLOOKUP(K987,$A$24:$E$1023,5,FALSE),'Scratch Sheet'!$L$22:$M$30,2,FALSE),"")</f>
        <v>11000</v>
      </c>
      <c r="N987" s="675">
        <v>894</v>
      </c>
      <c r="O987" s="675" t="str" cm="1">
        <f t="array" ref="O987">IF(OR(INDEX($B$24:$B$1023,N987)="P10",INDEX($B$24:$B$1023,N987)="P11",INDEX($B$24:$B$1023,N987)="P12",INDEX($B$24:$B$1023,N987)="P13"),"C",IF(OR(INDEX($B$24:$B$1023,N987)="P14",INDEX($B$24:$B$1023,N987)="P15",INDEX($B$24:$B$1023,N987)="P16"),"N","O"))&amp;IF(MOD(N987,100)&lt;20,1,IF(MOD(N987,100)&lt;70,2,3))</f>
        <v>C3</v>
      </c>
    </row>
    <row r="988" spans="1:15" ht="16.5" thickBot="1">
      <c r="A988" s="662">
        <v>965</v>
      </c>
      <c r="B988" s="661" t="str" cm="1">
        <f t="array" ref="B988">"P"&amp;INDEX(X!$CL$2:$CL$12,'Scratch Sheet'!H987+1)+9</f>
        <v>P11</v>
      </c>
      <c r="C988" s="661">
        <v>1</v>
      </c>
      <c r="D988" s="755">
        <f t="shared" si="60"/>
        <v>11000</v>
      </c>
      <c r="E988" s="682" t="str">
        <f t="shared" si="61"/>
        <v>C2</v>
      </c>
      <c r="F988" s="683">
        <f t="shared" si="62"/>
        <v>11</v>
      </c>
      <c r="H988" s="13">
        <v>611</v>
      </c>
      <c r="I988" s="13">
        <f>VLOOKUP(VLOOKUP(H988,$A$24:$B$1023,2,FALSE),'Scratch Sheet'!$U$23:$X$32,3,FALSE)</f>
        <v>3</v>
      </c>
      <c r="K988" s="13">
        <f t="shared" si="59"/>
        <v>929</v>
      </c>
      <c r="L988" s="13">
        <f>IFERROR(VLOOKUP(VLOOKUP(K988,$A$24:$B$1023,2,FALSE),'Scratch Sheet'!$U$23:$Y$32,5,FALSE)*VLOOKUP(VLOOKUP(K988,$A$24:$E$1023,5,FALSE),'Scratch Sheet'!$L$22:$M$30,2,FALSE),"")</f>
        <v>2400</v>
      </c>
      <c r="N988" s="675">
        <v>899</v>
      </c>
      <c r="O988" s="675" t="str" cm="1">
        <f t="array" ref="O988">IF(OR(INDEX($B$24:$B$1023,N988)="P10",INDEX($B$24:$B$1023,N988)="P11",INDEX($B$24:$B$1023,N988)="P12",INDEX($B$24:$B$1023,N988)="P13"),"C",IF(OR(INDEX($B$24:$B$1023,N988)="P14",INDEX($B$24:$B$1023,N988)="P15",INDEX($B$24:$B$1023,N988)="P16"),"N","O"))&amp;IF(MOD(N988,100)&lt;20,1,IF(MOD(N988,100)&lt;70,2,3))</f>
        <v>N3</v>
      </c>
    </row>
    <row r="989" spans="1:15" ht="16.5" thickBot="1">
      <c r="A989" s="662">
        <v>966</v>
      </c>
      <c r="B989" s="661" t="str" cm="1">
        <f t="array" ref="B989">"P"&amp;INDEX(X!$CL$2:$CL$12,'Scratch Sheet'!H988+1)+9</f>
        <v>P18</v>
      </c>
      <c r="C989" s="661">
        <v>1</v>
      </c>
      <c r="D989" s="755">
        <f t="shared" si="60"/>
        <v>5940.0000000000009</v>
      </c>
      <c r="E989" s="682" t="str">
        <f t="shared" si="61"/>
        <v>O2</v>
      </c>
      <c r="F989" s="683">
        <f t="shared" si="62"/>
        <v>6</v>
      </c>
      <c r="H989" s="13">
        <v>407</v>
      </c>
      <c r="I989" s="13">
        <f>VLOOKUP(VLOOKUP(H989,$A$24:$B$1023,2,FALSE),'Scratch Sheet'!$U$23:$X$32,3,FALSE)</f>
        <v>3</v>
      </c>
      <c r="K989" s="13">
        <f t="shared" si="59"/>
        <v>928</v>
      </c>
      <c r="L989" s="13">
        <f>IFERROR(VLOOKUP(VLOOKUP(K989,$A$24:$B$1023,2,FALSE),'Scratch Sheet'!$U$23:$Y$32,5,FALSE)*VLOOKUP(VLOOKUP(K989,$A$24:$E$1023,5,FALSE),'Scratch Sheet'!$L$22:$M$30,2,FALSE),"")</f>
        <v>6825</v>
      </c>
      <c r="N989" s="675">
        <v>901</v>
      </c>
      <c r="O989" s="675" t="str" cm="1">
        <f t="array" ref="O989">IF(OR(INDEX($B$24:$B$1023,N989)="P10",INDEX($B$24:$B$1023,N989)="P11",INDEX($B$24:$B$1023,N989)="P12",INDEX($B$24:$B$1023,N989)="P13"),"C",IF(OR(INDEX($B$24:$B$1023,N989)="P14",INDEX($B$24:$B$1023,N989)="P15",INDEX($B$24:$B$1023,N989)="P16"),"N","O"))&amp;IF(MOD(N989,100)&lt;20,1,IF(MOD(N989,100)&lt;70,2,3))</f>
        <v>C1</v>
      </c>
    </row>
    <row r="990" spans="1:15" ht="16.5" thickBot="1">
      <c r="A990" s="662">
        <v>967</v>
      </c>
      <c r="B990" s="661" t="str" cm="1">
        <f t="array" ref="B990">"P"&amp;INDEX(X!$CL$2:$CL$12,'Scratch Sheet'!H989+1)+9</f>
        <v>P14</v>
      </c>
      <c r="C990" s="661">
        <v>1</v>
      </c>
      <c r="D990" s="755">
        <f t="shared" si="60"/>
        <v>6480</v>
      </c>
      <c r="E990" s="682" t="str">
        <f t="shared" si="61"/>
        <v>N2</v>
      </c>
      <c r="F990" s="683">
        <f t="shared" si="62"/>
        <v>8</v>
      </c>
      <c r="H990" s="13">
        <v>224</v>
      </c>
      <c r="I990" s="13">
        <f>VLOOKUP(VLOOKUP(H990,$A$24:$B$1023,2,FALSE),'Scratch Sheet'!$U$23:$X$32,3,FALSE)</f>
        <v>11</v>
      </c>
      <c r="K990" s="13">
        <f t="shared" si="59"/>
        <v>947</v>
      </c>
      <c r="L990" s="13">
        <f>IFERROR(VLOOKUP(VLOOKUP(K990,$A$24:$B$1023,2,FALSE),'Scratch Sheet'!$U$23:$Y$32,5,FALSE)*VLOOKUP(VLOOKUP(K990,$A$24:$E$1023,5,FALSE),'Scratch Sheet'!$L$22:$M$30,2,FALSE),"")</f>
        <v>2400</v>
      </c>
      <c r="N990" s="675">
        <v>902</v>
      </c>
      <c r="O990" s="675" t="str" cm="1">
        <f t="array" ref="O990">IF(OR(INDEX($B$24:$B$1023,N990)="P10",INDEX($B$24:$B$1023,N990)="P11",INDEX($B$24:$B$1023,N990)="P12",INDEX($B$24:$B$1023,N990)="P13"),"C",IF(OR(INDEX($B$24:$B$1023,N990)="P14",INDEX($B$24:$B$1023,N990)="P15",INDEX($B$24:$B$1023,N990)="P16"),"N","O"))&amp;IF(MOD(N990,100)&lt;20,1,IF(MOD(N990,100)&lt;70,2,3))</f>
        <v>C1</v>
      </c>
    </row>
    <row r="991" spans="1:15" ht="16.5" thickBot="1">
      <c r="A991" s="662">
        <v>968</v>
      </c>
      <c r="B991" s="661" t="str" cm="1">
        <f t="array" ref="B991">"P"&amp;INDEX(X!$CL$2:$CL$12,'Scratch Sheet'!H990+1)+9</f>
        <v>P10</v>
      </c>
      <c r="C991" s="661">
        <v>1</v>
      </c>
      <c r="D991" s="755">
        <f t="shared" si="60"/>
        <v>2400</v>
      </c>
      <c r="E991" s="682" t="str">
        <f t="shared" si="61"/>
        <v>C2</v>
      </c>
      <c r="F991" s="683">
        <f t="shared" si="62"/>
        <v>3</v>
      </c>
      <c r="H991" s="13">
        <v>998</v>
      </c>
      <c r="I991" s="13">
        <f>VLOOKUP(VLOOKUP(H991,$A$24:$B$1023,2,FALSE),'Scratch Sheet'!$U$23:$X$32,3,FALSE)</f>
        <v>3</v>
      </c>
      <c r="K991" s="13">
        <f t="shared" si="59"/>
        <v>950</v>
      </c>
      <c r="L991" s="13">
        <f>IFERROR(VLOOKUP(VLOOKUP(K991,$A$24:$B$1023,2,FALSE),'Scratch Sheet'!$U$23:$Y$32,5,FALSE)*VLOOKUP(VLOOKUP(K991,$A$24:$E$1023,5,FALSE),'Scratch Sheet'!$L$22:$M$30,2,FALSE),"")</f>
        <v>6480</v>
      </c>
      <c r="N991" s="675">
        <v>908</v>
      </c>
      <c r="O991" s="675" t="str" cm="1">
        <f t="array" ref="O991">IF(OR(INDEX($B$24:$B$1023,N991)="P10",INDEX($B$24:$B$1023,N991)="P11",INDEX($B$24:$B$1023,N991)="P12",INDEX($B$24:$B$1023,N991)="P13"),"C",IF(OR(INDEX($B$24:$B$1023,N991)="P14",INDEX($B$24:$B$1023,N991)="P15",INDEX($B$24:$B$1023,N991)="P16"),"N","O"))&amp;IF(MOD(N991,100)&lt;20,1,IF(MOD(N991,100)&lt;70,2,3))</f>
        <v>C1</v>
      </c>
    </row>
    <row r="992" spans="1:15" ht="16.5" thickBot="1">
      <c r="A992" s="662">
        <v>969</v>
      </c>
      <c r="B992" s="661" t="str" cm="1">
        <f t="array" ref="B992">"P"&amp;INDEX(X!$CL$2:$CL$12,'Scratch Sheet'!H991+1)+9</f>
        <v>P13</v>
      </c>
      <c r="C992" s="661">
        <v>1</v>
      </c>
      <c r="D992" s="755">
        <f t="shared" si="60"/>
        <v>4500</v>
      </c>
      <c r="E992" s="682" t="str">
        <f t="shared" si="61"/>
        <v>C2</v>
      </c>
      <c r="F992" s="683">
        <f t="shared" si="62"/>
        <v>5</v>
      </c>
      <c r="H992" s="13">
        <v>524</v>
      </c>
      <c r="I992" s="13">
        <f>VLOOKUP(VLOOKUP(H992,$A$24:$B$1023,2,FALSE),'Scratch Sheet'!$U$23:$X$32,3,FALSE)</f>
        <v>6</v>
      </c>
      <c r="K992" s="13">
        <f t="shared" si="59"/>
        <v>949</v>
      </c>
      <c r="L992" s="13">
        <f>IFERROR(VLOOKUP(VLOOKUP(K992,$A$24:$B$1023,2,FALSE),'Scratch Sheet'!$U$23:$Y$32,5,FALSE)*VLOOKUP(VLOOKUP(K992,$A$24:$E$1023,5,FALSE),'Scratch Sheet'!$L$22:$M$30,2,FALSE),"")</f>
        <v>5940.0000000000009</v>
      </c>
      <c r="N992" s="675">
        <v>911</v>
      </c>
      <c r="O992" s="675" t="str" cm="1">
        <f t="array" ref="O992">IF(OR(INDEX($B$24:$B$1023,N992)="P10",INDEX($B$24:$B$1023,N992)="P11",INDEX($B$24:$B$1023,N992)="P12",INDEX($B$24:$B$1023,N992)="P13"),"C",IF(OR(INDEX($B$24:$B$1023,N992)="P14",INDEX($B$24:$B$1023,N992)="P15",INDEX($B$24:$B$1023,N992)="P16"),"N","O"))&amp;IF(MOD(N992,100)&lt;20,1,IF(MOD(N992,100)&lt;70,2,3))</f>
        <v>C1</v>
      </c>
    </row>
    <row r="993" spans="1:15" ht="16.5" thickBot="1">
      <c r="A993" s="662">
        <v>970</v>
      </c>
      <c r="B993" s="661" t="str" cm="1">
        <f t="array" ref="B993">"P"&amp;INDEX(X!$CL$2:$CL$12,'Scratch Sheet'!H992+1)+9</f>
        <v>P13</v>
      </c>
      <c r="C993" s="661">
        <v>1</v>
      </c>
      <c r="D993" s="755">
        <f t="shared" si="60"/>
        <v>3600</v>
      </c>
      <c r="E993" s="682" t="str">
        <f t="shared" si="61"/>
        <v>C3</v>
      </c>
      <c r="F993" s="683">
        <f t="shared" si="62"/>
        <v>5</v>
      </c>
      <c r="H993" s="13">
        <v>868</v>
      </c>
      <c r="I993" s="13">
        <f>VLOOKUP(VLOOKUP(H993,$A$24:$B$1023,2,FALSE),'Scratch Sheet'!$U$23:$X$32,3,FALSE)</f>
        <v>5</v>
      </c>
      <c r="K993" s="13">
        <f t="shared" si="59"/>
        <v>944</v>
      </c>
      <c r="L993" s="13">
        <f>IFERROR(VLOOKUP(VLOOKUP(K993,$A$24:$B$1023,2,FALSE),'Scratch Sheet'!$U$23:$Y$32,5,FALSE)*VLOOKUP(VLOOKUP(K993,$A$24:$E$1023,5,FALSE),'Scratch Sheet'!$L$22:$M$30,2,FALSE),"")</f>
        <v>11000</v>
      </c>
      <c r="N993" s="675">
        <v>916</v>
      </c>
      <c r="O993" s="675" t="str" cm="1">
        <f t="array" ref="O993">IF(OR(INDEX($B$24:$B$1023,N993)="P10",INDEX($B$24:$B$1023,N993)="P11",INDEX($B$24:$B$1023,N993)="P12",INDEX($B$24:$B$1023,N993)="P13"),"C",IF(OR(INDEX($B$24:$B$1023,N993)="P14",INDEX($B$24:$B$1023,N993)="P15",INDEX($B$24:$B$1023,N993)="P16"),"N","O"))&amp;IF(MOD(N993,100)&lt;20,1,IF(MOD(N993,100)&lt;70,2,3))</f>
        <v>N1</v>
      </c>
    </row>
    <row r="994" spans="1:15" ht="16.5" thickBot="1">
      <c r="A994" s="662">
        <v>971</v>
      </c>
      <c r="B994" s="661" t="str" cm="1">
        <f t="array" ref="B994">"P"&amp;INDEX(X!$CL$2:$CL$12,'Scratch Sheet'!H993+1)+9</f>
        <v>P10</v>
      </c>
      <c r="C994" s="661">
        <v>1</v>
      </c>
      <c r="D994" s="755">
        <f t="shared" si="60"/>
        <v>1920</v>
      </c>
      <c r="E994" s="682" t="str">
        <f t="shared" si="61"/>
        <v>C3</v>
      </c>
      <c r="F994" s="683">
        <f t="shared" si="62"/>
        <v>3</v>
      </c>
      <c r="H994" s="13">
        <v>368</v>
      </c>
      <c r="I994" s="13">
        <f>VLOOKUP(VLOOKUP(H994,$A$24:$B$1023,2,FALSE),'Scratch Sheet'!$U$23:$X$32,3,FALSE)</f>
        <v>3</v>
      </c>
      <c r="K994" s="13">
        <f t="shared" si="59"/>
        <v>946</v>
      </c>
      <c r="L994" s="13">
        <f>IFERROR(VLOOKUP(VLOOKUP(K994,$A$24:$B$1023,2,FALSE),'Scratch Sheet'!$U$23:$Y$32,5,FALSE)*VLOOKUP(VLOOKUP(K994,$A$24:$E$1023,5,FALSE),'Scratch Sheet'!$L$22:$M$30,2,FALSE),"")</f>
        <v>2400</v>
      </c>
      <c r="N994" s="675">
        <v>918</v>
      </c>
      <c r="O994" s="675" t="str" cm="1">
        <f t="array" ref="O994">IF(OR(INDEX($B$24:$B$1023,N994)="P10",INDEX($B$24:$B$1023,N994)="P11",INDEX($B$24:$B$1023,N994)="P12",INDEX($B$24:$B$1023,N994)="P13"),"C",IF(OR(INDEX($B$24:$B$1023,N994)="P14",INDEX($B$24:$B$1023,N994)="P15",INDEX($B$24:$B$1023,N994)="P16"),"N","O"))&amp;IF(MOD(N994,100)&lt;20,1,IF(MOD(N994,100)&lt;70,2,3))</f>
        <v>C1</v>
      </c>
    </row>
    <row r="995" spans="1:15" ht="16.5" thickBot="1">
      <c r="A995" s="662">
        <v>972</v>
      </c>
      <c r="B995" s="661" t="str" cm="1">
        <f t="array" ref="B995">"P"&amp;INDEX(X!$CL$2:$CL$12,'Scratch Sheet'!H994+1)+9</f>
        <v>P11</v>
      </c>
      <c r="C995" s="661">
        <v>1</v>
      </c>
      <c r="D995" s="755">
        <f t="shared" si="60"/>
        <v>8800</v>
      </c>
      <c r="E995" s="682" t="str">
        <f t="shared" si="61"/>
        <v>C3</v>
      </c>
      <c r="F995" s="683">
        <f t="shared" si="62"/>
        <v>11</v>
      </c>
      <c r="H995" s="13">
        <v>379</v>
      </c>
      <c r="I995" s="13">
        <f>VLOOKUP(VLOOKUP(H995,$A$24:$B$1023,2,FALSE),'Scratch Sheet'!$U$23:$X$32,3,FALSE)</f>
        <v>12</v>
      </c>
      <c r="K995" s="13">
        <f t="shared" si="59"/>
        <v>945</v>
      </c>
      <c r="L995" s="13">
        <f>IFERROR(VLOOKUP(VLOOKUP(K995,$A$24:$B$1023,2,FALSE),'Scratch Sheet'!$U$23:$Y$32,5,FALSE)*VLOOKUP(VLOOKUP(K995,$A$24:$E$1023,5,FALSE),'Scratch Sheet'!$L$22:$M$30,2,FALSE),"")</f>
        <v>6825</v>
      </c>
      <c r="N995" s="675">
        <v>919</v>
      </c>
      <c r="O995" s="675" t="str" cm="1">
        <f t="array" ref="O995">IF(OR(INDEX($B$24:$B$1023,N995)="P10",INDEX($B$24:$B$1023,N995)="P11",INDEX($B$24:$B$1023,N995)="P12",INDEX($B$24:$B$1023,N995)="P13"),"C",IF(OR(INDEX($B$24:$B$1023,N995)="P14",INDEX($B$24:$B$1023,N995)="P15",INDEX($B$24:$B$1023,N995)="P16"),"N","O"))&amp;IF(MOD(N995,100)&lt;20,1,IF(MOD(N995,100)&lt;70,2,3))</f>
        <v>C1</v>
      </c>
    </row>
    <row r="996" spans="1:15" ht="16.5" thickBot="1">
      <c r="A996" s="662">
        <v>973</v>
      </c>
      <c r="B996" s="661" t="str" cm="1">
        <f t="array" ref="B996">"P"&amp;INDEX(X!$CL$2:$CL$12,'Scratch Sheet'!H995+1)+9</f>
        <v>P16</v>
      </c>
      <c r="C996" s="661">
        <v>1</v>
      </c>
      <c r="D996" s="755">
        <f t="shared" si="60"/>
        <v>5200</v>
      </c>
      <c r="E996" s="682" t="str">
        <f t="shared" si="61"/>
        <v>N3</v>
      </c>
      <c r="F996" s="683">
        <f t="shared" si="62"/>
        <v>4</v>
      </c>
      <c r="H996" s="13">
        <v>137</v>
      </c>
      <c r="I996" s="13">
        <f>VLOOKUP(VLOOKUP(H996,$A$24:$B$1023,2,FALSE),'Scratch Sheet'!$U$23:$X$32,3,FALSE)</f>
        <v>5</v>
      </c>
      <c r="K996" s="13">
        <f t="shared" si="59"/>
        <v>948</v>
      </c>
      <c r="L996" s="13">
        <f>IFERROR(VLOOKUP(VLOOKUP(K996,$A$24:$B$1023,2,FALSE),'Scratch Sheet'!$U$23:$Y$32,5,FALSE)*VLOOKUP(VLOOKUP(K996,$A$24:$E$1023,5,FALSE),'Scratch Sheet'!$L$22:$M$30,2,FALSE),"")</f>
        <v>11000</v>
      </c>
      <c r="N996" s="675">
        <v>925</v>
      </c>
      <c r="O996" s="675" t="str" cm="1">
        <f t="array" ref="O996">IF(OR(INDEX($B$24:$B$1023,N996)="P10",INDEX($B$24:$B$1023,N996)="P11",INDEX($B$24:$B$1023,N996)="P12",INDEX($B$24:$B$1023,N996)="P13"),"C",IF(OR(INDEX($B$24:$B$1023,N996)="P14",INDEX($B$24:$B$1023,N996)="P15",INDEX($B$24:$B$1023,N996)="P16"),"N","O"))&amp;IF(MOD(N996,100)&lt;20,1,IF(MOD(N996,100)&lt;70,2,3))</f>
        <v>C2</v>
      </c>
    </row>
    <row r="997" spans="1:15" ht="16.5" thickBot="1">
      <c r="A997" s="662">
        <v>974</v>
      </c>
      <c r="B997" s="661" t="str" cm="1">
        <f t="array" ref="B997">"P"&amp;INDEX(X!$CL$2:$CL$12,'Scratch Sheet'!H996+1)+9</f>
        <v>P17</v>
      </c>
      <c r="C997" s="661">
        <v>1</v>
      </c>
      <c r="D997" s="755">
        <f t="shared" si="60"/>
        <v>9600</v>
      </c>
      <c r="E997" s="682" t="str">
        <f t="shared" si="61"/>
        <v>O3</v>
      </c>
      <c r="F997" s="683">
        <f t="shared" si="62"/>
        <v>12</v>
      </c>
      <c r="H997" s="13">
        <v>149</v>
      </c>
      <c r="I997" s="13">
        <f>VLOOKUP(VLOOKUP(H997,$A$24:$B$1023,2,FALSE),'Scratch Sheet'!$U$23:$X$32,3,FALSE)</f>
        <v>11</v>
      </c>
      <c r="K997" s="13">
        <f t="shared" si="59"/>
        <v>943</v>
      </c>
      <c r="L997" s="13">
        <f>IFERROR(VLOOKUP(VLOOKUP(K997,$A$24:$B$1023,2,FALSE),'Scratch Sheet'!$U$23:$Y$32,5,FALSE)*VLOOKUP(VLOOKUP(K997,$A$24:$E$1023,5,FALSE),'Scratch Sheet'!$L$22:$M$30,2,FALSE),"")</f>
        <v>11000</v>
      </c>
      <c r="N997" s="675">
        <v>928</v>
      </c>
      <c r="O997" s="675" t="str" cm="1">
        <f t="array" ref="O997">IF(OR(INDEX($B$24:$B$1023,N997)="P10",INDEX($B$24:$B$1023,N997)="P11",INDEX($B$24:$B$1023,N997)="P12",INDEX($B$24:$B$1023,N997)="P13"),"C",IF(OR(INDEX($B$24:$B$1023,N997)="P14",INDEX($B$24:$B$1023,N997)="P15",INDEX($B$24:$B$1023,N997)="P16"),"N","O"))&amp;IF(MOD(N997,100)&lt;20,1,IF(MOD(N997,100)&lt;70,2,3))</f>
        <v>C2</v>
      </c>
    </row>
    <row r="998" spans="1:15" ht="16.5" thickBot="1">
      <c r="A998" s="662">
        <v>975</v>
      </c>
      <c r="B998" s="661" t="str" cm="1">
        <f t="array" ref="B998">"P"&amp;INDEX(X!$CL$2:$CL$12,'Scratch Sheet'!H997+1)+9</f>
        <v>P17</v>
      </c>
      <c r="C998" s="661">
        <v>1</v>
      </c>
      <c r="D998" s="755">
        <f t="shared" si="60"/>
        <v>9600</v>
      </c>
      <c r="E998" s="682" t="str">
        <f t="shared" si="61"/>
        <v>O3</v>
      </c>
      <c r="F998" s="683">
        <f t="shared" si="62"/>
        <v>12</v>
      </c>
      <c r="H998" s="13">
        <v>473</v>
      </c>
      <c r="I998" s="13">
        <f>VLOOKUP(VLOOKUP(H998,$A$24:$B$1023,2,FALSE),'Scratch Sheet'!$U$23:$X$32,3,FALSE)</f>
        <v>6</v>
      </c>
      <c r="K998" s="13">
        <f t="shared" si="59"/>
        <v>941</v>
      </c>
      <c r="L998" s="13">
        <f>IFERROR(VLOOKUP(VLOOKUP(K998,$A$24:$B$1023,2,FALSE),'Scratch Sheet'!$U$23:$Y$32,5,FALSE)*VLOOKUP(VLOOKUP(K998,$A$24:$E$1023,5,FALSE),'Scratch Sheet'!$L$22:$M$30,2,FALSE),"")</f>
        <v>13200.000000000002</v>
      </c>
      <c r="N998" s="675">
        <v>933</v>
      </c>
      <c r="O998" s="675" t="str" cm="1">
        <f t="array" ref="O998">IF(OR(INDEX($B$24:$B$1023,N998)="P10",INDEX($B$24:$B$1023,N998)="P11",INDEX($B$24:$B$1023,N998)="P12",INDEX($B$24:$B$1023,N998)="P13"),"C",IF(OR(INDEX($B$24:$B$1023,N998)="P14",INDEX($B$24:$B$1023,N998)="P15",INDEX($B$24:$B$1023,N998)="P16"),"N","O"))&amp;IF(MOD(N998,100)&lt;20,1,IF(MOD(N998,100)&lt;70,2,3))</f>
        <v>N2</v>
      </c>
    </row>
    <row r="999" spans="1:15" ht="16.5" thickBot="1">
      <c r="A999" s="662">
        <v>976</v>
      </c>
      <c r="B999" s="661" t="str" cm="1">
        <f t="array" ref="B999">"P"&amp;INDEX(X!$CL$2:$CL$12,'Scratch Sheet'!H998+1)+9</f>
        <v>P13</v>
      </c>
      <c r="C999" s="661">
        <v>1</v>
      </c>
      <c r="D999" s="755">
        <f t="shared" si="60"/>
        <v>3600</v>
      </c>
      <c r="E999" s="682" t="str">
        <f t="shared" si="61"/>
        <v>C3</v>
      </c>
      <c r="F999" s="683">
        <f t="shared" si="62"/>
        <v>5</v>
      </c>
      <c r="H999" s="13">
        <v>996</v>
      </c>
      <c r="I999" s="13">
        <f>VLOOKUP(VLOOKUP(H999,$A$24:$B$1023,2,FALSE),'Scratch Sheet'!$U$23:$X$32,3,FALSE)</f>
        <v>6.5</v>
      </c>
      <c r="K999" s="13">
        <f t="shared" si="59"/>
        <v>942</v>
      </c>
      <c r="L999" s="13">
        <f>IFERROR(VLOOKUP(VLOOKUP(K999,$A$24:$B$1023,2,FALSE),'Scratch Sheet'!$U$23:$Y$32,5,FALSE)*VLOOKUP(VLOOKUP(K999,$A$24:$E$1023,5,FALSE),'Scratch Sheet'!$L$22:$M$30,2,FALSE),"")</f>
        <v>4500</v>
      </c>
      <c r="N999" s="675">
        <v>935</v>
      </c>
      <c r="O999" s="675" t="str" cm="1">
        <f t="array" ref="O999">IF(OR(INDEX($B$24:$B$1023,N999)="P10",INDEX($B$24:$B$1023,N999)="P11",INDEX($B$24:$B$1023,N999)="P12",INDEX($B$24:$B$1023,N999)="P13"),"C",IF(OR(INDEX($B$24:$B$1023,N999)="P14",INDEX($B$24:$B$1023,N999)="P15",INDEX($B$24:$B$1023,N999)="P16"),"N","O"))&amp;IF(MOD(N999,100)&lt;20,1,IF(MOD(N999,100)&lt;70,2,3))</f>
        <v>C2</v>
      </c>
    </row>
    <row r="1000" spans="1:15" ht="16.5" thickBot="1">
      <c r="A1000" s="662">
        <v>977</v>
      </c>
      <c r="B1000" s="661" t="str" cm="1">
        <f t="array" ref="B1000">"P"&amp;INDEX(X!$CL$2:$CL$12,'Scratch Sheet'!H999+1)+9</f>
        <v>P11</v>
      </c>
      <c r="C1000" s="661">
        <v>1</v>
      </c>
      <c r="D1000" s="755">
        <f t="shared" si="60"/>
        <v>8800</v>
      </c>
      <c r="E1000" s="682" t="str">
        <f t="shared" si="61"/>
        <v>C3</v>
      </c>
      <c r="F1000" s="683">
        <f t="shared" si="62"/>
        <v>11</v>
      </c>
      <c r="H1000" s="13">
        <v>537</v>
      </c>
      <c r="I1000" s="13">
        <f>VLOOKUP(VLOOKUP(H1000,$A$24:$B$1023,2,FALSE),'Scratch Sheet'!$U$23:$X$32,3,FALSE)</f>
        <v>6.5</v>
      </c>
      <c r="K1000" s="13">
        <f t="shared" si="59"/>
        <v>940</v>
      </c>
      <c r="L1000" s="13">
        <f>IFERROR(VLOOKUP(VLOOKUP(K1000,$A$24:$B$1023,2,FALSE),'Scratch Sheet'!$U$23:$Y$32,5,FALSE)*VLOOKUP(VLOOKUP(K1000,$A$24:$E$1023,5,FALSE),'Scratch Sheet'!$L$22:$M$30,2,FALSE),"")</f>
        <v>13200.000000000002</v>
      </c>
      <c r="N1000" s="675">
        <v>936</v>
      </c>
      <c r="O1000" s="675" t="str" cm="1">
        <f t="array" ref="O1000">IF(OR(INDEX($B$24:$B$1023,N1000)="P10",INDEX($B$24:$B$1023,N1000)="P11",INDEX($B$24:$B$1023,N1000)="P12",INDEX($B$24:$B$1023,N1000)="P13"),"C",IF(OR(INDEX($B$24:$B$1023,N1000)="P14",INDEX($B$24:$B$1023,N1000)="P15",INDEX($B$24:$B$1023,N1000)="P16"),"N","O"))&amp;IF(MOD(N1000,100)&lt;20,1,IF(MOD(N1000,100)&lt;70,2,3))</f>
        <v>C2</v>
      </c>
    </row>
    <row r="1001" spans="1:15" ht="16.5" thickBot="1">
      <c r="A1001" s="662">
        <v>978</v>
      </c>
      <c r="B1001" s="661" t="str" cm="1">
        <f t="array" ref="B1001">"P"&amp;INDEX(X!$CL$2:$CL$12,'Scratch Sheet'!H1000+1)+9</f>
        <v>P11</v>
      </c>
      <c r="C1001" s="661">
        <v>1</v>
      </c>
      <c r="D1001" s="755">
        <f t="shared" si="60"/>
        <v>8800</v>
      </c>
      <c r="E1001" s="682" t="str">
        <f t="shared" si="61"/>
        <v>C3</v>
      </c>
      <c r="F1001" s="683">
        <f t="shared" si="62"/>
        <v>11</v>
      </c>
      <c r="H1001" s="13">
        <v>84</v>
      </c>
      <c r="I1001" s="13">
        <f>VLOOKUP(VLOOKUP(H1001,$A$24:$B$1023,2,FALSE),'Scratch Sheet'!$U$23:$X$32,3,FALSE)</f>
        <v>3</v>
      </c>
      <c r="K1001" s="13">
        <f t="shared" si="59"/>
        <v>958</v>
      </c>
      <c r="L1001" s="13">
        <f>IFERROR(VLOOKUP(VLOOKUP(K1001,$A$24:$B$1023,2,FALSE),'Scratch Sheet'!$U$23:$Y$32,5,FALSE)*VLOOKUP(VLOOKUP(K1001,$A$24:$E$1023,5,FALSE),'Scratch Sheet'!$L$22:$M$30,2,FALSE),"")</f>
        <v>13200.000000000002</v>
      </c>
      <c r="N1001" s="675">
        <v>942</v>
      </c>
      <c r="O1001" s="675" t="str" cm="1">
        <f t="array" ref="O1001">IF(OR(INDEX($B$24:$B$1023,N1001)="P10",INDEX($B$24:$B$1023,N1001)="P11",INDEX($B$24:$B$1023,N1001)="P12",INDEX($B$24:$B$1023,N1001)="P13"),"C",IF(OR(INDEX($B$24:$B$1023,N1001)="P14",INDEX($B$24:$B$1023,N1001)="P15",INDEX($B$24:$B$1023,N1001)="P16"),"N","O"))&amp;IF(MOD(N1001,100)&lt;20,1,IF(MOD(N1001,100)&lt;70,2,3))</f>
        <v>C2</v>
      </c>
    </row>
    <row r="1002" spans="1:15" ht="16.5" thickBot="1">
      <c r="A1002" s="662">
        <v>979</v>
      </c>
      <c r="B1002" s="661" t="str" cm="1">
        <f t="array" ref="B1002">"P"&amp;INDEX(X!$CL$2:$CL$12,'Scratch Sheet'!H1001+1)+9</f>
        <v>P12</v>
      </c>
      <c r="C1002" s="661">
        <v>1</v>
      </c>
      <c r="D1002" s="755">
        <f t="shared" si="60"/>
        <v>5460</v>
      </c>
      <c r="E1002" s="682" t="str">
        <f t="shared" si="61"/>
        <v>C3</v>
      </c>
      <c r="F1002" s="683">
        <f t="shared" si="62"/>
        <v>6.5</v>
      </c>
      <c r="H1002" s="13">
        <v>432</v>
      </c>
      <c r="I1002" s="13">
        <f>VLOOKUP(VLOOKUP(H1002,$A$24:$B$1023,2,FALSE),'Scratch Sheet'!$U$23:$X$32,3,FALSE)</f>
        <v>5</v>
      </c>
      <c r="K1002" s="13">
        <f t="shared" si="59"/>
        <v>961</v>
      </c>
      <c r="L1002" s="13">
        <f>IFERROR(VLOOKUP(VLOOKUP(K1002,$A$24:$B$1023,2,FALSE),'Scratch Sheet'!$U$23:$Y$32,5,FALSE)*VLOOKUP(VLOOKUP(K1002,$A$24:$E$1023,5,FALSE),'Scratch Sheet'!$L$22:$M$30,2,FALSE),"")</f>
        <v>11000</v>
      </c>
      <c r="N1002" s="675">
        <v>945</v>
      </c>
      <c r="O1002" s="675" t="str" cm="1">
        <f t="array" ref="O1002">IF(OR(INDEX($B$24:$B$1023,N1002)="P10",INDEX($B$24:$B$1023,N1002)="P11",INDEX($B$24:$B$1023,N1002)="P12",INDEX($B$24:$B$1023,N1002)="P13"),"C",IF(OR(INDEX($B$24:$B$1023,N1002)="P14",INDEX($B$24:$B$1023,N1002)="P15",INDEX($B$24:$B$1023,N1002)="P16"),"N","O"))&amp;IF(MOD(N1002,100)&lt;20,1,IF(MOD(N1002,100)&lt;70,2,3))</f>
        <v>C2</v>
      </c>
    </row>
    <row r="1003" spans="1:15" ht="16.5" thickBot="1">
      <c r="A1003" s="662">
        <v>980</v>
      </c>
      <c r="B1003" s="661" t="str" cm="1">
        <f t="array" ref="B1003">"P"&amp;INDEX(X!$CL$2:$CL$12,'Scratch Sheet'!H1002+1)+9</f>
        <v>P10</v>
      </c>
      <c r="C1003" s="661">
        <v>1</v>
      </c>
      <c r="D1003" s="755">
        <f t="shared" si="60"/>
        <v>1920</v>
      </c>
      <c r="E1003" s="682" t="str">
        <f t="shared" si="61"/>
        <v>C3</v>
      </c>
      <c r="F1003" s="683">
        <f t="shared" si="62"/>
        <v>3</v>
      </c>
      <c r="H1003" s="13">
        <v>622</v>
      </c>
      <c r="I1003" s="13">
        <f>VLOOKUP(VLOOKUP(H1003,$A$24:$B$1023,2,FALSE),'Scratch Sheet'!$U$23:$X$32,3,FALSE)</f>
        <v>6.5</v>
      </c>
      <c r="K1003" s="13">
        <f t="shared" si="59"/>
        <v>960</v>
      </c>
      <c r="L1003" s="13">
        <f>IFERROR(VLOOKUP(VLOOKUP(K1003,$A$24:$B$1023,2,FALSE),'Scratch Sheet'!$U$23:$Y$32,5,FALSE)*VLOOKUP(VLOOKUP(K1003,$A$24:$E$1023,5,FALSE),'Scratch Sheet'!$L$22:$M$30,2,FALSE),"")</f>
        <v>11000</v>
      </c>
      <c r="N1003" s="675">
        <v>950</v>
      </c>
      <c r="O1003" s="675" t="str" cm="1">
        <f t="array" ref="O1003">IF(OR(INDEX($B$24:$B$1023,N1003)="P10",INDEX($B$24:$B$1023,N1003)="P11",INDEX($B$24:$B$1023,N1003)="P12",INDEX($B$24:$B$1023,N1003)="P13"),"C",IF(OR(INDEX($B$24:$B$1023,N1003)="P14",INDEX($B$24:$B$1023,N1003)="P15",INDEX($B$24:$B$1023,N1003)="P16"),"N","O"))&amp;IF(MOD(N1003,100)&lt;20,1,IF(MOD(N1003,100)&lt;70,2,3))</f>
        <v>N2</v>
      </c>
    </row>
    <row r="1004" spans="1:15" ht="16.5" thickBot="1">
      <c r="A1004" s="662">
        <v>981</v>
      </c>
      <c r="B1004" s="661" t="str" cm="1">
        <f t="array" ref="B1004">"P"&amp;INDEX(X!$CL$2:$CL$12,'Scratch Sheet'!H1003+1)+9</f>
        <v>P10</v>
      </c>
      <c r="C1004" s="661">
        <v>1</v>
      </c>
      <c r="D1004" s="755">
        <f t="shared" si="60"/>
        <v>1920</v>
      </c>
      <c r="E1004" s="682" t="str">
        <f t="shared" si="61"/>
        <v>C3</v>
      </c>
      <c r="F1004" s="683">
        <f t="shared" si="62"/>
        <v>3</v>
      </c>
      <c r="H1004" s="13">
        <v>740</v>
      </c>
      <c r="I1004" s="13">
        <f>VLOOKUP(VLOOKUP(H1004,$A$24:$B$1023,2,FALSE),'Scratch Sheet'!$U$23:$X$32,3,FALSE)</f>
        <v>11</v>
      </c>
      <c r="K1004" s="13">
        <f t="shared" si="59"/>
        <v>955</v>
      </c>
      <c r="L1004" s="13">
        <f>IFERROR(VLOOKUP(VLOOKUP(K1004,$A$24:$B$1023,2,FALSE),'Scratch Sheet'!$U$23:$Y$32,5,FALSE)*VLOOKUP(VLOOKUP(K1004,$A$24:$E$1023,5,FALSE),'Scratch Sheet'!$L$22:$M$30,2,FALSE),"")</f>
        <v>11000</v>
      </c>
      <c r="N1004" s="675">
        <v>952</v>
      </c>
      <c r="O1004" s="675" t="str" cm="1">
        <f t="array" ref="O1004">IF(OR(INDEX($B$24:$B$1023,N1004)="P10",INDEX($B$24:$B$1023,N1004)="P11",INDEX($B$24:$B$1023,N1004)="P12",INDEX($B$24:$B$1023,N1004)="P13"),"C",IF(OR(INDEX($B$24:$B$1023,N1004)="P14",INDEX($B$24:$B$1023,N1004)="P15",INDEX($B$24:$B$1023,N1004)="P16"),"N","O"))&amp;IF(MOD(N1004,100)&lt;20,1,IF(MOD(N1004,100)&lt;70,2,3))</f>
        <v>C2</v>
      </c>
    </row>
    <row r="1005" spans="1:15" ht="16.5" thickBot="1">
      <c r="A1005" s="662">
        <v>982</v>
      </c>
      <c r="B1005" s="661" t="str" cm="1">
        <f t="array" ref="B1005">"P"&amp;INDEX(X!$CL$2:$CL$12,'Scratch Sheet'!H1004+1)+9</f>
        <v>P11</v>
      </c>
      <c r="C1005" s="661">
        <v>1</v>
      </c>
      <c r="D1005" s="755">
        <f t="shared" si="60"/>
        <v>8800</v>
      </c>
      <c r="E1005" s="682" t="str">
        <f t="shared" si="61"/>
        <v>C3</v>
      </c>
      <c r="F1005" s="683">
        <f t="shared" si="62"/>
        <v>11</v>
      </c>
      <c r="H1005" s="13">
        <v>172</v>
      </c>
      <c r="I1005" s="13">
        <f>VLOOKUP(VLOOKUP(H1005,$A$24:$B$1023,2,FALSE),'Scratch Sheet'!$U$23:$X$32,3,FALSE)</f>
        <v>3</v>
      </c>
      <c r="K1005" s="13">
        <f t="shared" si="59"/>
        <v>957</v>
      </c>
      <c r="L1005" s="13">
        <f>IFERROR(VLOOKUP(VLOOKUP(K1005,$A$24:$B$1023,2,FALSE),'Scratch Sheet'!$U$23:$Y$32,5,FALSE)*VLOOKUP(VLOOKUP(K1005,$A$24:$E$1023,5,FALSE),'Scratch Sheet'!$L$22:$M$30,2,FALSE),"")</f>
        <v>13200.000000000002</v>
      </c>
      <c r="N1005" s="675">
        <v>953</v>
      </c>
      <c r="O1005" s="675" t="str" cm="1">
        <f t="array" ref="O1005">IF(OR(INDEX($B$24:$B$1023,N1005)="P10",INDEX($B$24:$B$1023,N1005)="P11",INDEX($B$24:$B$1023,N1005)="P12",INDEX($B$24:$B$1023,N1005)="P13"),"C",IF(OR(INDEX($B$24:$B$1023,N1005)="P14",INDEX($B$24:$B$1023,N1005)="P15",INDEX($B$24:$B$1023,N1005)="P16"),"N","O"))&amp;IF(MOD(N1005,100)&lt;20,1,IF(MOD(N1005,100)&lt;70,2,3))</f>
        <v>C2</v>
      </c>
    </row>
    <row r="1006" spans="1:15" ht="16.5" thickBot="1">
      <c r="A1006" s="662">
        <v>983</v>
      </c>
      <c r="B1006" s="661" t="str" cm="1">
        <f t="array" ref="B1006">"P"&amp;INDEX(X!$CL$2:$CL$12,'Scratch Sheet'!H1005+1)+9</f>
        <v>P18</v>
      </c>
      <c r="C1006" s="661">
        <v>1</v>
      </c>
      <c r="D1006" s="755">
        <f t="shared" si="60"/>
        <v>4320</v>
      </c>
      <c r="E1006" s="682" t="str">
        <f t="shared" si="61"/>
        <v>O3</v>
      </c>
      <c r="F1006" s="683">
        <f t="shared" si="62"/>
        <v>6</v>
      </c>
      <c r="H1006" s="13">
        <v>857</v>
      </c>
      <c r="I1006" s="13">
        <f>VLOOKUP(VLOOKUP(H1006,$A$24:$B$1023,2,FALSE),'Scratch Sheet'!$U$23:$X$32,3,FALSE)</f>
        <v>5</v>
      </c>
      <c r="K1006" s="13">
        <f t="shared" si="59"/>
        <v>956</v>
      </c>
      <c r="L1006" s="13">
        <f>IFERROR(VLOOKUP(VLOOKUP(K1006,$A$24:$B$1023,2,FALSE),'Scratch Sheet'!$U$23:$Y$32,5,FALSE)*VLOOKUP(VLOOKUP(K1006,$A$24:$E$1023,5,FALSE),'Scratch Sheet'!$L$22:$M$30,2,FALSE),"")</f>
        <v>4680</v>
      </c>
      <c r="N1006" s="675">
        <v>959</v>
      </c>
      <c r="O1006" s="675" t="str" cm="1">
        <f t="array" ref="O1006">IF(OR(INDEX($B$24:$B$1023,N1006)="P10",INDEX($B$24:$B$1023,N1006)="P11",INDEX($B$24:$B$1023,N1006)="P12",INDEX($B$24:$B$1023,N1006)="P13"),"C",IF(OR(INDEX($B$24:$B$1023,N1006)="P14",INDEX($B$24:$B$1023,N1006)="P15",INDEX($B$24:$B$1023,N1006)="P16"),"N","O"))&amp;IF(MOD(N1006,100)&lt;20,1,IF(MOD(N1006,100)&lt;70,2,3))</f>
        <v>C2</v>
      </c>
    </row>
    <row r="1007" spans="1:15" ht="16.5" thickBot="1">
      <c r="A1007" s="662">
        <v>984</v>
      </c>
      <c r="B1007" s="661" t="str" cm="1">
        <f t="array" ref="B1007">"P"&amp;INDEX(X!$CL$2:$CL$12,'Scratch Sheet'!H1006+1)+9</f>
        <v>P14</v>
      </c>
      <c r="C1007" s="661">
        <v>1</v>
      </c>
      <c r="D1007" s="755">
        <f t="shared" si="60"/>
        <v>7200</v>
      </c>
      <c r="E1007" s="682" t="str">
        <f t="shared" si="61"/>
        <v>N3</v>
      </c>
      <c r="F1007" s="683">
        <f t="shared" si="62"/>
        <v>8</v>
      </c>
      <c r="H1007" s="13">
        <v>890</v>
      </c>
      <c r="I1007" s="13">
        <f>VLOOKUP(VLOOKUP(H1007,$A$24:$B$1023,2,FALSE),'Scratch Sheet'!$U$23:$X$32,3,FALSE)</f>
        <v>12</v>
      </c>
      <c r="K1007" s="13">
        <f t="shared" si="59"/>
        <v>959</v>
      </c>
      <c r="L1007" s="13">
        <f>IFERROR(VLOOKUP(VLOOKUP(K1007,$A$24:$B$1023,2,FALSE),'Scratch Sheet'!$U$23:$Y$32,5,FALSE)*VLOOKUP(VLOOKUP(K1007,$A$24:$E$1023,5,FALSE),'Scratch Sheet'!$L$22:$M$30,2,FALSE),"")</f>
        <v>4500</v>
      </c>
      <c r="N1007" s="675">
        <v>962</v>
      </c>
      <c r="O1007" s="675" t="str" cm="1">
        <f t="array" ref="O1007">IF(OR(INDEX($B$24:$B$1023,N1007)="P10",INDEX($B$24:$B$1023,N1007)="P11",INDEX($B$24:$B$1023,N1007)="P12",INDEX($B$24:$B$1023,N1007)="P13"),"C",IF(OR(INDEX($B$24:$B$1023,N1007)="P14",INDEX($B$24:$B$1023,N1007)="P15",INDEX($B$24:$B$1023,N1007)="P16"),"N","O"))&amp;IF(MOD(N1007,100)&lt;20,1,IF(MOD(N1007,100)&lt;70,2,3))</f>
        <v>C2</v>
      </c>
    </row>
    <row r="1008" spans="1:15" ht="16.5" thickBot="1">
      <c r="A1008" s="662">
        <v>985</v>
      </c>
      <c r="B1008" s="661" t="str" cm="1">
        <f t="array" ref="B1008">"P"&amp;INDEX(X!$CL$2:$CL$12,'Scratch Sheet'!H1007+1)+9</f>
        <v>P10</v>
      </c>
      <c r="C1008" s="661">
        <v>1</v>
      </c>
      <c r="D1008" s="755">
        <f t="shared" si="60"/>
        <v>1920</v>
      </c>
      <c r="E1008" s="682" t="str">
        <f t="shared" si="61"/>
        <v>C3</v>
      </c>
      <c r="F1008" s="683">
        <f t="shared" si="62"/>
        <v>3</v>
      </c>
      <c r="H1008" s="13">
        <v>808</v>
      </c>
      <c r="I1008" s="13">
        <f>VLOOKUP(VLOOKUP(H1008,$A$24:$B$1023,2,FALSE),'Scratch Sheet'!$U$23:$X$32,3,FALSE)</f>
        <v>11</v>
      </c>
      <c r="K1008" s="13">
        <f t="shared" si="59"/>
        <v>954</v>
      </c>
      <c r="L1008" s="13">
        <f>IFERROR(VLOOKUP(VLOOKUP(K1008,$A$24:$B$1023,2,FALSE),'Scratch Sheet'!$U$23:$Y$32,5,FALSE)*VLOOKUP(VLOOKUP(K1008,$A$24:$E$1023,5,FALSE),'Scratch Sheet'!$L$22:$M$30,2,FALSE),"")</f>
        <v>2400</v>
      </c>
      <c r="N1008" s="675">
        <v>967</v>
      </c>
      <c r="O1008" s="675" t="str" cm="1">
        <f t="array" ref="O1008">IF(OR(INDEX($B$24:$B$1023,N1008)="P10",INDEX($B$24:$B$1023,N1008)="P11",INDEX($B$24:$B$1023,N1008)="P12",INDEX($B$24:$B$1023,N1008)="P13"),"C",IF(OR(INDEX($B$24:$B$1023,N1008)="P14",INDEX($B$24:$B$1023,N1008)="P15",INDEX($B$24:$B$1023,N1008)="P16"),"N","O"))&amp;IF(MOD(N1008,100)&lt;20,1,IF(MOD(N1008,100)&lt;70,2,3))</f>
        <v>N2</v>
      </c>
    </row>
    <row r="1009" spans="1:15" ht="16.5" thickBot="1">
      <c r="A1009" s="662">
        <v>986</v>
      </c>
      <c r="B1009" s="661" t="str" cm="1">
        <f t="array" ref="B1009">"P"&amp;INDEX(X!$CL$2:$CL$12,'Scratch Sheet'!H1008+1)+9</f>
        <v>P13</v>
      </c>
      <c r="C1009" s="661">
        <v>1</v>
      </c>
      <c r="D1009" s="755">
        <f t="shared" si="60"/>
        <v>3600</v>
      </c>
      <c r="E1009" s="682" t="str">
        <f t="shared" si="61"/>
        <v>C3</v>
      </c>
      <c r="F1009" s="683">
        <f t="shared" si="62"/>
        <v>5</v>
      </c>
      <c r="H1009" s="13">
        <v>22</v>
      </c>
      <c r="I1009" s="13">
        <f>VLOOKUP(VLOOKUP(H1009,$A$24:$B$1023,2,FALSE),'Scratch Sheet'!$U$23:$X$32,3,FALSE)</f>
        <v>6.5</v>
      </c>
      <c r="K1009" s="13">
        <f t="shared" si="59"/>
        <v>952</v>
      </c>
      <c r="L1009" s="13">
        <f>IFERROR(VLOOKUP(VLOOKUP(K1009,$A$24:$B$1023,2,FALSE),'Scratch Sheet'!$U$23:$Y$32,5,FALSE)*VLOOKUP(VLOOKUP(K1009,$A$24:$E$1023,5,FALSE),'Scratch Sheet'!$L$22:$M$30,2,FALSE),"")</f>
        <v>4500</v>
      </c>
      <c r="N1009" s="675">
        <v>969</v>
      </c>
      <c r="O1009" s="675" t="str" cm="1">
        <f t="array" ref="O1009">IF(OR(INDEX($B$24:$B$1023,N1009)="P10",INDEX($B$24:$B$1023,N1009)="P11",INDEX($B$24:$B$1023,N1009)="P12",INDEX($B$24:$B$1023,N1009)="P13"),"C",IF(OR(INDEX($B$24:$B$1023,N1009)="P14",INDEX($B$24:$B$1023,N1009)="P15",INDEX($B$24:$B$1023,N1009)="P16"),"N","O"))&amp;IF(MOD(N1009,100)&lt;20,1,IF(MOD(N1009,100)&lt;70,2,3))</f>
        <v>C2</v>
      </c>
    </row>
    <row r="1010" spans="1:15" ht="16.5" thickBot="1">
      <c r="A1010" s="662">
        <v>987</v>
      </c>
      <c r="B1010" s="661" t="str" cm="1">
        <f t="array" ref="B1010">"P"&amp;INDEX(X!$CL$2:$CL$12,'Scratch Sheet'!H1009+1)+9</f>
        <v>P13</v>
      </c>
      <c r="C1010" s="661">
        <v>1</v>
      </c>
      <c r="D1010" s="755">
        <f t="shared" si="60"/>
        <v>3600</v>
      </c>
      <c r="E1010" s="682" t="str">
        <f t="shared" si="61"/>
        <v>C3</v>
      </c>
      <c r="F1010" s="683">
        <f t="shared" si="62"/>
        <v>5</v>
      </c>
      <c r="H1010" s="13">
        <v>661</v>
      </c>
      <c r="I1010" s="13">
        <f>VLOOKUP(VLOOKUP(H1010,$A$24:$B$1023,2,FALSE),'Scratch Sheet'!$U$23:$X$32,3,FALSE)</f>
        <v>8</v>
      </c>
      <c r="K1010" s="13">
        <f t="shared" si="59"/>
        <v>953</v>
      </c>
      <c r="L1010" s="13">
        <f>IFERROR(VLOOKUP(VLOOKUP(K1010,$A$24:$B$1023,2,FALSE),'Scratch Sheet'!$U$23:$Y$32,5,FALSE)*VLOOKUP(VLOOKUP(K1010,$A$24:$E$1023,5,FALSE),'Scratch Sheet'!$L$22:$M$30,2,FALSE),"")</f>
        <v>4500</v>
      </c>
      <c r="N1010" s="675">
        <v>970</v>
      </c>
      <c r="O1010" s="675" t="str" cm="1">
        <f t="array" ref="O1010">IF(OR(INDEX($B$24:$B$1023,N1010)="P10",INDEX($B$24:$B$1023,N1010)="P11",INDEX($B$24:$B$1023,N1010)="P12",INDEX($B$24:$B$1023,N1010)="P13"),"C",IF(OR(INDEX($B$24:$B$1023,N1010)="P14",INDEX($B$24:$B$1023,N1010)="P15",INDEX($B$24:$B$1023,N1010)="P16"),"N","O"))&amp;IF(MOD(N1010,100)&lt;20,1,IF(MOD(N1010,100)&lt;70,2,3))</f>
        <v>C3</v>
      </c>
    </row>
    <row r="1011" spans="1:15" ht="16.5" thickBot="1">
      <c r="A1011" s="662">
        <v>988</v>
      </c>
      <c r="B1011" s="661" t="str" cm="1">
        <f t="array" ref="B1011">"P"&amp;INDEX(X!$CL$2:$CL$12,'Scratch Sheet'!H1010+1)+9</f>
        <v>P10</v>
      </c>
      <c r="C1011" s="661">
        <v>1</v>
      </c>
      <c r="D1011" s="755">
        <f t="shared" si="60"/>
        <v>1920</v>
      </c>
      <c r="E1011" s="682" t="str">
        <f t="shared" si="61"/>
        <v>C3</v>
      </c>
      <c r="F1011" s="683">
        <f t="shared" si="62"/>
        <v>3</v>
      </c>
      <c r="H1011" s="13">
        <v>209</v>
      </c>
      <c r="I1011" s="13">
        <f>VLOOKUP(VLOOKUP(H1011,$A$24:$B$1023,2,FALSE),'Scratch Sheet'!$U$23:$X$32,3,FALSE)</f>
        <v>12</v>
      </c>
      <c r="K1011" s="13">
        <f t="shared" si="59"/>
        <v>951</v>
      </c>
      <c r="L1011" s="13">
        <f>IFERROR(VLOOKUP(VLOOKUP(K1011,$A$24:$B$1023,2,FALSE),'Scratch Sheet'!$U$23:$Y$32,5,FALSE)*VLOOKUP(VLOOKUP(K1011,$A$24:$E$1023,5,FALSE),'Scratch Sheet'!$L$22:$M$30,2,FALSE),"")</f>
        <v>2400</v>
      </c>
      <c r="N1011" s="675">
        <v>976</v>
      </c>
      <c r="O1011" s="675" t="str" cm="1">
        <f t="array" ref="O1011">IF(OR(INDEX($B$24:$B$1023,N1011)="P10",INDEX($B$24:$B$1023,N1011)="P11",INDEX($B$24:$B$1023,N1011)="P12",INDEX($B$24:$B$1023,N1011)="P13"),"C",IF(OR(INDEX($B$24:$B$1023,N1011)="P14",INDEX($B$24:$B$1023,N1011)="P15",INDEX($B$24:$B$1023,N1011)="P16"),"N","O"))&amp;IF(MOD(N1011,100)&lt;20,1,IF(MOD(N1011,100)&lt;70,2,3))</f>
        <v>C3</v>
      </c>
    </row>
    <row r="1012" spans="1:15" ht="16.5" thickBot="1">
      <c r="A1012" s="662">
        <v>989</v>
      </c>
      <c r="B1012" s="661" t="str" cm="1">
        <f t="array" ref="B1012">"P"&amp;INDEX(X!$CL$2:$CL$12,'Scratch Sheet'!H1011+1)+9</f>
        <v>P11</v>
      </c>
      <c r="C1012" s="661">
        <v>1</v>
      </c>
      <c r="D1012" s="755">
        <f t="shared" si="60"/>
        <v>8800</v>
      </c>
      <c r="E1012" s="682" t="str">
        <f t="shared" si="61"/>
        <v>C3</v>
      </c>
      <c r="F1012" s="683">
        <f t="shared" si="62"/>
        <v>11</v>
      </c>
      <c r="H1012" s="13">
        <v>414</v>
      </c>
      <c r="I1012" s="13">
        <f>VLOOKUP(VLOOKUP(H1012,$A$24:$B$1023,2,FALSE),'Scratch Sheet'!$U$23:$X$32,3,FALSE)</f>
        <v>12</v>
      </c>
      <c r="K1012" s="13">
        <f t="shared" si="59"/>
        <v>967</v>
      </c>
      <c r="L1012" s="13">
        <f>IFERROR(VLOOKUP(VLOOKUP(K1012,$A$24:$B$1023,2,FALSE),'Scratch Sheet'!$U$23:$Y$32,5,FALSE)*VLOOKUP(VLOOKUP(K1012,$A$24:$E$1023,5,FALSE),'Scratch Sheet'!$L$22:$M$30,2,FALSE),"")</f>
        <v>6480</v>
      </c>
      <c r="N1012" s="675">
        <v>978</v>
      </c>
      <c r="O1012" s="675" t="str" cm="1">
        <f t="array" ref="O1012">IF(OR(INDEX($B$24:$B$1023,N1012)="P10",INDEX($B$24:$B$1023,N1012)="P11",INDEX($B$24:$B$1023,N1012)="P12",INDEX($B$24:$B$1023,N1012)="P13"),"C",IF(OR(INDEX($B$24:$B$1023,N1012)="P14",INDEX($B$24:$B$1023,N1012)="P15",INDEX($B$24:$B$1023,N1012)="P16"),"N","O"))&amp;IF(MOD(N1012,100)&lt;20,1,IF(MOD(N1012,100)&lt;70,2,3))</f>
        <v>C3</v>
      </c>
    </row>
    <row r="1013" spans="1:15" ht="16.5" thickBot="1">
      <c r="A1013" s="662">
        <v>990</v>
      </c>
      <c r="B1013" s="661" t="str" cm="1">
        <f t="array" ref="B1013">"P"&amp;INDEX(X!$CL$2:$CL$12,'Scratch Sheet'!H1012+1)+9</f>
        <v>P16</v>
      </c>
      <c r="C1013" s="661">
        <v>1</v>
      </c>
      <c r="D1013" s="755">
        <f t="shared" si="60"/>
        <v>5200</v>
      </c>
      <c r="E1013" s="682" t="str">
        <f t="shared" si="61"/>
        <v>N3</v>
      </c>
      <c r="F1013" s="683">
        <f t="shared" si="62"/>
        <v>4</v>
      </c>
      <c r="H1013" s="13">
        <v>332</v>
      </c>
      <c r="I1013" s="13">
        <f>VLOOKUP(VLOOKUP(H1013,$A$24:$B$1023,2,FALSE),'Scratch Sheet'!$U$23:$X$32,3,FALSE)</f>
        <v>11</v>
      </c>
      <c r="K1013" s="13">
        <f t="shared" si="59"/>
        <v>970</v>
      </c>
      <c r="L1013" s="13">
        <f>IFERROR(VLOOKUP(VLOOKUP(K1013,$A$24:$B$1023,2,FALSE),'Scratch Sheet'!$U$23:$Y$32,5,FALSE)*VLOOKUP(VLOOKUP(K1013,$A$24:$E$1023,5,FALSE),'Scratch Sheet'!$L$22:$M$30,2,FALSE),"")</f>
        <v>3600</v>
      </c>
      <c r="N1013" s="675">
        <v>979</v>
      </c>
      <c r="O1013" s="675" t="str" cm="1">
        <f t="array" ref="O1013">IF(OR(INDEX($B$24:$B$1023,N1013)="P10",INDEX($B$24:$B$1023,N1013)="P11",INDEX($B$24:$B$1023,N1013)="P12",INDEX($B$24:$B$1023,N1013)="P13"),"C",IF(OR(INDEX($B$24:$B$1023,N1013)="P14",INDEX($B$24:$B$1023,N1013)="P15",INDEX($B$24:$B$1023,N1013)="P16"),"N","O"))&amp;IF(MOD(N1013,100)&lt;20,1,IF(MOD(N1013,100)&lt;70,2,3))</f>
        <v>C3</v>
      </c>
    </row>
    <row r="1014" spans="1:15" ht="16.5" thickBot="1">
      <c r="A1014" s="662">
        <v>991</v>
      </c>
      <c r="B1014" s="661" t="str" cm="1">
        <f t="array" ref="B1014">"P"&amp;INDEX(X!$CL$2:$CL$12,'Scratch Sheet'!H1013+1)+9</f>
        <v>P17</v>
      </c>
      <c r="C1014" s="661">
        <v>1</v>
      </c>
      <c r="D1014" s="755">
        <f t="shared" si="60"/>
        <v>9600</v>
      </c>
      <c r="E1014" s="682" t="str">
        <f t="shared" si="61"/>
        <v>O3</v>
      </c>
      <c r="F1014" s="683">
        <f t="shared" si="62"/>
        <v>12</v>
      </c>
      <c r="H1014" s="13">
        <v>408</v>
      </c>
      <c r="I1014" s="13">
        <f>VLOOKUP(VLOOKUP(H1014,$A$24:$B$1023,2,FALSE),'Scratch Sheet'!$U$23:$X$32,3,FALSE)</f>
        <v>5</v>
      </c>
      <c r="K1014" s="13">
        <f t="shared" si="59"/>
        <v>969</v>
      </c>
      <c r="L1014" s="13">
        <f>IFERROR(VLOOKUP(VLOOKUP(K1014,$A$24:$B$1023,2,FALSE),'Scratch Sheet'!$U$23:$Y$32,5,FALSE)*VLOOKUP(VLOOKUP(K1014,$A$24:$E$1023,5,FALSE),'Scratch Sheet'!$L$22:$M$30,2,FALSE),"")</f>
        <v>4500</v>
      </c>
      <c r="N1014" s="675">
        <v>982</v>
      </c>
      <c r="O1014" s="675" t="str" cm="1">
        <f t="array" ref="O1014">IF(OR(INDEX($B$24:$B$1023,N1014)="P10",INDEX($B$24:$B$1023,N1014)="P11",INDEX($B$24:$B$1023,N1014)="P12",INDEX($B$24:$B$1023,N1014)="P13"),"C",IF(OR(INDEX($B$24:$B$1023,N1014)="P14",INDEX($B$24:$B$1023,N1014)="P15",INDEX($B$24:$B$1023,N1014)="P16"),"N","O"))&amp;IF(MOD(N1014,100)&lt;20,1,IF(MOD(N1014,100)&lt;70,2,3))</f>
        <v>C3</v>
      </c>
    </row>
    <row r="1015" spans="1:15" ht="16.5" thickBot="1">
      <c r="A1015" s="662">
        <v>992</v>
      </c>
      <c r="B1015" s="661" t="str" cm="1">
        <f t="array" ref="B1015">"P"&amp;INDEX(X!$CL$2:$CL$12,'Scratch Sheet'!H1014+1)+9</f>
        <v>P17</v>
      </c>
      <c r="C1015" s="661">
        <v>1</v>
      </c>
      <c r="D1015" s="755">
        <f t="shared" si="60"/>
        <v>9600</v>
      </c>
      <c r="E1015" s="682" t="str">
        <f t="shared" si="61"/>
        <v>O3</v>
      </c>
      <c r="F1015" s="683">
        <f t="shared" si="62"/>
        <v>12</v>
      </c>
      <c r="H1015" s="13">
        <v>248</v>
      </c>
      <c r="I1015" s="13">
        <f>VLOOKUP(VLOOKUP(H1015,$A$24:$B$1023,2,FALSE),'Scratch Sheet'!$U$23:$X$32,3,FALSE)</f>
        <v>6.5</v>
      </c>
      <c r="K1015" s="13">
        <f t="shared" si="59"/>
        <v>964</v>
      </c>
      <c r="L1015" s="13">
        <f>IFERROR(VLOOKUP(VLOOKUP(K1015,$A$24:$B$1023,2,FALSE),'Scratch Sheet'!$U$23:$Y$32,5,FALSE)*VLOOKUP(VLOOKUP(K1015,$A$24:$E$1023,5,FALSE),'Scratch Sheet'!$L$22:$M$30,2,FALSE),"")</f>
        <v>2400</v>
      </c>
      <c r="N1015" s="675">
        <v>984</v>
      </c>
      <c r="O1015" s="675" t="str" cm="1">
        <f t="array" ref="O1015">IF(OR(INDEX($B$24:$B$1023,N1015)="P10",INDEX($B$24:$B$1023,N1015)="P11",INDEX($B$24:$B$1023,N1015)="P12",INDEX($B$24:$B$1023,N1015)="P13"),"C",IF(OR(INDEX($B$24:$B$1023,N1015)="P14",INDEX($B$24:$B$1023,N1015)="P15",INDEX($B$24:$B$1023,N1015)="P16"),"N","O"))&amp;IF(MOD(N1015,100)&lt;20,1,IF(MOD(N1015,100)&lt;70,2,3))</f>
        <v>N3</v>
      </c>
    </row>
    <row r="1016" spans="1:15" ht="16.5" thickBot="1">
      <c r="A1016" s="662">
        <v>993</v>
      </c>
      <c r="B1016" s="661" t="str" cm="1">
        <f t="array" ref="B1016">"P"&amp;INDEX(X!$CL$2:$CL$12,'Scratch Sheet'!H1015+1)+9</f>
        <v>P13</v>
      </c>
      <c r="C1016" s="661">
        <v>1</v>
      </c>
      <c r="D1016" s="755">
        <f t="shared" si="60"/>
        <v>3600</v>
      </c>
      <c r="E1016" s="682" t="str">
        <f t="shared" si="61"/>
        <v>C3</v>
      </c>
      <c r="F1016" s="683">
        <f t="shared" si="62"/>
        <v>5</v>
      </c>
      <c r="H1016" s="13">
        <v>803</v>
      </c>
      <c r="I1016" s="13">
        <f>VLOOKUP(VLOOKUP(H1016,$A$24:$B$1023,2,FALSE),'Scratch Sheet'!$U$23:$X$32,3,FALSE)</f>
        <v>4</v>
      </c>
      <c r="K1016" s="13">
        <f t="shared" si="59"/>
        <v>966</v>
      </c>
      <c r="L1016" s="13">
        <f>IFERROR(VLOOKUP(VLOOKUP(K1016,$A$24:$B$1023,2,FALSE),'Scratch Sheet'!$U$23:$Y$32,5,FALSE)*VLOOKUP(VLOOKUP(K1016,$A$24:$E$1023,5,FALSE),'Scratch Sheet'!$L$22:$M$30,2,FALSE),"")</f>
        <v>5940.0000000000009</v>
      </c>
      <c r="N1016" s="675">
        <v>986</v>
      </c>
      <c r="O1016" s="675" t="str" cm="1">
        <f t="array" ref="O1016">IF(OR(INDEX($B$24:$B$1023,N1016)="P10",INDEX($B$24:$B$1023,N1016)="P11",INDEX($B$24:$B$1023,N1016)="P12",INDEX($B$24:$B$1023,N1016)="P13"),"C",IF(OR(INDEX($B$24:$B$1023,N1016)="P14",INDEX($B$24:$B$1023,N1016)="P15",INDEX($B$24:$B$1023,N1016)="P16"),"N","O"))&amp;IF(MOD(N1016,100)&lt;20,1,IF(MOD(N1016,100)&lt;70,2,3))</f>
        <v>C3</v>
      </c>
    </row>
    <row r="1017" spans="1:15" ht="16.5" thickBot="1">
      <c r="A1017" s="662">
        <v>994</v>
      </c>
      <c r="B1017" s="661" t="str" cm="1">
        <f t="array" ref="B1017">"P"&amp;INDEX(X!$CL$2:$CL$12,'Scratch Sheet'!H1016+1)+9</f>
        <v>P11</v>
      </c>
      <c r="C1017" s="661">
        <v>1</v>
      </c>
      <c r="D1017" s="755">
        <f t="shared" si="60"/>
        <v>17600</v>
      </c>
      <c r="E1017" s="682" t="str">
        <f t="shared" si="61"/>
        <v>C3</v>
      </c>
      <c r="F1017" s="683">
        <f t="shared" si="62"/>
        <v>11</v>
      </c>
      <c r="H1017" s="13">
        <v>846</v>
      </c>
      <c r="I1017" s="13">
        <f>VLOOKUP(VLOOKUP(H1017,$A$24:$B$1023,2,FALSE),'Scratch Sheet'!$U$23:$X$32,3,FALSE)</f>
        <v>11</v>
      </c>
      <c r="K1017" s="13">
        <f t="shared" si="59"/>
        <v>965</v>
      </c>
      <c r="L1017" s="13">
        <f>IFERROR(VLOOKUP(VLOOKUP(K1017,$A$24:$B$1023,2,FALSE),'Scratch Sheet'!$U$23:$Y$32,5,FALSE)*VLOOKUP(VLOOKUP(K1017,$A$24:$E$1023,5,FALSE),'Scratch Sheet'!$L$22:$M$30,2,FALSE),"")</f>
        <v>11000</v>
      </c>
      <c r="N1017" s="675">
        <v>987</v>
      </c>
      <c r="O1017" s="675" t="str" cm="1">
        <f t="array" ref="O1017">IF(OR(INDEX($B$24:$B$1023,N1017)="P10",INDEX($B$24:$B$1023,N1017)="P11",INDEX($B$24:$B$1023,N1017)="P12",INDEX($B$24:$B$1023,N1017)="P13"),"C",IF(OR(INDEX($B$24:$B$1023,N1017)="P14",INDEX($B$24:$B$1023,N1017)="P15",INDEX($B$24:$B$1023,N1017)="P16"),"N","O"))&amp;IF(MOD(N1017,100)&lt;20,1,IF(MOD(N1017,100)&lt;70,2,3))</f>
        <v>C3</v>
      </c>
    </row>
    <row r="1018" spans="1:15" ht="16.5" thickBot="1">
      <c r="A1018" s="662">
        <v>995</v>
      </c>
      <c r="B1018" s="661" t="str" cm="1">
        <f t="array" ref="B1018">"P"&amp;INDEX(X!$CL$2:$CL$12,'Scratch Sheet'!H1017+1)+9</f>
        <v>P11</v>
      </c>
      <c r="C1018" s="661">
        <v>1</v>
      </c>
      <c r="D1018" s="755">
        <f t="shared" si="60"/>
        <v>8800</v>
      </c>
      <c r="E1018" s="682" t="str">
        <f t="shared" si="61"/>
        <v>C3</v>
      </c>
      <c r="F1018" s="683">
        <f t="shared" si="62"/>
        <v>11</v>
      </c>
      <c r="H1018" s="13">
        <v>494</v>
      </c>
      <c r="I1018" s="13">
        <f>VLOOKUP(VLOOKUP(H1018,$A$24:$B$1023,2,FALSE),'Scratch Sheet'!$U$23:$X$32,3,FALSE)</f>
        <v>5</v>
      </c>
      <c r="K1018" s="13">
        <f t="shared" si="59"/>
        <v>968</v>
      </c>
      <c r="L1018" s="13">
        <f>IFERROR(VLOOKUP(VLOOKUP(K1018,$A$24:$B$1023,2,FALSE),'Scratch Sheet'!$U$23:$Y$32,5,FALSE)*VLOOKUP(VLOOKUP(K1018,$A$24:$E$1023,5,FALSE),'Scratch Sheet'!$L$22:$M$30,2,FALSE),"")</f>
        <v>2400</v>
      </c>
      <c r="N1018" s="675">
        <v>989</v>
      </c>
      <c r="O1018" s="675" t="str" cm="1">
        <f t="array" ref="O1018">IF(OR(INDEX($B$24:$B$1023,N1018)="P10",INDEX($B$24:$B$1023,N1018)="P11",INDEX($B$24:$B$1023,N1018)="P12",INDEX($B$24:$B$1023,N1018)="P13"),"C",IF(OR(INDEX($B$24:$B$1023,N1018)="P14",INDEX($B$24:$B$1023,N1018)="P15",INDEX($B$24:$B$1023,N1018)="P16"),"N","O"))&amp;IF(MOD(N1018,100)&lt;20,1,IF(MOD(N1018,100)&lt;70,2,3))</f>
        <v>C3</v>
      </c>
    </row>
    <row r="1019" spans="1:15" ht="16.5" thickBot="1">
      <c r="A1019" s="662">
        <v>996</v>
      </c>
      <c r="B1019" s="661" t="str" cm="1">
        <f t="array" ref="B1019">"P"&amp;INDEX(X!$CL$2:$CL$12,'Scratch Sheet'!H1018+1)+9</f>
        <v>P12</v>
      </c>
      <c r="C1019" s="661">
        <v>1</v>
      </c>
      <c r="D1019" s="755">
        <f t="shared" si="60"/>
        <v>5460</v>
      </c>
      <c r="E1019" s="682" t="str">
        <f t="shared" si="61"/>
        <v>C3</v>
      </c>
      <c r="F1019" s="683">
        <f t="shared" si="62"/>
        <v>6.5</v>
      </c>
      <c r="H1019" s="13">
        <v>486</v>
      </c>
      <c r="I1019" s="13">
        <f>VLOOKUP(VLOOKUP(H1019,$A$24:$B$1023,2,FALSE),'Scratch Sheet'!$U$23:$X$32,3,FALSE)</f>
        <v>6.5</v>
      </c>
      <c r="K1019" s="13">
        <f t="shared" si="59"/>
        <v>963</v>
      </c>
      <c r="L1019" s="13">
        <f>IFERROR(VLOOKUP(VLOOKUP(K1019,$A$24:$B$1023,2,FALSE),'Scratch Sheet'!$U$23:$Y$32,5,FALSE)*VLOOKUP(VLOOKUP(K1019,$A$24:$E$1023,5,FALSE),'Scratch Sheet'!$L$22:$M$30,2,FALSE),"")</f>
        <v>2400</v>
      </c>
      <c r="N1019" s="675">
        <v>993</v>
      </c>
      <c r="O1019" s="675" t="str" cm="1">
        <f t="array" ref="O1019">IF(OR(INDEX($B$24:$B$1023,N1019)="P10",INDEX($B$24:$B$1023,N1019)="P11",INDEX($B$24:$B$1023,N1019)="P12",INDEX($B$24:$B$1023,N1019)="P13"),"C",IF(OR(INDEX($B$24:$B$1023,N1019)="P14",INDEX($B$24:$B$1023,N1019)="P15",INDEX($B$24:$B$1023,N1019)="P16"),"N","O"))&amp;IF(MOD(N1019,100)&lt;20,1,IF(MOD(N1019,100)&lt;70,2,3))</f>
        <v>C3</v>
      </c>
    </row>
    <row r="1020" spans="1:15" ht="16.5" thickBot="1">
      <c r="A1020" s="662">
        <v>997</v>
      </c>
      <c r="B1020" s="661" t="str" cm="1">
        <f t="array" ref="B1020">"P"&amp;INDEX(X!$CL$2:$CL$12,'Scratch Sheet'!H1019+1)+9</f>
        <v>P10</v>
      </c>
      <c r="C1020" s="661">
        <v>1</v>
      </c>
      <c r="D1020" s="755">
        <f t="shared" si="60"/>
        <v>1920</v>
      </c>
      <c r="E1020" s="682" t="str">
        <f t="shared" si="61"/>
        <v>C3</v>
      </c>
      <c r="F1020" s="683">
        <f t="shared" si="62"/>
        <v>3</v>
      </c>
      <c r="H1020" s="13">
        <v>319</v>
      </c>
      <c r="I1020" s="13">
        <f>VLOOKUP(VLOOKUP(H1020,$A$24:$B$1023,2,FALSE),'Scratch Sheet'!$U$23:$X$32,3,FALSE)</f>
        <v>11</v>
      </c>
      <c r="K1020" s="13">
        <f t="shared" si="59"/>
        <v>962</v>
      </c>
      <c r="L1020" s="13">
        <f>IFERROR(VLOOKUP(VLOOKUP(K1020,$A$24:$B$1023,2,FALSE),'Scratch Sheet'!$U$23:$Y$32,5,FALSE)*VLOOKUP(VLOOKUP(K1020,$A$24:$E$1023,5,FALSE),'Scratch Sheet'!$L$22:$M$30,2,FALSE),"")</f>
        <v>6825</v>
      </c>
      <c r="N1020" s="675">
        <v>994</v>
      </c>
      <c r="O1020" s="675" t="str" cm="1">
        <f t="array" ref="O1020">IF(OR(INDEX($B$24:$B$1023,N1020)="P10",INDEX($B$24:$B$1023,N1020)="P11",INDEX($B$24:$B$1023,N1020)="P12",INDEX($B$24:$B$1023,N1020)="P13"),"C",IF(OR(INDEX($B$24:$B$1023,N1020)="P14",INDEX($B$24:$B$1023,N1020)="P15",INDEX($B$24:$B$1023,N1020)="P16"),"N","O"))&amp;IF(MOD(N1020,100)&lt;20,1,IF(MOD(N1020,100)&lt;70,2,3))</f>
        <v>C3</v>
      </c>
    </row>
    <row r="1021" spans="1:15" ht="16.5" thickBot="1">
      <c r="A1021" s="662">
        <v>998</v>
      </c>
      <c r="B1021" s="661" t="str" cm="1">
        <f t="array" ref="B1021">"P"&amp;INDEX(X!$CL$2:$CL$12,'Scratch Sheet'!H1020+1)+9</f>
        <v>P10</v>
      </c>
      <c r="C1021" s="661">
        <v>1</v>
      </c>
      <c r="D1021" s="755">
        <f t="shared" si="60"/>
        <v>1920</v>
      </c>
      <c r="E1021" s="682" t="str">
        <f t="shared" si="61"/>
        <v>C3</v>
      </c>
      <c r="F1021" s="683">
        <f t="shared" si="62"/>
        <v>3</v>
      </c>
      <c r="H1021" s="13">
        <v>959</v>
      </c>
      <c r="I1021" s="13">
        <f>VLOOKUP(VLOOKUP(H1021,$A$24:$B$1023,2,FALSE),'Scratch Sheet'!$U$23:$X$32,3,FALSE)</f>
        <v>5</v>
      </c>
      <c r="K1021" s="13">
        <f t="shared" si="59"/>
        <v>975</v>
      </c>
      <c r="L1021" s="13">
        <f>IFERROR(VLOOKUP(VLOOKUP(K1021,$A$24:$B$1023,2,FALSE),'Scratch Sheet'!$U$23:$Y$32,5,FALSE)*VLOOKUP(VLOOKUP(K1021,$A$24:$E$1023,5,FALSE),'Scratch Sheet'!$L$22:$M$30,2,FALSE),"")</f>
        <v>9600</v>
      </c>
      <c r="N1021" s="675">
        <v>995</v>
      </c>
      <c r="O1021" s="675" t="str" cm="1">
        <f t="array" ref="O1021">IF(OR(INDEX($B$24:$B$1023,N1021)="P10",INDEX($B$24:$B$1023,N1021)="P11",INDEX($B$24:$B$1023,N1021)="P12",INDEX($B$24:$B$1023,N1021)="P13"),"C",IF(OR(INDEX($B$24:$B$1023,N1021)="P14",INDEX($B$24:$B$1023,N1021)="P15",INDEX($B$24:$B$1023,N1021)="P16"),"N","O"))&amp;IF(MOD(N1021,100)&lt;20,1,IF(MOD(N1021,100)&lt;70,2,3))</f>
        <v>C3</v>
      </c>
    </row>
    <row r="1022" spans="1:15" ht="16.5" thickBot="1">
      <c r="A1022" s="662">
        <v>999</v>
      </c>
      <c r="B1022" s="661" t="str" cm="1">
        <f t="array" ref="B1022">"P"&amp;INDEX(X!$CL$2:$CL$12,'Scratch Sheet'!H1021+1)+9</f>
        <v>P11</v>
      </c>
      <c r="C1022" s="661">
        <v>1</v>
      </c>
      <c r="D1022" s="755">
        <f t="shared" si="60"/>
        <v>8800</v>
      </c>
      <c r="E1022" s="682" t="str">
        <f t="shared" si="61"/>
        <v>C3</v>
      </c>
      <c r="F1022" s="683">
        <f t="shared" si="62"/>
        <v>11</v>
      </c>
      <c r="H1022" s="13">
        <v>771</v>
      </c>
      <c r="I1022" s="13">
        <f>VLOOKUP(VLOOKUP(H1022,$A$24:$B$1023,2,FALSE),'Scratch Sheet'!$U$23:$X$32,3,FALSE)</f>
        <v>12</v>
      </c>
      <c r="K1022" s="13">
        <f t="shared" si="59"/>
        <v>978</v>
      </c>
      <c r="L1022" s="13">
        <f>IFERROR(VLOOKUP(VLOOKUP(K1022,$A$24:$B$1023,2,FALSE),'Scratch Sheet'!$U$23:$Y$32,5,FALSE)*VLOOKUP(VLOOKUP(K1022,$A$24:$E$1023,5,FALSE),'Scratch Sheet'!$L$22:$M$30,2,FALSE),"")</f>
        <v>8800</v>
      </c>
      <c r="N1022" s="675">
        <v>996</v>
      </c>
      <c r="O1022" s="675" t="str" cm="1">
        <f t="array" ref="O1022">IF(OR(INDEX($B$24:$B$1023,N1022)="P10",INDEX($B$24:$B$1023,N1022)="P11",INDEX($B$24:$B$1023,N1022)="P12",INDEX($B$24:$B$1023,N1022)="P13"),"C",IF(OR(INDEX($B$24:$B$1023,N1022)="P14",INDEX($B$24:$B$1023,N1022)="P15",INDEX($B$24:$B$1023,N1022)="P16"),"N","O"))&amp;IF(MOD(N1022,100)&lt;20,1,IF(MOD(N1022,100)&lt;70,2,3))</f>
        <v>C3</v>
      </c>
    </row>
    <row r="1023" spans="1:15" ht="16.5" thickBot="1">
      <c r="A1023" s="662">
        <v>1000</v>
      </c>
      <c r="B1023" s="661" t="str" cm="1">
        <f t="array" ref="B1023">"P"&amp;INDEX(X!$CL$2:$CL$12,'Scratch Sheet'!H1022+1)+9</f>
        <v>P18</v>
      </c>
      <c r="C1023" s="661">
        <v>1</v>
      </c>
      <c r="D1023" s="755">
        <f t="shared" si="60"/>
        <v>4860</v>
      </c>
      <c r="E1023" s="682" t="str">
        <f t="shared" si="61"/>
        <v>O1</v>
      </c>
      <c r="F1023" s="683">
        <f t="shared" si="62"/>
        <v>6</v>
      </c>
      <c r="H1023" s="13">
        <v>935</v>
      </c>
      <c r="I1023" s="13">
        <f>VLOOKUP(VLOOKUP(H1023,$A$24:$B$1023,2,FALSE),'Scratch Sheet'!$U$23:$X$32,3,FALSE)</f>
        <v>5</v>
      </c>
      <c r="K1023" s="13">
        <f t="shared" ref="K1023:K1053" si="63">K920+100</f>
        <v>977</v>
      </c>
      <c r="L1023" s="13">
        <f>IFERROR(VLOOKUP(VLOOKUP(K1023,$A$24:$B$1023,2,FALSE),'Scratch Sheet'!$U$23:$Y$32,5,FALSE)*VLOOKUP(VLOOKUP(K1023,$A$24:$E$1023,5,FALSE),'Scratch Sheet'!$L$22:$M$30,2,FALSE),"")</f>
        <v>8800</v>
      </c>
      <c r="N1023" s="675">
        <v>999</v>
      </c>
      <c r="O1023" s="675" t="str" cm="1">
        <f t="array" ref="O1023">IF(OR(INDEX($B$24:$B$1023,N1023)="P10",INDEX($B$24:$B$1023,N1023)="P11",INDEX($B$24:$B$1023,N1023)="P12",INDEX($B$24:$B$1023,N1023)="P13"),"C",IF(OR(INDEX($B$24:$B$1023,N1023)="P14",INDEX($B$24:$B$1023,N1023)="P15",INDEX($B$24:$B$1023,N1023)="P16"),"N","O"))&amp;IF(MOD(N1023,100)&lt;20,1,IF(MOD(N1023,100)&lt;70,2,3))</f>
        <v>C3</v>
      </c>
    </row>
    <row r="1024" spans="1:15">
      <c r="B1024" s="661"/>
      <c r="C1024" s="661"/>
      <c r="K1024" s="13">
        <f t="shared" si="63"/>
        <v>972</v>
      </c>
      <c r="L1024" s="13">
        <f>IFERROR(VLOOKUP(VLOOKUP(K1024,$A$24:$B$1023,2,FALSE),'Scratch Sheet'!$U$23:$Y$32,5,FALSE)*VLOOKUP(VLOOKUP(K1024,$A$24:$E$1023,5,FALSE),'Scratch Sheet'!$L$22:$M$30,2,FALSE),"")</f>
        <v>8800</v>
      </c>
    </row>
    <row r="1025" spans="2:12">
      <c r="B1025" s="661"/>
      <c r="C1025" s="661"/>
      <c r="K1025" s="13">
        <f t="shared" si="63"/>
        <v>974</v>
      </c>
      <c r="L1025" s="13">
        <f>IFERROR(VLOOKUP(VLOOKUP(K1025,$A$24:$B$1023,2,FALSE),'Scratch Sheet'!$U$23:$Y$32,5,FALSE)*VLOOKUP(VLOOKUP(K1025,$A$24:$E$1023,5,FALSE),'Scratch Sheet'!$L$22:$M$30,2,FALSE),"")</f>
        <v>9600</v>
      </c>
    </row>
    <row r="1026" spans="2:12">
      <c r="B1026" s="661"/>
      <c r="C1026" s="661"/>
      <c r="K1026" s="13">
        <f t="shared" si="63"/>
        <v>973</v>
      </c>
      <c r="L1026" s="13">
        <f>IFERROR(VLOOKUP(VLOOKUP(K1026,$A$24:$B$1023,2,FALSE),'Scratch Sheet'!$U$23:$Y$32,5,FALSE)*VLOOKUP(VLOOKUP(K1026,$A$24:$E$1023,5,FALSE),'Scratch Sheet'!$L$22:$M$30,2,FALSE),"")</f>
        <v>5200</v>
      </c>
    </row>
    <row r="1027" spans="2:12">
      <c r="B1027" s="661"/>
      <c r="C1027" s="661"/>
      <c r="K1027" s="13">
        <f t="shared" si="63"/>
        <v>976</v>
      </c>
      <c r="L1027" s="13">
        <f>IFERROR(VLOOKUP(VLOOKUP(K1027,$A$24:$B$1023,2,FALSE),'Scratch Sheet'!$U$23:$Y$32,5,FALSE)*VLOOKUP(VLOOKUP(K1027,$A$24:$E$1023,5,FALSE),'Scratch Sheet'!$L$22:$M$30,2,FALSE),"")</f>
        <v>3600</v>
      </c>
    </row>
    <row r="1028" spans="2:12">
      <c r="B1028" s="661"/>
      <c r="C1028" s="661"/>
      <c r="K1028" s="13">
        <f t="shared" si="63"/>
        <v>971</v>
      </c>
      <c r="L1028" s="13">
        <f>IFERROR(VLOOKUP(VLOOKUP(K1028,$A$24:$B$1023,2,FALSE),'Scratch Sheet'!$U$23:$Y$32,5,FALSE)*VLOOKUP(VLOOKUP(K1028,$A$24:$E$1023,5,FALSE),'Scratch Sheet'!$L$22:$M$30,2,FALSE),"")</f>
        <v>1920</v>
      </c>
    </row>
    <row r="1029" spans="2:12">
      <c r="K1029" s="13">
        <f t="shared" si="63"/>
        <v>982</v>
      </c>
      <c r="L1029" s="13">
        <f>IFERROR(VLOOKUP(VLOOKUP(K1029,$A$24:$B$1023,2,FALSE),'Scratch Sheet'!$U$23:$Y$32,5,FALSE)*VLOOKUP(VLOOKUP(K1029,$A$24:$E$1023,5,FALSE),'Scratch Sheet'!$L$22:$M$30,2,FALSE),"")</f>
        <v>8800</v>
      </c>
    </row>
    <row r="1030" spans="2:12">
      <c r="K1030" s="13">
        <f t="shared" si="63"/>
        <v>985</v>
      </c>
      <c r="L1030" s="13">
        <f>IFERROR(VLOOKUP(VLOOKUP(K1030,$A$24:$B$1023,2,FALSE),'Scratch Sheet'!$U$23:$Y$32,5,FALSE)*VLOOKUP(VLOOKUP(K1030,$A$24:$E$1023,5,FALSE),'Scratch Sheet'!$L$22:$M$30,2,FALSE),"")</f>
        <v>1920</v>
      </c>
    </row>
    <row r="1031" spans="2:12">
      <c r="K1031" s="13">
        <f t="shared" si="63"/>
        <v>984</v>
      </c>
      <c r="L1031" s="13">
        <f>IFERROR(VLOOKUP(VLOOKUP(K1031,$A$24:$B$1023,2,FALSE),'Scratch Sheet'!$U$23:$Y$32,5,FALSE)*VLOOKUP(VLOOKUP(K1031,$A$24:$E$1023,5,FALSE),'Scratch Sheet'!$L$22:$M$30,2,FALSE),"")</f>
        <v>7200</v>
      </c>
    </row>
    <row r="1032" spans="2:12">
      <c r="K1032" s="13">
        <f t="shared" si="63"/>
        <v>979</v>
      </c>
      <c r="L1032" s="13">
        <f>IFERROR(VLOOKUP(VLOOKUP(K1032,$A$24:$B$1023,2,FALSE),'Scratch Sheet'!$U$23:$Y$32,5,FALSE)*VLOOKUP(VLOOKUP(K1032,$A$24:$E$1023,5,FALSE),'Scratch Sheet'!$L$22:$M$30,2,FALSE),"")</f>
        <v>5460</v>
      </c>
    </row>
    <row r="1033" spans="2:12">
      <c r="K1033" s="13">
        <f t="shared" si="63"/>
        <v>981</v>
      </c>
      <c r="L1033" s="13">
        <f>IFERROR(VLOOKUP(VLOOKUP(K1033,$A$24:$B$1023,2,FALSE),'Scratch Sheet'!$U$23:$Y$32,5,FALSE)*VLOOKUP(VLOOKUP(K1033,$A$24:$E$1023,5,FALSE),'Scratch Sheet'!$L$22:$M$30,2,FALSE),"")</f>
        <v>1920</v>
      </c>
    </row>
    <row r="1034" spans="2:12">
      <c r="K1034" s="13">
        <f t="shared" si="63"/>
        <v>980</v>
      </c>
      <c r="L1034" s="13">
        <f>IFERROR(VLOOKUP(VLOOKUP(K1034,$A$24:$B$1023,2,FALSE),'Scratch Sheet'!$U$23:$Y$32,5,FALSE)*VLOOKUP(VLOOKUP(K1034,$A$24:$E$1023,5,FALSE),'Scratch Sheet'!$L$22:$M$30,2,FALSE),"")</f>
        <v>1920</v>
      </c>
    </row>
    <row r="1035" spans="2:12">
      <c r="K1035" s="13">
        <f t="shared" si="63"/>
        <v>983</v>
      </c>
      <c r="L1035" s="13">
        <f>IFERROR(VLOOKUP(VLOOKUP(K1035,$A$24:$B$1023,2,FALSE),'Scratch Sheet'!$U$23:$Y$32,5,FALSE)*VLOOKUP(VLOOKUP(K1035,$A$24:$E$1023,5,FALSE),'Scratch Sheet'!$L$22:$M$30,2,FALSE),"")</f>
        <v>4320</v>
      </c>
    </row>
    <row r="1036" spans="2:12">
      <c r="K1036" s="13">
        <f t="shared" si="63"/>
        <v>989</v>
      </c>
      <c r="L1036" s="13">
        <f>IFERROR(VLOOKUP(VLOOKUP(K1036,$A$24:$B$1023,2,FALSE),'Scratch Sheet'!$U$23:$Y$32,5,FALSE)*VLOOKUP(VLOOKUP(K1036,$A$24:$E$1023,5,FALSE),'Scratch Sheet'!$L$22:$M$30,2,FALSE),"")</f>
        <v>8800</v>
      </c>
    </row>
    <row r="1037" spans="2:12">
      <c r="K1037" s="13">
        <f t="shared" si="63"/>
        <v>991</v>
      </c>
      <c r="L1037" s="13">
        <f>IFERROR(VLOOKUP(VLOOKUP(K1037,$A$24:$B$1023,2,FALSE),'Scratch Sheet'!$U$23:$Y$32,5,FALSE)*VLOOKUP(VLOOKUP(K1037,$A$24:$E$1023,5,FALSE),'Scratch Sheet'!$L$22:$M$30,2,FALSE),"")</f>
        <v>9600</v>
      </c>
    </row>
    <row r="1038" spans="2:12">
      <c r="K1038" s="13">
        <f t="shared" si="63"/>
        <v>990</v>
      </c>
      <c r="L1038" s="13">
        <f>IFERROR(VLOOKUP(VLOOKUP(K1038,$A$24:$B$1023,2,FALSE),'Scratch Sheet'!$U$23:$Y$32,5,FALSE)*VLOOKUP(VLOOKUP(K1038,$A$24:$E$1023,5,FALSE),'Scratch Sheet'!$L$22:$M$30,2,FALSE),"")</f>
        <v>5200</v>
      </c>
    </row>
    <row r="1039" spans="2:12">
      <c r="K1039" s="13">
        <f t="shared" si="63"/>
        <v>986</v>
      </c>
      <c r="L1039" s="13">
        <f>IFERROR(VLOOKUP(VLOOKUP(K1039,$A$24:$B$1023,2,FALSE),'Scratch Sheet'!$U$23:$Y$32,5,FALSE)*VLOOKUP(VLOOKUP(K1039,$A$24:$E$1023,5,FALSE),'Scratch Sheet'!$L$22:$M$30,2,FALSE),"")</f>
        <v>3600</v>
      </c>
    </row>
    <row r="1040" spans="2:12">
      <c r="K1040" s="13">
        <f t="shared" si="63"/>
        <v>988</v>
      </c>
      <c r="L1040" s="13">
        <f>IFERROR(VLOOKUP(VLOOKUP(K1040,$A$24:$B$1023,2,FALSE),'Scratch Sheet'!$U$23:$Y$32,5,FALSE)*VLOOKUP(VLOOKUP(K1040,$A$24:$E$1023,5,FALSE),'Scratch Sheet'!$L$22:$M$30,2,FALSE),"")</f>
        <v>1920</v>
      </c>
    </row>
    <row r="1041" spans="11:12">
      <c r="K1041" s="13">
        <f t="shared" si="63"/>
        <v>987</v>
      </c>
      <c r="L1041" s="13">
        <f>IFERROR(VLOOKUP(VLOOKUP(K1041,$A$24:$B$1023,2,FALSE),'Scratch Sheet'!$U$23:$Y$32,5,FALSE)*VLOOKUP(VLOOKUP(K1041,$A$24:$E$1023,5,FALSE),'Scratch Sheet'!$L$22:$M$30,2,FALSE),"")</f>
        <v>3600</v>
      </c>
    </row>
    <row r="1042" spans="11:12">
      <c r="K1042" s="13">
        <f t="shared" si="63"/>
        <v>994</v>
      </c>
      <c r="L1042" s="13">
        <f>IFERROR(VLOOKUP(VLOOKUP(K1042,$A$24:$B$1023,2,FALSE),'Scratch Sheet'!$U$23:$Y$32,5,FALSE)*VLOOKUP(VLOOKUP(K1042,$A$24:$E$1023,5,FALSE),'Scratch Sheet'!$L$22:$M$30,2,FALSE),"")</f>
        <v>8800</v>
      </c>
    </row>
    <row r="1043" spans="11:12">
      <c r="K1043" s="13">
        <f t="shared" si="63"/>
        <v>996</v>
      </c>
      <c r="L1043" s="13">
        <f>IFERROR(VLOOKUP(VLOOKUP(K1043,$A$24:$B$1023,2,FALSE),'Scratch Sheet'!$U$23:$Y$32,5,FALSE)*VLOOKUP(VLOOKUP(K1043,$A$24:$E$1023,5,FALSE),'Scratch Sheet'!$L$22:$M$30,2,FALSE),"")</f>
        <v>5460</v>
      </c>
    </row>
    <row r="1044" spans="11:12">
      <c r="K1044" s="13">
        <f t="shared" si="63"/>
        <v>995</v>
      </c>
      <c r="L1044" s="13">
        <f>IFERROR(VLOOKUP(VLOOKUP(K1044,$A$24:$B$1023,2,FALSE),'Scratch Sheet'!$U$23:$Y$32,5,FALSE)*VLOOKUP(VLOOKUP(K1044,$A$24:$E$1023,5,FALSE),'Scratch Sheet'!$L$22:$M$30,2,FALSE),"")</f>
        <v>8800</v>
      </c>
    </row>
    <row r="1045" spans="11:12">
      <c r="K1045" s="13">
        <f t="shared" si="63"/>
        <v>992</v>
      </c>
      <c r="L1045" s="13">
        <f>IFERROR(VLOOKUP(VLOOKUP(K1045,$A$24:$B$1023,2,FALSE),'Scratch Sheet'!$U$23:$Y$32,5,FALSE)*VLOOKUP(VLOOKUP(K1045,$A$24:$E$1023,5,FALSE),'Scratch Sheet'!$L$22:$M$30,2,FALSE),"")</f>
        <v>9600</v>
      </c>
    </row>
    <row r="1046" spans="11:12">
      <c r="K1046" s="13">
        <f t="shared" si="63"/>
        <v>993</v>
      </c>
      <c r="L1046" s="13">
        <f>IFERROR(VLOOKUP(VLOOKUP(K1046,$A$24:$B$1023,2,FALSE),'Scratch Sheet'!$U$23:$Y$32,5,FALSE)*VLOOKUP(VLOOKUP(K1046,$A$24:$E$1023,5,FALSE),'Scratch Sheet'!$L$22:$M$30,2,FALSE),"")</f>
        <v>3600</v>
      </c>
    </row>
    <row r="1047" spans="11:12">
      <c r="K1047" s="13">
        <f t="shared" si="63"/>
        <v>998</v>
      </c>
      <c r="L1047" s="13">
        <f>IFERROR(VLOOKUP(VLOOKUP(K1047,$A$24:$B$1023,2,FALSE),'Scratch Sheet'!$U$23:$Y$32,5,FALSE)*VLOOKUP(VLOOKUP(K1047,$A$24:$E$1023,5,FALSE),'Scratch Sheet'!$L$22:$M$30,2,FALSE),"")</f>
        <v>1920</v>
      </c>
    </row>
    <row r="1048" spans="11:12">
      <c r="K1048" s="13">
        <f t="shared" si="63"/>
        <v>1000</v>
      </c>
      <c r="L1048" s="13">
        <f>IFERROR(VLOOKUP(VLOOKUP(K1048,$A$24:$B$1023,2,FALSE),'Scratch Sheet'!$U$23:$Y$32,5,FALSE)*VLOOKUP(VLOOKUP(K1048,$A$24:$E$1023,5,FALSE),'Scratch Sheet'!$L$22:$M$30,2,FALSE),"")</f>
        <v>4860</v>
      </c>
    </row>
    <row r="1049" spans="11:12">
      <c r="K1049" s="13">
        <f t="shared" si="63"/>
        <v>999</v>
      </c>
      <c r="L1049" s="13">
        <f>IFERROR(VLOOKUP(VLOOKUP(K1049,$A$24:$B$1023,2,FALSE),'Scratch Sheet'!$U$23:$Y$32,5,FALSE)*VLOOKUP(VLOOKUP(K1049,$A$24:$E$1023,5,FALSE),'Scratch Sheet'!$L$22:$M$30,2,FALSE),"")</f>
        <v>8800</v>
      </c>
    </row>
    <row r="1050" spans="11:12">
      <c r="K1050" s="13">
        <f t="shared" si="63"/>
        <v>997</v>
      </c>
      <c r="L1050" s="13">
        <f>IFERROR(VLOOKUP(VLOOKUP(K1050,$A$24:$B$1023,2,FALSE),'Scratch Sheet'!$U$23:$Y$32,5,FALSE)*VLOOKUP(VLOOKUP(K1050,$A$24:$E$1023,5,FALSE),'Scratch Sheet'!$L$22:$M$30,2,FALSE),"")</f>
        <v>1920</v>
      </c>
    </row>
    <row r="1051" spans="11:12">
      <c r="K1051" s="13">
        <f t="shared" si="63"/>
        <v>938</v>
      </c>
      <c r="L1051" s="13">
        <f>IFERROR(VLOOKUP(VLOOKUP(K1051,$A$24:$B$1023,2,FALSE),'Scratch Sheet'!$U$23:$Y$32,5,FALSE)*VLOOKUP(VLOOKUP(K1051,$A$24:$E$1023,5,FALSE),'Scratch Sheet'!$L$22:$M$30,2,FALSE),"")</f>
        <v>11000</v>
      </c>
    </row>
    <row r="1052" spans="11:12">
      <c r="K1052" s="13">
        <f t="shared" si="63"/>
        <v>953</v>
      </c>
      <c r="L1052" s="13">
        <f>IFERROR(VLOOKUP(VLOOKUP(K1052,$A$24:$B$1023,2,FALSE),'Scratch Sheet'!$U$23:$Y$32,5,FALSE)*VLOOKUP(VLOOKUP(K1052,$A$24:$E$1023,5,FALSE),'Scratch Sheet'!$L$22:$M$30,2,FALSE),"")</f>
        <v>4500</v>
      </c>
    </row>
    <row r="1053" spans="11:12">
      <c r="K1053" s="13">
        <f t="shared" si="63"/>
        <v>994</v>
      </c>
      <c r="L1053" s="13">
        <f>IFERROR(VLOOKUP(VLOOKUP(K1053,$A$24:$B$1023,2,FALSE),'Scratch Sheet'!$U$23:$Y$32,5,FALSE)*VLOOKUP(VLOOKUP(K1053,$A$24:$E$1023,5,FALSE),'Scratch Sheet'!$L$22:$M$30,2,FALSE),"")</f>
        <v>8800</v>
      </c>
    </row>
  </sheetData>
  <autoFilter ref="A23:O23" xr:uid="{00000000-0001-0000-0100-000000000000}"/>
  <phoneticPr fontId="90" type="noConversion"/>
  <pageMargins left="0.7" right="0.7" top="0.75" bottom="0.75" header="0.3" footer="0.3"/>
  <pageSetup scale="96" fitToHeight="10" orientation="landscape" r:id="rId1"/>
  <headerFooter>
    <oddFooter>&amp;L&amp;"Helvetica,Regular"&amp;K000000© All rights reserved, 2019, Marianne Wolk &amp; Richard Horwitz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EC110C7-6F69-874D-ACFB-4EB18FA4734D}">
            <xm:f>'Scratch Sheet'!E23&lt;&gt;0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D24:F1023</xm:sqref>
        </x14:conditionalFormatting>
        <x14:conditionalFormatting xmlns:xm="http://schemas.microsoft.com/office/excel/2006/main">
          <x14:cfRule type="expression" priority="1" id="{67DC3DEE-A4D3-6B49-B6D9-22771CF38DC2}">
            <xm:f>X!$CC$1=TRUE</xm:f>
            <x14:dxf>
              <font>
                <color theme="1"/>
              </font>
              <fill>
                <patternFill>
                  <bgColor theme="1"/>
                </patternFill>
              </fill>
            </x14:dxf>
          </x14:cfRule>
          <xm:sqref>A1:XFD13 B14:XFD14 A15:XFD1048576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557D-C7EB-9945-8026-38ACE0433632}">
  <sheetPr published="0"/>
  <dimension ref="A1:BJ129"/>
  <sheetViews>
    <sheetView zoomScale="125" zoomScaleNormal="140" workbookViewId="0">
      <selection activeCell="I23" sqref="I23"/>
    </sheetView>
  </sheetViews>
  <sheetFormatPr defaultColWidth="11" defaultRowHeight="15.75"/>
  <cols>
    <col min="1" max="1" width="11.125" bestFit="1" customWidth="1"/>
    <col min="2" max="2" width="19.5" bestFit="1" customWidth="1"/>
    <col min="3" max="3" width="13.625" customWidth="1"/>
    <col min="4" max="14" width="11.875" customWidth="1"/>
    <col min="15" max="15" width="15.625" bestFit="1" customWidth="1"/>
    <col min="16" max="16" width="12.375" bestFit="1" customWidth="1"/>
    <col min="17" max="17" width="15.625" bestFit="1" customWidth="1"/>
    <col min="18" max="18" width="12.375" bestFit="1" customWidth="1"/>
    <col min="19" max="19" width="15.625" bestFit="1" customWidth="1"/>
    <col min="20" max="20" width="12.375" bestFit="1" customWidth="1"/>
    <col min="21" max="21" width="15.625" bestFit="1" customWidth="1"/>
    <col min="22" max="22" width="17.125" bestFit="1" customWidth="1"/>
    <col min="23" max="23" width="20.5" bestFit="1" customWidth="1"/>
    <col min="24" max="24" width="12.375" bestFit="1" customWidth="1"/>
    <col min="25" max="25" width="15.625" bestFit="1" customWidth="1"/>
    <col min="26" max="26" width="17.5" bestFit="1" customWidth="1"/>
    <col min="27" max="27" width="12.375" bestFit="1" customWidth="1"/>
    <col min="28" max="28" width="15.625" bestFit="1" customWidth="1"/>
    <col min="29" max="29" width="17.5" bestFit="1" customWidth="1"/>
    <col min="30" max="30" width="12.375" bestFit="1" customWidth="1"/>
    <col min="31" max="31" width="15.625" bestFit="1" customWidth="1"/>
    <col min="32" max="32" width="22.375" bestFit="1" customWidth="1"/>
    <col min="33" max="33" width="17.125" bestFit="1" customWidth="1"/>
    <col min="34" max="34" width="20.5" bestFit="1" customWidth="1"/>
    <col min="35" max="35" width="12.375" bestFit="1" customWidth="1"/>
    <col min="36" max="36" width="15.625" bestFit="1" customWidth="1"/>
    <col min="37" max="37" width="12.5" bestFit="1" customWidth="1"/>
    <col min="38" max="38" width="17.5" bestFit="1" customWidth="1"/>
    <col min="39" max="39" width="12.375" bestFit="1" customWidth="1"/>
    <col min="40" max="40" width="15.625" bestFit="1" customWidth="1"/>
    <col min="41" max="41" width="12.5" bestFit="1" customWidth="1"/>
    <col min="42" max="42" width="22.375" bestFit="1" customWidth="1"/>
    <col min="43" max="43" width="17.125" bestFit="1" customWidth="1"/>
    <col min="44" max="44" width="20.5" bestFit="1" customWidth="1"/>
    <col min="45" max="45" width="17.375" bestFit="1" customWidth="1"/>
    <col min="46" max="46" width="20.5" bestFit="1" customWidth="1"/>
    <col min="47" max="47" width="22.375" bestFit="1" customWidth="1"/>
    <col min="48" max="50" width="4.125" bestFit="1" customWidth="1"/>
    <col min="51" max="52" width="5.125" bestFit="1" customWidth="1"/>
    <col min="53" max="53" width="4.125" bestFit="1" customWidth="1"/>
    <col min="54" max="58" width="5.125" bestFit="1" customWidth="1"/>
    <col min="59" max="59" width="4.125" bestFit="1" customWidth="1"/>
    <col min="60" max="70" width="5.125" bestFit="1" customWidth="1"/>
    <col min="71" max="71" width="4.125" bestFit="1" customWidth="1"/>
    <col min="72" max="72" width="5.125" bestFit="1" customWidth="1"/>
    <col min="73" max="73" width="4.125" bestFit="1" customWidth="1"/>
    <col min="74" max="76" width="5.125" bestFit="1" customWidth="1"/>
    <col min="77" max="77" width="4.125" bestFit="1" customWidth="1"/>
    <col min="78" max="79" width="5.125" bestFit="1" customWidth="1"/>
    <col min="80" max="81" width="4.125" bestFit="1" customWidth="1"/>
    <col min="82" max="84" width="5.125" bestFit="1" customWidth="1"/>
    <col min="85" max="85" width="4.125" bestFit="1" customWidth="1"/>
    <col min="86" max="87" width="5.125" bestFit="1" customWidth="1"/>
    <col min="88" max="89" width="4.125" bestFit="1" customWidth="1"/>
    <col min="90" max="93" width="5.125" bestFit="1" customWidth="1"/>
    <col min="94" max="95" width="4.125" bestFit="1" customWidth="1"/>
    <col min="96" max="96" width="5.125" bestFit="1" customWidth="1"/>
    <col min="97" max="99" width="4.125" bestFit="1" customWidth="1"/>
    <col min="100" max="100" width="5.125" bestFit="1" customWidth="1"/>
    <col min="101" max="102" width="4.125" bestFit="1" customWidth="1"/>
    <col min="103" max="104" width="5.125" bestFit="1" customWidth="1"/>
    <col min="105" max="106" width="4.125" bestFit="1" customWidth="1"/>
    <col min="107" max="110" width="5.125" bestFit="1" customWidth="1"/>
    <col min="111" max="112" width="4.125" bestFit="1" customWidth="1"/>
    <col min="113" max="113" width="5.125" bestFit="1" customWidth="1"/>
    <col min="114" max="116" width="4.125" bestFit="1" customWidth="1"/>
    <col min="117" max="117" width="5.125" bestFit="1" customWidth="1"/>
    <col min="118" max="119" width="4.125" bestFit="1" customWidth="1"/>
    <col min="120" max="121" width="5.125" bestFit="1" customWidth="1"/>
    <col min="122" max="123" width="4.125" bestFit="1" customWidth="1"/>
    <col min="124" max="127" width="5.125" bestFit="1" customWidth="1"/>
    <col min="128" max="129" width="4.125" bestFit="1" customWidth="1"/>
    <col min="130" max="130" width="5.125" bestFit="1" customWidth="1"/>
    <col min="131" max="133" width="4.125" bestFit="1" customWidth="1"/>
    <col min="134" max="134" width="5.125" bestFit="1" customWidth="1"/>
    <col min="135" max="136" width="4.125" bestFit="1" customWidth="1"/>
    <col min="137" max="138" width="5.125" bestFit="1" customWidth="1"/>
    <col min="139" max="139" width="4.125" bestFit="1" customWidth="1"/>
    <col min="140" max="144" width="5.125" bestFit="1" customWidth="1"/>
    <col min="145" max="146" width="4.125" bestFit="1" customWidth="1"/>
    <col min="147" max="147" width="5.125" bestFit="1" customWidth="1"/>
    <col min="148" max="150" width="4.125" bestFit="1" customWidth="1"/>
    <col min="151" max="151" width="5.125" bestFit="1" customWidth="1"/>
    <col min="152" max="153" width="4.125" bestFit="1" customWidth="1"/>
    <col min="154" max="156" width="5.125" bestFit="1" customWidth="1"/>
    <col min="157" max="157" width="4.125" bestFit="1" customWidth="1"/>
    <col min="158" max="161" width="5.125" bestFit="1" customWidth="1"/>
    <col min="162" max="163" width="4.125" bestFit="1" customWidth="1"/>
    <col min="164" max="164" width="5.125" bestFit="1" customWidth="1"/>
    <col min="165" max="167" width="4.125" bestFit="1" customWidth="1"/>
    <col min="168" max="168" width="5.125" bestFit="1" customWidth="1"/>
    <col min="169" max="170" width="4.125" bestFit="1" customWidth="1"/>
    <col min="171" max="172" width="5.125" bestFit="1" customWidth="1"/>
    <col min="173" max="174" width="4.125" bestFit="1" customWidth="1"/>
    <col min="175" max="178" width="5.125" bestFit="1" customWidth="1"/>
    <col min="179" max="180" width="4.125" bestFit="1" customWidth="1"/>
    <col min="181" max="181" width="5.125" bestFit="1" customWidth="1"/>
    <col min="182" max="184" width="4.125" bestFit="1" customWidth="1"/>
    <col min="185" max="185" width="5.125" bestFit="1" customWidth="1"/>
    <col min="186" max="187" width="4.125" bestFit="1" customWidth="1"/>
    <col min="188" max="189" width="5.125" bestFit="1" customWidth="1"/>
    <col min="190" max="191" width="4.125" bestFit="1" customWidth="1"/>
    <col min="192" max="196" width="5.125" bestFit="1" customWidth="1"/>
    <col min="197" max="197" width="4.125" bestFit="1" customWidth="1"/>
    <col min="198" max="198" width="5.125" bestFit="1" customWidth="1"/>
    <col min="199" max="201" width="4.125" bestFit="1" customWidth="1"/>
    <col min="202" max="202" width="5.125" bestFit="1" customWidth="1"/>
    <col min="203" max="204" width="4.125" bestFit="1" customWidth="1"/>
    <col min="205" max="206" width="5.125" bestFit="1" customWidth="1"/>
    <col min="207" max="208" width="4.125" bestFit="1" customWidth="1"/>
    <col min="209" max="212" width="5.125" bestFit="1" customWidth="1"/>
    <col min="213" max="214" width="4.125" bestFit="1" customWidth="1"/>
    <col min="215" max="215" width="5.125" bestFit="1" customWidth="1"/>
    <col min="216" max="218" width="4.125" bestFit="1" customWidth="1"/>
    <col min="219" max="219" width="5.125" bestFit="1" customWidth="1"/>
    <col min="220" max="221" width="4.125" bestFit="1" customWidth="1"/>
    <col min="222" max="223" width="5.125" bestFit="1" customWidth="1"/>
    <col min="224" max="225" width="4.125" bestFit="1" customWidth="1"/>
    <col min="226" max="229" width="5.125" bestFit="1" customWidth="1"/>
    <col min="230" max="231" width="4.125" bestFit="1" customWidth="1"/>
    <col min="232" max="232" width="5.125" bestFit="1" customWidth="1"/>
    <col min="233" max="235" width="4.125" bestFit="1" customWidth="1"/>
    <col min="236" max="236" width="5.125" bestFit="1" customWidth="1"/>
    <col min="237" max="238" width="4.125" bestFit="1" customWidth="1"/>
    <col min="239" max="240" width="5.125" bestFit="1" customWidth="1"/>
    <col min="241" max="242" width="4.125" bestFit="1" customWidth="1"/>
    <col min="243" max="246" width="5.125" bestFit="1" customWidth="1"/>
    <col min="247" max="248" width="4.125" bestFit="1" customWidth="1"/>
    <col min="249" max="249" width="5.125" bestFit="1" customWidth="1"/>
    <col min="250" max="252" width="4.125" bestFit="1" customWidth="1"/>
    <col min="253" max="253" width="5.125" bestFit="1" customWidth="1"/>
    <col min="254" max="255" width="4.125" bestFit="1" customWidth="1"/>
    <col min="256" max="257" width="5.125" bestFit="1" customWidth="1"/>
    <col min="258" max="259" width="4.125" bestFit="1" customWidth="1"/>
    <col min="260" max="263" width="5.125" bestFit="1" customWidth="1"/>
    <col min="264" max="265" width="4.125" bestFit="1" customWidth="1"/>
    <col min="266" max="266" width="5.125" bestFit="1" customWidth="1"/>
    <col min="267" max="269" width="4.125" bestFit="1" customWidth="1"/>
    <col min="270" max="270" width="5.125" bestFit="1" customWidth="1"/>
    <col min="271" max="272" width="4.125" bestFit="1" customWidth="1"/>
    <col min="273" max="274" width="5.125" bestFit="1" customWidth="1"/>
    <col min="275" max="276" width="4.125" bestFit="1" customWidth="1"/>
    <col min="277" max="280" width="5.125" bestFit="1" customWidth="1"/>
    <col min="281" max="282" width="4.125" bestFit="1" customWidth="1"/>
    <col min="283" max="283" width="5.125" bestFit="1" customWidth="1"/>
    <col min="284" max="286" width="4.125" bestFit="1" customWidth="1"/>
    <col min="287" max="287" width="5.125" bestFit="1" customWidth="1"/>
    <col min="288" max="289" width="4.125" bestFit="1" customWidth="1"/>
    <col min="290" max="291" width="5.125" bestFit="1" customWidth="1"/>
    <col min="292" max="293" width="4.125" bestFit="1" customWidth="1"/>
    <col min="294" max="297" width="5.125" bestFit="1" customWidth="1"/>
    <col min="298" max="299" width="4.125" bestFit="1" customWidth="1"/>
    <col min="300" max="300" width="5.125" bestFit="1" customWidth="1"/>
    <col min="301" max="303" width="4.125" bestFit="1" customWidth="1"/>
    <col min="304" max="304" width="5.125" bestFit="1" customWidth="1"/>
    <col min="305" max="306" width="4.125" bestFit="1" customWidth="1"/>
    <col min="307" max="308" width="5.125" bestFit="1" customWidth="1"/>
    <col min="309" max="310" width="4.125" bestFit="1" customWidth="1"/>
    <col min="311" max="314" width="5.125" bestFit="1" customWidth="1"/>
    <col min="315" max="316" width="4.125" bestFit="1" customWidth="1"/>
    <col min="317" max="317" width="5.125" bestFit="1" customWidth="1"/>
    <col min="318" max="320" width="4.125" bestFit="1" customWidth="1"/>
    <col min="321" max="321" width="5.125" bestFit="1" customWidth="1"/>
    <col min="322" max="323" width="4.125" bestFit="1" customWidth="1"/>
    <col min="324" max="325" width="5.125" bestFit="1" customWidth="1"/>
    <col min="326" max="327" width="4.125" bestFit="1" customWidth="1"/>
    <col min="328" max="331" width="5.125" bestFit="1" customWidth="1"/>
    <col min="332" max="333" width="4.125" bestFit="1" customWidth="1"/>
    <col min="334" max="334" width="5.125" bestFit="1" customWidth="1"/>
    <col min="335" max="337" width="4.125" bestFit="1" customWidth="1"/>
    <col min="338" max="338" width="5.125" bestFit="1" customWidth="1"/>
    <col min="339" max="339" width="4.125" bestFit="1" customWidth="1"/>
    <col min="340" max="342" width="5.125" bestFit="1" customWidth="1"/>
    <col min="343" max="344" width="4.125" bestFit="1" customWidth="1"/>
    <col min="345" max="348" width="5.125" bestFit="1" customWidth="1"/>
    <col min="349" max="350" width="4.125" bestFit="1" customWidth="1"/>
    <col min="351" max="351" width="5.125" bestFit="1" customWidth="1"/>
    <col min="352" max="354" width="4.125" bestFit="1" customWidth="1"/>
    <col min="355" max="356" width="5.125" bestFit="1" customWidth="1"/>
    <col min="357" max="357" width="4.125" bestFit="1" customWidth="1"/>
    <col min="358" max="359" width="5.125" bestFit="1" customWidth="1"/>
    <col min="360" max="361" width="4.125" bestFit="1" customWidth="1"/>
    <col min="362" max="365" width="5.125" bestFit="1" customWidth="1"/>
    <col min="366" max="367" width="4.125" bestFit="1" customWidth="1"/>
    <col min="368" max="368" width="5.125" bestFit="1" customWidth="1"/>
    <col min="369" max="371" width="4.125" bestFit="1" customWidth="1"/>
    <col min="372" max="372" width="5.125" bestFit="1" customWidth="1"/>
    <col min="373" max="374" width="4.125" bestFit="1" customWidth="1"/>
    <col min="375" max="376" width="5.125" bestFit="1" customWidth="1"/>
    <col min="377" max="378" width="4.125" bestFit="1" customWidth="1"/>
    <col min="379" max="382" width="5.125" bestFit="1" customWidth="1"/>
    <col min="383" max="384" width="4.125" bestFit="1" customWidth="1"/>
    <col min="385" max="385" width="5.125" bestFit="1" customWidth="1"/>
    <col min="386" max="388" width="4.125" bestFit="1" customWidth="1"/>
    <col min="389" max="389" width="5.125" bestFit="1" customWidth="1"/>
    <col min="390" max="391" width="4.125" bestFit="1" customWidth="1"/>
    <col min="392" max="393" width="5.125" bestFit="1" customWidth="1"/>
    <col min="394" max="395" width="4.125" bestFit="1" customWidth="1"/>
    <col min="396" max="399" width="5.125" bestFit="1" customWidth="1"/>
    <col min="400" max="401" width="4.125" bestFit="1" customWidth="1"/>
    <col min="402" max="402" width="5.125" bestFit="1" customWidth="1"/>
    <col min="403" max="405" width="4.125" bestFit="1" customWidth="1"/>
    <col min="406" max="406" width="5.125" bestFit="1" customWidth="1"/>
    <col min="407" max="408" width="4.125" bestFit="1" customWidth="1"/>
    <col min="409" max="410" width="5.125" bestFit="1" customWidth="1"/>
    <col min="411" max="412" width="4.125" bestFit="1" customWidth="1"/>
    <col min="413" max="416" width="5.125" bestFit="1" customWidth="1"/>
    <col min="417" max="418" width="4.125" bestFit="1" customWidth="1"/>
    <col min="419" max="419" width="5.125" bestFit="1" customWidth="1"/>
    <col min="420" max="422" width="4.125" bestFit="1" customWidth="1"/>
    <col min="423" max="423" width="5.125" bestFit="1" customWidth="1"/>
    <col min="424" max="425" width="4.125" bestFit="1" customWidth="1"/>
    <col min="426" max="427" width="5.125" bestFit="1" customWidth="1"/>
    <col min="428" max="429" width="4.125" bestFit="1" customWidth="1"/>
    <col min="430" max="433" width="5.125" bestFit="1" customWidth="1"/>
    <col min="434" max="435" width="4.125" bestFit="1" customWidth="1"/>
    <col min="436" max="436" width="5.125" bestFit="1" customWidth="1"/>
    <col min="437" max="439" width="4.125" bestFit="1" customWidth="1"/>
    <col min="440" max="440" width="5.125" bestFit="1" customWidth="1"/>
    <col min="441" max="442" width="4.125" bestFit="1" customWidth="1"/>
    <col min="443" max="444" width="5.125" bestFit="1" customWidth="1"/>
    <col min="445" max="446" width="4.125" bestFit="1" customWidth="1"/>
    <col min="447" max="450" width="5.125" bestFit="1" customWidth="1"/>
    <col min="451" max="452" width="4.125" bestFit="1" customWidth="1"/>
    <col min="453" max="453" width="5.125" bestFit="1" customWidth="1"/>
    <col min="454" max="455" width="4.125" bestFit="1" customWidth="1"/>
    <col min="456" max="457" width="5.125" bestFit="1" customWidth="1"/>
    <col min="458" max="459" width="4.125" bestFit="1" customWidth="1"/>
    <col min="460" max="461" width="5.125" bestFit="1" customWidth="1"/>
    <col min="462" max="463" width="4.125" bestFit="1" customWidth="1"/>
    <col min="464" max="467" width="5.125" bestFit="1" customWidth="1"/>
    <col min="468" max="469" width="4.125" bestFit="1" customWidth="1"/>
    <col min="470" max="470" width="5.125" bestFit="1" customWidth="1"/>
    <col min="471" max="473" width="4.125" bestFit="1" customWidth="1"/>
    <col min="474" max="474" width="5.125" bestFit="1" customWidth="1"/>
    <col min="475" max="476" width="4.125" bestFit="1" customWidth="1"/>
    <col min="477" max="478" width="5.125" bestFit="1" customWidth="1"/>
    <col min="479" max="480" width="4.125" bestFit="1" customWidth="1"/>
    <col min="481" max="484" width="5.125" bestFit="1" customWidth="1"/>
    <col min="485" max="486" width="4.125" bestFit="1" customWidth="1"/>
    <col min="487" max="487" width="5.125" bestFit="1" customWidth="1"/>
    <col min="488" max="490" width="4.125" bestFit="1" customWidth="1"/>
    <col min="491" max="491" width="5.125" bestFit="1" customWidth="1"/>
    <col min="492" max="493" width="4.125" bestFit="1" customWidth="1"/>
    <col min="494" max="496" width="5.125" bestFit="1" customWidth="1"/>
    <col min="497" max="497" width="4.125" bestFit="1" customWidth="1"/>
    <col min="498" max="501" width="5.125" bestFit="1" customWidth="1"/>
    <col min="502" max="503" width="4.125" bestFit="1" customWidth="1"/>
    <col min="504" max="504" width="5.125" bestFit="1" customWidth="1"/>
    <col min="505" max="507" width="4.125" bestFit="1" customWidth="1"/>
    <col min="508" max="508" width="5.125" bestFit="1" customWidth="1"/>
    <col min="509" max="510" width="4.125" bestFit="1" customWidth="1"/>
    <col min="511" max="512" width="5.125" bestFit="1" customWidth="1"/>
    <col min="513" max="514" width="4.125" bestFit="1" customWidth="1"/>
    <col min="515" max="518" width="5.125" bestFit="1" customWidth="1"/>
    <col min="519" max="520" width="4.125" bestFit="1" customWidth="1"/>
    <col min="521" max="521" width="5.125" bestFit="1" customWidth="1"/>
    <col min="522" max="524" width="4.125" bestFit="1" customWidth="1"/>
    <col min="525" max="525" width="5.125" bestFit="1" customWidth="1"/>
    <col min="526" max="527" width="4.125" bestFit="1" customWidth="1"/>
    <col min="528" max="529" width="5.125" bestFit="1" customWidth="1"/>
    <col min="530" max="531" width="4.125" bestFit="1" customWidth="1"/>
    <col min="532" max="535" width="5.125" bestFit="1" customWidth="1"/>
    <col min="536" max="537" width="4.125" bestFit="1" customWidth="1"/>
    <col min="538" max="538" width="5.125" bestFit="1" customWidth="1"/>
    <col min="539" max="539" width="4.125" bestFit="1" customWidth="1"/>
    <col min="540" max="540" width="5.125" bestFit="1" customWidth="1"/>
    <col min="541" max="541" width="4.125" bestFit="1" customWidth="1"/>
    <col min="542" max="542" width="5.125" bestFit="1" customWidth="1"/>
    <col min="543" max="544" width="4.125" bestFit="1" customWidth="1"/>
    <col min="545" max="546" width="5.125" bestFit="1" customWidth="1"/>
    <col min="547" max="548" width="4.125" bestFit="1" customWidth="1"/>
    <col min="549" max="552" width="5.125" bestFit="1" customWidth="1"/>
    <col min="553" max="554" width="4.125" bestFit="1" customWidth="1"/>
    <col min="555" max="556" width="5.125" bestFit="1" customWidth="1"/>
    <col min="557" max="558" width="4.125" bestFit="1" customWidth="1"/>
    <col min="559" max="559" width="5.125" bestFit="1" customWidth="1"/>
    <col min="560" max="561" width="4.125" bestFit="1" customWidth="1"/>
    <col min="562" max="563" width="5.125" bestFit="1" customWidth="1"/>
    <col min="564" max="565" width="4.125" bestFit="1" customWidth="1"/>
    <col min="566" max="569" width="5.125" bestFit="1" customWidth="1"/>
    <col min="570" max="571" width="4.125" bestFit="1" customWidth="1"/>
    <col min="572" max="572" width="5.125" bestFit="1" customWidth="1"/>
    <col min="573" max="575" width="4.125" bestFit="1" customWidth="1"/>
    <col min="576" max="576" width="5.125" bestFit="1" customWidth="1"/>
    <col min="577" max="578" width="4.125" bestFit="1" customWidth="1"/>
    <col min="579" max="580" width="5.125" bestFit="1" customWidth="1"/>
    <col min="581" max="582" width="4.125" bestFit="1" customWidth="1"/>
    <col min="583" max="586" width="5.125" bestFit="1" customWidth="1"/>
    <col min="587" max="588" width="4.125" bestFit="1" customWidth="1"/>
    <col min="589" max="589" width="5.125" bestFit="1" customWidth="1"/>
    <col min="590" max="592" width="4.125" bestFit="1" customWidth="1"/>
    <col min="593" max="593" width="5.125" bestFit="1" customWidth="1"/>
    <col min="594" max="595" width="4.125" bestFit="1" customWidth="1"/>
    <col min="596" max="597" width="5.125" bestFit="1" customWidth="1"/>
    <col min="598" max="599" width="4.125" bestFit="1" customWidth="1"/>
    <col min="600" max="603" width="5.125" bestFit="1" customWidth="1"/>
    <col min="604" max="605" width="4.125" bestFit="1" customWidth="1"/>
    <col min="606" max="606" width="5.125" bestFit="1" customWidth="1"/>
    <col min="607" max="609" width="4.125" bestFit="1" customWidth="1"/>
    <col min="610" max="610" width="5.125" bestFit="1" customWidth="1"/>
    <col min="611" max="612" width="4.125" bestFit="1" customWidth="1"/>
    <col min="613" max="614" width="5.125" bestFit="1" customWidth="1"/>
    <col min="615" max="616" width="4.125" bestFit="1" customWidth="1"/>
    <col min="617" max="620" width="5.125" bestFit="1" customWidth="1"/>
    <col min="621" max="622" width="4.125" bestFit="1" customWidth="1"/>
    <col min="623" max="623" width="5.125" bestFit="1" customWidth="1"/>
    <col min="624" max="626" width="4.125" bestFit="1" customWidth="1"/>
    <col min="627" max="627" width="5.125" bestFit="1" customWidth="1"/>
    <col min="628" max="629" width="4.125" bestFit="1" customWidth="1"/>
    <col min="630" max="631" width="5.125" bestFit="1" customWidth="1"/>
    <col min="632" max="633" width="4.125" bestFit="1" customWidth="1"/>
    <col min="634" max="637" width="5.125" bestFit="1" customWidth="1"/>
    <col min="638" max="639" width="4.125" bestFit="1" customWidth="1"/>
    <col min="640" max="640" width="5.125" bestFit="1" customWidth="1"/>
    <col min="641" max="643" width="4.125" bestFit="1" customWidth="1"/>
    <col min="644" max="644" width="5.125" bestFit="1" customWidth="1"/>
    <col min="645" max="646" width="4.125" bestFit="1" customWidth="1"/>
    <col min="647" max="648" width="5.125" bestFit="1" customWidth="1"/>
    <col min="649" max="650" width="4.125" bestFit="1" customWidth="1"/>
    <col min="651" max="654" width="5.125" bestFit="1" customWidth="1"/>
    <col min="655" max="655" width="4.125" bestFit="1" customWidth="1"/>
    <col min="656" max="657" width="5.125" bestFit="1" customWidth="1"/>
    <col min="658" max="660" width="4.125" bestFit="1" customWidth="1"/>
    <col min="661" max="661" width="5.125" bestFit="1" customWidth="1"/>
    <col min="662" max="663" width="4.125" bestFit="1" customWidth="1"/>
    <col min="664" max="665" width="5.125" bestFit="1" customWidth="1"/>
    <col min="666" max="667" width="4.125" bestFit="1" customWidth="1"/>
    <col min="668" max="671" width="5.125" bestFit="1" customWidth="1"/>
    <col min="672" max="673" width="4.125" bestFit="1" customWidth="1"/>
    <col min="674" max="674" width="5.125" bestFit="1" customWidth="1"/>
    <col min="675" max="677" width="4.125" bestFit="1" customWidth="1"/>
    <col min="678" max="678" width="5.125" bestFit="1" customWidth="1"/>
    <col min="679" max="680" width="4.125" bestFit="1" customWidth="1"/>
    <col min="681" max="682" width="5.125" bestFit="1" customWidth="1"/>
    <col min="683" max="684" width="4.125" bestFit="1" customWidth="1"/>
    <col min="685" max="688" width="5.125" bestFit="1" customWidth="1"/>
    <col min="689" max="690" width="4.125" bestFit="1" customWidth="1"/>
    <col min="691" max="691" width="5.125" bestFit="1" customWidth="1"/>
    <col min="692" max="694" width="4.125" bestFit="1" customWidth="1"/>
    <col min="695" max="696" width="5.125" bestFit="1" customWidth="1"/>
    <col min="697" max="697" width="4.125" bestFit="1" customWidth="1"/>
    <col min="698" max="699" width="5.125" bestFit="1" customWidth="1"/>
    <col min="700" max="701" width="4.125" bestFit="1" customWidth="1"/>
    <col min="702" max="705" width="5.125" bestFit="1" customWidth="1"/>
    <col min="706" max="707" width="4.125" bestFit="1" customWidth="1"/>
    <col min="708" max="708" width="5.125" bestFit="1" customWidth="1"/>
    <col min="709" max="711" width="4.125" bestFit="1" customWidth="1"/>
    <col min="712" max="712" width="5.125" bestFit="1" customWidth="1"/>
    <col min="713" max="714" width="4.125" bestFit="1" customWidth="1"/>
    <col min="715" max="716" width="5.125" bestFit="1" customWidth="1"/>
    <col min="717" max="718" width="4.125" bestFit="1" customWidth="1"/>
    <col min="719" max="722" width="5.125" bestFit="1" customWidth="1"/>
    <col min="723" max="724" width="4.125" bestFit="1" customWidth="1"/>
    <col min="725" max="725" width="5.125" bestFit="1" customWidth="1"/>
    <col min="726" max="728" width="4.125" bestFit="1" customWidth="1"/>
    <col min="729" max="729" width="5.125" bestFit="1" customWidth="1"/>
    <col min="730" max="731" width="4.125" bestFit="1" customWidth="1"/>
    <col min="732" max="733" width="5.125" bestFit="1" customWidth="1"/>
    <col min="734" max="735" width="4.125" bestFit="1" customWidth="1"/>
    <col min="736" max="740" width="5.125" bestFit="1" customWidth="1"/>
    <col min="741" max="741" width="4.125" bestFit="1" customWidth="1"/>
    <col min="742" max="742" width="5.125" bestFit="1" customWidth="1"/>
    <col min="743" max="745" width="4.125" bestFit="1" customWidth="1"/>
    <col min="746" max="746" width="5.125" bestFit="1" customWidth="1"/>
    <col min="747" max="748" width="4.125" bestFit="1" customWidth="1"/>
    <col min="749" max="750" width="5.125" bestFit="1" customWidth="1"/>
    <col min="751" max="752" width="4.125" bestFit="1" customWidth="1"/>
    <col min="753" max="756" width="5.125" bestFit="1" customWidth="1"/>
    <col min="757" max="758" width="4.125" bestFit="1" customWidth="1"/>
    <col min="759" max="759" width="5.125" bestFit="1" customWidth="1"/>
    <col min="760" max="762" width="4.125" bestFit="1" customWidth="1"/>
    <col min="763" max="763" width="5.125" bestFit="1" customWidth="1"/>
    <col min="764" max="765" width="4.125" bestFit="1" customWidth="1"/>
    <col min="766" max="767" width="5.125" bestFit="1" customWidth="1"/>
    <col min="768" max="769" width="4.125" bestFit="1" customWidth="1"/>
    <col min="770" max="773" width="5.125" bestFit="1" customWidth="1"/>
    <col min="774" max="775" width="4.125" bestFit="1" customWidth="1"/>
    <col min="776" max="776" width="5.125" bestFit="1" customWidth="1"/>
    <col min="777" max="779" width="4.125" bestFit="1" customWidth="1"/>
    <col min="780" max="780" width="5.125" bestFit="1" customWidth="1"/>
    <col min="781" max="782" width="4.125" bestFit="1" customWidth="1"/>
    <col min="783" max="784" width="5.125" bestFit="1" customWidth="1"/>
    <col min="785" max="786" width="4.125" bestFit="1" customWidth="1"/>
    <col min="787" max="790" width="5.125" bestFit="1" customWidth="1"/>
    <col min="791" max="792" width="4.125" bestFit="1" customWidth="1"/>
    <col min="793" max="793" width="5.125" bestFit="1" customWidth="1"/>
    <col min="794" max="795" width="4.125" bestFit="1" customWidth="1"/>
    <col min="796" max="797" width="5.125" bestFit="1" customWidth="1"/>
    <col min="798" max="799" width="4.125" bestFit="1" customWidth="1"/>
    <col min="800" max="801" width="5.125" bestFit="1" customWidth="1"/>
    <col min="802" max="803" width="4.125" bestFit="1" customWidth="1"/>
    <col min="804" max="807" width="5.125" bestFit="1" customWidth="1"/>
    <col min="808" max="809" width="4.125" bestFit="1" customWidth="1"/>
    <col min="810" max="810" width="5.125" bestFit="1" customWidth="1"/>
    <col min="811" max="813" width="4.125" bestFit="1" customWidth="1"/>
    <col min="814" max="814" width="5.125" bestFit="1" customWidth="1"/>
    <col min="815" max="816" width="4.125" bestFit="1" customWidth="1"/>
    <col min="817" max="818" width="5.125" bestFit="1" customWidth="1"/>
    <col min="819" max="820" width="4.125" bestFit="1" customWidth="1"/>
    <col min="821" max="824" width="5.125" bestFit="1" customWidth="1"/>
    <col min="825" max="826" width="4.125" bestFit="1" customWidth="1"/>
    <col min="827" max="827" width="5.125" bestFit="1" customWidth="1"/>
    <col min="828" max="830" width="4.125" bestFit="1" customWidth="1"/>
    <col min="831" max="831" width="5.125" bestFit="1" customWidth="1"/>
    <col min="832" max="833" width="4.125" bestFit="1" customWidth="1"/>
    <col min="834" max="835" width="5.125" bestFit="1" customWidth="1"/>
    <col min="836" max="837" width="4.125" bestFit="1" customWidth="1"/>
    <col min="838" max="841" width="5.125" bestFit="1" customWidth="1"/>
    <col min="842" max="843" width="4.125" bestFit="1" customWidth="1"/>
    <col min="844" max="844" width="5.125" bestFit="1" customWidth="1"/>
    <col min="845" max="847" width="4.125" bestFit="1" customWidth="1"/>
    <col min="848" max="848" width="5.125" bestFit="1" customWidth="1"/>
    <col min="849" max="850" width="4.125" bestFit="1" customWidth="1"/>
    <col min="851" max="852" width="5.125" bestFit="1" customWidth="1"/>
    <col min="853" max="854" width="4.125" bestFit="1" customWidth="1"/>
    <col min="855" max="858" width="5.125" bestFit="1" customWidth="1"/>
    <col min="859" max="860" width="4.125" bestFit="1" customWidth="1"/>
    <col min="861" max="861" width="5.125" bestFit="1" customWidth="1"/>
    <col min="862" max="864" width="4.125" bestFit="1" customWidth="1"/>
    <col min="865" max="865" width="5.125" bestFit="1" customWidth="1"/>
    <col min="866" max="867" width="4.125" bestFit="1" customWidth="1"/>
    <col min="868" max="869" width="5.125" bestFit="1" customWidth="1"/>
    <col min="870" max="871" width="4.125" bestFit="1" customWidth="1"/>
    <col min="872" max="875" width="5.125" bestFit="1" customWidth="1"/>
    <col min="876" max="877" width="4.125" bestFit="1" customWidth="1"/>
    <col min="878" max="878" width="5.125" bestFit="1" customWidth="1"/>
    <col min="879" max="881" width="4.125" bestFit="1" customWidth="1"/>
    <col min="882" max="882" width="5.125" bestFit="1" customWidth="1"/>
    <col min="883" max="884" width="4.125" bestFit="1" customWidth="1"/>
    <col min="885" max="886" width="5.125" bestFit="1" customWidth="1"/>
    <col min="887" max="888" width="4.125" bestFit="1" customWidth="1"/>
    <col min="889" max="892" width="5.125" bestFit="1" customWidth="1"/>
    <col min="893" max="894" width="4.125" bestFit="1" customWidth="1"/>
    <col min="895" max="896" width="5.125" bestFit="1" customWidth="1"/>
    <col min="897" max="898" width="4.125" bestFit="1" customWidth="1"/>
    <col min="899" max="899" width="5.125" bestFit="1" customWidth="1"/>
    <col min="900" max="901" width="4.125" bestFit="1" customWidth="1"/>
    <col min="902" max="903" width="5.125" bestFit="1" customWidth="1"/>
    <col min="904" max="905" width="4.125" bestFit="1" customWidth="1"/>
    <col min="906" max="909" width="5.125" bestFit="1" customWidth="1"/>
    <col min="910" max="911" width="4.125" bestFit="1" customWidth="1"/>
    <col min="912" max="912" width="5.125" bestFit="1" customWidth="1"/>
    <col min="913" max="915" width="4.125" bestFit="1" customWidth="1"/>
    <col min="916" max="916" width="5.125" bestFit="1" customWidth="1"/>
    <col min="917" max="918" width="4.125" bestFit="1" customWidth="1"/>
    <col min="919" max="920" width="5.125" bestFit="1" customWidth="1"/>
    <col min="921" max="922" width="4.125" bestFit="1" customWidth="1"/>
    <col min="923" max="926" width="5.125" bestFit="1" customWidth="1"/>
    <col min="927" max="928" width="4.125" bestFit="1" customWidth="1"/>
    <col min="929" max="929" width="5.125" bestFit="1" customWidth="1"/>
    <col min="930" max="932" width="4.125" bestFit="1" customWidth="1"/>
    <col min="933" max="933" width="5.125" bestFit="1" customWidth="1"/>
    <col min="934" max="935" width="4.125" bestFit="1" customWidth="1"/>
    <col min="936" max="937" width="5.125" bestFit="1" customWidth="1"/>
    <col min="938" max="939" width="4.125" bestFit="1" customWidth="1"/>
    <col min="940" max="943" width="5.125" bestFit="1" customWidth="1"/>
    <col min="944" max="945" width="4.125" bestFit="1" customWidth="1"/>
    <col min="946" max="946" width="5.125" bestFit="1" customWidth="1"/>
    <col min="947" max="949" width="4.125" bestFit="1" customWidth="1"/>
    <col min="950" max="950" width="5.125" bestFit="1" customWidth="1"/>
    <col min="951" max="952" width="4.125" bestFit="1" customWidth="1"/>
    <col min="953" max="954" width="5.125" bestFit="1" customWidth="1"/>
    <col min="955" max="955" width="4.125" bestFit="1" customWidth="1"/>
    <col min="956" max="960" width="5.125" bestFit="1" customWidth="1"/>
    <col min="961" max="962" width="4.125" bestFit="1" customWidth="1"/>
    <col min="963" max="963" width="5.125" bestFit="1" customWidth="1"/>
    <col min="964" max="966" width="4.125" bestFit="1" customWidth="1"/>
    <col min="967" max="967" width="5.125" bestFit="1" customWidth="1"/>
    <col min="968" max="969" width="4.125" bestFit="1" customWidth="1"/>
    <col min="970" max="971" width="5.125" bestFit="1" customWidth="1"/>
    <col min="972" max="973" width="4.125" bestFit="1" customWidth="1"/>
    <col min="974" max="977" width="5.125" bestFit="1" customWidth="1"/>
    <col min="978" max="979" width="4.125" bestFit="1" customWidth="1"/>
    <col min="980" max="980" width="5.125" bestFit="1" customWidth="1"/>
    <col min="981" max="983" width="4.125" bestFit="1" customWidth="1"/>
    <col min="984" max="984" width="5.125" bestFit="1" customWidth="1"/>
    <col min="985" max="986" width="4.125" bestFit="1" customWidth="1"/>
    <col min="987" max="988" width="5.125" bestFit="1" customWidth="1"/>
    <col min="989" max="990" width="4.125" bestFit="1" customWidth="1"/>
    <col min="991" max="994" width="5.125" bestFit="1" customWidth="1"/>
    <col min="995" max="995" width="4.125" bestFit="1" customWidth="1"/>
    <col min="996" max="997" width="5.125" bestFit="1" customWidth="1"/>
    <col min="998" max="1000" width="4.125" bestFit="1" customWidth="1"/>
    <col min="1001" max="1001" width="5.125" bestFit="1" customWidth="1"/>
    <col min="1002" max="1002" width="12.375" bestFit="1" customWidth="1"/>
    <col min="1003" max="1003" width="2.125" bestFit="1" customWidth="1"/>
    <col min="1004" max="1004" width="3.125" bestFit="1" customWidth="1"/>
    <col min="1005" max="1005" width="2.125" bestFit="1" customWidth="1"/>
    <col min="1006" max="1006" width="3.125" bestFit="1" customWidth="1"/>
    <col min="1007" max="1009" width="2.125" bestFit="1" customWidth="1"/>
    <col min="1010" max="1010" width="4.125" bestFit="1" customWidth="1"/>
    <col min="1011" max="1015" width="3.125" bestFit="1" customWidth="1"/>
    <col min="1016" max="1016" width="4.125" bestFit="1" customWidth="1"/>
    <col min="1017" max="1021" width="3.125" bestFit="1" customWidth="1"/>
    <col min="1022" max="1022" width="4.125" bestFit="1" customWidth="1"/>
    <col min="1023" max="1030" width="3.125" bestFit="1" customWidth="1"/>
    <col min="1031" max="1032" width="4.125" bestFit="1" customWidth="1"/>
    <col min="1033" max="1037" width="3.125" bestFit="1" customWidth="1"/>
    <col min="1038" max="1038" width="4.125" bestFit="1" customWidth="1"/>
    <col min="1039" max="1050" width="3.125" bestFit="1" customWidth="1"/>
    <col min="1051" max="1051" width="4.125" bestFit="1" customWidth="1"/>
    <col min="1052" max="1054" width="3.125" bestFit="1" customWidth="1"/>
    <col min="1055" max="1055" width="4.125" bestFit="1" customWidth="1"/>
    <col min="1056" max="1060" width="3.125" bestFit="1" customWidth="1"/>
    <col min="1061" max="1061" width="4.125" bestFit="1" customWidth="1"/>
    <col min="1062" max="1085" width="3.125" bestFit="1" customWidth="1"/>
    <col min="1086" max="1087" width="4.125" bestFit="1" customWidth="1"/>
    <col min="1088" max="1092" width="3.125" bestFit="1" customWidth="1"/>
    <col min="1093" max="1093" width="4.125" bestFit="1" customWidth="1"/>
    <col min="1094" max="1100" width="3.125" bestFit="1" customWidth="1"/>
    <col min="1101" max="2000" width="4.125" bestFit="1" customWidth="1"/>
    <col min="2001" max="2001" width="5.125" bestFit="1" customWidth="1"/>
    <col min="2002" max="2002" width="20.5" bestFit="1" customWidth="1"/>
    <col min="2003" max="2003" width="17.125" bestFit="1" customWidth="1"/>
  </cols>
  <sheetData>
    <row r="1" spans="1:62" s="10" customFormat="1" ht="18.75">
      <c r="A1" s="669" t="s">
        <v>259</v>
      </c>
      <c r="B1" s="668"/>
      <c r="C1" s="678"/>
      <c r="I1" s="757" t="s">
        <v>411</v>
      </c>
      <c r="N1" s="668"/>
      <c r="V1" s="575"/>
      <c r="W1" s="575"/>
      <c r="Y1" s="674"/>
      <c r="Z1" s="674"/>
      <c r="AA1" s="674"/>
      <c r="AB1" s="674"/>
      <c r="AC1" s="674"/>
      <c r="AD1" s="674"/>
      <c r="AE1" s="674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575"/>
      <c r="BB1" s="575"/>
      <c r="BC1" s="575"/>
      <c r="BD1" s="575"/>
      <c r="BE1" s="575"/>
      <c r="BF1" s="575"/>
      <c r="BG1" s="575"/>
      <c r="BH1" s="575"/>
      <c r="BI1" s="575"/>
      <c r="BJ1" s="12"/>
    </row>
    <row r="2" spans="1:62" s="10" customFormat="1" ht="12.75">
      <c r="A2" s="670" t="s">
        <v>260</v>
      </c>
      <c r="B2" s="668"/>
      <c r="C2" s="678"/>
      <c r="G2" s="11"/>
      <c r="N2" s="668"/>
      <c r="V2" s="575"/>
      <c r="W2" s="575"/>
      <c r="Y2" s="674"/>
      <c r="Z2" s="674"/>
      <c r="AA2" s="674"/>
      <c r="AB2" s="674"/>
      <c r="AC2" s="674"/>
      <c r="AD2" s="674"/>
      <c r="AE2" s="674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575"/>
      <c r="BB2" s="575"/>
      <c r="BC2" s="575"/>
      <c r="BD2" s="575"/>
      <c r="BE2" s="575"/>
      <c r="BF2" s="575"/>
      <c r="BG2" s="575"/>
      <c r="BH2" s="575"/>
      <c r="BI2" s="575"/>
      <c r="BJ2" s="12"/>
    </row>
    <row r="3" spans="1:62" s="10" customFormat="1">
      <c r="A3" s="5" t="s">
        <v>407</v>
      </c>
      <c r="B3" s="668"/>
      <c r="C3" s="678"/>
      <c r="E3"/>
      <c r="N3" s="668"/>
      <c r="V3" s="575"/>
      <c r="W3" s="575"/>
      <c r="Y3" s="674"/>
      <c r="Z3" s="674"/>
      <c r="AA3" s="674"/>
      <c r="AB3" s="674"/>
      <c r="AC3" s="674"/>
      <c r="AD3" s="674"/>
      <c r="AE3" s="674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5"/>
      <c r="BC3" s="575"/>
      <c r="BD3" s="575"/>
      <c r="BE3" s="575"/>
      <c r="BF3" s="575"/>
      <c r="BG3" s="575"/>
      <c r="BH3" s="575"/>
      <c r="BI3" s="575"/>
      <c r="BJ3" s="12"/>
    </row>
    <row r="4" spans="1:62" s="10" customFormat="1">
      <c r="A4" s="671" t="str">
        <f ca="1">"Sheet: "&amp;MID(CELL("filename",A1),FIND("]",CELL("filename",A1))+1,255)</f>
        <v>Sheet: Develop Model</v>
      </c>
      <c r="B4" s="668"/>
      <c r="C4" s="678"/>
      <c r="E4"/>
      <c r="N4" s="668"/>
      <c r="V4" s="575"/>
      <c r="W4" s="575"/>
      <c r="Y4" s="674"/>
      <c r="Z4" s="674"/>
      <c r="AA4" s="674"/>
      <c r="AB4" s="674"/>
      <c r="AC4" s="674"/>
      <c r="AD4" s="674"/>
      <c r="AE4" s="674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575"/>
      <c r="BB4" s="575"/>
      <c r="BC4" s="575"/>
      <c r="BD4" s="575"/>
      <c r="BE4" s="575"/>
      <c r="BF4" s="575"/>
      <c r="BG4" s="575"/>
      <c r="BH4" s="575"/>
      <c r="BI4" s="575"/>
      <c r="BJ4" s="12"/>
    </row>
    <row r="6" spans="1:62">
      <c r="A6" s="649" t="s">
        <v>406</v>
      </c>
    </row>
    <row r="7" spans="1:62">
      <c r="A7" s="649" t="s">
        <v>366</v>
      </c>
    </row>
    <row r="8" spans="1:62">
      <c r="A8" s="649" t="s">
        <v>367</v>
      </c>
    </row>
    <row r="9" spans="1:62">
      <c r="A9" s="649" t="s">
        <v>345</v>
      </c>
    </row>
    <row r="10" spans="1:62">
      <c r="G10" s="13"/>
    </row>
    <row r="11" spans="1:62" ht="16.5" thickBot="1">
      <c r="B11" s="680" t="s">
        <v>280</v>
      </c>
      <c r="C11" s="680" t="s">
        <v>298</v>
      </c>
      <c r="D11" s="663" t="s">
        <v>282</v>
      </c>
      <c r="E11" s="663" t="s">
        <v>281</v>
      </c>
      <c r="F11" s="663" t="s">
        <v>314</v>
      </c>
      <c r="G11" s="663" t="s">
        <v>285</v>
      </c>
      <c r="H11" s="663" t="s">
        <v>344</v>
      </c>
    </row>
    <row r="12" spans="1:62" ht="16.5" thickBot="1">
      <c r="B12" s="661" t="s">
        <v>283</v>
      </c>
      <c r="C12" s="661" t="s">
        <v>286</v>
      </c>
      <c r="D12" s="664" t="s">
        <v>319</v>
      </c>
      <c r="E12" s="684">
        <f>COUNTIF('Assemble Data'!$B:$B,$D12)</f>
        <v>226</v>
      </c>
      <c r="F12" s="685">
        <f>IFERROR(SUMIF('Assemble Data'!$B:$B,$D12,'Assemble Data'!$F:$F),"")</f>
        <v>678</v>
      </c>
      <c r="G12" s="686">
        <f>IFERROR(SUMIF('Assemble Data'!$B:$B,$D12,'Assemble Data'!$D:$D),"")</f>
        <v>542880</v>
      </c>
      <c r="H12" s="686">
        <f t="shared" ref="H12:H22" si="0">G12/F12</f>
        <v>800.70796460176996</v>
      </c>
    </row>
    <row r="13" spans="1:62" ht="16.5" thickBot="1">
      <c r="B13" s="661" t="s">
        <v>283</v>
      </c>
      <c r="C13" s="661" t="s">
        <v>287</v>
      </c>
      <c r="D13" s="664" t="s">
        <v>320</v>
      </c>
      <c r="E13" s="684">
        <f>COUNTIF('Assemble Data'!$B:$B,$D13)</f>
        <v>227</v>
      </c>
      <c r="F13" s="685">
        <f>IFERROR(SUMIF('Assemble Data'!$B:$B,$D13,'Assemble Data'!$F:$F),"")</f>
        <v>2497</v>
      </c>
      <c r="G13" s="686">
        <f>IFERROR(SUMIF('Assemble Data'!$B:$B,$D13,'Assemble Data'!$D:$D),"")</f>
        <v>2532200</v>
      </c>
      <c r="H13" s="686">
        <f t="shared" si="0"/>
        <v>1014.0969162995594</v>
      </c>
    </row>
    <row r="14" spans="1:62" ht="16.5" thickBot="1">
      <c r="B14" s="661" t="s">
        <v>283</v>
      </c>
      <c r="C14" s="661" t="s">
        <v>288</v>
      </c>
      <c r="D14" s="664" t="s">
        <v>321</v>
      </c>
      <c r="E14" s="684">
        <f>COUNTIF('Assemble Data'!$B:$B,$D14)</f>
        <v>65</v>
      </c>
      <c r="F14" s="685">
        <f>IFERROR(SUMIF('Assemble Data'!$B:$B,$D14,'Assemble Data'!$F:$F),"")</f>
        <v>422.5</v>
      </c>
      <c r="G14" s="686">
        <f>IFERROR(SUMIF('Assemble Data'!$B:$B,$D14,'Assemble Data'!$D:$D),"")</f>
        <v>443625</v>
      </c>
      <c r="H14" s="686">
        <f t="shared" si="0"/>
        <v>1050</v>
      </c>
    </row>
    <row r="15" spans="1:62" ht="16.5" thickBot="1">
      <c r="B15" s="661" t="s">
        <v>283</v>
      </c>
      <c r="C15" s="661" t="s">
        <v>289</v>
      </c>
      <c r="D15" s="664" t="s">
        <v>322</v>
      </c>
      <c r="E15" s="684">
        <f>COUNTIF('Assemble Data'!$B:$B,$D15)</f>
        <v>170</v>
      </c>
      <c r="F15" s="685">
        <f>IFERROR(SUMIF('Assemble Data'!$B:$B,$D15,'Assemble Data'!$F:$F),"")</f>
        <v>850</v>
      </c>
      <c r="G15" s="686">
        <f>IFERROR(SUMIF('Assemble Data'!$B:$B,$D15,'Assemble Data'!$D:$D),"")</f>
        <v>780300</v>
      </c>
      <c r="H15" s="686">
        <f t="shared" si="0"/>
        <v>918</v>
      </c>
    </row>
    <row r="16" spans="1:62" ht="16.5" thickBot="1">
      <c r="B16" s="661" t="s">
        <v>295</v>
      </c>
      <c r="C16" s="661" t="s">
        <v>291</v>
      </c>
      <c r="D16" s="664" t="s">
        <v>323</v>
      </c>
      <c r="E16" s="684">
        <f>COUNTIF('Assemble Data'!$B:$B,$D16)</f>
        <v>57</v>
      </c>
      <c r="F16" s="685">
        <f>IFERROR(SUMIF('Assemble Data'!$B:$B,$D16,'Assemble Data'!$F:$F),"")</f>
        <v>456</v>
      </c>
      <c r="G16" s="686">
        <f>IFERROR(SUMIF('Assemble Data'!$B:$B,$D16,'Assemble Data'!$D:$D),"")</f>
        <v>433440</v>
      </c>
      <c r="H16" s="686">
        <f t="shared" si="0"/>
        <v>950.52631578947364</v>
      </c>
    </row>
    <row r="17" spans="1:8" ht="16.5" thickBot="1">
      <c r="B17" s="661" t="s">
        <v>295</v>
      </c>
      <c r="C17" s="661" t="s">
        <v>292</v>
      </c>
      <c r="D17" s="664" t="s">
        <v>324</v>
      </c>
      <c r="E17" s="684">
        <f>COUNTIF('Assemble Data'!$B:$B,$D17)</f>
        <v>11</v>
      </c>
      <c r="F17" s="685">
        <f>IFERROR(SUMIF('Assemble Data'!$B:$B,$D17,'Assemble Data'!$F:$F),"")</f>
        <v>55</v>
      </c>
      <c r="G17" s="686">
        <f>IFERROR(SUMIF('Assemble Data'!$B:$B,$D17,'Assemble Data'!$D:$D),"")</f>
        <v>66000</v>
      </c>
      <c r="H17" s="686">
        <f t="shared" si="0"/>
        <v>1200</v>
      </c>
    </row>
    <row r="18" spans="1:8" ht="16.5" thickBot="1">
      <c r="B18" s="661" t="s">
        <v>295</v>
      </c>
      <c r="C18" s="661" t="s">
        <v>293</v>
      </c>
      <c r="D18" s="664" t="s">
        <v>325</v>
      </c>
      <c r="E18" s="684">
        <f>COUNTIF('Assemble Data'!$B:$B,$D18)</f>
        <v>60</v>
      </c>
      <c r="F18" s="685">
        <f>IFERROR(SUMIF('Assemble Data'!$B:$B,$D18,'Assemble Data'!$F:$F),"")</f>
        <v>240</v>
      </c>
      <c r="G18" s="686">
        <f>IFERROR(SUMIF('Assemble Data'!$B:$B,$D18,'Assemble Data'!$D:$D),"")</f>
        <v>323960</v>
      </c>
      <c r="H18" s="686">
        <f t="shared" si="0"/>
        <v>1349.8333333333333</v>
      </c>
    </row>
    <row r="19" spans="1:8" ht="16.5" thickBot="1">
      <c r="B19" s="661" t="s">
        <v>284</v>
      </c>
      <c r="C19" s="661" t="s">
        <v>296</v>
      </c>
      <c r="D19" s="664" t="s">
        <v>326</v>
      </c>
      <c r="E19" s="684">
        <f>COUNTIF('Assemble Data'!$B:$B,$D19)</f>
        <v>117</v>
      </c>
      <c r="F19" s="685">
        <f>IFERROR(SUMIF('Assemble Data'!$B:$B,$D19,'Assemble Data'!$F:$F),"")</f>
        <v>1404</v>
      </c>
      <c r="G19" s="686">
        <f>IFERROR(SUMIF('Assemble Data'!$B:$B,$D19,'Assemble Data'!$D:$D),"")</f>
        <v>1399200</v>
      </c>
      <c r="H19" s="686">
        <f t="shared" si="0"/>
        <v>996.58119658119654</v>
      </c>
    </row>
    <row r="20" spans="1:8" ht="16.5" thickBot="1">
      <c r="B20" s="661" t="s">
        <v>284</v>
      </c>
      <c r="C20" s="661" t="s">
        <v>297</v>
      </c>
      <c r="D20" s="664" t="s">
        <v>327</v>
      </c>
      <c r="E20" s="684">
        <f>COUNTIF('Assemble Data'!$B:$B,$D20)</f>
        <v>59</v>
      </c>
      <c r="F20" s="685">
        <f>IFERROR(SUMIF('Assemble Data'!$B:$B,$D20,'Assemble Data'!$F:$F),"")</f>
        <v>354</v>
      </c>
      <c r="G20" s="686">
        <f>IFERROR(SUMIF('Assemble Data'!$B:$B,$D20,'Assemble Data'!$D:$D),"")</f>
        <v>320220</v>
      </c>
      <c r="H20" s="686">
        <f t="shared" si="0"/>
        <v>904.57627118644064</v>
      </c>
    </row>
    <row r="21" spans="1:8" ht="16.5" thickBot="1">
      <c r="B21" s="661" t="s">
        <v>284</v>
      </c>
      <c r="C21" s="661" t="s">
        <v>294</v>
      </c>
      <c r="D21" s="664" t="s">
        <v>328</v>
      </c>
      <c r="E21" s="684">
        <f>COUNTIF('Assemble Data'!$B:$B,$D21)</f>
        <v>8</v>
      </c>
      <c r="F21" s="685">
        <f>IFERROR(SUMIF('Assemble Data'!$B:$B,$D21,'Assemble Data'!$F:$F),"")</f>
        <v>88</v>
      </c>
      <c r="G21" s="686">
        <f>IFERROR(SUMIF('Assemble Data'!$B:$B,$D21,'Assemble Data'!$D:$D),"")</f>
        <v>66000</v>
      </c>
      <c r="H21" s="686">
        <f t="shared" si="0"/>
        <v>750</v>
      </c>
    </row>
    <row r="22" spans="1:8">
      <c r="A22" s="649"/>
      <c r="B22" s="13"/>
      <c r="C22" s="13"/>
      <c r="D22" s="663" t="s">
        <v>315</v>
      </c>
      <c r="E22" s="687">
        <f>SUM(E12:E21)</f>
        <v>1000</v>
      </c>
      <c r="F22" s="687">
        <f>SUM(F12:F21)</f>
        <v>7044.5</v>
      </c>
      <c r="G22" s="693">
        <f>SUM(G12:G21)</f>
        <v>6907825</v>
      </c>
      <c r="H22" s="693">
        <f t="shared" si="0"/>
        <v>980.59833912981753</v>
      </c>
    </row>
    <row r="23" spans="1:8" s="10" customFormat="1" ht="12.75"/>
    <row r="24" spans="1:8" s="10" customFormat="1" ht="12.75"/>
    <row r="41" s="10" customFormat="1" ht="12.75"/>
    <row r="42" s="10" customFormat="1" ht="12.75"/>
    <row r="43" s="10" customFormat="1" ht="12.75"/>
    <row r="44" s="10" customFormat="1" ht="12.75"/>
    <row r="45" s="10" customFormat="1" ht="12.75"/>
    <row r="46" s="10" customFormat="1" ht="12.75"/>
    <row r="47" s="10" customFormat="1" ht="12.75"/>
    <row r="48" s="10" customFormat="1" ht="12.75"/>
    <row r="49" s="10" customFormat="1" ht="12.75"/>
    <row r="50" s="10" customFormat="1" ht="12.75"/>
    <row r="51" s="10" customFormat="1" ht="12.75"/>
    <row r="52" s="10" customFormat="1" ht="12.75"/>
    <row r="53" s="10" customFormat="1" ht="12.75"/>
    <row r="54" s="10" customFormat="1" ht="12.75"/>
    <row r="55" s="10" customFormat="1" ht="12.75"/>
    <row r="56" s="10" customFormat="1" ht="12.75"/>
    <row r="57" s="10" customFormat="1" ht="12.75"/>
    <row r="58" s="10" customFormat="1" ht="12.75"/>
    <row r="59" s="10" customFormat="1" ht="12.75"/>
    <row r="60" s="10" customFormat="1" ht="12.75"/>
    <row r="61" s="10" customFormat="1" ht="12.75"/>
    <row r="62" s="10" customFormat="1" ht="12.75"/>
    <row r="63" s="10" customFormat="1" ht="12.75"/>
    <row r="64" s="10" customFormat="1" ht="12.75"/>
    <row r="65" s="10" customFormat="1" ht="12.75"/>
    <row r="66" s="10" customFormat="1" ht="12.75"/>
    <row r="67" s="10" customFormat="1" ht="12.75"/>
    <row r="68" s="10" customFormat="1" ht="12.75"/>
    <row r="69" s="10" customFormat="1" ht="12.75"/>
    <row r="70" s="10" customFormat="1" ht="12.75"/>
    <row r="71" s="10" customFormat="1" ht="12.75"/>
    <row r="72" s="10" customFormat="1" ht="12.75"/>
    <row r="73" s="10" customFormat="1" ht="12.75"/>
    <row r="74" s="10" customFormat="1" ht="12.75"/>
    <row r="75" s="10" customFormat="1" ht="12.75"/>
    <row r="76" s="10" customFormat="1" ht="12.75"/>
    <row r="77" s="10" customFormat="1" ht="12.75"/>
    <row r="78" s="10" customFormat="1" ht="12.75"/>
    <row r="79" s="10" customFormat="1" ht="12.75"/>
    <row r="80" s="10" customFormat="1" ht="12.75"/>
    <row r="81" s="10" customFormat="1" ht="12.75"/>
    <row r="82" s="10" customFormat="1" ht="12.75"/>
    <row r="83" s="10" customFormat="1" ht="12.75"/>
    <row r="84" s="10" customFormat="1" ht="12.75"/>
    <row r="85" s="10" customFormat="1" ht="12.75"/>
    <row r="86" s="10" customFormat="1" ht="12.75"/>
    <row r="87" s="10" customFormat="1" ht="12.75"/>
    <row r="88" s="10" customFormat="1" ht="12.75"/>
    <row r="89" s="10" customFormat="1" ht="12.75"/>
    <row r="90" s="10" customFormat="1" ht="12.75"/>
    <row r="91" s="10" customFormat="1" ht="12.75"/>
    <row r="92" s="10" customFormat="1" ht="12.75"/>
    <row r="93" s="10" customFormat="1" ht="12.75"/>
    <row r="94" s="10" customFormat="1" ht="12.75"/>
    <row r="95" s="10" customFormat="1" ht="12.75"/>
    <row r="96" s="10" customFormat="1" ht="12.75"/>
    <row r="97" s="10" customFormat="1" ht="12.75"/>
    <row r="98" s="10" customFormat="1" ht="12.75"/>
    <row r="99" s="10" customFormat="1" ht="12.75"/>
    <row r="100" s="10" customFormat="1" ht="12.75"/>
    <row r="101" s="10" customFormat="1" ht="12.75"/>
    <row r="102" s="10" customFormat="1" ht="12.75"/>
    <row r="103" s="10" customFormat="1" ht="12.75"/>
    <row r="104" s="10" customFormat="1" ht="12.75"/>
    <row r="105" s="10" customFormat="1" ht="12.75"/>
    <row r="106" s="10" customFormat="1" ht="12.75"/>
    <row r="107" s="10" customFormat="1" ht="12.75"/>
    <row r="108" s="10" customFormat="1" ht="12.75"/>
    <row r="109" s="10" customFormat="1" ht="12.75"/>
    <row r="110" s="10" customFormat="1" ht="12.75"/>
    <row r="111" s="10" customFormat="1" ht="12.75"/>
    <row r="112" s="10" customFormat="1" ht="12.75"/>
    <row r="113" s="10" customFormat="1" ht="12.75"/>
    <row r="114" s="10" customFormat="1" ht="12.75"/>
    <row r="115" s="10" customFormat="1" ht="12.75"/>
    <row r="116" s="10" customFormat="1" ht="12.75"/>
    <row r="117" s="10" customFormat="1" ht="12.75"/>
    <row r="118" s="10" customFormat="1" ht="12.75"/>
    <row r="119" s="10" customFormat="1" ht="12.75"/>
    <row r="120" s="10" customFormat="1" ht="12.75"/>
    <row r="121" s="10" customFormat="1" ht="12.75"/>
    <row r="122" s="10" customFormat="1" ht="12.75"/>
    <row r="123" s="10" customFormat="1" ht="12.75"/>
    <row r="124" s="10" customFormat="1" ht="12.75"/>
    <row r="125" s="10" customFormat="1" ht="12.75"/>
    <row r="126" s="10" customFormat="1" ht="12.75"/>
    <row r="127" s="10" customFormat="1" ht="12.75"/>
    <row r="128" s="10" customFormat="1" ht="12.75"/>
    <row r="129" s="10" customFormat="1" ht="12.75"/>
  </sheetData>
  <sheetProtection algorithmName="SHA-512" hashValue="QSEe9unfK4Oce8lb/hi+IAFAxcdW9qrRc+8gPoUjRT7WGWNKhmr1nPHxRJhTgQ2UoCc3yJ6r42VFuFTj4LPbTQ==" saltValue="LozBLuTWiu7tzqFINRp1Bw==" spinCount="100000" sheet="1" objects="1" scenarios="1"/>
  <sortState xmlns:xlrd2="http://schemas.microsoft.com/office/spreadsheetml/2017/richdata2" ref="A26:B36">
    <sortCondition ref="A2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8394-C8A1-3048-8CFF-8FB4E950FB22}">
  <sheetPr published="0">
    <tabColor rgb="FFFF0000"/>
  </sheetPr>
  <dimension ref="A1:AR293"/>
  <sheetViews>
    <sheetView zoomScaleNormal="100" workbookViewId="0">
      <pane xSplit="3" ySplit="3" topLeftCell="AC14" activePane="bottomRight" state="frozen"/>
      <selection activeCell="C5" sqref="C5:E5"/>
      <selection pane="topRight" activeCell="C5" sqref="C5:E5"/>
      <selection pane="bottomLeft" activeCell="C5" sqref="C5:E5"/>
      <selection pane="bottomRight" activeCell="C5" sqref="C5:E5"/>
    </sheetView>
  </sheetViews>
  <sheetFormatPr defaultColWidth="10.875" defaultRowHeight="15" outlineLevelCol="1"/>
  <cols>
    <col min="1" max="1" width="8.375" style="23" customWidth="1"/>
    <col min="2" max="2" width="8.875" style="26" customWidth="1"/>
    <col min="3" max="3" width="38" style="26" customWidth="1"/>
    <col min="4" max="4" width="13.375" style="26" customWidth="1" outlineLevel="1"/>
    <col min="5" max="28" width="14.5" style="26" customWidth="1" outlineLevel="1"/>
    <col min="29" max="30" width="14.5" style="26" customWidth="1"/>
    <col min="31" max="32" width="14.5" style="32" customWidth="1"/>
    <col min="33" max="33" width="14.5" style="70" customWidth="1"/>
    <col min="34" max="34" width="14.5" style="69" customWidth="1"/>
    <col min="35" max="35" width="14.5" style="32" customWidth="1"/>
    <col min="36" max="36" width="14.5" style="70" customWidth="1"/>
    <col min="37" max="37" width="12" style="71" customWidth="1"/>
    <col min="38" max="38" width="10.875" style="26"/>
    <col min="39" max="41" width="14.5" style="33" customWidth="1"/>
    <col min="42" max="16384" width="10.875" style="26"/>
  </cols>
  <sheetData>
    <row r="1" spans="1:41" s="59" customFormat="1" ht="32.1" customHeight="1">
      <c r="A1" s="23"/>
      <c r="B1" s="24" t="s">
        <v>134</v>
      </c>
      <c r="C1" s="58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16" t="s">
        <v>0</v>
      </c>
      <c r="AE1" s="27"/>
      <c r="AF1" s="27"/>
      <c r="AG1" s="60"/>
      <c r="AH1" s="763" t="e">
        <f>#REF!</f>
        <v>#REF!</v>
      </c>
      <c r="AI1" s="764"/>
      <c r="AJ1" s="765"/>
      <c r="AK1" s="61"/>
      <c r="AL1" s="61"/>
      <c r="AM1" s="764" t="e">
        <f>#REF!</f>
        <v>#REF!</v>
      </c>
      <c r="AN1" s="764"/>
      <c r="AO1" s="764"/>
    </row>
    <row r="2" spans="1:41" ht="21">
      <c r="B2" s="62" t="e">
        <f>#REF!</f>
        <v>#REF!</v>
      </c>
      <c r="C2" s="63" t="e">
        <f>#REF!</f>
        <v>#REF!</v>
      </c>
      <c r="D2" s="29" t="e">
        <f>#REF!</f>
        <v>#REF!</v>
      </c>
      <c r="E2" s="29" t="e">
        <f>#REF!</f>
        <v>#REF!</v>
      </c>
      <c r="F2" s="29" t="e">
        <f>#REF!</f>
        <v>#REF!</v>
      </c>
      <c r="G2" s="29" t="e">
        <f>#REF!</f>
        <v>#REF!</v>
      </c>
      <c r="H2" s="29" t="e">
        <f>#REF!</f>
        <v>#REF!</v>
      </c>
      <c r="I2" s="29" t="e">
        <f>#REF!</f>
        <v>#REF!</v>
      </c>
      <c r="J2" s="29" t="e">
        <f>#REF!</f>
        <v>#REF!</v>
      </c>
      <c r="K2" s="29" t="e">
        <f>#REF!</f>
        <v>#REF!</v>
      </c>
      <c r="L2" s="29" t="e">
        <f>#REF!</f>
        <v>#REF!</v>
      </c>
      <c r="M2" s="29" t="e">
        <f>#REF!</f>
        <v>#REF!</v>
      </c>
      <c r="N2" s="29" t="e">
        <f>#REF!</f>
        <v>#REF!</v>
      </c>
      <c r="O2" s="29" t="e">
        <f>#REF!</f>
        <v>#REF!</v>
      </c>
      <c r="P2" s="29" t="e">
        <f>#REF!</f>
        <v>#REF!</v>
      </c>
      <c r="Q2" s="29" t="e">
        <f>#REF!</f>
        <v>#REF!</v>
      </c>
      <c r="R2" s="29" t="e">
        <f>#REF!</f>
        <v>#REF!</v>
      </c>
      <c r="S2" s="29" t="e">
        <f>#REF!</f>
        <v>#REF!</v>
      </c>
      <c r="T2" s="29" t="e">
        <f>#REF!</f>
        <v>#REF!</v>
      </c>
      <c r="U2" s="29" t="e">
        <f>#REF!</f>
        <v>#REF!</v>
      </c>
      <c r="V2" s="29" t="e">
        <f>#REF!</f>
        <v>#REF!</v>
      </c>
      <c r="W2" s="29" t="e">
        <f>#REF!</f>
        <v>#REF!</v>
      </c>
      <c r="X2" s="29" t="e">
        <f>#REF!</f>
        <v>#REF!</v>
      </c>
      <c r="Y2" s="29" t="e">
        <f>#REF!</f>
        <v>#REF!</v>
      </c>
      <c r="Z2" s="29" t="e">
        <f>#REF!</f>
        <v>#REF!</v>
      </c>
      <c r="AA2" s="29" t="e">
        <f>#REF!</f>
        <v>#REF!</v>
      </c>
      <c r="AB2" s="29" t="e">
        <f>#REF!</f>
        <v>#REF!</v>
      </c>
      <c r="AC2" s="29" t="e">
        <f>#REF!</f>
        <v>#REF!</v>
      </c>
      <c r="AD2" s="29" t="e">
        <f>#REF!</f>
        <v>#REF!</v>
      </c>
      <c r="AE2" s="29" t="e">
        <f>#REF!</f>
        <v>#REF!</v>
      </c>
      <c r="AF2" s="29" t="e">
        <f>#REF!</f>
        <v>#REF!</v>
      </c>
      <c r="AG2" s="64" t="e">
        <f>#REF!</f>
        <v>#REF!</v>
      </c>
      <c r="AH2" s="65" t="e">
        <f>$AG2+1&amp;"E"</f>
        <v>#REF!</v>
      </c>
      <c r="AI2" s="65" t="e">
        <f>$AG2+2&amp;"E"</f>
        <v>#REF!</v>
      </c>
      <c r="AJ2" s="66" t="e">
        <f>$AG2+3&amp;"E"</f>
        <v>#REF!</v>
      </c>
      <c r="AK2" s="1" t="e">
        <f>"3 Year CAGR "&amp;AG2&amp;"A-"&amp;AJ2</f>
        <v>#REF!</v>
      </c>
      <c r="AL2" s="67"/>
      <c r="AM2" s="65" t="e">
        <f>$AG2+1&amp;"E"</f>
        <v>#REF!</v>
      </c>
      <c r="AN2" s="65" t="e">
        <f>$AG2+2&amp;"E"</f>
        <v>#REF!</v>
      </c>
      <c r="AO2" s="65" t="e">
        <f>$AG2+3&amp;"E"</f>
        <v>#REF!</v>
      </c>
    </row>
    <row r="3" spans="1:41" ht="18.75">
      <c r="A3" s="28" t="s">
        <v>8</v>
      </c>
      <c r="D3" s="30">
        <v>-29</v>
      </c>
      <c r="E3" s="30">
        <v>-28</v>
      </c>
      <c r="F3" s="30">
        <v>-27</v>
      </c>
      <c r="G3" s="30">
        <v>-26</v>
      </c>
      <c r="H3" s="30">
        <v>-25</v>
      </c>
      <c r="I3" s="30">
        <v>-24</v>
      </c>
      <c r="J3" s="30">
        <v>-23</v>
      </c>
      <c r="K3" s="30">
        <v>-22</v>
      </c>
      <c r="L3" s="30">
        <v>-21</v>
      </c>
      <c r="M3" s="30">
        <v>-20</v>
      </c>
      <c r="N3" s="30">
        <v>-19</v>
      </c>
      <c r="O3" s="30">
        <v>-18</v>
      </c>
      <c r="P3" s="30">
        <v>-17</v>
      </c>
      <c r="Q3" s="30">
        <v>-16</v>
      </c>
      <c r="R3" s="30">
        <v>-15</v>
      </c>
      <c r="S3" s="30">
        <v>-14</v>
      </c>
      <c r="T3" s="30">
        <v>-13</v>
      </c>
      <c r="U3" s="30">
        <v>-12</v>
      </c>
      <c r="V3" s="30">
        <v>-11</v>
      </c>
      <c r="W3" s="30">
        <v>-10</v>
      </c>
      <c r="X3" s="30">
        <v>-9</v>
      </c>
      <c r="Y3" s="30">
        <v>-8</v>
      </c>
      <c r="Z3" s="30">
        <v>-7</v>
      </c>
      <c r="AA3" s="30">
        <v>-6</v>
      </c>
      <c r="AB3" s="30">
        <v>-5</v>
      </c>
      <c r="AC3" s="30">
        <v>-4</v>
      </c>
      <c r="AD3" s="30">
        <v>-3</v>
      </c>
      <c r="AE3" s="30">
        <v>-2</v>
      </c>
      <c r="AF3" s="30">
        <v>-1</v>
      </c>
      <c r="AG3" s="68">
        <v>0</v>
      </c>
    </row>
    <row r="4" spans="1:41">
      <c r="A4" s="31" t="s">
        <v>135</v>
      </c>
      <c r="D4" s="22" t="e">
        <f>IF(D$3&lt;-#REF!,0,1)</f>
        <v>#REF!</v>
      </c>
      <c r="E4" s="22" t="e">
        <f>IF(E$3&lt;-#REF!,0,1)</f>
        <v>#REF!</v>
      </c>
      <c r="F4" s="22" t="e">
        <f>IF(F$3&lt;-#REF!,0,1)</f>
        <v>#REF!</v>
      </c>
      <c r="G4" s="22" t="e">
        <f>IF(G$3&lt;-#REF!,0,1)</f>
        <v>#REF!</v>
      </c>
      <c r="H4" s="22" t="e">
        <f>IF(H$3&lt;-#REF!,0,1)</f>
        <v>#REF!</v>
      </c>
      <c r="I4" s="22" t="e">
        <f>IF(I$3&lt;-#REF!,0,1)</f>
        <v>#REF!</v>
      </c>
      <c r="J4" s="22" t="e">
        <f>IF(J$3&lt;-#REF!,0,1)</f>
        <v>#REF!</v>
      </c>
      <c r="K4" s="22" t="e">
        <f>IF(K$3&lt;-#REF!,0,1)</f>
        <v>#REF!</v>
      </c>
      <c r="L4" s="22" t="e">
        <f>IF(L$3&lt;-#REF!,0,1)</f>
        <v>#REF!</v>
      </c>
      <c r="M4" s="22" t="e">
        <f>IF(M$3&lt;-#REF!,0,1)</f>
        <v>#REF!</v>
      </c>
      <c r="N4" s="22" t="e">
        <f>IF(N$3&lt;-#REF!,0,1)</f>
        <v>#REF!</v>
      </c>
      <c r="O4" s="22" t="e">
        <f>IF(O$3&lt;-#REF!,0,1)</f>
        <v>#REF!</v>
      </c>
      <c r="P4" s="22" t="e">
        <f>IF(P$3&lt;-#REF!,0,1)</f>
        <v>#REF!</v>
      </c>
      <c r="Q4" s="22" t="e">
        <f>IF(Q$3&lt;-#REF!,0,1)</f>
        <v>#REF!</v>
      </c>
      <c r="R4" s="22" t="e">
        <f>IF(R$3&lt;-#REF!,0,1)</f>
        <v>#REF!</v>
      </c>
      <c r="S4" s="22" t="e">
        <f>IF(S$3&lt;-#REF!,0,1)</f>
        <v>#REF!</v>
      </c>
      <c r="T4" s="22" t="e">
        <f>IF(T$3&lt;-#REF!,0,1)</f>
        <v>#REF!</v>
      </c>
      <c r="U4" s="22" t="e">
        <f>IF(U$3&lt;-#REF!,0,1)</f>
        <v>#REF!</v>
      </c>
      <c r="V4" s="22" t="e">
        <f>IF(V$3&lt;-#REF!,0,1)</f>
        <v>#REF!</v>
      </c>
      <c r="W4" s="22" t="e">
        <f>IF(W$3&lt;-#REF!,0,1)</f>
        <v>#REF!</v>
      </c>
      <c r="X4" s="22" t="e">
        <f>IF(X$3&lt;-#REF!,0,1)</f>
        <v>#REF!</v>
      </c>
      <c r="Y4" s="22" t="e">
        <f>IF(Y$3&lt;-#REF!,0,1)</f>
        <v>#REF!</v>
      </c>
      <c r="Z4" s="22" t="e">
        <f>IF(Z$3&lt;-#REF!,0,1)</f>
        <v>#REF!</v>
      </c>
      <c r="AA4" s="22" t="e">
        <f>IF(AA$3&lt;-#REF!,0,1)</f>
        <v>#REF!</v>
      </c>
      <c r="AB4" s="22" t="e">
        <f>IF(AB$3&lt;-#REF!,0,1)</f>
        <v>#REF!</v>
      </c>
      <c r="AC4" s="22" t="e">
        <f>IF(AC$3&lt;-#REF!,0,1)</f>
        <v>#REF!</v>
      </c>
      <c r="AD4" s="22" t="e">
        <f>IF(AD$3&lt;-#REF!,0,1)</f>
        <v>#REF!</v>
      </c>
      <c r="AE4" s="22" t="e">
        <f>IF(AE$3&lt;-#REF!,0,1)</f>
        <v>#REF!</v>
      </c>
      <c r="AF4" s="22" t="e">
        <f>IF(AF$3&lt;-#REF!,0,1)</f>
        <v>#REF!</v>
      </c>
      <c r="AG4" s="72" t="e">
        <f>IF(AG$3&lt;-#REF!,0,1)</f>
        <v>#REF!</v>
      </c>
      <c r="AI4" s="73"/>
      <c r="AN4" s="74"/>
    </row>
    <row r="5" spans="1:41">
      <c r="AI5" s="73"/>
      <c r="AN5" s="74"/>
    </row>
    <row r="6" spans="1:41">
      <c r="A6" s="53" t="s">
        <v>9</v>
      </c>
      <c r="AI6" s="74"/>
      <c r="AN6" s="74"/>
    </row>
    <row r="7" spans="1:41">
      <c r="A7" s="75"/>
      <c r="B7" s="76" t="s">
        <v>10</v>
      </c>
      <c r="C7" s="76"/>
      <c r="D7" s="45" t="e">
        <f t="shared" ref="D7:AG7" si="0">D70</f>
        <v>#REF!</v>
      </c>
      <c r="E7" s="45" t="e">
        <f t="shared" si="0"/>
        <v>#REF!</v>
      </c>
      <c r="F7" s="45" t="e">
        <f t="shared" si="0"/>
        <v>#REF!</v>
      </c>
      <c r="G7" s="45" t="e">
        <f t="shared" si="0"/>
        <v>#REF!</v>
      </c>
      <c r="H7" s="45" t="e">
        <f t="shared" si="0"/>
        <v>#REF!</v>
      </c>
      <c r="I7" s="45" t="e">
        <f t="shared" si="0"/>
        <v>#REF!</v>
      </c>
      <c r="J7" s="45" t="e">
        <f t="shared" si="0"/>
        <v>#REF!</v>
      </c>
      <c r="K7" s="45" t="e">
        <f t="shared" si="0"/>
        <v>#REF!</v>
      </c>
      <c r="L7" s="45" t="e">
        <f t="shared" si="0"/>
        <v>#REF!</v>
      </c>
      <c r="M7" s="45" t="e">
        <f t="shared" si="0"/>
        <v>#REF!</v>
      </c>
      <c r="N7" s="45" t="e">
        <f t="shared" si="0"/>
        <v>#REF!</v>
      </c>
      <c r="O7" s="45" t="e">
        <f t="shared" si="0"/>
        <v>#REF!</v>
      </c>
      <c r="P7" s="45" t="e">
        <f t="shared" si="0"/>
        <v>#REF!</v>
      </c>
      <c r="Q7" s="45" t="e">
        <f t="shared" si="0"/>
        <v>#REF!</v>
      </c>
      <c r="R7" s="45" t="e">
        <f t="shared" si="0"/>
        <v>#REF!</v>
      </c>
      <c r="S7" s="45" t="e">
        <f t="shared" si="0"/>
        <v>#REF!</v>
      </c>
      <c r="T7" s="45" t="e">
        <f t="shared" si="0"/>
        <v>#REF!</v>
      </c>
      <c r="U7" s="45" t="e">
        <f t="shared" si="0"/>
        <v>#REF!</v>
      </c>
      <c r="V7" s="45" t="e">
        <f t="shared" si="0"/>
        <v>#REF!</v>
      </c>
      <c r="W7" s="45" t="e">
        <f t="shared" si="0"/>
        <v>#REF!</v>
      </c>
      <c r="X7" s="45" t="e">
        <f t="shared" si="0"/>
        <v>#REF!</v>
      </c>
      <c r="Y7" s="45" t="e">
        <f t="shared" si="0"/>
        <v>#REF!</v>
      </c>
      <c r="Z7" s="45" t="e">
        <f t="shared" si="0"/>
        <v>#REF!</v>
      </c>
      <c r="AA7" s="45" t="e">
        <f t="shared" si="0"/>
        <v>#REF!</v>
      </c>
      <c r="AB7" s="45" t="e">
        <f t="shared" si="0"/>
        <v>#REF!</v>
      </c>
      <c r="AC7" s="45" t="e">
        <f t="shared" si="0"/>
        <v>#REF!</v>
      </c>
      <c r="AD7" s="45" t="e">
        <f t="shared" si="0"/>
        <v>#REF!</v>
      </c>
      <c r="AE7" s="45" t="e">
        <f t="shared" si="0"/>
        <v>#REF!</v>
      </c>
      <c r="AF7" s="45" t="e">
        <f t="shared" si="0"/>
        <v>#REF!</v>
      </c>
      <c r="AG7" s="77" t="e">
        <f t="shared" si="0"/>
        <v>#REF!</v>
      </c>
      <c r="AH7" s="45" t="e">
        <f>AH70</f>
        <v>#REF!</v>
      </c>
      <c r="AI7" s="45" t="e">
        <f>AI70</f>
        <v>#REF!</v>
      </c>
      <c r="AJ7" s="77" t="e">
        <f>AJ70</f>
        <v>#REF!</v>
      </c>
      <c r="AK7" s="78" t="str">
        <f t="shared" ref="AK7:AK44" si="1">IFERROR(RATE(3,,AG7,-AJ7),"")</f>
        <v/>
      </c>
      <c r="AL7" s="79"/>
      <c r="AM7" s="55" t="e">
        <f>AM70</f>
        <v>#REF!</v>
      </c>
      <c r="AN7" s="55" t="e">
        <f>AN70</f>
        <v>#REF!</v>
      </c>
      <c r="AO7" s="55" t="e">
        <f>AO70</f>
        <v>#REF!</v>
      </c>
    </row>
    <row r="8" spans="1:41">
      <c r="A8" s="35" t="e">
        <f>#REF!</f>
        <v>#REF!</v>
      </c>
      <c r="B8" s="76" t="s">
        <v>11</v>
      </c>
      <c r="C8" s="76"/>
      <c r="D8" s="2" t="e">
        <f>IF(D$3&lt;-#REF!,"",INDEX(#REF!,#REF!-D$3,$A8))</f>
        <v>#REF!</v>
      </c>
      <c r="E8" s="2" t="e">
        <f>IF(E$3&lt;-#REF!,"",INDEX(#REF!,#REF!-E$3,$A8))</f>
        <v>#REF!</v>
      </c>
      <c r="F8" s="2" t="e">
        <f>IF(F$3&lt;-#REF!,"",INDEX(#REF!,#REF!-F$3,$A8))</f>
        <v>#REF!</v>
      </c>
      <c r="G8" s="2" t="e">
        <f>IF(G$3&lt;-#REF!,"",INDEX(#REF!,#REF!-G$3,$A8))</f>
        <v>#REF!</v>
      </c>
      <c r="H8" s="2" t="e">
        <f>IF(H$3&lt;-#REF!,"",INDEX(#REF!,#REF!-H$3,$A8))</f>
        <v>#REF!</v>
      </c>
      <c r="I8" s="2" t="e">
        <f>IF(I$3&lt;-#REF!,"",INDEX(#REF!,#REF!-I$3,$A8))</f>
        <v>#REF!</v>
      </c>
      <c r="J8" s="2" t="e">
        <f>IF(J$3&lt;-#REF!,"",INDEX(#REF!,#REF!-J$3,$A8))</f>
        <v>#REF!</v>
      </c>
      <c r="K8" s="2" t="e">
        <f>IF(K$3&lt;-#REF!,"",INDEX(#REF!,#REF!-K$3,$A8))</f>
        <v>#REF!</v>
      </c>
      <c r="L8" s="2" t="e">
        <f>IF(L$3&lt;-#REF!,"",INDEX(#REF!,#REF!-L$3,$A8))</f>
        <v>#REF!</v>
      </c>
      <c r="M8" s="2" t="e">
        <f>IF(M$3&lt;-#REF!,"",INDEX(#REF!,#REF!-M$3,$A8))</f>
        <v>#REF!</v>
      </c>
      <c r="N8" s="2" t="e">
        <f>IF(N$3&lt;-#REF!,"",INDEX(#REF!,#REF!-N$3,$A8))</f>
        <v>#REF!</v>
      </c>
      <c r="O8" s="2" t="e">
        <f>IF(O$3&lt;-#REF!,"",INDEX(#REF!,#REF!-O$3,$A8))</f>
        <v>#REF!</v>
      </c>
      <c r="P8" s="2" t="e">
        <f>IF(P$3&lt;-#REF!,"",INDEX(#REF!,#REF!-P$3,$A8))</f>
        <v>#REF!</v>
      </c>
      <c r="Q8" s="2" t="e">
        <f>IF(Q$3&lt;-#REF!,"",INDEX(#REF!,#REF!-Q$3,$A8))</f>
        <v>#REF!</v>
      </c>
      <c r="R8" s="2" t="e">
        <f>IF(R$3&lt;-#REF!,"",INDEX(#REF!,#REF!-R$3,$A8))</f>
        <v>#REF!</v>
      </c>
      <c r="S8" s="2" t="e">
        <f>IF(S$3&lt;-#REF!,"",INDEX(#REF!,#REF!-S$3,$A8))</f>
        <v>#REF!</v>
      </c>
      <c r="T8" s="2" t="e">
        <f>IF(T$3&lt;-#REF!,"",INDEX(#REF!,#REF!-T$3,$A8))</f>
        <v>#REF!</v>
      </c>
      <c r="U8" s="2" t="e">
        <f>IF(U$3&lt;-#REF!,"",INDEX(#REF!,#REF!-U$3,$A8))</f>
        <v>#REF!</v>
      </c>
      <c r="V8" s="2" t="e">
        <f>IF(V$3&lt;-#REF!,"",INDEX(#REF!,#REF!-V$3,$A8))</f>
        <v>#REF!</v>
      </c>
      <c r="W8" s="2" t="e">
        <f>IF(W$3&lt;-#REF!,"",INDEX(#REF!,#REF!-W$3,$A8))</f>
        <v>#REF!</v>
      </c>
      <c r="X8" s="2" t="e">
        <f>IF(X$3&lt;-#REF!,"",INDEX(#REF!,#REF!-X$3,$A8))</f>
        <v>#REF!</v>
      </c>
      <c r="Y8" s="2" t="e">
        <f>IF(Y$3&lt;-#REF!,"",INDEX(#REF!,#REF!-Y$3,$A8))</f>
        <v>#REF!</v>
      </c>
      <c r="Z8" s="2" t="e">
        <f>IF(Z$3&lt;-#REF!,"",INDEX(#REF!,#REF!-Z$3,$A8))</f>
        <v>#REF!</v>
      </c>
      <c r="AA8" s="2" t="e">
        <f>IF(AA$3&lt;-#REF!,"",INDEX(#REF!,#REF!-AA$3,$A8))</f>
        <v>#REF!</v>
      </c>
      <c r="AB8" s="2" t="e">
        <f>IF(AB$3&lt;-#REF!,"",INDEX(#REF!,#REF!-AB$3,$A8))</f>
        <v>#REF!</v>
      </c>
      <c r="AC8" s="2" t="e">
        <f>IF(AC$3&lt;-#REF!,"",INDEX(#REF!,#REF!-AC$3,$A8))</f>
        <v>#REF!</v>
      </c>
      <c r="AD8" s="2" t="e">
        <f>IF(AD$3&lt;-#REF!,"",INDEX(#REF!,#REF!-AD$3,$A8))</f>
        <v>#REF!</v>
      </c>
      <c r="AE8" s="2" t="e">
        <f>IF(AE$3&lt;-#REF!,"",INDEX(#REF!,#REF!-AE$3,$A8))</f>
        <v>#REF!</v>
      </c>
      <c r="AF8" s="2" t="e">
        <f>IF(AF$3&lt;-#REF!,"",INDEX(#REF!,#REF!-AF$3,$A8))</f>
        <v>#REF!</v>
      </c>
      <c r="AG8" s="4" t="e">
        <f>IF(AG$3&lt;-#REF!,"",INDEX(#REF!,#REF!-AG$3,$A8))</f>
        <v>#REF!</v>
      </c>
      <c r="AH8" s="80" t="e">
        <f xml:space="preserve"> AH92  /  365  *#REF!</f>
        <v>#VALUE!</v>
      </c>
      <c r="AI8" s="80" t="e">
        <f xml:space="preserve"> AI92  /  365  *#REF!</f>
        <v>#VALUE!</v>
      </c>
      <c r="AJ8" s="81" t="e">
        <f xml:space="preserve"> AJ92  /  365  *#REF!</f>
        <v>#VALUE!</v>
      </c>
      <c r="AK8" s="78" t="str">
        <f>IFERROR(RATE(3,,AG8,-AJ8),"")</f>
        <v/>
      </c>
      <c r="AL8" s="79"/>
      <c r="AM8" s="80" t="e">
        <f xml:space="preserve"> AM92  /  365  *#REF!</f>
        <v>#VALUE!</v>
      </c>
      <c r="AN8" s="80" t="e">
        <f xml:space="preserve"> AN92  /  365  *#REF!</f>
        <v>#VALUE!</v>
      </c>
      <c r="AO8" s="80" t="e">
        <f xml:space="preserve"> AO92  /  365  *#REF!</f>
        <v>#VALUE!</v>
      </c>
    </row>
    <row r="9" spans="1:41">
      <c r="A9" s="35" t="e">
        <f>#REF!</f>
        <v>#REF!</v>
      </c>
      <c r="B9" s="76" t="s">
        <v>12</v>
      </c>
      <c r="C9" s="76"/>
      <c r="D9" s="2" t="e">
        <f>IF(D$3&lt;-#REF!,"",INDEX(#REF!,#REF!-D$3,$A9))</f>
        <v>#REF!</v>
      </c>
      <c r="E9" s="2" t="e">
        <f>IF(E$3&lt;-#REF!,"",INDEX(#REF!,#REF!-E$3,$A9))</f>
        <v>#REF!</v>
      </c>
      <c r="F9" s="2" t="e">
        <f>IF(F$3&lt;-#REF!,"",INDEX(#REF!,#REF!-F$3,$A9))</f>
        <v>#REF!</v>
      </c>
      <c r="G9" s="2" t="e">
        <f>IF(G$3&lt;-#REF!,"",INDEX(#REF!,#REF!-G$3,$A9))</f>
        <v>#REF!</v>
      </c>
      <c r="H9" s="2" t="e">
        <f>IF(H$3&lt;-#REF!,"",INDEX(#REF!,#REF!-H$3,$A9))</f>
        <v>#REF!</v>
      </c>
      <c r="I9" s="2" t="e">
        <f>IF(I$3&lt;-#REF!,"",INDEX(#REF!,#REF!-I$3,$A9))</f>
        <v>#REF!</v>
      </c>
      <c r="J9" s="2" t="e">
        <f>IF(J$3&lt;-#REF!,"",INDEX(#REF!,#REF!-J$3,$A9))</f>
        <v>#REF!</v>
      </c>
      <c r="K9" s="2" t="e">
        <f>IF(K$3&lt;-#REF!,"",INDEX(#REF!,#REF!-K$3,$A9))</f>
        <v>#REF!</v>
      </c>
      <c r="L9" s="2" t="e">
        <f>IF(L$3&lt;-#REF!,"",INDEX(#REF!,#REF!-L$3,$A9))</f>
        <v>#REF!</v>
      </c>
      <c r="M9" s="2" t="e">
        <f>IF(M$3&lt;-#REF!,"",INDEX(#REF!,#REF!-M$3,$A9))</f>
        <v>#REF!</v>
      </c>
      <c r="N9" s="2" t="e">
        <f>IF(N$3&lt;-#REF!,"",INDEX(#REF!,#REF!-N$3,$A9))</f>
        <v>#REF!</v>
      </c>
      <c r="O9" s="2" t="e">
        <f>IF(O$3&lt;-#REF!,"",INDEX(#REF!,#REF!-O$3,$A9))</f>
        <v>#REF!</v>
      </c>
      <c r="P9" s="2" t="e">
        <f>IF(P$3&lt;-#REF!,"",INDEX(#REF!,#REF!-P$3,$A9))</f>
        <v>#REF!</v>
      </c>
      <c r="Q9" s="2" t="e">
        <f>IF(Q$3&lt;-#REF!,"",INDEX(#REF!,#REF!-Q$3,$A9))</f>
        <v>#REF!</v>
      </c>
      <c r="R9" s="2" t="e">
        <f>IF(R$3&lt;-#REF!,"",INDEX(#REF!,#REF!-R$3,$A9))</f>
        <v>#REF!</v>
      </c>
      <c r="S9" s="2" t="e">
        <f>IF(S$3&lt;-#REF!,"",INDEX(#REF!,#REF!-S$3,$A9))</f>
        <v>#REF!</v>
      </c>
      <c r="T9" s="2" t="e">
        <f>IF(T$3&lt;-#REF!,"",INDEX(#REF!,#REF!-T$3,$A9))</f>
        <v>#REF!</v>
      </c>
      <c r="U9" s="2" t="e">
        <f>IF(U$3&lt;-#REF!,"",INDEX(#REF!,#REF!-U$3,$A9))</f>
        <v>#REF!</v>
      </c>
      <c r="V9" s="2" t="e">
        <f>IF(V$3&lt;-#REF!,"",INDEX(#REF!,#REF!-V$3,$A9))</f>
        <v>#REF!</v>
      </c>
      <c r="W9" s="2" t="e">
        <f>IF(W$3&lt;-#REF!,"",INDEX(#REF!,#REF!-W$3,$A9))</f>
        <v>#REF!</v>
      </c>
      <c r="X9" s="2" t="e">
        <f>IF(X$3&lt;-#REF!,"",INDEX(#REF!,#REF!-X$3,$A9))</f>
        <v>#REF!</v>
      </c>
      <c r="Y9" s="2" t="e">
        <f>IF(Y$3&lt;-#REF!,"",INDEX(#REF!,#REF!-Y$3,$A9))</f>
        <v>#REF!</v>
      </c>
      <c r="Z9" s="2" t="e">
        <f>IF(Z$3&lt;-#REF!,"",INDEX(#REF!,#REF!-Z$3,$A9))</f>
        <v>#REF!</v>
      </c>
      <c r="AA9" s="2" t="e">
        <f>IF(AA$3&lt;-#REF!,"",INDEX(#REF!,#REF!-AA$3,$A9))</f>
        <v>#REF!</v>
      </c>
      <c r="AB9" s="2" t="e">
        <f>IF(AB$3&lt;-#REF!,"",INDEX(#REF!,#REF!-AB$3,$A9))</f>
        <v>#REF!</v>
      </c>
      <c r="AC9" s="2" t="e">
        <f>IF(AC$3&lt;-#REF!,"",INDEX(#REF!,#REF!-AC$3,$A9))</f>
        <v>#REF!</v>
      </c>
      <c r="AD9" s="2" t="e">
        <f>IF(AD$3&lt;-#REF!,"",INDEX(#REF!,#REF!-AD$3,$A9))</f>
        <v>#REF!</v>
      </c>
      <c r="AE9" s="2" t="e">
        <f>IF(AE$3&lt;-#REF!,"",INDEX(#REF!,#REF!-AE$3,$A9))</f>
        <v>#REF!</v>
      </c>
      <c r="AF9" s="2" t="e">
        <f>IF(AF$3&lt;-#REF!,"",INDEX(#REF!,#REF!-AF$3,$A9))</f>
        <v>#REF!</v>
      </c>
      <c r="AG9" s="4" t="e">
        <f>IF(AG$3&lt;-#REF!,"",INDEX(#REF!,#REF!-AG$3,$A9))</f>
        <v>#REF!</v>
      </c>
      <c r="AH9" s="80">
        <f xml:space="preserve"> IFERROR(AH93 /  365 *IF(#REF!="",#REF!,#REF!),0)</f>
        <v>0</v>
      </c>
      <c r="AI9" s="80">
        <f xml:space="preserve"> IFERROR(AI93 /  365 *IF(#REF!="",#REF!,#REF!),0)</f>
        <v>0</v>
      </c>
      <c r="AJ9" s="80">
        <f xml:space="preserve"> IFERROR(AJ93 /  365 *IF(#REF!="",#REF!,#REF!),0)</f>
        <v>0</v>
      </c>
      <c r="AK9" s="78" t="str">
        <f t="shared" si="1"/>
        <v/>
      </c>
      <c r="AL9" s="79"/>
      <c r="AM9" s="80">
        <f xml:space="preserve"> IFERROR(AM93 /  365 *IF(#REF!="",#REF!,#REF!),0)</f>
        <v>0</v>
      </c>
      <c r="AN9" s="80">
        <f xml:space="preserve"> IFERROR(AN93 /  365 *IF(#REF!="",#REF!,#REF!),0)</f>
        <v>0</v>
      </c>
      <c r="AO9" s="80">
        <f xml:space="preserve"> IFERROR(AO93 /  365 *IF(#REF!="",#REF!,#REF!),0)</f>
        <v>0</v>
      </c>
    </row>
    <row r="10" spans="1:41">
      <c r="A10" s="35" t="e">
        <f>#REF!</f>
        <v>#REF!</v>
      </c>
      <c r="B10" s="76" t="s">
        <v>164</v>
      </c>
      <c r="C10" s="76"/>
      <c r="D10" s="2" t="e">
        <f>IF(D$3&lt;-#REF!,"",INDEX(#REF!,#REF!-D$3,$A10))</f>
        <v>#REF!</v>
      </c>
      <c r="E10" s="2" t="e">
        <f>IF(E$3&lt;-#REF!,"",INDEX(#REF!,#REF!-E$3,$A10))</f>
        <v>#REF!</v>
      </c>
      <c r="F10" s="2" t="e">
        <f>IF(F$3&lt;-#REF!,"",INDEX(#REF!,#REF!-F$3,$A10))</f>
        <v>#REF!</v>
      </c>
      <c r="G10" s="2" t="e">
        <f>IF(G$3&lt;-#REF!,"",INDEX(#REF!,#REF!-G$3,$A10))</f>
        <v>#REF!</v>
      </c>
      <c r="H10" s="2" t="e">
        <f>IF(H$3&lt;-#REF!,"",INDEX(#REF!,#REF!-H$3,$A10))</f>
        <v>#REF!</v>
      </c>
      <c r="I10" s="2" t="e">
        <f>IF(I$3&lt;-#REF!,"",INDEX(#REF!,#REF!-I$3,$A10))</f>
        <v>#REF!</v>
      </c>
      <c r="J10" s="2" t="e">
        <f>IF(J$3&lt;-#REF!,"",INDEX(#REF!,#REF!-J$3,$A10))</f>
        <v>#REF!</v>
      </c>
      <c r="K10" s="2" t="e">
        <f>IF(K$3&lt;-#REF!,"",INDEX(#REF!,#REF!-K$3,$A10))</f>
        <v>#REF!</v>
      </c>
      <c r="L10" s="2" t="e">
        <f>IF(L$3&lt;-#REF!,"",INDEX(#REF!,#REF!-L$3,$A10))</f>
        <v>#REF!</v>
      </c>
      <c r="M10" s="2" t="e">
        <f>IF(M$3&lt;-#REF!,"",INDEX(#REF!,#REF!-M$3,$A10))</f>
        <v>#REF!</v>
      </c>
      <c r="N10" s="2" t="e">
        <f>IF(N$3&lt;-#REF!,"",INDEX(#REF!,#REF!-N$3,$A10))</f>
        <v>#REF!</v>
      </c>
      <c r="O10" s="2" t="e">
        <f>IF(O$3&lt;-#REF!,"",INDEX(#REF!,#REF!-O$3,$A10))</f>
        <v>#REF!</v>
      </c>
      <c r="P10" s="2" t="e">
        <f>IF(P$3&lt;-#REF!,"",INDEX(#REF!,#REF!-P$3,$A10))</f>
        <v>#REF!</v>
      </c>
      <c r="Q10" s="2" t="e">
        <f>IF(Q$3&lt;-#REF!,"",INDEX(#REF!,#REF!-Q$3,$A10))</f>
        <v>#REF!</v>
      </c>
      <c r="R10" s="2" t="e">
        <f>IF(R$3&lt;-#REF!,"",INDEX(#REF!,#REF!-R$3,$A10))</f>
        <v>#REF!</v>
      </c>
      <c r="S10" s="2" t="e">
        <f>IF(S$3&lt;-#REF!,"",INDEX(#REF!,#REF!-S$3,$A10))</f>
        <v>#REF!</v>
      </c>
      <c r="T10" s="2" t="e">
        <f>IF(T$3&lt;-#REF!,"",INDEX(#REF!,#REF!-T$3,$A10))</f>
        <v>#REF!</v>
      </c>
      <c r="U10" s="2" t="e">
        <f>IF(U$3&lt;-#REF!,"",INDEX(#REF!,#REF!-U$3,$A10))</f>
        <v>#REF!</v>
      </c>
      <c r="V10" s="2" t="e">
        <f>IF(V$3&lt;-#REF!,"",INDEX(#REF!,#REF!-V$3,$A10))</f>
        <v>#REF!</v>
      </c>
      <c r="W10" s="2" t="e">
        <f>IF(W$3&lt;-#REF!,"",INDEX(#REF!,#REF!-W$3,$A10))</f>
        <v>#REF!</v>
      </c>
      <c r="X10" s="2" t="e">
        <f>IF(X$3&lt;-#REF!,"",INDEX(#REF!,#REF!-X$3,$A10))</f>
        <v>#REF!</v>
      </c>
      <c r="Y10" s="2" t="e">
        <f>IF(Y$3&lt;-#REF!,"",INDEX(#REF!,#REF!-Y$3,$A10))</f>
        <v>#REF!</v>
      </c>
      <c r="Z10" s="2" t="e">
        <f>IF(Z$3&lt;-#REF!,"",INDEX(#REF!,#REF!-Z$3,$A10))</f>
        <v>#REF!</v>
      </c>
      <c r="AA10" s="2" t="e">
        <f>IF(AA$3&lt;-#REF!,"",INDEX(#REF!,#REF!-AA$3,$A10))</f>
        <v>#REF!</v>
      </c>
      <c r="AB10" s="2" t="e">
        <f>IF(AB$3&lt;-#REF!,"",INDEX(#REF!,#REF!-AB$3,$A10))</f>
        <v>#REF!</v>
      </c>
      <c r="AC10" s="2" t="e">
        <f>IF(AC$3&lt;-#REF!,"",INDEX(#REF!,#REF!-AC$3,$A10))</f>
        <v>#REF!</v>
      </c>
      <c r="AD10" s="2" t="e">
        <f>IF(AD$3&lt;-#REF!,"",INDEX(#REF!,#REF!-AD$3,$A10))</f>
        <v>#REF!</v>
      </c>
      <c r="AE10" s="2" t="e">
        <f>IF(AE$3&lt;-#REF!,"",INDEX(#REF!,#REF!-AE$3,$A10))</f>
        <v>#REF!</v>
      </c>
      <c r="AF10" s="2" t="e">
        <f>IF(AF$3&lt;-#REF!,"",INDEX(#REF!,#REF!-AF$3,$A10))</f>
        <v>#REF!</v>
      </c>
      <c r="AG10" s="4" t="e">
        <f>IF(AG$3&lt;-#REF!,"",INDEX(#REF!,#REF!-AG$3,$A10))</f>
        <v>#REF!</v>
      </c>
      <c r="AH10" s="80" t="e">
        <f>AH170*#REF!</f>
        <v>#VALUE!</v>
      </c>
      <c r="AI10" s="80" t="e">
        <f>AI170*#REF!</f>
        <v>#VALUE!</v>
      </c>
      <c r="AJ10" s="81" t="e">
        <f>AJ170*#REF!</f>
        <v>#VALUE!</v>
      </c>
      <c r="AK10" s="78" t="str">
        <f t="shared" si="1"/>
        <v/>
      </c>
      <c r="AL10" s="79"/>
      <c r="AM10" s="80" t="e">
        <f>AM170*#REF!</f>
        <v>#VALUE!</v>
      </c>
      <c r="AN10" s="80" t="e">
        <f>AN170*#REF!</f>
        <v>#VALUE!</v>
      </c>
      <c r="AO10" s="80" t="e">
        <f>AO170*#REF!</f>
        <v>#VALUE!</v>
      </c>
    </row>
    <row r="11" spans="1:41">
      <c r="A11" s="35"/>
      <c r="B11" s="82" t="s">
        <v>136</v>
      </c>
      <c r="C11" s="82"/>
      <c r="D11" s="45" t="e">
        <f t="shared" ref="D11:AF11" si="2">IF(D4=1,SUM(D7:D10),"")</f>
        <v>#REF!</v>
      </c>
      <c r="E11" s="45" t="e">
        <f t="shared" si="2"/>
        <v>#REF!</v>
      </c>
      <c r="F11" s="45" t="e">
        <f t="shared" si="2"/>
        <v>#REF!</v>
      </c>
      <c r="G11" s="45" t="e">
        <f t="shared" si="2"/>
        <v>#REF!</v>
      </c>
      <c r="H11" s="45" t="e">
        <f t="shared" si="2"/>
        <v>#REF!</v>
      </c>
      <c r="I11" s="45" t="e">
        <f t="shared" si="2"/>
        <v>#REF!</v>
      </c>
      <c r="J11" s="45" t="e">
        <f t="shared" si="2"/>
        <v>#REF!</v>
      </c>
      <c r="K11" s="45" t="e">
        <f t="shared" si="2"/>
        <v>#REF!</v>
      </c>
      <c r="L11" s="45" t="e">
        <f t="shared" si="2"/>
        <v>#REF!</v>
      </c>
      <c r="M11" s="45" t="e">
        <f t="shared" si="2"/>
        <v>#REF!</v>
      </c>
      <c r="N11" s="45" t="e">
        <f t="shared" si="2"/>
        <v>#REF!</v>
      </c>
      <c r="O11" s="45" t="e">
        <f t="shared" si="2"/>
        <v>#REF!</v>
      </c>
      <c r="P11" s="45" t="e">
        <f t="shared" si="2"/>
        <v>#REF!</v>
      </c>
      <c r="Q11" s="45" t="e">
        <f t="shared" si="2"/>
        <v>#REF!</v>
      </c>
      <c r="R11" s="45" t="e">
        <f t="shared" si="2"/>
        <v>#REF!</v>
      </c>
      <c r="S11" s="45" t="e">
        <f t="shared" si="2"/>
        <v>#REF!</v>
      </c>
      <c r="T11" s="45" t="e">
        <f t="shared" si="2"/>
        <v>#REF!</v>
      </c>
      <c r="U11" s="45" t="e">
        <f t="shared" si="2"/>
        <v>#REF!</v>
      </c>
      <c r="V11" s="45" t="e">
        <f t="shared" si="2"/>
        <v>#REF!</v>
      </c>
      <c r="W11" s="45" t="e">
        <f t="shared" si="2"/>
        <v>#REF!</v>
      </c>
      <c r="X11" s="45" t="e">
        <f t="shared" si="2"/>
        <v>#REF!</v>
      </c>
      <c r="Y11" s="45" t="e">
        <f t="shared" si="2"/>
        <v>#REF!</v>
      </c>
      <c r="Z11" s="45" t="e">
        <f t="shared" si="2"/>
        <v>#REF!</v>
      </c>
      <c r="AA11" s="45" t="e">
        <f t="shared" si="2"/>
        <v>#REF!</v>
      </c>
      <c r="AB11" s="45" t="e">
        <f t="shared" si="2"/>
        <v>#REF!</v>
      </c>
      <c r="AC11" s="45" t="e">
        <f t="shared" si="2"/>
        <v>#REF!</v>
      </c>
      <c r="AD11" s="45" t="e">
        <f t="shared" si="2"/>
        <v>#REF!</v>
      </c>
      <c r="AE11" s="45" t="e">
        <f t="shared" si="2"/>
        <v>#REF!</v>
      </c>
      <c r="AF11" s="45" t="e">
        <f t="shared" si="2"/>
        <v>#REF!</v>
      </c>
      <c r="AG11" s="77" t="e">
        <f>IF(AG4=1,SUM(AG7:AG10),"")</f>
        <v>#REF!</v>
      </c>
      <c r="AH11" s="45" t="e">
        <f>SUM(AH7:AH10)</f>
        <v>#REF!</v>
      </c>
      <c r="AI11" s="45" t="e">
        <f>SUM(AI7:AI10)</f>
        <v>#REF!</v>
      </c>
      <c r="AJ11" s="77" t="e">
        <f>SUM(AJ7:AJ10)</f>
        <v>#REF!</v>
      </c>
      <c r="AK11" s="78" t="str">
        <f t="shared" si="1"/>
        <v/>
      </c>
      <c r="AL11" s="79"/>
      <c r="AM11" s="55" t="e">
        <f>SUM(AM7:AM10)</f>
        <v>#REF!</v>
      </c>
      <c r="AN11" s="55" t="e">
        <f>SUM(AN7:AN10)</f>
        <v>#REF!</v>
      </c>
      <c r="AO11" s="55" t="e">
        <f>SUM(AO7:AO10)</f>
        <v>#REF!</v>
      </c>
    </row>
    <row r="12" spans="1:41">
      <c r="A12" s="41"/>
      <c r="B12" s="23"/>
      <c r="C12" s="23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77"/>
      <c r="AH12" s="45"/>
      <c r="AI12" s="45"/>
      <c r="AJ12" s="77"/>
      <c r="AK12" s="78" t="str">
        <f t="shared" si="1"/>
        <v/>
      </c>
      <c r="AL12" s="79"/>
      <c r="AM12" s="55"/>
      <c r="AN12" s="55"/>
      <c r="AO12" s="55"/>
    </row>
    <row r="13" spans="1:41">
      <c r="A13" s="35" t="e">
        <f>#REF!</f>
        <v>#REF!</v>
      </c>
      <c r="B13" s="76" t="s">
        <v>13</v>
      </c>
      <c r="C13" s="76"/>
      <c r="D13" s="2" t="e">
        <f>IF(D$3&lt;-#REF!,"",INDEX(#REF!,#REF!-D$3,$A13))</f>
        <v>#REF!</v>
      </c>
      <c r="E13" s="2" t="e">
        <f>IF(E$3&lt;-#REF!,"",INDEX(#REF!,#REF!-E$3,$A13))</f>
        <v>#REF!</v>
      </c>
      <c r="F13" s="2" t="e">
        <f>IF(F$3&lt;-#REF!,"",INDEX(#REF!,#REF!-F$3,$A13))</f>
        <v>#REF!</v>
      </c>
      <c r="G13" s="2" t="e">
        <f>IF(G$3&lt;-#REF!,"",INDEX(#REF!,#REF!-G$3,$A13))</f>
        <v>#REF!</v>
      </c>
      <c r="H13" s="2" t="e">
        <f>IF(H$3&lt;-#REF!,"",INDEX(#REF!,#REF!-H$3,$A13))</f>
        <v>#REF!</v>
      </c>
      <c r="I13" s="2" t="e">
        <f>IF(I$3&lt;-#REF!,"",INDEX(#REF!,#REF!-I$3,$A13))</f>
        <v>#REF!</v>
      </c>
      <c r="J13" s="2" t="e">
        <f>IF(J$3&lt;-#REF!,"",INDEX(#REF!,#REF!-J$3,$A13))</f>
        <v>#REF!</v>
      </c>
      <c r="K13" s="2" t="e">
        <f>IF(K$3&lt;-#REF!,"",INDEX(#REF!,#REF!-K$3,$A13))</f>
        <v>#REF!</v>
      </c>
      <c r="L13" s="2" t="e">
        <f>IF(L$3&lt;-#REF!,"",INDEX(#REF!,#REF!-L$3,$A13))</f>
        <v>#REF!</v>
      </c>
      <c r="M13" s="2" t="e">
        <f>IF(M$3&lt;-#REF!,"",INDEX(#REF!,#REF!-M$3,$A13))</f>
        <v>#REF!</v>
      </c>
      <c r="N13" s="2" t="e">
        <f>IF(N$3&lt;-#REF!,"",INDEX(#REF!,#REF!-N$3,$A13))</f>
        <v>#REF!</v>
      </c>
      <c r="O13" s="2" t="e">
        <f>IF(O$3&lt;-#REF!,"",INDEX(#REF!,#REF!-O$3,$A13))</f>
        <v>#REF!</v>
      </c>
      <c r="P13" s="2" t="e">
        <f>IF(P$3&lt;-#REF!,"",INDEX(#REF!,#REF!-P$3,$A13))</f>
        <v>#REF!</v>
      </c>
      <c r="Q13" s="2" t="e">
        <f>IF(Q$3&lt;-#REF!,"",INDEX(#REF!,#REF!-Q$3,$A13))</f>
        <v>#REF!</v>
      </c>
      <c r="R13" s="2" t="e">
        <f>IF(R$3&lt;-#REF!,"",INDEX(#REF!,#REF!-R$3,$A13))</f>
        <v>#REF!</v>
      </c>
      <c r="S13" s="2" t="e">
        <f>IF(S$3&lt;-#REF!,"",INDEX(#REF!,#REF!-S$3,$A13))</f>
        <v>#REF!</v>
      </c>
      <c r="T13" s="2" t="e">
        <f>IF(T$3&lt;-#REF!,"",INDEX(#REF!,#REF!-T$3,$A13))</f>
        <v>#REF!</v>
      </c>
      <c r="U13" s="2" t="e">
        <f>IF(U$3&lt;-#REF!,"",INDEX(#REF!,#REF!-U$3,$A13))</f>
        <v>#REF!</v>
      </c>
      <c r="V13" s="2" t="e">
        <f>IF(V$3&lt;-#REF!,"",INDEX(#REF!,#REF!-V$3,$A13))</f>
        <v>#REF!</v>
      </c>
      <c r="W13" s="2" t="e">
        <f>IF(W$3&lt;-#REF!,"",INDEX(#REF!,#REF!-W$3,$A13))</f>
        <v>#REF!</v>
      </c>
      <c r="X13" s="2" t="e">
        <f>IF(X$3&lt;-#REF!,"",INDEX(#REF!,#REF!-X$3,$A13))</f>
        <v>#REF!</v>
      </c>
      <c r="Y13" s="2" t="e">
        <f>IF(Y$3&lt;-#REF!,"",INDEX(#REF!,#REF!-Y$3,$A13))</f>
        <v>#REF!</v>
      </c>
      <c r="Z13" s="2" t="e">
        <f>IF(Z$3&lt;-#REF!,"",INDEX(#REF!,#REF!-Z$3,$A13))</f>
        <v>#REF!</v>
      </c>
      <c r="AA13" s="2" t="e">
        <f>IF(AA$3&lt;-#REF!,"",INDEX(#REF!,#REF!-AA$3,$A13))</f>
        <v>#REF!</v>
      </c>
      <c r="AB13" s="2" t="e">
        <f>IF(AB$3&lt;-#REF!,"",INDEX(#REF!,#REF!-AB$3,$A13))</f>
        <v>#REF!</v>
      </c>
      <c r="AC13" s="2" t="e">
        <f>IF(AC$3&lt;-#REF!,"",INDEX(#REF!,#REF!-AC$3,$A13))</f>
        <v>#REF!</v>
      </c>
      <c r="AD13" s="2" t="e">
        <f>IF(AD$3&lt;-#REF!,"",INDEX(#REF!,#REF!-AD$3,$A13))</f>
        <v>#REF!</v>
      </c>
      <c r="AE13" s="2" t="e">
        <f>IF(AE$3&lt;-#REF!,"",INDEX(#REF!,#REF!-AE$3,$A13))</f>
        <v>#REF!</v>
      </c>
      <c r="AF13" s="2" t="e">
        <f>IF(AF$3&lt;-#REF!,"",INDEX(#REF!,#REF!-AF$3,$A13))</f>
        <v>#REF!</v>
      </c>
      <c r="AG13" s="4" t="e">
        <f>IF(AG$3&lt;-#REF!,"",INDEX(#REF!,#REF!-AG$3,$A13))</f>
        <v>#REF!</v>
      </c>
      <c r="AH13" s="80" t="e">
        <f xml:space="preserve"> AH94 /  365 *IF(#REF!="",#REF!,#REF!)</f>
        <v>#VALUE!</v>
      </c>
      <c r="AI13" s="80" t="e">
        <f xml:space="preserve"> AI94 /  365 *IF(#REF!="",#REF!,#REF!)</f>
        <v>#VALUE!</v>
      </c>
      <c r="AJ13" s="81" t="e">
        <f xml:space="preserve"> AJ94 /  365 *IF(#REF!="",#REF!,#REF!)</f>
        <v>#VALUE!</v>
      </c>
      <c r="AK13" s="78" t="str">
        <f t="shared" si="1"/>
        <v/>
      </c>
      <c r="AL13" s="79"/>
      <c r="AM13" s="80" t="e">
        <f xml:space="preserve"> AM94 /  365 *IF(#REF!="",#REF!,#REF!)</f>
        <v>#VALUE!</v>
      </c>
      <c r="AN13" s="80" t="e">
        <f xml:space="preserve"> AN94 /  365 *IF(#REF!="",#REF!,#REF!)</f>
        <v>#VALUE!</v>
      </c>
      <c r="AO13" s="80" t="e">
        <f xml:space="preserve"> AO94 /  365 *IF(#REF!="",#REF!,#REF!)</f>
        <v>#VALUE!</v>
      </c>
    </row>
    <row r="14" spans="1:41">
      <c r="A14" s="35"/>
      <c r="B14" s="76" t="s">
        <v>14</v>
      </c>
      <c r="C14" s="76"/>
      <c r="D14" s="45" t="str">
        <f t="shared" ref="D14:AG14" si="3">IFERROR(D15-D13,"")</f>
        <v/>
      </c>
      <c r="E14" s="45" t="str">
        <f t="shared" si="3"/>
        <v/>
      </c>
      <c r="F14" s="45" t="str">
        <f t="shared" si="3"/>
        <v/>
      </c>
      <c r="G14" s="45" t="str">
        <f t="shared" si="3"/>
        <v/>
      </c>
      <c r="H14" s="45" t="str">
        <f t="shared" si="3"/>
        <v/>
      </c>
      <c r="I14" s="45" t="str">
        <f t="shared" si="3"/>
        <v/>
      </c>
      <c r="J14" s="45" t="str">
        <f t="shared" si="3"/>
        <v/>
      </c>
      <c r="K14" s="45" t="str">
        <f t="shared" si="3"/>
        <v/>
      </c>
      <c r="L14" s="45" t="str">
        <f t="shared" si="3"/>
        <v/>
      </c>
      <c r="M14" s="45" t="str">
        <f t="shared" si="3"/>
        <v/>
      </c>
      <c r="N14" s="45" t="str">
        <f t="shared" si="3"/>
        <v/>
      </c>
      <c r="O14" s="45" t="str">
        <f t="shared" si="3"/>
        <v/>
      </c>
      <c r="P14" s="45" t="str">
        <f t="shared" si="3"/>
        <v/>
      </c>
      <c r="Q14" s="45" t="str">
        <f t="shared" si="3"/>
        <v/>
      </c>
      <c r="R14" s="45" t="str">
        <f t="shared" si="3"/>
        <v/>
      </c>
      <c r="S14" s="45" t="str">
        <f t="shared" si="3"/>
        <v/>
      </c>
      <c r="T14" s="45" t="str">
        <f t="shared" si="3"/>
        <v/>
      </c>
      <c r="U14" s="45" t="str">
        <f t="shared" si="3"/>
        <v/>
      </c>
      <c r="V14" s="45" t="str">
        <f t="shared" si="3"/>
        <v/>
      </c>
      <c r="W14" s="45" t="str">
        <f t="shared" si="3"/>
        <v/>
      </c>
      <c r="X14" s="45" t="str">
        <f t="shared" si="3"/>
        <v/>
      </c>
      <c r="Y14" s="45" t="str">
        <f t="shared" si="3"/>
        <v/>
      </c>
      <c r="Z14" s="45" t="str">
        <f t="shared" si="3"/>
        <v/>
      </c>
      <c r="AA14" s="45" t="str">
        <f t="shared" si="3"/>
        <v/>
      </c>
      <c r="AB14" s="45" t="str">
        <f t="shared" si="3"/>
        <v/>
      </c>
      <c r="AC14" s="45" t="str">
        <f t="shared" si="3"/>
        <v/>
      </c>
      <c r="AD14" s="45" t="str">
        <f t="shared" si="3"/>
        <v/>
      </c>
      <c r="AE14" s="45" t="str">
        <f t="shared" si="3"/>
        <v/>
      </c>
      <c r="AF14" s="45" t="str">
        <f t="shared" si="3"/>
        <v/>
      </c>
      <c r="AG14" s="77" t="str">
        <f t="shared" si="3"/>
        <v/>
      </c>
      <c r="AH14" s="80" t="e">
        <f>AH173*#REF!</f>
        <v>#VALUE!</v>
      </c>
      <c r="AI14" s="80" t="e">
        <f>AI173*#REF!</f>
        <v>#VALUE!</v>
      </c>
      <c r="AJ14" s="81" t="e">
        <f>AJ173*#REF!</f>
        <v>#VALUE!</v>
      </c>
      <c r="AK14" s="78" t="str">
        <f t="shared" si="1"/>
        <v/>
      </c>
      <c r="AL14" s="79"/>
      <c r="AM14" s="80" t="e">
        <f>AM173*#REF!</f>
        <v>#VALUE!</v>
      </c>
      <c r="AN14" s="80" t="e">
        <f>AN173*#REF!</f>
        <v>#VALUE!</v>
      </c>
      <c r="AO14" s="80" t="e">
        <f>AO173*#REF!</f>
        <v>#VALUE!</v>
      </c>
    </row>
    <row r="15" spans="1:41">
      <c r="A15" s="35" t="e">
        <f>#REF!</f>
        <v>#REF!</v>
      </c>
      <c r="B15" s="82" t="s">
        <v>160</v>
      </c>
      <c r="C15" s="2"/>
      <c r="D15" s="3" t="e">
        <f>IF(D$3&lt;-#REF!,"",INDEX(#REF!,#REF!-D$3,$A15)-D35)</f>
        <v>#REF!</v>
      </c>
      <c r="E15" s="3" t="e">
        <f>IF(E$3&lt;-#REF!,"",INDEX(#REF!,#REF!-E$3,$A15)-E35)</f>
        <v>#REF!</v>
      </c>
      <c r="F15" s="3" t="e">
        <f>IF(F$3&lt;-#REF!,"",INDEX(#REF!,#REF!-F$3,$A15)-F35)</f>
        <v>#REF!</v>
      </c>
      <c r="G15" s="3" t="e">
        <f>IF(G$3&lt;-#REF!,"",INDEX(#REF!,#REF!-G$3,$A15)-G35)</f>
        <v>#REF!</v>
      </c>
      <c r="H15" s="3" t="e">
        <f>IF(H$3&lt;-#REF!,"",INDEX(#REF!,#REF!-H$3,$A15)-H35)</f>
        <v>#REF!</v>
      </c>
      <c r="I15" s="3" t="e">
        <f>IF(I$3&lt;-#REF!,"",INDEX(#REF!,#REF!-I$3,$A15)-I35)</f>
        <v>#REF!</v>
      </c>
      <c r="J15" s="3" t="e">
        <f>IF(J$3&lt;-#REF!,"",INDEX(#REF!,#REF!-J$3,$A15)-J35)</f>
        <v>#REF!</v>
      </c>
      <c r="K15" s="3" t="e">
        <f>IF(K$3&lt;-#REF!,"",INDEX(#REF!,#REF!-K$3,$A15)-K35)</f>
        <v>#REF!</v>
      </c>
      <c r="L15" s="3" t="e">
        <f>IF(L$3&lt;-#REF!,"",INDEX(#REF!,#REF!-L$3,$A15)-L35)</f>
        <v>#REF!</v>
      </c>
      <c r="M15" s="3" t="e">
        <f>IF(M$3&lt;-#REF!,"",INDEX(#REF!,#REF!-M$3,$A15)-M35)</f>
        <v>#REF!</v>
      </c>
      <c r="N15" s="3" t="e">
        <f>IF(N$3&lt;-#REF!,"",INDEX(#REF!,#REF!-N$3,$A15)-N35)</f>
        <v>#REF!</v>
      </c>
      <c r="O15" s="3" t="e">
        <f>IF(O$3&lt;-#REF!,"",INDEX(#REF!,#REF!-O$3,$A15)-O35)</f>
        <v>#REF!</v>
      </c>
      <c r="P15" s="3" t="e">
        <f>IF(P$3&lt;-#REF!,"",INDEX(#REF!,#REF!-P$3,$A15)-P35)</f>
        <v>#REF!</v>
      </c>
      <c r="Q15" s="3" t="e">
        <f>IF(Q$3&lt;-#REF!,"",INDEX(#REF!,#REF!-Q$3,$A15)-Q35)</f>
        <v>#REF!</v>
      </c>
      <c r="R15" s="3" t="e">
        <f>IF(R$3&lt;-#REF!,"",INDEX(#REF!,#REF!-R$3,$A15)-R35)</f>
        <v>#REF!</v>
      </c>
      <c r="S15" s="3" t="e">
        <f>IF(S$3&lt;-#REF!,"",INDEX(#REF!,#REF!-S$3,$A15)-S35)</f>
        <v>#REF!</v>
      </c>
      <c r="T15" s="3" t="e">
        <f>IF(T$3&lt;-#REF!,"",INDEX(#REF!,#REF!-T$3,$A15)-T35)</f>
        <v>#REF!</v>
      </c>
      <c r="U15" s="3" t="e">
        <f>IF(U$3&lt;-#REF!,"",INDEX(#REF!,#REF!-U$3,$A15)-U35)</f>
        <v>#REF!</v>
      </c>
      <c r="V15" s="3" t="e">
        <f>IF(V$3&lt;-#REF!,"",INDEX(#REF!,#REF!-V$3,$A15)-V35)</f>
        <v>#REF!</v>
      </c>
      <c r="W15" s="3" t="e">
        <f>IF(W$3&lt;-#REF!,"",INDEX(#REF!,#REF!-W$3,$A15)-W35)</f>
        <v>#REF!</v>
      </c>
      <c r="X15" s="3" t="e">
        <f>IF(X$3&lt;-#REF!,"",INDEX(#REF!,#REF!-X$3,$A15)-X35)</f>
        <v>#REF!</v>
      </c>
      <c r="Y15" s="3" t="e">
        <f>IF(Y$3&lt;-#REF!,"",INDEX(#REF!,#REF!-Y$3,$A15)-Y35)</f>
        <v>#REF!</v>
      </c>
      <c r="Z15" s="3" t="e">
        <f>IF(Z$3&lt;-#REF!,"",INDEX(#REF!,#REF!-Z$3,$A15)-Z35)</f>
        <v>#REF!</v>
      </c>
      <c r="AA15" s="3" t="e">
        <f>IF(AA$3&lt;-#REF!,"",INDEX(#REF!,#REF!-AA$3,$A15)-AA35)</f>
        <v>#REF!</v>
      </c>
      <c r="AB15" s="3" t="e">
        <f>IF(AB$3&lt;-#REF!,"",INDEX(#REF!,#REF!-AB$3,$A15)-AB35)</f>
        <v>#REF!</v>
      </c>
      <c r="AC15" s="3" t="e">
        <f>IF(AC$3&lt;-#REF!,"",INDEX(#REF!,#REF!-AC$3,$A15)-AC35)</f>
        <v>#REF!</v>
      </c>
      <c r="AD15" s="3" t="e">
        <f>IF(AD$3&lt;-#REF!,"",INDEX(#REF!,#REF!-AD$3,$A15)-AD35)</f>
        <v>#REF!</v>
      </c>
      <c r="AE15" s="3" t="e">
        <f>IF(AE$3&lt;-#REF!,"",INDEX(#REF!,#REF!-AE$3,$A15)-AE35)</f>
        <v>#REF!</v>
      </c>
      <c r="AF15" s="3" t="e">
        <f>IF(AF$3&lt;-#REF!,"",INDEX(#REF!,#REF!-AF$3,$A15)-AF35)</f>
        <v>#REF!</v>
      </c>
      <c r="AG15" s="4" t="e">
        <f>IF(AG$3&lt;-#REF!,"",INDEX(#REF!,#REF!-AG$3,$A15)-AG35)</f>
        <v>#REF!</v>
      </c>
      <c r="AH15" s="55" t="e">
        <f>AH14+AH13</f>
        <v>#VALUE!</v>
      </c>
      <c r="AI15" s="55" t="e">
        <f>AI14+AI13</f>
        <v>#VALUE!</v>
      </c>
      <c r="AJ15" s="83" t="e">
        <f>AJ14+AJ13</f>
        <v>#VALUE!</v>
      </c>
      <c r="AK15" s="78" t="str">
        <f t="shared" si="1"/>
        <v/>
      </c>
      <c r="AL15" s="79"/>
      <c r="AM15" s="55" t="e">
        <f>AM14+AM13</f>
        <v>#VALUE!</v>
      </c>
      <c r="AN15" s="55" t="e">
        <f>AN14+AN13</f>
        <v>#VALUE!</v>
      </c>
      <c r="AO15" s="55" t="e">
        <f>AO14+AO13</f>
        <v>#VALUE!</v>
      </c>
    </row>
    <row r="16" spans="1:41">
      <c r="A16" s="41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83"/>
      <c r="AH16" s="55"/>
      <c r="AI16" s="55"/>
      <c r="AJ16" s="83"/>
      <c r="AK16" s="78" t="str">
        <f t="shared" si="1"/>
        <v/>
      </c>
      <c r="AM16" s="55"/>
      <c r="AN16" s="55"/>
      <c r="AO16" s="55"/>
    </row>
    <row r="17" spans="1:41" s="50" customFormat="1">
      <c r="A17" s="57"/>
      <c r="B17" s="53" t="s">
        <v>165</v>
      </c>
      <c r="C17" s="53"/>
      <c r="D17" s="54" t="str">
        <f t="shared" ref="D17:AG17" si="4">IFERROR(D11-D15,"")</f>
        <v/>
      </c>
      <c r="E17" s="54" t="str">
        <f t="shared" si="4"/>
        <v/>
      </c>
      <c r="F17" s="54" t="str">
        <f t="shared" si="4"/>
        <v/>
      </c>
      <c r="G17" s="54" t="str">
        <f t="shared" si="4"/>
        <v/>
      </c>
      <c r="H17" s="54" t="str">
        <f t="shared" si="4"/>
        <v/>
      </c>
      <c r="I17" s="54" t="str">
        <f t="shared" si="4"/>
        <v/>
      </c>
      <c r="J17" s="54" t="str">
        <f t="shared" si="4"/>
        <v/>
      </c>
      <c r="K17" s="54" t="str">
        <f t="shared" si="4"/>
        <v/>
      </c>
      <c r="L17" s="54" t="str">
        <f t="shared" si="4"/>
        <v/>
      </c>
      <c r="M17" s="54" t="str">
        <f t="shared" si="4"/>
        <v/>
      </c>
      <c r="N17" s="54" t="str">
        <f t="shared" si="4"/>
        <v/>
      </c>
      <c r="O17" s="54" t="str">
        <f t="shared" si="4"/>
        <v/>
      </c>
      <c r="P17" s="54" t="str">
        <f t="shared" si="4"/>
        <v/>
      </c>
      <c r="Q17" s="54" t="str">
        <f t="shared" si="4"/>
        <v/>
      </c>
      <c r="R17" s="54" t="str">
        <f t="shared" si="4"/>
        <v/>
      </c>
      <c r="S17" s="54" t="str">
        <f t="shared" si="4"/>
        <v/>
      </c>
      <c r="T17" s="54" t="str">
        <f t="shared" si="4"/>
        <v/>
      </c>
      <c r="U17" s="54" t="str">
        <f t="shared" si="4"/>
        <v/>
      </c>
      <c r="V17" s="54" t="str">
        <f t="shared" si="4"/>
        <v/>
      </c>
      <c r="W17" s="54" t="str">
        <f t="shared" si="4"/>
        <v/>
      </c>
      <c r="X17" s="54" t="str">
        <f t="shared" si="4"/>
        <v/>
      </c>
      <c r="Y17" s="54" t="str">
        <f t="shared" si="4"/>
        <v/>
      </c>
      <c r="Z17" s="54" t="str">
        <f t="shared" si="4"/>
        <v/>
      </c>
      <c r="AA17" s="54" t="str">
        <f t="shared" si="4"/>
        <v/>
      </c>
      <c r="AB17" s="54" t="str">
        <f t="shared" si="4"/>
        <v/>
      </c>
      <c r="AC17" s="54" t="str">
        <f t="shared" si="4"/>
        <v/>
      </c>
      <c r="AD17" s="54" t="str">
        <f t="shared" si="4"/>
        <v/>
      </c>
      <c r="AE17" s="54" t="str">
        <f t="shared" si="4"/>
        <v/>
      </c>
      <c r="AF17" s="54" t="str">
        <f t="shared" si="4"/>
        <v/>
      </c>
      <c r="AG17" s="84" t="str">
        <f t="shared" si="4"/>
        <v/>
      </c>
      <c r="AH17" s="54" t="e">
        <f>AH11-AH15</f>
        <v>#REF!</v>
      </c>
      <c r="AI17" s="54" t="e">
        <f>AI11-AI15</f>
        <v>#REF!</v>
      </c>
      <c r="AJ17" s="84" t="e">
        <f>AJ11-AJ15</f>
        <v>#REF!</v>
      </c>
      <c r="AK17" s="85" t="str">
        <f t="shared" si="1"/>
        <v/>
      </c>
      <c r="AL17" s="86"/>
      <c r="AM17" s="54" t="e">
        <f>AM11-AM15</f>
        <v>#REF!</v>
      </c>
      <c r="AN17" s="54" t="e">
        <f>AN11-AN15</f>
        <v>#REF!</v>
      </c>
      <c r="AO17" s="54" t="e">
        <f>AO11-AO15</f>
        <v>#REF!</v>
      </c>
    </row>
    <row r="18" spans="1:41">
      <c r="A18" s="41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8"/>
      <c r="AH18" s="87"/>
      <c r="AI18" s="87"/>
      <c r="AJ18" s="88"/>
      <c r="AK18" s="78" t="str">
        <f t="shared" si="1"/>
        <v/>
      </c>
      <c r="AM18" s="87"/>
      <c r="AN18" s="87"/>
      <c r="AO18" s="87"/>
    </row>
    <row r="19" spans="1:41">
      <c r="A19" s="35" t="e">
        <f>#REF!</f>
        <v>#REF!</v>
      </c>
      <c r="B19" s="43" t="s">
        <v>16</v>
      </c>
      <c r="C19" s="43"/>
      <c r="D19" s="2" t="e">
        <f>IF(D$3&lt;-#REF!,"",INDEX(#REF!,#REF!-D$3,$A19))</f>
        <v>#REF!</v>
      </c>
      <c r="E19" s="2" t="e">
        <f>IF(E$3&lt;-#REF!,"",INDEX(#REF!,#REF!-E$3,$A19))</f>
        <v>#REF!</v>
      </c>
      <c r="F19" s="2" t="e">
        <f>IF(F$3&lt;-#REF!,"",INDEX(#REF!,#REF!-F$3,$A19))</f>
        <v>#REF!</v>
      </c>
      <c r="G19" s="2" t="e">
        <f>IF(G$3&lt;-#REF!,"",INDEX(#REF!,#REF!-G$3,$A19))</f>
        <v>#REF!</v>
      </c>
      <c r="H19" s="2" t="e">
        <f>IF(H$3&lt;-#REF!,"",INDEX(#REF!,#REF!-H$3,$A19))</f>
        <v>#REF!</v>
      </c>
      <c r="I19" s="2" t="e">
        <f>IF(I$3&lt;-#REF!,"",INDEX(#REF!,#REF!-I$3,$A19))</f>
        <v>#REF!</v>
      </c>
      <c r="J19" s="2" t="e">
        <f>IF(J$3&lt;-#REF!,"",INDEX(#REF!,#REF!-J$3,$A19))</f>
        <v>#REF!</v>
      </c>
      <c r="K19" s="2" t="e">
        <f>IF(K$3&lt;-#REF!,"",INDEX(#REF!,#REF!-K$3,$A19))</f>
        <v>#REF!</v>
      </c>
      <c r="L19" s="2" t="e">
        <f>IF(L$3&lt;-#REF!,"",INDEX(#REF!,#REF!-L$3,$A19))</f>
        <v>#REF!</v>
      </c>
      <c r="M19" s="2" t="e">
        <f>IF(M$3&lt;-#REF!,"",INDEX(#REF!,#REF!-M$3,$A19))</f>
        <v>#REF!</v>
      </c>
      <c r="N19" s="2" t="e">
        <f>IF(N$3&lt;-#REF!,"",INDEX(#REF!,#REF!-N$3,$A19))</f>
        <v>#REF!</v>
      </c>
      <c r="O19" s="2" t="e">
        <f>IF(O$3&lt;-#REF!,"",INDEX(#REF!,#REF!-O$3,$A19))</f>
        <v>#REF!</v>
      </c>
      <c r="P19" s="2" t="e">
        <f>IF(P$3&lt;-#REF!,"",INDEX(#REF!,#REF!-P$3,$A19))</f>
        <v>#REF!</v>
      </c>
      <c r="Q19" s="2" t="e">
        <f>IF(Q$3&lt;-#REF!,"",INDEX(#REF!,#REF!-Q$3,$A19))</f>
        <v>#REF!</v>
      </c>
      <c r="R19" s="2" t="e">
        <f>IF(R$3&lt;-#REF!,"",INDEX(#REF!,#REF!-R$3,$A19))</f>
        <v>#REF!</v>
      </c>
      <c r="S19" s="2" t="e">
        <f>IF(S$3&lt;-#REF!,"",INDEX(#REF!,#REF!-S$3,$A19))</f>
        <v>#REF!</v>
      </c>
      <c r="T19" s="2" t="e">
        <f>IF(T$3&lt;-#REF!,"",INDEX(#REF!,#REF!-T$3,$A19))</f>
        <v>#REF!</v>
      </c>
      <c r="U19" s="2" t="e">
        <f>IF(U$3&lt;-#REF!,"",INDEX(#REF!,#REF!-U$3,$A19))</f>
        <v>#REF!</v>
      </c>
      <c r="V19" s="2" t="e">
        <f>IF(V$3&lt;-#REF!,"",INDEX(#REF!,#REF!-V$3,$A19))</f>
        <v>#REF!</v>
      </c>
      <c r="W19" s="2" t="e">
        <f>IF(W$3&lt;-#REF!,"",INDEX(#REF!,#REF!-W$3,$A19))</f>
        <v>#REF!</v>
      </c>
      <c r="X19" s="2" t="e">
        <f>IF(X$3&lt;-#REF!,"",INDEX(#REF!,#REF!-X$3,$A19))</f>
        <v>#REF!</v>
      </c>
      <c r="Y19" s="2" t="e">
        <f>IF(Y$3&lt;-#REF!,"",INDEX(#REF!,#REF!-Y$3,$A19))</f>
        <v>#REF!</v>
      </c>
      <c r="Z19" s="2" t="e">
        <f>IF(Z$3&lt;-#REF!,"",INDEX(#REF!,#REF!-Z$3,$A19))</f>
        <v>#REF!</v>
      </c>
      <c r="AA19" s="2" t="e">
        <f>IF(AA$3&lt;-#REF!,"",INDEX(#REF!,#REF!-AA$3,$A19))</f>
        <v>#REF!</v>
      </c>
      <c r="AB19" s="2" t="e">
        <f>IF(AB$3&lt;-#REF!,"",INDEX(#REF!,#REF!-AB$3,$A19))</f>
        <v>#REF!</v>
      </c>
      <c r="AC19" s="2" t="e">
        <f>IF(AC$3&lt;-#REF!,"",INDEX(#REF!,#REF!-AC$3,$A19))</f>
        <v>#REF!</v>
      </c>
      <c r="AD19" s="2" t="e">
        <f>IF(AD$3&lt;-#REF!,"",INDEX(#REF!,#REF!-AD$3,$A19))</f>
        <v>#REF!</v>
      </c>
      <c r="AE19" s="2" t="e">
        <f>IF(AE$3&lt;-#REF!,"",INDEX(#REF!,#REF!-AE$3,$A19))</f>
        <v>#REF!</v>
      </c>
      <c r="AF19" s="2" t="e">
        <f>IF(AF$3&lt;-#REF!,"",INDEX(#REF!,#REF!-AF$3,$A19))</f>
        <v>#REF!</v>
      </c>
      <c r="AG19" s="4" t="e">
        <f>IF(AG$3&lt;-#REF!,"",INDEX(#REF!,#REF!-AG$3,$A19))</f>
        <v>#REF!</v>
      </c>
      <c r="AH19" s="80" t="e">
        <f>AH200</f>
        <v>#REF!</v>
      </c>
      <c r="AI19" s="80" t="e">
        <f>AI200</f>
        <v>#REF!</v>
      </c>
      <c r="AJ19" s="81" t="e">
        <f>AJ200</f>
        <v>#REF!</v>
      </c>
      <c r="AK19" s="78" t="str">
        <f t="shared" si="1"/>
        <v/>
      </c>
      <c r="AL19" s="79"/>
      <c r="AM19" s="80" t="e">
        <f>AM200</f>
        <v>#REF!</v>
      </c>
      <c r="AN19" s="80" t="e">
        <f>AN200</f>
        <v>#REF!</v>
      </c>
      <c r="AO19" s="80" t="e">
        <f>AO200</f>
        <v>#REF!</v>
      </c>
    </row>
    <row r="20" spans="1:41">
      <c r="A20" s="35" t="e">
        <f>#REF!</f>
        <v>#REF!</v>
      </c>
      <c r="B20" s="43" t="s">
        <v>17</v>
      </c>
      <c r="C20" s="43"/>
      <c r="D20" s="2" t="e">
        <f>IF(D$3&lt;-#REF!,"",INDEX(#REF!,#REF!-D$3,$A20))</f>
        <v>#REF!</v>
      </c>
      <c r="E20" s="2" t="e">
        <f>IF(E$3&lt;-#REF!,"",INDEX(#REF!,#REF!-E$3,$A20))</f>
        <v>#REF!</v>
      </c>
      <c r="F20" s="2" t="e">
        <f>IF(F$3&lt;-#REF!,"",INDEX(#REF!,#REF!-F$3,$A20))</f>
        <v>#REF!</v>
      </c>
      <c r="G20" s="2" t="e">
        <f>IF(G$3&lt;-#REF!,"",INDEX(#REF!,#REF!-G$3,$A20))</f>
        <v>#REF!</v>
      </c>
      <c r="H20" s="2" t="e">
        <f>IF(H$3&lt;-#REF!,"",INDEX(#REF!,#REF!-H$3,$A20))</f>
        <v>#REF!</v>
      </c>
      <c r="I20" s="2" t="e">
        <f>IF(I$3&lt;-#REF!,"",INDEX(#REF!,#REF!-I$3,$A20))</f>
        <v>#REF!</v>
      </c>
      <c r="J20" s="2" t="e">
        <f>IF(J$3&lt;-#REF!,"",INDEX(#REF!,#REF!-J$3,$A20))</f>
        <v>#REF!</v>
      </c>
      <c r="K20" s="2" t="e">
        <f>IF(K$3&lt;-#REF!,"",INDEX(#REF!,#REF!-K$3,$A20))</f>
        <v>#REF!</v>
      </c>
      <c r="L20" s="2" t="e">
        <f>IF(L$3&lt;-#REF!,"",INDEX(#REF!,#REF!-L$3,$A20))</f>
        <v>#REF!</v>
      </c>
      <c r="M20" s="2" t="e">
        <f>IF(M$3&lt;-#REF!,"",INDEX(#REF!,#REF!-M$3,$A20))</f>
        <v>#REF!</v>
      </c>
      <c r="N20" s="2" t="e">
        <f>IF(N$3&lt;-#REF!,"",INDEX(#REF!,#REF!-N$3,$A20))</f>
        <v>#REF!</v>
      </c>
      <c r="O20" s="2" t="e">
        <f>IF(O$3&lt;-#REF!,"",INDEX(#REF!,#REF!-O$3,$A20))</f>
        <v>#REF!</v>
      </c>
      <c r="P20" s="2" t="e">
        <f>IF(P$3&lt;-#REF!,"",INDEX(#REF!,#REF!-P$3,$A20))</f>
        <v>#REF!</v>
      </c>
      <c r="Q20" s="2" t="e">
        <f>IF(Q$3&lt;-#REF!,"",INDEX(#REF!,#REF!-Q$3,$A20))</f>
        <v>#REF!</v>
      </c>
      <c r="R20" s="2" t="e">
        <f>IF(R$3&lt;-#REF!,"",INDEX(#REF!,#REF!-R$3,$A20))</f>
        <v>#REF!</v>
      </c>
      <c r="S20" s="2" t="e">
        <f>IF(S$3&lt;-#REF!,"",INDEX(#REF!,#REF!-S$3,$A20))</f>
        <v>#REF!</v>
      </c>
      <c r="T20" s="2" t="e">
        <f>IF(T$3&lt;-#REF!,"",INDEX(#REF!,#REF!-T$3,$A20))</f>
        <v>#REF!</v>
      </c>
      <c r="U20" s="2" t="e">
        <f>IF(U$3&lt;-#REF!,"",INDEX(#REF!,#REF!-U$3,$A20))</f>
        <v>#REF!</v>
      </c>
      <c r="V20" s="2" t="e">
        <f>IF(V$3&lt;-#REF!,"",INDEX(#REF!,#REF!-V$3,$A20))</f>
        <v>#REF!</v>
      </c>
      <c r="W20" s="2" t="e">
        <f>IF(W$3&lt;-#REF!,"",INDEX(#REF!,#REF!-W$3,$A20))</f>
        <v>#REF!</v>
      </c>
      <c r="X20" s="2" t="e">
        <f>IF(X$3&lt;-#REF!,"",INDEX(#REF!,#REF!-X$3,$A20))</f>
        <v>#REF!</v>
      </c>
      <c r="Y20" s="2" t="e">
        <f>IF(Y$3&lt;-#REF!,"",INDEX(#REF!,#REF!-Y$3,$A20))</f>
        <v>#REF!</v>
      </c>
      <c r="Z20" s="2" t="e">
        <f>IF(Z$3&lt;-#REF!,"",INDEX(#REF!,#REF!-Z$3,$A20))</f>
        <v>#REF!</v>
      </c>
      <c r="AA20" s="2" t="e">
        <f>IF(AA$3&lt;-#REF!,"",INDEX(#REF!,#REF!-AA$3,$A20))</f>
        <v>#REF!</v>
      </c>
      <c r="AB20" s="2" t="e">
        <f>IF(AB$3&lt;-#REF!,"",INDEX(#REF!,#REF!-AB$3,$A20))</f>
        <v>#REF!</v>
      </c>
      <c r="AC20" s="2" t="e">
        <f>IF(AC$3&lt;-#REF!,"",INDEX(#REF!,#REF!-AC$3,$A20))</f>
        <v>#REF!</v>
      </c>
      <c r="AD20" s="2" t="e">
        <f>IF(AD$3&lt;-#REF!,"",INDEX(#REF!,#REF!-AD$3,$A20))</f>
        <v>#REF!</v>
      </c>
      <c r="AE20" s="2" t="e">
        <f>IF(AE$3&lt;-#REF!,"",INDEX(#REF!,#REF!-AE$3,$A20))</f>
        <v>#REF!</v>
      </c>
      <c r="AF20" s="2" t="e">
        <f>IF(AF$3&lt;-#REF!,"",INDEX(#REF!,#REF!-AF$3,$A20))</f>
        <v>#REF!</v>
      </c>
      <c r="AG20" s="4" t="e">
        <f>IF(AG$3&lt;-#REF!,"",INDEX(#REF!,#REF!-AG$3,$A20))</f>
        <v>#REF!</v>
      </c>
      <c r="AH20" s="80" t="e">
        <f>AH211</f>
        <v>#REF!</v>
      </c>
      <c r="AI20" s="80" t="e">
        <f>AI211</f>
        <v>#REF!</v>
      </c>
      <c r="AJ20" s="81" t="e">
        <f>AJ211</f>
        <v>#REF!</v>
      </c>
      <c r="AK20" s="78" t="str">
        <f t="shared" si="1"/>
        <v/>
      </c>
      <c r="AL20" s="79"/>
      <c r="AM20" s="80" t="e">
        <f>AM211</f>
        <v>#REF!</v>
      </c>
      <c r="AN20" s="80" t="e">
        <f>AN211</f>
        <v>#REF!</v>
      </c>
      <c r="AO20" s="80" t="e">
        <f>AO211</f>
        <v>#REF!</v>
      </c>
    </row>
    <row r="21" spans="1:41">
      <c r="A21" s="41"/>
      <c r="B21" s="76" t="s">
        <v>139</v>
      </c>
      <c r="C21" s="76"/>
      <c r="D21" s="80" t="str">
        <f t="shared" ref="D21:AG21" si="5">IFERROR(D22-D20-D19,"")</f>
        <v/>
      </c>
      <c r="E21" s="80" t="str">
        <f t="shared" si="5"/>
        <v/>
      </c>
      <c r="F21" s="80" t="str">
        <f t="shared" si="5"/>
        <v/>
      </c>
      <c r="G21" s="80" t="str">
        <f t="shared" si="5"/>
        <v/>
      </c>
      <c r="H21" s="80" t="str">
        <f t="shared" si="5"/>
        <v/>
      </c>
      <c r="I21" s="80" t="str">
        <f t="shared" si="5"/>
        <v/>
      </c>
      <c r="J21" s="80" t="str">
        <f t="shared" si="5"/>
        <v/>
      </c>
      <c r="K21" s="80" t="str">
        <f t="shared" si="5"/>
        <v/>
      </c>
      <c r="L21" s="80" t="str">
        <f t="shared" si="5"/>
        <v/>
      </c>
      <c r="M21" s="80" t="str">
        <f t="shared" si="5"/>
        <v/>
      </c>
      <c r="N21" s="80" t="str">
        <f t="shared" si="5"/>
        <v/>
      </c>
      <c r="O21" s="80" t="str">
        <f t="shared" si="5"/>
        <v/>
      </c>
      <c r="P21" s="80" t="str">
        <f t="shared" si="5"/>
        <v/>
      </c>
      <c r="Q21" s="80" t="str">
        <f t="shared" si="5"/>
        <v/>
      </c>
      <c r="R21" s="80" t="str">
        <f t="shared" si="5"/>
        <v/>
      </c>
      <c r="S21" s="80" t="str">
        <f t="shared" si="5"/>
        <v/>
      </c>
      <c r="T21" s="80" t="str">
        <f t="shared" si="5"/>
        <v/>
      </c>
      <c r="U21" s="80" t="str">
        <f t="shared" si="5"/>
        <v/>
      </c>
      <c r="V21" s="80" t="str">
        <f t="shared" si="5"/>
        <v/>
      </c>
      <c r="W21" s="80" t="str">
        <f t="shared" si="5"/>
        <v/>
      </c>
      <c r="X21" s="80" t="str">
        <f t="shared" si="5"/>
        <v/>
      </c>
      <c r="Y21" s="80" t="str">
        <f t="shared" si="5"/>
        <v/>
      </c>
      <c r="Z21" s="80" t="str">
        <f t="shared" si="5"/>
        <v/>
      </c>
      <c r="AA21" s="80" t="str">
        <f t="shared" si="5"/>
        <v/>
      </c>
      <c r="AB21" s="80" t="str">
        <f t="shared" si="5"/>
        <v/>
      </c>
      <c r="AC21" s="80" t="str">
        <f t="shared" si="5"/>
        <v/>
      </c>
      <c r="AD21" s="80" t="str">
        <f t="shared" si="5"/>
        <v/>
      </c>
      <c r="AE21" s="80" t="str">
        <f t="shared" si="5"/>
        <v/>
      </c>
      <c r="AF21" s="80" t="str">
        <f t="shared" si="5"/>
        <v/>
      </c>
      <c r="AG21" s="81" t="str">
        <f t="shared" si="5"/>
        <v/>
      </c>
      <c r="AH21" s="55" t="e">
        <f>#REF!*'Balance Sheet'!AH179</f>
        <v>#REF!</v>
      </c>
      <c r="AI21" s="55" t="e">
        <f>#REF!*'Balance Sheet'!AI179</f>
        <v>#REF!</v>
      </c>
      <c r="AJ21" s="83" t="e">
        <f>#REF!*'Balance Sheet'!AJ179</f>
        <v>#REF!</v>
      </c>
      <c r="AK21" s="78" t="str">
        <f t="shared" si="1"/>
        <v/>
      </c>
      <c r="AL21" s="79"/>
      <c r="AM21" s="55" t="e">
        <f>#REF!*'Balance Sheet'!AM179</f>
        <v>#REF!</v>
      </c>
      <c r="AN21" s="55" t="e">
        <f>#REF!*'Balance Sheet'!AN179</f>
        <v>#REF!</v>
      </c>
      <c r="AO21" s="55" t="e">
        <f>#REF!*'Balance Sheet'!AO179</f>
        <v>#REF!</v>
      </c>
    </row>
    <row r="22" spans="1:41">
      <c r="A22" s="41" t="e">
        <f>#REF!</f>
        <v>#REF!</v>
      </c>
      <c r="B22" s="82" t="s">
        <v>159</v>
      </c>
      <c r="C22" s="82"/>
      <c r="D22" s="3" t="e">
        <f>IF(D$3&lt;-#REF!,"",INDEX(#REF!,#REF!-D$3,$A22)-D66)</f>
        <v>#REF!</v>
      </c>
      <c r="E22" s="3" t="e">
        <f>IF(E$3&lt;-#REF!,"",INDEX(#REF!,#REF!-E$3,$A22)-E66)</f>
        <v>#REF!</v>
      </c>
      <c r="F22" s="3" t="e">
        <f>IF(F$3&lt;-#REF!,"",INDEX(#REF!,#REF!-F$3,$A22)-F66)</f>
        <v>#REF!</v>
      </c>
      <c r="G22" s="3" t="e">
        <f>IF(G$3&lt;-#REF!,"",INDEX(#REF!,#REF!-G$3,$A22)-G66)</f>
        <v>#REF!</v>
      </c>
      <c r="H22" s="3" t="e">
        <f>IF(H$3&lt;-#REF!,"",INDEX(#REF!,#REF!-H$3,$A22)-H66)</f>
        <v>#REF!</v>
      </c>
      <c r="I22" s="3" t="e">
        <f>IF(I$3&lt;-#REF!,"",INDEX(#REF!,#REF!-I$3,$A22)-I66)</f>
        <v>#REF!</v>
      </c>
      <c r="J22" s="3" t="e">
        <f>IF(J$3&lt;-#REF!,"",INDEX(#REF!,#REF!-J$3,$A22)-J66)</f>
        <v>#REF!</v>
      </c>
      <c r="K22" s="3" t="e">
        <f>IF(K$3&lt;-#REF!,"",INDEX(#REF!,#REF!-K$3,$A22)-K66)</f>
        <v>#REF!</v>
      </c>
      <c r="L22" s="3" t="e">
        <f>IF(L$3&lt;-#REF!,"",INDEX(#REF!,#REF!-L$3,$A22)-L66)</f>
        <v>#REF!</v>
      </c>
      <c r="M22" s="3" t="e">
        <f>IF(M$3&lt;-#REF!,"",INDEX(#REF!,#REF!-M$3,$A22)-M66)</f>
        <v>#REF!</v>
      </c>
      <c r="N22" s="3" t="e">
        <f>IF(N$3&lt;-#REF!,"",INDEX(#REF!,#REF!-N$3,$A22)-N66)</f>
        <v>#REF!</v>
      </c>
      <c r="O22" s="3" t="e">
        <f>IF(O$3&lt;-#REF!,"",INDEX(#REF!,#REF!-O$3,$A22)-O66)</f>
        <v>#REF!</v>
      </c>
      <c r="P22" s="3" t="e">
        <f>IF(P$3&lt;-#REF!,"",INDEX(#REF!,#REF!-P$3,$A22)-P66)</f>
        <v>#REF!</v>
      </c>
      <c r="Q22" s="3" t="e">
        <f>IF(Q$3&lt;-#REF!,"",INDEX(#REF!,#REF!-Q$3,$A22)-Q66)</f>
        <v>#REF!</v>
      </c>
      <c r="R22" s="3" t="e">
        <f>IF(R$3&lt;-#REF!,"",INDEX(#REF!,#REF!-R$3,$A22)-R66)</f>
        <v>#REF!</v>
      </c>
      <c r="S22" s="3" t="e">
        <f>IF(S$3&lt;-#REF!,"",INDEX(#REF!,#REF!-S$3,$A22)-S66)</f>
        <v>#REF!</v>
      </c>
      <c r="T22" s="3" t="e">
        <f>IF(T$3&lt;-#REF!,"",INDEX(#REF!,#REF!-T$3,$A22)-T66)</f>
        <v>#REF!</v>
      </c>
      <c r="U22" s="3" t="e">
        <f>IF(U$3&lt;-#REF!,"",INDEX(#REF!,#REF!-U$3,$A22)-U66)</f>
        <v>#REF!</v>
      </c>
      <c r="V22" s="3" t="e">
        <f>IF(V$3&lt;-#REF!,"",INDEX(#REF!,#REF!-V$3,$A22)-V66)</f>
        <v>#REF!</v>
      </c>
      <c r="W22" s="3" t="e">
        <f>IF(W$3&lt;-#REF!,"",INDEX(#REF!,#REF!-W$3,$A22)-W66)</f>
        <v>#REF!</v>
      </c>
      <c r="X22" s="3" t="e">
        <f>IF(X$3&lt;-#REF!,"",INDEX(#REF!,#REF!-X$3,$A22)-X66)</f>
        <v>#REF!</v>
      </c>
      <c r="Y22" s="3" t="e">
        <f>IF(Y$3&lt;-#REF!,"",INDEX(#REF!,#REF!-Y$3,$A22)-Y66)</f>
        <v>#REF!</v>
      </c>
      <c r="Z22" s="3" t="e">
        <f>IF(Z$3&lt;-#REF!,"",INDEX(#REF!,#REF!-Z$3,$A22)-Z66)</f>
        <v>#REF!</v>
      </c>
      <c r="AA22" s="3" t="e">
        <f>IF(AA$3&lt;-#REF!,"",INDEX(#REF!,#REF!-AA$3,$A22)-AA66)</f>
        <v>#REF!</v>
      </c>
      <c r="AB22" s="3" t="e">
        <f>IF(AB$3&lt;-#REF!,"",INDEX(#REF!,#REF!-AB$3,$A22)-AB66)</f>
        <v>#REF!</v>
      </c>
      <c r="AC22" s="3" t="e">
        <f>IF(AC$3&lt;-#REF!,"",INDEX(#REF!,#REF!-AC$3,$A22)-AC66)</f>
        <v>#REF!</v>
      </c>
      <c r="AD22" s="3" t="e">
        <f>IF(AD$3&lt;-#REF!,"",INDEX(#REF!,#REF!-AD$3,$A22)-AD66)</f>
        <v>#REF!</v>
      </c>
      <c r="AE22" s="3" t="e">
        <f>IF(AE$3&lt;-#REF!,"",INDEX(#REF!,#REF!-AE$3,$A22)-AE66)</f>
        <v>#REF!</v>
      </c>
      <c r="AF22" s="3" t="e">
        <f>IF(AF$3&lt;-#REF!,"",INDEX(#REF!,#REF!-AF$3,$A22)-AF66)</f>
        <v>#REF!</v>
      </c>
      <c r="AG22" s="4" t="e">
        <f>IF(AG$3&lt;-#REF!,"",INDEX(#REF!,#REF!-AG$3,$A22)-AG66)</f>
        <v>#REF!</v>
      </c>
      <c r="AH22" s="55" t="e">
        <f>SUM(AH19:AH21)</f>
        <v>#REF!</v>
      </c>
      <c r="AI22" s="55" t="e">
        <f>SUM(AI19:AI21)</f>
        <v>#REF!</v>
      </c>
      <c r="AJ22" s="83" t="e">
        <f>SUM(AJ19:AJ21)</f>
        <v>#REF!</v>
      </c>
      <c r="AK22" s="78" t="str">
        <f t="shared" si="1"/>
        <v/>
      </c>
      <c r="AL22" s="79"/>
      <c r="AM22" s="55" t="e">
        <f>SUM(AM19:AM21)</f>
        <v>#REF!</v>
      </c>
      <c r="AN22" s="55" t="e">
        <f>SUM(AN19:AN21)</f>
        <v>#REF!</v>
      </c>
      <c r="AO22" s="55" t="e">
        <f>SUM(AO19:AO21)</f>
        <v>#REF!</v>
      </c>
    </row>
    <row r="23" spans="1:41">
      <c r="A23" s="41"/>
      <c r="B23" s="43"/>
      <c r="C23" s="43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77"/>
      <c r="AH23" s="45"/>
      <c r="AI23" s="45"/>
      <c r="AJ23" s="77"/>
      <c r="AK23" s="78" t="str">
        <f t="shared" si="1"/>
        <v/>
      </c>
      <c r="AL23" s="79"/>
      <c r="AM23" s="55"/>
      <c r="AN23" s="55"/>
      <c r="AO23" s="55"/>
    </row>
    <row r="24" spans="1:41">
      <c r="A24" s="35" t="e">
        <f>#REF!</f>
        <v>#REF!</v>
      </c>
      <c r="B24" s="82" t="s">
        <v>161</v>
      </c>
      <c r="C24" s="82"/>
      <c r="D24" s="2" t="e">
        <f>IF(D$3&lt;-#REF!,"",INDEX(#REF!,#REF!-D$3,$A24)-D36)</f>
        <v>#REF!</v>
      </c>
      <c r="E24" s="2" t="e">
        <f>IF(E$3&lt;-#REF!,"",INDEX(#REF!,#REF!-E$3,$A24)-E36)</f>
        <v>#REF!</v>
      </c>
      <c r="F24" s="2" t="e">
        <f>IF(F$3&lt;-#REF!,"",INDEX(#REF!,#REF!-F$3,$A24)-F36)</f>
        <v>#REF!</v>
      </c>
      <c r="G24" s="2" t="e">
        <f>IF(G$3&lt;-#REF!,"",INDEX(#REF!,#REF!-G$3,$A24)-G36)</f>
        <v>#REF!</v>
      </c>
      <c r="H24" s="2" t="e">
        <f>IF(H$3&lt;-#REF!,"",INDEX(#REF!,#REF!-H$3,$A24)-H36)</f>
        <v>#REF!</v>
      </c>
      <c r="I24" s="2" t="e">
        <f>IF(I$3&lt;-#REF!,"",INDEX(#REF!,#REF!-I$3,$A24)-I36)</f>
        <v>#REF!</v>
      </c>
      <c r="J24" s="2" t="e">
        <f>IF(J$3&lt;-#REF!,"",INDEX(#REF!,#REF!-J$3,$A24)-J36)</f>
        <v>#REF!</v>
      </c>
      <c r="K24" s="2" t="e">
        <f>IF(K$3&lt;-#REF!,"",INDEX(#REF!,#REF!-K$3,$A24)-K36)</f>
        <v>#REF!</v>
      </c>
      <c r="L24" s="2" t="e">
        <f>IF(L$3&lt;-#REF!,"",INDEX(#REF!,#REF!-L$3,$A24)-L36)</f>
        <v>#REF!</v>
      </c>
      <c r="M24" s="2" t="e">
        <f>IF(M$3&lt;-#REF!,"",INDEX(#REF!,#REF!-M$3,$A24)-M36)</f>
        <v>#REF!</v>
      </c>
      <c r="N24" s="2" t="e">
        <f>IF(N$3&lt;-#REF!,"",INDEX(#REF!,#REF!-N$3,$A24)-N36)</f>
        <v>#REF!</v>
      </c>
      <c r="O24" s="2" t="e">
        <f>IF(O$3&lt;-#REF!,"",INDEX(#REF!,#REF!-O$3,$A24)-O36)</f>
        <v>#REF!</v>
      </c>
      <c r="P24" s="2" t="e">
        <f>IF(P$3&lt;-#REF!,"",INDEX(#REF!,#REF!-P$3,$A24)-P36)</f>
        <v>#REF!</v>
      </c>
      <c r="Q24" s="2" t="e">
        <f>IF(Q$3&lt;-#REF!,"",INDEX(#REF!,#REF!-Q$3,$A24)-Q36)</f>
        <v>#REF!</v>
      </c>
      <c r="R24" s="2" t="e">
        <f>IF(R$3&lt;-#REF!,"",INDEX(#REF!,#REF!-R$3,$A24)-R36)</f>
        <v>#REF!</v>
      </c>
      <c r="S24" s="2" t="e">
        <f>IF(S$3&lt;-#REF!,"",INDEX(#REF!,#REF!-S$3,$A24)-S36)</f>
        <v>#REF!</v>
      </c>
      <c r="T24" s="2" t="e">
        <f>IF(T$3&lt;-#REF!,"",INDEX(#REF!,#REF!-T$3,$A24)-T36)</f>
        <v>#REF!</v>
      </c>
      <c r="U24" s="2" t="e">
        <f>IF(U$3&lt;-#REF!,"",INDEX(#REF!,#REF!-U$3,$A24)-U36)</f>
        <v>#REF!</v>
      </c>
      <c r="V24" s="2" t="e">
        <f>IF(V$3&lt;-#REF!,"",INDEX(#REF!,#REF!-V$3,$A24)-V36)</f>
        <v>#REF!</v>
      </c>
      <c r="W24" s="2" t="e">
        <f>IF(W$3&lt;-#REF!,"",INDEX(#REF!,#REF!-W$3,$A24)-W36)</f>
        <v>#REF!</v>
      </c>
      <c r="X24" s="2" t="e">
        <f>IF(X$3&lt;-#REF!,"",INDEX(#REF!,#REF!-X$3,$A24)-X36)</f>
        <v>#REF!</v>
      </c>
      <c r="Y24" s="2" t="e">
        <f>IF(Y$3&lt;-#REF!,"",INDEX(#REF!,#REF!-Y$3,$A24)-Y36)</f>
        <v>#REF!</v>
      </c>
      <c r="Z24" s="2" t="e">
        <f>IF(Z$3&lt;-#REF!,"",INDEX(#REF!,#REF!-Z$3,$A24)-Z36)</f>
        <v>#REF!</v>
      </c>
      <c r="AA24" s="2" t="e">
        <f>IF(AA$3&lt;-#REF!,"",INDEX(#REF!,#REF!-AA$3,$A24)-AA36)</f>
        <v>#REF!</v>
      </c>
      <c r="AB24" s="2" t="e">
        <f>IF(AB$3&lt;-#REF!,"",INDEX(#REF!,#REF!-AB$3,$A24)-AB36)</f>
        <v>#REF!</v>
      </c>
      <c r="AC24" s="2" t="e">
        <f>IF(AC$3&lt;-#REF!,"",INDEX(#REF!,#REF!-AC$3,$A24)-AC36)</f>
        <v>#REF!</v>
      </c>
      <c r="AD24" s="2" t="e">
        <f>IF(AD$3&lt;-#REF!,"",INDEX(#REF!,#REF!-AD$3,$A24)-AD36)</f>
        <v>#REF!</v>
      </c>
      <c r="AE24" s="2" t="e">
        <f>IF(AE$3&lt;-#REF!,"",INDEX(#REF!,#REF!-AE$3,$A24)-AE36)</f>
        <v>#REF!</v>
      </c>
      <c r="AF24" s="2" t="e">
        <f>IF(AF$3&lt;-#REF!,"",INDEX(#REF!,#REF!-AF$3,$A24)-AF36)</f>
        <v>#REF!</v>
      </c>
      <c r="AG24" s="4" t="e">
        <f>IF(AG$3&lt;-#REF!,"",INDEX(#REF!,#REF!-AG$3,$A24)-AG36)</f>
        <v>#REF!</v>
      </c>
      <c r="AH24" s="55" t="e">
        <f>#REF!*'Balance Sheet'!AH181</f>
        <v>#REF!</v>
      </c>
      <c r="AI24" s="55" t="e">
        <f>#REF!*'Balance Sheet'!AI181</f>
        <v>#REF!</v>
      </c>
      <c r="AJ24" s="83" t="e">
        <f>#REF!*'Balance Sheet'!AJ181</f>
        <v>#REF!</v>
      </c>
      <c r="AK24" s="78" t="str">
        <f t="shared" si="1"/>
        <v/>
      </c>
      <c r="AL24" s="79"/>
      <c r="AM24" s="55" t="e">
        <f>#REF!*'Balance Sheet'!AM181</f>
        <v>#REF!</v>
      </c>
      <c r="AN24" s="55" t="e">
        <f>#REF!*'Balance Sheet'!AN181</f>
        <v>#REF!</v>
      </c>
      <c r="AO24" s="55" t="e">
        <f>#REF!*'Balance Sheet'!AO181</f>
        <v>#REF!</v>
      </c>
    </row>
    <row r="25" spans="1:41">
      <c r="B25" s="43"/>
      <c r="C25" s="43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77"/>
      <c r="AH25" s="45"/>
      <c r="AI25" s="36"/>
      <c r="AJ25" s="77"/>
      <c r="AK25" s="78" t="str">
        <f t="shared" si="1"/>
        <v/>
      </c>
      <c r="AL25" s="79"/>
      <c r="AM25" s="34"/>
      <c r="AN25" s="34"/>
      <c r="AO25" s="34"/>
    </row>
    <row r="26" spans="1:41" s="53" customFormat="1">
      <c r="B26" s="89" t="s">
        <v>18</v>
      </c>
      <c r="C26" s="89"/>
      <c r="D26" s="90" t="str">
        <f t="shared" ref="D26:AG26" si="6">IFERROR(D22-D24,"")</f>
        <v/>
      </c>
      <c r="E26" s="90" t="str">
        <f t="shared" si="6"/>
        <v/>
      </c>
      <c r="F26" s="90" t="str">
        <f t="shared" si="6"/>
        <v/>
      </c>
      <c r="G26" s="90" t="str">
        <f t="shared" si="6"/>
        <v/>
      </c>
      <c r="H26" s="90" t="str">
        <f t="shared" si="6"/>
        <v/>
      </c>
      <c r="I26" s="90" t="str">
        <f t="shared" si="6"/>
        <v/>
      </c>
      <c r="J26" s="90" t="str">
        <f t="shared" si="6"/>
        <v/>
      </c>
      <c r="K26" s="90" t="str">
        <f t="shared" si="6"/>
        <v/>
      </c>
      <c r="L26" s="90" t="str">
        <f t="shared" si="6"/>
        <v/>
      </c>
      <c r="M26" s="90" t="str">
        <f t="shared" si="6"/>
        <v/>
      </c>
      <c r="N26" s="90" t="str">
        <f t="shared" si="6"/>
        <v/>
      </c>
      <c r="O26" s="90" t="str">
        <f t="shared" si="6"/>
        <v/>
      </c>
      <c r="P26" s="90" t="str">
        <f t="shared" si="6"/>
        <v/>
      </c>
      <c r="Q26" s="90" t="str">
        <f t="shared" si="6"/>
        <v/>
      </c>
      <c r="R26" s="90" t="str">
        <f t="shared" si="6"/>
        <v/>
      </c>
      <c r="S26" s="90" t="str">
        <f t="shared" si="6"/>
        <v/>
      </c>
      <c r="T26" s="90" t="str">
        <f t="shared" si="6"/>
        <v/>
      </c>
      <c r="U26" s="90" t="str">
        <f t="shared" si="6"/>
        <v/>
      </c>
      <c r="V26" s="90" t="str">
        <f t="shared" si="6"/>
        <v/>
      </c>
      <c r="W26" s="90" t="str">
        <f t="shared" si="6"/>
        <v/>
      </c>
      <c r="X26" s="90" t="str">
        <f t="shared" si="6"/>
        <v/>
      </c>
      <c r="Y26" s="90" t="str">
        <f t="shared" si="6"/>
        <v/>
      </c>
      <c r="Z26" s="90" t="str">
        <f t="shared" si="6"/>
        <v/>
      </c>
      <c r="AA26" s="90" t="str">
        <f t="shared" si="6"/>
        <v/>
      </c>
      <c r="AB26" s="90" t="str">
        <f t="shared" si="6"/>
        <v/>
      </c>
      <c r="AC26" s="90" t="str">
        <f t="shared" si="6"/>
        <v/>
      </c>
      <c r="AD26" s="90" t="str">
        <f t="shared" si="6"/>
        <v/>
      </c>
      <c r="AE26" s="90" t="str">
        <f t="shared" si="6"/>
        <v/>
      </c>
      <c r="AF26" s="90" t="str">
        <f t="shared" si="6"/>
        <v/>
      </c>
      <c r="AG26" s="91" t="str">
        <f t="shared" si="6"/>
        <v/>
      </c>
      <c r="AH26" s="90" t="e">
        <f>AH22-AH24</f>
        <v>#REF!</v>
      </c>
      <c r="AI26" s="90" t="e">
        <f>AI22-AI24</f>
        <v>#REF!</v>
      </c>
      <c r="AJ26" s="91" t="e">
        <f>AJ22-AJ24</f>
        <v>#REF!</v>
      </c>
      <c r="AK26" s="92" t="str">
        <f t="shared" si="1"/>
        <v/>
      </c>
      <c r="AL26" s="93"/>
      <c r="AM26" s="90" t="e">
        <f>AM22-AM24</f>
        <v>#REF!</v>
      </c>
      <c r="AN26" s="90" t="e">
        <f>AN22-AN24</f>
        <v>#REF!</v>
      </c>
      <c r="AO26" s="90" t="e">
        <f>AO22-AO24</f>
        <v>#REF!</v>
      </c>
    </row>
    <row r="27" spans="1:41" s="98" customFormat="1">
      <c r="A27" s="23"/>
      <c r="B27" s="94"/>
      <c r="C27" s="94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6"/>
      <c r="AH27" s="95"/>
      <c r="AI27" s="95"/>
      <c r="AJ27" s="96"/>
      <c r="AK27" s="97" t="str">
        <f t="shared" si="1"/>
        <v/>
      </c>
      <c r="AM27" s="99"/>
      <c r="AN27" s="99"/>
      <c r="AO27" s="99"/>
    </row>
    <row r="28" spans="1:41" s="100" customFormat="1">
      <c r="A28" s="53"/>
      <c r="B28" s="100" t="s">
        <v>19</v>
      </c>
      <c r="D28" s="101" t="str">
        <f t="shared" ref="D28:AG28" si="7">IFERROR(D17+D26,"")</f>
        <v/>
      </c>
      <c r="E28" s="101" t="str">
        <f t="shared" si="7"/>
        <v/>
      </c>
      <c r="F28" s="101" t="str">
        <f t="shared" si="7"/>
        <v/>
      </c>
      <c r="G28" s="101" t="str">
        <f t="shared" si="7"/>
        <v/>
      </c>
      <c r="H28" s="101" t="str">
        <f t="shared" si="7"/>
        <v/>
      </c>
      <c r="I28" s="101" t="str">
        <f t="shared" si="7"/>
        <v/>
      </c>
      <c r="J28" s="101" t="str">
        <f t="shared" si="7"/>
        <v/>
      </c>
      <c r="K28" s="101" t="str">
        <f t="shared" si="7"/>
        <v/>
      </c>
      <c r="L28" s="101" t="str">
        <f t="shared" si="7"/>
        <v/>
      </c>
      <c r="M28" s="101" t="str">
        <f t="shared" si="7"/>
        <v/>
      </c>
      <c r="N28" s="101" t="str">
        <f t="shared" si="7"/>
        <v/>
      </c>
      <c r="O28" s="101" t="str">
        <f t="shared" si="7"/>
        <v/>
      </c>
      <c r="P28" s="101" t="str">
        <f t="shared" si="7"/>
        <v/>
      </c>
      <c r="Q28" s="101" t="str">
        <f t="shared" si="7"/>
        <v/>
      </c>
      <c r="R28" s="101" t="str">
        <f t="shared" si="7"/>
        <v/>
      </c>
      <c r="S28" s="101" t="str">
        <f t="shared" si="7"/>
        <v/>
      </c>
      <c r="T28" s="101" t="str">
        <f t="shared" si="7"/>
        <v/>
      </c>
      <c r="U28" s="101" t="str">
        <f t="shared" si="7"/>
        <v/>
      </c>
      <c r="V28" s="101" t="str">
        <f t="shared" si="7"/>
        <v/>
      </c>
      <c r="W28" s="101" t="str">
        <f t="shared" si="7"/>
        <v/>
      </c>
      <c r="X28" s="101" t="str">
        <f t="shared" si="7"/>
        <v/>
      </c>
      <c r="Y28" s="101" t="str">
        <f t="shared" si="7"/>
        <v/>
      </c>
      <c r="Z28" s="101" t="str">
        <f t="shared" si="7"/>
        <v/>
      </c>
      <c r="AA28" s="101" t="str">
        <f t="shared" si="7"/>
        <v/>
      </c>
      <c r="AB28" s="101" t="str">
        <f t="shared" si="7"/>
        <v/>
      </c>
      <c r="AC28" s="101" t="str">
        <f t="shared" si="7"/>
        <v/>
      </c>
      <c r="AD28" s="101" t="str">
        <f t="shared" si="7"/>
        <v/>
      </c>
      <c r="AE28" s="101" t="str">
        <f t="shared" si="7"/>
        <v/>
      </c>
      <c r="AF28" s="101" t="str">
        <f t="shared" si="7"/>
        <v/>
      </c>
      <c r="AG28" s="102" t="str">
        <f t="shared" si="7"/>
        <v/>
      </c>
      <c r="AH28" s="101" t="e">
        <f>AH17+AH26</f>
        <v>#REF!</v>
      </c>
      <c r="AI28" s="101" t="e">
        <f>AI17+AI26</f>
        <v>#REF!</v>
      </c>
      <c r="AJ28" s="102" t="e">
        <f>AJ17+AJ26</f>
        <v>#REF!</v>
      </c>
      <c r="AK28" s="103" t="str">
        <f t="shared" si="1"/>
        <v/>
      </c>
      <c r="AL28" s="104"/>
      <c r="AM28" s="101" t="e">
        <f>AM17+AM26</f>
        <v>#REF!</v>
      </c>
      <c r="AN28" s="101" t="e">
        <f>AN17+AN26</f>
        <v>#REF!</v>
      </c>
      <c r="AO28" s="101" t="e">
        <f>AO17+AO26</f>
        <v>#REF!</v>
      </c>
    </row>
    <row r="29" spans="1:41">
      <c r="B29" s="43"/>
      <c r="C29" s="43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77"/>
      <c r="AH29" s="45"/>
      <c r="AI29" s="36"/>
      <c r="AJ29" s="77"/>
      <c r="AK29" s="105" t="str">
        <f t="shared" si="1"/>
        <v/>
      </c>
      <c r="AM29" s="34"/>
      <c r="AN29" s="34"/>
      <c r="AO29" s="34"/>
    </row>
    <row r="30" spans="1:41">
      <c r="B30" s="23" t="s">
        <v>20</v>
      </c>
      <c r="C30" s="23"/>
      <c r="D30" s="49" t="str">
        <f t="shared" ref="D30:AG30" si="8">D71</f>
        <v/>
      </c>
      <c r="E30" s="49" t="str">
        <f t="shared" si="8"/>
        <v/>
      </c>
      <c r="F30" s="49" t="str">
        <f t="shared" si="8"/>
        <v/>
      </c>
      <c r="G30" s="49" t="str">
        <f t="shared" si="8"/>
        <v/>
      </c>
      <c r="H30" s="49" t="str">
        <f t="shared" si="8"/>
        <v/>
      </c>
      <c r="I30" s="49" t="str">
        <f t="shared" si="8"/>
        <v/>
      </c>
      <c r="J30" s="49" t="str">
        <f t="shared" si="8"/>
        <v/>
      </c>
      <c r="K30" s="49" t="str">
        <f t="shared" si="8"/>
        <v/>
      </c>
      <c r="L30" s="49" t="str">
        <f t="shared" si="8"/>
        <v/>
      </c>
      <c r="M30" s="49" t="str">
        <f t="shared" si="8"/>
        <v/>
      </c>
      <c r="N30" s="49" t="str">
        <f t="shared" si="8"/>
        <v/>
      </c>
      <c r="O30" s="49" t="str">
        <f t="shared" si="8"/>
        <v/>
      </c>
      <c r="P30" s="49" t="str">
        <f t="shared" si="8"/>
        <v/>
      </c>
      <c r="Q30" s="49" t="str">
        <f t="shared" si="8"/>
        <v/>
      </c>
      <c r="R30" s="49" t="str">
        <f t="shared" si="8"/>
        <v/>
      </c>
      <c r="S30" s="49" t="str">
        <f t="shared" si="8"/>
        <v/>
      </c>
      <c r="T30" s="49" t="str">
        <f t="shared" si="8"/>
        <v/>
      </c>
      <c r="U30" s="49" t="str">
        <f t="shared" si="8"/>
        <v/>
      </c>
      <c r="V30" s="49" t="str">
        <f t="shared" si="8"/>
        <v/>
      </c>
      <c r="W30" s="49" t="str">
        <f t="shared" si="8"/>
        <v/>
      </c>
      <c r="X30" s="49" t="str">
        <f t="shared" si="8"/>
        <v/>
      </c>
      <c r="Y30" s="49" t="str">
        <f t="shared" si="8"/>
        <v/>
      </c>
      <c r="Z30" s="49" t="str">
        <f t="shared" si="8"/>
        <v/>
      </c>
      <c r="AA30" s="49" t="str">
        <f t="shared" si="8"/>
        <v/>
      </c>
      <c r="AB30" s="49" t="str">
        <f t="shared" si="8"/>
        <v/>
      </c>
      <c r="AC30" s="49" t="str">
        <f t="shared" si="8"/>
        <v/>
      </c>
      <c r="AD30" s="49" t="str">
        <f t="shared" si="8"/>
        <v/>
      </c>
      <c r="AE30" s="49" t="str">
        <f t="shared" si="8"/>
        <v/>
      </c>
      <c r="AF30" s="49" t="str">
        <f t="shared" si="8"/>
        <v/>
      </c>
      <c r="AG30" s="106" t="str">
        <f t="shared" si="8"/>
        <v/>
      </c>
      <c r="AH30" s="49" t="e">
        <f>AH67-AH7</f>
        <v>#REF!</v>
      </c>
      <c r="AI30" s="49" t="e">
        <f>AI67-AI7</f>
        <v>#REF!</v>
      </c>
      <c r="AJ30" s="106" t="e">
        <f>AJ67-AJ7</f>
        <v>#REF!</v>
      </c>
      <c r="AK30" s="78" t="str">
        <f t="shared" si="1"/>
        <v/>
      </c>
      <c r="AL30" s="79"/>
      <c r="AM30" s="49" t="e">
        <f>AM67-AM7</f>
        <v>#REF!</v>
      </c>
      <c r="AN30" s="49" t="e">
        <f>AN67-AN7</f>
        <v>#REF!</v>
      </c>
      <c r="AO30" s="49" t="e">
        <f>AO67-AO7</f>
        <v>#REF!</v>
      </c>
    </row>
    <row r="31" spans="1:41" ht="15.75" thickBot="1">
      <c r="B31" s="107"/>
      <c r="C31" s="107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  <c r="AA31" s="108"/>
      <c r="AB31" s="108"/>
      <c r="AC31" s="108"/>
      <c r="AD31" s="108"/>
      <c r="AE31" s="108"/>
      <c r="AF31" s="108"/>
      <c r="AG31" s="109"/>
      <c r="AH31" s="108"/>
      <c r="AI31" s="108"/>
      <c r="AJ31" s="109"/>
      <c r="AK31" s="110" t="str">
        <f t="shared" si="1"/>
        <v/>
      </c>
      <c r="AL31" s="107"/>
      <c r="AM31" s="111"/>
      <c r="AN31" s="111"/>
      <c r="AO31" s="111"/>
    </row>
    <row r="32" spans="1:41" s="117" customFormat="1" ht="16.5" thickTop="1" thickBot="1">
      <c r="A32" s="23"/>
      <c r="B32" s="112" t="s">
        <v>21</v>
      </c>
      <c r="C32" s="112"/>
      <c r="D32" s="113" t="str">
        <f t="shared" ref="D32:AG32" si="9">IFERROR(D30+D28,"")</f>
        <v/>
      </c>
      <c r="E32" s="113" t="str">
        <f t="shared" si="9"/>
        <v/>
      </c>
      <c r="F32" s="113" t="str">
        <f t="shared" si="9"/>
        <v/>
      </c>
      <c r="G32" s="113" t="str">
        <f t="shared" si="9"/>
        <v/>
      </c>
      <c r="H32" s="113" t="str">
        <f t="shared" si="9"/>
        <v/>
      </c>
      <c r="I32" s="113" t="str">
        <f t="shared" si="9"/>
        <v/>
      </c>
      <c r="J32" s="113" t="str">
        <f t="shared" si="9"/>
        <v/>
      </c>
      <c r="K32" s="113" t="str">
        <f t="shared" si="9"/>
        <v/>
      </c>
      <c r="L32" s="113" t="str">
        <f t="shared" si="9"/>
        <v/>
      </c>
      <c r="M32" s="113" t="str">
        <f t="shared" si="9"/>
        <v/>
      </c>
      <c r="N32" s="113" t="str">
        <f t="shared" si="9"/>
        <v/>
      </c>
      <c r="O32" s="113" t="str">
        <f t="shared" si="9"/>
        <v/>
      </c>
      <c r="P32" s="113" t="str">
        <f t="shared" si="9"/>
        <v/>
      </c>
      <c r="Q32" s="113" t="str">
        <f t="shared" si="9"/>
        <v/>
      </c>
      <c r="R32" s="113" t="str">
        <f t="shared" si="9"/>
        <v/>
      </c>
      <c r="S32" s="113" t="str">
        <f t="shared" si="9"/>
        <v/>
      </c>
      <c r="T32" s="113" t="str">
        <f t="shared" si="9"/>
        <v/>
      </c>
      <c r="U32" s="113" t="str">
        <f t="shared" si="9"/>
        <v/>
      </c>
      <c r="V32" s="113" t="str">
        <f t="shared" si="9"/>
        <v/>
      </c>
      <c r="W32" s="113" t="str">
        <f t="shared" si="9"/>
        <v/>
      </c>
      <c r="X32" s="113" t="str">
        <f t="shared" si="9"/>
        <v/>
      </c>
      <c r="Y32" s="113" t="str">
        <f t="shared" si="9"/>
        <v/>
      </c>
      <c r="Z32" s="113" t="str">
        <f t="shared" si="9"/>
        <v/>
      </c>
      <c r="AA32" s="113" t="str">
        <f t="shared" si="9"/>
        <v/>
      </c>
      <c r="AB32" s="113" t="str">
        <f t="shared" si="9"/>
        <v/>
      </c>
      <c r="AC32" s="113" t="str">
        <f t="shared" si="9"/>
        <v/>
      </c>
      <c r="AD32" s="113" t="str">
        <f t="shared" si="9"/>
        <v/>
      </c>
      <c r="AE32" s="113" t="str">
        <f t="shared" si="9"/>
        <v/>
      </c>
      <c r="AF32" s="113" t="str">
        <f t="shared" si="9"/>
        <v/>
      </c>
      <c r="AG32" s="114" t="str">
        <f t="shared" si="9"/>
        <v/>
      </c>
      <c r="AH32" s="113" t="e">
        <f>AH30+AH28</f>
        <v>#REF!</v>
      </c>
      <c r="AI32" s="113" t="e">
        <f>AI30+AI28</f>
        <v>#REF!</v>
      </c>
      <c r="AJ32" s="114" t="e">
        <f>AJ30+AJ28</f>
        <v>#REF!</v>
      </c>
      <c r="AK32" s="115" t="str">
        <f t="shared" si="1"/>
        <v/>
      </c>
      <c r="AL32" s="116"/>
      <c r="AM32" s="113" t="e">
        <f>AM30+AM28</f>
        <v>#REF!</v>
      </c>
      <c r="AN32" s="113" t="e">
        <f>AN30+AN28</f>
        <v>#REF!</v>
      </c>
      <c r="AO32" s="113" t="e">
        <f>AO30+AO28</f>
        <v>#REF!</v>
      </c>
    </row>
    <row r="33" spans="1:41" ht="15.75" thickTop="1">
      <c r="A33" s="53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77"/>
      <c r="AH33" s="45"/>
      <c r="AI33" s="36"/>
      <c r="AJ33" s="77"/>
      <c r="AK33" s="105" t="str">
        <f t="shared" si="1"/>
        <v/>
      </c>
      <c r="AM33" s="34"/>
      <c r="AN33" s="34"/>
      <c r="AO33" s="34"/>
    </row>
    <row r="34" spans="1:41" ht="15.75" thickBot="1">
      <c r="A34" s="53" t="s">
        <v>22</v>
      </c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77"/>
      <c r="AH34" s="45"/>
      <c r="AI34" s="36"/>
      <c r="AJ34" s="77"/>
      <c r="AK34" s="105" t="str">
        <f t="shared" si="1"/>
        <v/>
      </c>
      <c r="AM34" s="34"/>
      <c r="AN34" s="34"/>
      <c r="AO34" s="34"/>
    </row>
    <row r="35" spans="1:41" ht="15.75" thickBot="1">
      <c r="A35" s="35" t="e">
        <f>#REF!</f>
        <v>#REF!</v>
      </c>
      <c r="B35" s="76" t="s">
        <v>140</v>
      </c>
      <c r="C35" s="76"/>
      <c r="D35" s="2" t="e">
        <f>IF(D$3&lt;-#REF!,"",INDEX(#REF!,#REF!-D$3,$A35))</f>
        <v>#REF!</v>
      </c>
      <c r="E35" s="2" t="e">
        <f>IF(E$3&lt;-#REF!,"",INDEX(#REF!,#REF!-E$3,$A35))</f>
        <v>#REF!</v>
      </c>
      <c r="F35" s="2" t="e">
        <f>IF(F$3&lt;-#REF!,"",INDEX(#REF!,#REF!-F$3,$A35))</f>
        <v>#REF!</v>
      </c>
      <c r="G35" s="2" t="e">
        <f>IF(G$3&lt;-#REF!,"",INDEX(#REF!,#REF!-G$3,$A35))</f>
        <v>#REF!</v>
      </c>
      <c r="H35" s="2" t="e">
        <f>IF(H$3&lt;-#REF!,"",INDEX(#REF!,#REF!-H$3,$A35))</f>
        <v>#REF!</v>
      </c>
      <c r="I35" s="2" t="e">
        <f>IF(I$3&lt;-#REF!,"",INDEX(#REF!,#REF!-I$3,$A35))</f>
        <v>#REF!</v>
      </c>
      <c r="J35" s="2" t="e">
        <f>IF(J$3&lt;-#REF!,"",INDEX(#REF!,#REF!-J$3,$A35))</f>
        <v>#REF!</v>
      </c>
      <c r="K35" s="2" t="e">
        <f>IF(K$3&lt;-#REF!,"",INDEX(#REF!,#REF!-K$3,$A35))</f>
        <v>#REF!</v>
      </c>
      <c r="L35" s="2" t="e">
        <f>IF(L$3&lt;-#REF!,"",INDEX(#REF!,#REF!-L$3,$A35))</f>
        <v>#REF!</v>
      </c>
      <c r="M35" s="2" t="e">
        <f>IF(M$3&lt;-#REF!,"",INDEX(#REF!,#REF!-M$3,$A35))</f>
        <v>#REF!</v>
      </c>
      <c r="N35" s="2" t="e">
        <f>IF(N$3&lt;-#REF!,"",INDEX(#REF!,#REF!-N$3,$A35))</f>
        <v>#REF!</v>
      </c>
      <c r="O35" s="2" t="e">
        <f>IF(O$3&lt;-#REF!,"",INDEX(#REF!,#REF!-O$3,$A35))</f>
        <v>#REF!</v>
      </c>
      <c r="P35" s="2" t="e">
        <f>IF(P$3&lt;-#REF!,"",INDEX(#REF!,#REF!-P$3,$A35))</f>
        <v>#REF!</v>
      </c>
      <c r="Q35" s="2" t="e">
        <f>IF(Q$3&lt;-#REF!,"",INDEX(#REF!,#REF!-Q$3,$A35))</f>
        <v>#REF!</v>
      </c>
      <c r="R35" s="2" t="e">
        <f>IF(R$3&lt;-#REF!,"",INDEX(#REF!,#REF!-R$3,$A35))</f>
        <v>#REF!</v>
      </c>
      <c r="S35" s="2" t="e">
        <f>IF(S$3&lt;-#REF!,"",INDEX(#REF!,#REF!-S$3,$A35))</f>
        <v>#REF!</v>
      </c>
      <c r="T35" s="2" t="e">
        <f>IF(T$3&lt;-#REF!,"",INDEX(#REF!,#REF!-T$3,$A35))</f>
        <v>#REF!</v>
      </c>
      <c r="U35" s="2" t="e">
        <f>IF(U$3&lt;-#REF!,"",INDEX(#REF!,#REF!-U$3,$A35))</f>
        <v>#REF!</v>
      </c>
      <c r="V35" s="2" t="e">
        <f>IF(V$3&lt;-#REF!,"",INDEX(#REF!,#REF!-V$3,$A35))</f>
        <v>#REF!</v>
      </c>
      <c r="W35" s="2" t="e">
        <f>IF(W$3&lt;-#REF!,"",INDEX(#REF!,#REF!-W$3,$A35))</f>
        <v>#REF!</v>
      </c>
      <c r="X35" s="2" t="e">
        <f>IF(X$3&lt;-#REF!,"",INDEX(#REF!,#REF!-X$3,$A35))</f>
        <v>#REF!</v>
      </c>
      <c r="Y35" s="2" t="e">
        <f>IF(Y$3&lt;-#REF!,"",INDEX(#REF!,#REF!-Y$3,$A35))</f>
        <v>#REF!</v>
      </c>
      <c r="Z35" s="2" t="e">
        <f>IF(Z$3&lt;-#REF!,"",INDEX(#REF!,#REF!-Z$3,$A35))</f>
        <v>#REF!</v>
      </c>
      <c r="AA35" s="2" t="e">
        <f>IF(AA$3&lt;-#REF!,"",INDEX(#REF!,#REF!-AA$3,$A35))</f>
        <v>#REF!</v>
      </c>
      <c r="AB35" s="2" t="e">
        <f>IF(AB$3&lt;-#REF!,"",INDEX(#REF!,#REF!-AB$3,$A35))</f>
        <v>#REF!</v>
      </c>
      <c r="AC35" s="2" t="e">
        <f>IF(AC$3&lt;-#REF!,"",INDEX(#REF!,#REF!-AC$3,$A35))</f>
        <v>#REF!</v>
      </c>
      <c r="AD35" s="2" t="e">
        <f>IF(AD$3&lt;-#REF!,"",INDEX(#REF!,#REF!-AD$3,$A35))</f>
        <v>#REF!</v>
      </c>
      <c r="AE35" s="2" t="e">
        <f>IF(AE$3&lt;-#REF!,"",INDEX(#REF!,#REF!-AE$3,$A35))</f>
        <v>#REF!</v>
      </c>
      <c r="AF35" s="2" t="e">
        <f>IF(AF$3&lt;-#REF!,"",INDEX(#REF!,#REF!-AF$3,$A35))</f>
        <v>#REF!</v>
      </c>
      <c r="AG35" s="4" t="e">
        <f>IF(AG$3&lt;-#REF!,"",INDEX(#REF!,#REF!-AG$3,$A35))</f>
        <v>#REF!</v>
      </c>
      <c r="AH35" s="118" t="e">
        <f>$AG35</f>
        <v>#REF!</v>
      </c>
      <c r="AI35" s="119" t="e">
        <f>AH35</f>
        <v>#REF!</v>
      </c>
      <c r="AJ35" s="120" t="e">
        <f>AI35</f>
        <v>#REF!</v>
      </c>
      <c r="AK35" s="78" t="str">
        <f t="shared" si="1"/>
        <v/>
      </c>
      <c r="AL35" s="79"/>
      <c r="AM35" s="121" t="e">
        <f>$AG35</f>
        <v>#REF!</v>
      </c>
      <c r="AN35" s="122" t="e">
        <f>AM35</f>
        <v>#REF!</v>
      </c>
      <c r="AO35" s="123" t="e">
        <f>AN35</f>
        <v>#REF!</v>
      </c>
    </row>
    <row r="36" spans="1:41" ht="15.75" thickBot="1">
      <c r="A36" s="35" t="e">
        <f>#REF!</f>
        <v>#REF!</v>
      </c>
      <c r="B36" s="76" t="s">
        <v>137</v>
      </c>
      <c r="C36" s="76"/>
      <c r="D36" s="2" t="e">
        <f>IF(D$3&lt;-#REF!,"",INDEX(#REF!,#REF!-D$3,$A36))</f>
        <v>#REF!</v>
      </c>
      <c r="E36" s="2" t="e">
        <f>IF(E$3&lt;-#REF!,"",INDEX(#REF!,#REF!-E$3,$A36))</f>
        <v>#REF!</v>
      </c>
      <c r="F36" s="2" t="e">
        <f>IF(F$3&lt;-#REF!,"",INDEX(#REF!,#REF!-F$3,$A36))</f>
        <v>#REF!</v>
      </c>
      <c r="G36" s="2" t="e">
        <f>IF(G$3&lt;-#REF!,"",INDEX(#REF!,#REF!-G$3,$A36))</f>
        <v>#REF!</v>
      </c>
      <c r="H36" s="2" t="e">
        <f>IF(H$3&lt;-#REF!,"",INDEX(#REF!,#REF!-H$3,$A36))</f>
        <v>#REF!</v>
      </c>
      <c r="I36" s="2" t="e">
        <f>IF(I$3&lt;-#REF!,"",INDEX(#REF!,#REF!-I$3,$A36))</f>
        <v>#REF!</v>
      </c>
      <c r="J36" s="2" t="e">
        <f>IF(J$3&lt;-#REF!,"",INDEX(#REF!,#REF!-J$3,$A36))</f>
        <v>#REF!</v>
      </c>
      <c r="K36" s="2" t="e">
        <f>IF(K$3&lt;-#REF!,"",INDEX(#REF!,#REF!-K$3,$A36))</f>
        <v>#REF!</v>
      </c>
      <c r="L36" s="2" t="e">
        <f>IF(L$3&lt;-#REF!,"",INDEX(#REF!,#REF!-L$3,$A36))</f>
        <v>#REF!</v>
      </c>
      <c r="M36" s="2" t="e">
        <f>IF(M$3&lt;-#REF!,"",INDEX(#REF!,#REF!-M$3,$A36))</f>
        <v>#REF!</v>
      </c>
      <c r="N36" s="2" t="e">
        <f>IF(N$3&lt;-#REF!,"",INDEX(#REF!,#REF!-N$3,$A36))</f>
        <v>#REF!</v>
      </c>
      <c r="O36" s="2" t="e">
        <f>IF(O$3&lt;-#REF!,"",INDEX(#REF!,#REF!-O$3,$A36))</f>
        <v>#REF!</v>
      </c>
      <c r="P36" s="2" t="e">
        <f>IF(P$3&lt;-#REF!,"",INDEX(#REF!,#REF!-P$3,$A36))</f>
        <v>#REF!</v>
      </c>
      <c r="Q36" s="2" t="e">
        <f>IF(Q$3&lt;-#REF!,"",INDEX(#REF!,#REF!-Q$3,$A36))</f>
        <v>#REF!</v>
      </c>
      <c r="R36" s="2" t="e">
        <f>IF(R$3&lt;-#REF!,"",INDEX(#REF!,#REF!-R$3,$A36))</f>
        <v>#REF!</v>
      </c>
      <c r="S36" s="2" t="e">
        <f>IF(S$3&lt;-#REF!,"",INDEX(#REF!,#REF!-S$3,$A36))</f>
        <v>#REF!</v>
      </c>
      <c r="T36" s="2" t="e">
        <f>IF(T$3&lt;-#REF!,"",INDEX(#REF!,#REF!-T$3,$A36))</f>
        <v>#REF!</v>
      </c>
      <c r="U36" s="2" t="e">
        <f>IF(U$3&lt;-#REF!,"",INDEX(#REF!,#REF!-U$3,$A36))</f>
        <v>#REF!</v>
      </c>
      <c r="V36" s="2" t="e">
        <f>IF(V$3&lt;-#REF!,"",INDEX(#REF!,#REF!-V$3,$A36))</f>
        <v>#REF!</v>
      </c>
      <c r="W36" s="2" t="e">
        <f>IF(W$3&lt;-#REF!,"",INDEX(#REF!,#REF!-W$3,$A36))</f>
        <v>#REF!</v>
      </c>
      <c r="X36" s="2" t="e">
        <f>IF(X$3&lt;-#REF!,"",INDEX(#REF!,#REF!-X$3,$A36))</f>
        <v>#REF!</v>
      </c>
      <c r="Y36" s="2" t="e">
        <f>IF(Y$3&lt;-#REF!,"",INDEX(#REF!,#REF!-Y$3,$A36))</f>
        <v>#REF!</v>
      </c>
      <c r="Z36" s="2" t="e">
        <f>IF(Z$3&lt;-#REF!,"",INDEX(#REF!,#REF!-Z$3,$A36))</f>
        <v>#REF!</v>
      </c>
      <c r="AA36" s="2" t="e">
        <f>IF(AA$3&lt;-#REF!,"",INDEX(#REF!,#REF!-AA$3,$A36))</f>
        <v>#REF!</v>
      </c>
      <c r="AB36" s="2" t="e">
        <f>IF(AB$3&lt;-#REF!,"",INDEX(#REF!,#REF!-AB$3,$A36))</f>
        <v>#REF!</v>
      </c>
      <c r="AC36" s="2" t="e">
        <f>IF(AC$3&lt;-#REF!,"",INDEX(#REF!,#REF!-AC$3,$A36))</f>
        <v>#REF!</v>
      </c>
      <c r="AD36" s="2" t="e">
        <f>IF(AD$3&lt;-#REF!,"",INDEX(#REF!,#REF!-AD$3,$A36))</f>
        <v>#REF!</v>
      </c>
      <c r="AE36" s="2" t="e">
        <f>IF(AE$3&lt;-#REF!,"",INDEX(#REF!,#REF!-AE$3,$A36))</f>
        <v>#REF!</v>
      </c>
      <c r="AF36" s="2" t="e">
        <f>IF(AF$3&lt;-#REF!,"",INDEX(#REF!,#REF!-AF$3,$A36))</f>
        <v>#REF!</v>
      </c>
      <c r="AG36" s="4" t="e">
        <f>IF(AG$3&lt;-#REF!,"",INDEX(#REF!,#REF!-AG$3,$A36))</f>
        <v>#REF!</v>
      </c>
      <c r="AH36" s="124" t="e">
        <f>$AG36</f>
        <v>#REF!</v>
      </c>
      <c r="AI36" s="125" t="e">
        <f>AH36</f>
        <v>#REF!</v>
      </c>
      <c r="AJ36" s="126" t="e">
        <f>AI36</f>
        <v>#REF!</v>
      </c>
      <c r="AK36" s="78" t="str">
        <f t="shared" si="1"/>
        <v/>
      </c>
      <c r="AL36" s="79"/>
      <c r="AM36" s="127" t="e">
        <f>$AG36</f>
        <v>#REF!</v>
      </c>
      <c r="AN36" s="128" t="e">
        <f>AM36</f>
        <v>#REF!</v>
      </c>
      <c r="AO36" s="129" t="e">
        <f>AN36</f>
        <v>#REF!</v>
      </c>
    </row>
    <row r="37" spans="1:41" s="50" customFormat="1">
      <c r="A37" s="57"/>
      <c r="B37" s="130" t="s">
        <v>23</v>
      </c>
      <c r="C37" s="89"/>
      <c r="D37" s="131" t="e">
        <f t="shared" ref="D37:AF37" si="10">IF(D4=1,SUM(D35:D36),"")</f>
        <v>#REF!</v>
      </c>
      <c r="E37" s="131" t="e">
        <f t="shared" si="10"/>
        <v>#REF!</v>
      </c>
      <c r="F37" s="131" t="e">
        <f t="shared" si="10"/>
        <v>#REF!</v>
      </c>
      <c r="G37" s="131" t="e">
        <f t="shared" si="10"/>
        <v>#REF!</v>
      </c>
      <c r="H37" s="131" t="e">
        <f t="shared" si="10"/>
        <v>#REF!</v>
      </c>
      <c r="I37" s="131" t="e">
        <f t="shared" si="10"/>
        <v>#REF!</v>
      </c>
      <c r="J37" s="131" t="e">
        <f t="shared" si="10"/>
        <v>#REF!</v>
      </c>
      <c r="K37" s="131" t="e">
        <f t="shared" si="10"/>
        <v>#REF!</v>
      </c>
      <c r="L37" s="131" t="e">
        <f t="shared" si="10"/>
        <v>#REF!</v>
      </c>
      <c r="M37" s="131" t="e">
        <f t="shared" si="10"/>
        <v>#REF!</v>
      </c>
      <c r="N37" s="131" t="e">
        <f t="shared" si="10"/>
        <v>#REF!</v>
      </c>
      <c r="O37" s="131" t="e">
        <f t="shared" si="10"/>
        <v>#REF!</v>
      </c>
      <c r="P37" s="131" t="e">
        <f t="shared" si="10"/>
        <v>#REF!</v>
      </c>
      <c r="Q37" s="131" t="e">
        <f t="shared" si="10"/>
        <v>#REF!</v>
      </c>
      <c r="R37" s="131" t="e">
        <f t="shared" si="10"/>
        <v>#REF!</v>
      </c>
      <c r="S37" s="131" t="e">
        <f t="shared" si="10"/>
        <v>#REF!</v>
      </c>
      <c r="T37" s="131" t="e">
        <f t="shared" si="10"/>
        <v>#REF!</v>
      </c>
      <c r="U37" s="131" t="e">
        <f t="shared" si="10"/>
        <v>#REF!</v>
      </c>
      <c r="V37" s="131" t="e">
        <f t="shared" si="10"/>
        <v>#REF!</v>
      </c>
      <c r="W37" s="131" t="e">
        <f t="shared" si="10"/>
        <v>#REF!</v>
      </c>
      <c r="X37" s="131" t="e">
        <f t="shared" si="10"/>
        <v>#REF!</v>
      </c>
      <c r="Y37" s="131" t="e">
        <f t="shared" si="10"/>
        <v>#REF!</v>
      </c>
      <c r="Z37" s="131" t="e">
        <f t="shared" si="10"/>
        <v>#REF!</v>
      </c>
      <c r="AA37" s="131" t="e">
        <f t="shared" si="10"/>
        <v>#REF!</v>
      </c>
      <c r="AB37" s="131" t="e">
        <f t="shared" si="10"/>
        <v>#REF!</v>
      </c>
      <c r="AC37" s="131" t="e">
        <f t="shared" si="10"/>
        <v>#REF!</v>
      </c>
      <c r="AD37" s="131" t="e">
        <f t="shared" si="10"/>
        <v>#REF!</v>
      </c>
      <c r="AE37" s="131" t="e">
        <f t="shared" si="10"/>
        <v>#REF!</v>
      </c>
      <c r="AF37" s="131" t="e">
        <f t="shared" si="10"/>
        <v>#REF!</v>
      </c>
      <c r="AG37" s="132" t="e">
        <f>IF(AG4=1,SUM(AG35:AG36),"")</f>
        <v>#REF!</v>
      </c>
      <c r="AH37" s="131" t="e">
        <f>SUM(AH35:AH36)</f>
        <v>#REF!</v>
      </c>
      <c r="AI37" s="37" t="e">
        <f>SUM(AI35:AI36)</f>
        <v>#REF!</v>
      </c>
      <c r="AJ37" s="132" t="e">
        <f>SUM(AJ35:AJ36)</f>
        <v>#REF!</v>
      </c>
      <c r="AK37" s="85" t="str">
        <f t="shared" si="1"/>
        <v/>
      </c>
      <c r="AL37" s="86"/>
      <c r="AM37" s="38" t="e">
        <f>SUM(AM35:AM36)</f>
        <v>#REF!</v>
      </c>
      <c r="AN37" s="38" t="e">
        <f>SUM(AN35:AN36)</f>
        <v>#REF!</v>
      </c>
      <c r="AO37" s="38" t="e">
        <f>SUM(AO35:AO36)</f>
        <v>#REF!</v>
      </c>
    </row>
    <row r="38" spans="1:41" ht="15.75" thickBot="1">
      <c r="A38" s="41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83"/>
      <c r="AH38" s="55"/>
      <c r="AI38" s="34"/>
      <c r="AJ38" s="83"/>
      <c r="AK38" s="105" t="str">
        <f t="shared" si="1"/>
        <v/>
      </c>
      <c r="AM38" s="34"/>
      <c r="AN38" s="34"/>
      <c r="AO38" s="34"/>
    </row>
    <row r="39" spans="1:41" ht="15.75" thickBot="1">
      <c r="A39" s="35" t="e">
        <f>#REF!</f>
        <v>#REF!</v>
      </c>
      <c r="B39" s="43" t="s">
        <v>24</v>
      </c>
      <c r="C39" s="43"/>
      <c r="D39" s="2" t="e">
        <f>IF(D$3&lt;-#REF!,"",INDEX(#REF!,#REF!-D$3,$A39))</f>
        <v>#REF!</v>
      </c>
      <c r="E39" s="2" t="e">
        <f>IF(E$3&lt;-#REF!,"",INDEX(#REF!,#REF!-E$3,$A39))</f>
        <v>#REF!</v>
      </c>
      <c r="F39" s="2" t="e">
        <f>IF(F$3&lt;-#REF!,"",INDEX(#REF!,#REF!-F$3,$A39))</f>
        <v>#REF!</v>
      </c>
      <c r="G39" s="2" t="e">
        <f>IF(G$3&lt;-#REF!,"",INDEX(#REF!,#REF!-G$3,$A39))</f>
        <v>#REF!</v>
      </c>
      <c r="H39" s="2" t="e">
        <f>IF(H$3&lt;-#REF!,"",INDEX(#REF!,#REF!-H$3,$A39))</f>
        <v>#REF!</v>
      </c>
      <c r="I39" s="2" t="e">
        <f>IF(I$3&lt;-#REF!,"",INDEX(#REF!,#REF!-I$3,$A39))</f>
        <v>#REF!</v>
      </c>
      <c r="J39" s="2" t="e">
        <f>IF(J$3&lt;-#REF!,"",INDEX(#REF!,#REF!-J$3,$A39))</f>
        <v>#REF!</v>
      </c>
      <c r="K39" s="2" t="e">
        <f>IF(K$3&lt;-#REF!,"",INDEX(#REF!,#REF!-K$3,$A39))</f>
        <v>#REF!</v>
      </c>
      <c r="L39" s="2" t="e">
        <f>IF(L$3&lt;-#REF!,"",INDEX(#REF!,#REF!-L$3,$A39))</f>
        <v>#REF!</v>
      </c>
      <c r="M39" s="2" t="e">
        <f>IF(M$3&lt;-#REF!,"",INDEX(#REF!,#REF!-M$3,$A39))</f>
        <v>#REF!</v>
      </c>
      <c r="N39" s="2" t="e">
        <f>IF(N$3&lt;-#REF!,"",INDEX(#REF!,#REF!-N$3,$A39))</f>
        <v>#REF!</v>
      </c>
      <c r="O39" s="2" t="e">
        <f>IF(O$3&lt;-#REF!,"",INDEX(#REF!,#REF!-O$3,$A39))</f>
        <v>#REF!</v>
      </c>
      <c r="P39" s="2" t="e">
        <f>IF(P$3&lt;-#REF!,"",INDEX(#REF!,#REF!-P$3,$A39))</f>
        <v>#REF!</v>
      </c>
      <c r="Q39" s="2" t="e">
        <f>IF(Q$3&lt;-#REF!,"",INDEX(#REF!,#REF!-Q$3,$A39))</f>
        <v>#REF!</v>
      </c>
      <c r="R39" s="2" t="e">
        <f>IF(R$3&lt;-#REF!,"",INDEX(#REF!,#REF!-R$3,$A39))</f>
        <v>#REF!</v>
      </c>
      <c r="S39" s="2" t="e">
        <f>IF(S$3&lt;-#REF!,"",INDEX(#REF!,#REF!-S$3,$A39))</f>
        <v>#REF!</v>
      </c>
      <c r="T39" s="2" t="e">
        <f>IF(T$3&lt;-#REF!,"",INDEX(#REF!,#REF!-T$3,$A39))</f>
        <v>#REF!</v>
      </c>
      <c r="U39" s="2" t="e">
        <f>IF(U$3&lt;-#REF!,"",INDEX(#REF!,#REF!-U$3,$A39))</f>
        <v>#REF!</v>
      </c>
      <c r="V39" s="2" t="e">
        <f>IF(V$3&lt;-#REF!,"",INDEX(#REF!,#REF!-V$3,$A39))</f>
        <v>#REF!</v>
      </c>
      <c r="W39" s="2" t="e">
        <f>IF(W$3&lt;-#REF!,"",INDEX(#REF!,#REF!-W$3,$A39))</f>
        <v>#REF!</v>
      </c>
      <c r="X39" s="2" t="e">
        <f>IF(X$3&lt;-#REF!,"",INDEX(#REF!,#REF!-X$3,$A39))</f>
        <v>#REF!</v>
      </c>
      <c r="Y39" s="2" t="e">
        <f>IF(Y$3&lt;-#REF!,"",INDEX(#REF!,#REF!-Y$3,$A39))</f>
        <v>#REF!</v>
      </c>
      <c r="Z39" s="2" t="e">
        <f>IF(Z$3&lt;-#REF!,"",INDEX(#REF!,#REF!-Z$3,$A39))</f>
        <v>#REF!</v>
      </c>
      <c r="AA39" s="2" t="e">
        <f>IF(AA$3&lt;-#REF!,"",INDEX(#REF!,#REF!-AA$3,$A39))</f>
        <v>#REF!</v>
      </c>
      <c r="AB39" s="2" t="e">
        <f>IF(AB$3&lt;-#REF!,"",INDEX(#REF!,#REF!-AB$3,$A39))</f>
        <v>#REF!</v>
      </c>
      <c r="AC39" s="2" t="e">
        <f>IF(AC$3&lt;-#REF!,"",INDEX(#REF!,#REF!-AC$3,$A39))</f>
        <v>#REF!</v>
      </c>
      <c r="AD39" s="2" t="e">
        <f>IF(AD$3&lt;-#REF!,"",INDEX(#REF!,#REF!-AD$3,$A39))</f>
        <v>#REF!</v>
      </c>
      <c r="AE39" s="2" t="e">
        <f>IF(AE$3&lt;-#REF!,"",INDEX(#REF!,#REF!-AE$3,$A39))</f>
        <v>#REF!</v>
      </c>
      <c r="AF39" s="2" t="e">
        <f>IF(AF$3&lt;-#REF!,"",INDEX(#REF!,#REF!-AF$3,$A39))</f>
        <v>#REF!</v>
      </c>
      <c r="AG39" s="4" t="e">
        <f>IF(AG$3&lt;-#REF!,"",INDEX(#REF!,#REF!-AG$3,$A39))</f>
        <v>#REF!</v>
      </c>
      <c r="AH39" s="133" t="e">
        <f>$AG39</f>
        <v>#REF!</v>
      </c>
      <c r="AI39" s="134" t="e">
        <f>AH39</f>
        <v>#REF!</v>
      </c>
      <c r="AJ39" s="135" t="e">
        <f>AI39</f>
        <v>#REF!</v>
      </c>
      <c r="AK39" s="105" t="str">
        <f t="shared" si="1"/>
        <v/>
      </c>
      <c r="AM39" s="136" t="e">
        <f>$AG39</f>
        <v>#REF!</v>
      </c>
      <c r="AN39" s="137" t="e">
        <f>AM39</f>
        <v>#REF!</v>
      </c>
      <c r="AO39" s="138" t="e">
        <f>AN39</f>
        <v>#REF!</v>
      </c>
    </row>
    <row r="40" spans="1:41" ht="15.75" thickBot="1">
      <c r="A40" s="35" t="e">
        <f>#REF!</f>
        <v>#REF!</v>
      </c>
      <c r="B40" s="43" t="s">
        <v>25</v>
      </c>
      <c r="C40" s="43"/>
      <c r="D40" s="2" t="e">
        <f>IF(D$3&lt;-#REF!,"",INDEX(#REF!,#REF!-D$3,$A40))</f>
        <v>#REF!</v>
      </c>
      <c r="E40" s="2" t="e">
        <f>IF(E$3&lt;-#REF!,"",INDEX(#REF!,#REF!-E$3,$A40))</f>
        <v>#REF!</v>
      </c>
      <c r="F40" s="2" t="e">
        <f>IF(F$3&lt;-#REF!,"",INDEX(#REF!,#REF!-F$3,$A40))</f>
        <v>#REF!</v>
      </c>
      <c r="G40" s="2" t="e">
        <f>IF(G$3&lt;-#REF!,"",INDEX(#REF!,#REF!-G$3,$A40))</f>
        <v>#REF!</v>
      </c>
      <c r="H40" s="2" t="e">
        <f>IF(H$3&lt;-#REF!,"",INDEX(#REF!,#REF!-H$3,$A40))</f>
        <v>#REF!</v>
      </c>
      <c r="I40" s="2" t="e">
        <f>IF(I$3&lt;-#REF!,"",INDEX(#REF!,#REF!-I$3,$A40))</f>
        <v>#REF!</v>
      </c>
      <c r="J40" s="2" t="e">
        <f>IF(J$3&lt;-#REF!,"",INDEX(#REF!,#REF!-J$3,$A40))</f>
        <v>#REF!</v>
      </c>
      <c r="K40" s="2" t="e">
        <f>IF(K$3&lt;-#REF!,"",INDEX(#REF!,#REF!-K$3,$A40))</f>
        <v>#REF!</v>
      </c>
      <c r="L40" s="2" t="e">
        <f>IF(L$3&lt;-#REF!,"",INDEX(#REF!,#REF!-L$3,$A40))</f>
        <v>#REF!</v>
      </c>
      <c r="M40" s="2" t="e">
        <f>IF(M$3&lt;-#REF!,"",INDEX(#REF!,#REF!-M$3,$A40))</f>
        <v>#REF!</v>
      </c>
      <c r="N40" s="2" t="e">
        <f>IF(N$3&lt;-#REF!,"",INDEX(#REF!,#REF!-N$3,$A40))</f>
        <v>#REF!</v>
      </c>
      <c r="O40" s="2" t="e">
        <f>IF(O$3&lt;-#REF!,"",INDEX(#REF!,#REF!-O$3,$A40))</f>
        <v>#REF!</v>
      </c>
      <c r="P40" s="2" t="e">
        <f>IF(P$3&lt;-#REF!,"",INDEX(#REF!,#REF!-P$3,$A40))</f>
        <v>#REF!</v>
      </c>
      <c r="Q40" s="2" t="e">
        <f>IF(Q$3&lt;-#REF!,"",INDEX(#REF!,#REF!-Q$3,$A40))</f>
        <v>#REF!</v>
      </c>
      <c r="R40" s="2" t="e">
        <f>IF(R$3&lt;-#REF!,"",INDEX(#REF!,#REF!-R$3,$A40))</f>
        <v>#REF!</v>
      </c>
      <c r="S40" s="2" t="e">
        <f>IF(S$3&lt;-#REF!,"",INDEX(#REF!,#REF!-S$3,$A40))</f>
        <v>#REF!</v>
      </c>
      <c r="T40" s="2" t="e">
        <f>IF(T$3&lt;-#REF!,"",INDEX(#REF!,#REF!-T$3,$A40))</f>
        <v>#REF!</v>
      </c>
      <c r="U40" s="2" t="e">
        <f>IF(U$3&lt;-#REF!,"",INDEX(#REF!,#REF!-U$3,$A40))</f>
        <v>#REF!</v>
      </c>
      <c r="V40" s="2" t="e">
        <f>IF(V$3&lt;-#REF!,"",INDEX(#REF!,#REF!-V$3,$A40))</f>
        <v>#REF!</v>
      </c>
      <c r="W40" s="2" t="e">
        <f>IF(W$3&lt;-#REF!,"",INDEX(#REF!,#REF!-W$3,$A40))</f>
        <v>#REF!</v>
      </c>
      <c r="X40" s="2" t="e">
        <f>IF(X$3&lt;-#REF!,"",INDEX(#REF!,#REF!-X$3,$A40))</f>
        <v>#REF!</v>
      </c>
      <c r="Y40" s="2" t="e">
        <f>IF(Y$3&lt;-#REF!,"",INDEX(#REF!,#REF!-Y$3,$A40))</f>
        <v>#REF!</v>
      </c>
      <c r="Z40" s="2" t="e">
        <f>IF(Z$3&lt;-#REF!,"",INDEX(#REF!,#REF!-Z$3,$A40))</f>
        <v>#REF!</v>
      </c>
      <c r="AA40" s="2" t="e">
        <f>IF(AA$3&lt;-#REF!,"",INDEX(#REF!,#REF!-AA$3,$A40))</f>
        <v>#REF!</v>
      </c>
      <c r="AB40" s="2" t="e">
        <f>IF(AB$3&lt;-#REF!,"",INDEX(#REF!,#REF!-AB$3,$A40))</f>
        <v>#REF!</v>
      </c>
      <c r="AC40" s="2" t="e">
        <f>IF(AC$3&lt;-#REF!,"",INDEX(#REF!,#REF!-AC$3,$A40))</f>
        <v>#REF!</v>
      </c>
      <c r="AD40" s="2" t="e">
        <f>IF(AD$3&lt;-#REF!,"",INDEX(#REF!,#REF!-AD$3,$A40))</f>
        <v>#REF!</v>
      </c>
      <c r="AE40" s="2" t="e">
        <f>IF(AE$3&lt;-#REF!,"",INDEX(#REF!,#REF!-AE$3,$A40))</f>
        <v>#REF!</v>
      </c>
      <c r="AF40" s="2" t="e">
        <f>IF(AF$3&lt;-#REF!,"",INDEX(#REF!,#REF!-AF$3,$A40))</f>
        <v>#REF!</v>
      </c>
      <c r="AG40" s="4" t="e">
        <f>IF(AG$3&lt;-#REF!,"",INDEX(#REF!,#REF!-AG$3,$A40))</f>
        <v>#REF!</v>
      </c>
      <c r="AH40" s="139" t="e">
        <f>$AG40</f>
        <v>#REF!</v>
      </c>
      <c r="AI40" s="140" t="e">
        <f>AH40</f>
        <v>#REF!</v>
      </c>
      <c r="AJ40" s="141" t="e">
        <f>AI40</f>
        <v>#REF!</v>
      </c>
      <c r="AK40" s="105" t="str">
        <f t="shared" si="1"/>
        <v/>
      </c>
      <c r="AM40" s="142" t="e">
        <f>$AG40</f>
        <v>#REF!</v>
      </c>
      <c r="AN40" s="143" t="e">
        <f>AM40</f>
        <v>#REF!</v>
      </c>
      <c r="AO40" s="144" t="e">
        <f>AN40</f>
        <v>#REF!</v>
      </c>
    </row>
    <row r="41" spans="1:41">
      <c r="A41" s="35"/>
      <c r="B41" s="43" t="s">
        <v>26</v>
      </c>
      <c r="C41" s="43"/>
      <c r="D41" s="45" t="str">
        <f t="shared" ref="D41:AG41" si="11">IFERROR(D42-D40-D39,"")</f>
        <v/>
      </c>
      <c r="E41" s="45" t="str">
        <f t="shared" si="11"/>
        <v/>
      </c>
      <c r="F41" s="45" t="str">
        <f t="shared" si="11"/>
        <v/>
      </c>
      <c r="G41" s="45" t="str">
        <f t="shared" si="11"/>
        <v/>
      </c>
      <c r="H41" s="45" t="str">
        <f t="shared" si="11"/>
        <v/>
      </c>
      <c r="I41" s="45" t="str">
        <f t="shared" si="11"/>
        <v/>
      </c>
      <c r="J41" s="45" t="str">
        <f t="shared" si="11"/>
        <v/>
      </c>
      <c r="K41" s="45" t="str">
        <f t="shared" si="11"/>
        <v/>
      </c>
      <c r="L41" s="45" t="str">
        <f t="shared" si="11"/>
        <v/>
      </c>
      <c r="M41" s="45" t="str">
        <f t="shared" si="11"/>
        <v/>
      </c>
      <c r="N41" s="45" t="str">
        <f t="shared" si="11"/>
        <v/>
      </c>
      <c r="O41" s="45" t="str">
        <f t="shared" si="11"/>
        <v/>
      </c>
      <c r="P41" s="45" t="str">
        <f t="shared" si="11"/>
        <v/>
      </c>
      <c r="Q41" s="45" t="str">
        <f t="shared" si="11"/>
        <v/>
      </c>
      <c r="R41" s="45" t="str">
        <f t="shared" si="11"/>
        <v/>
      </c>
      <c r="S41" s="45" t="str">
        <f t="shared" si="11"/>
        <v/>
      </c>
      <c r="T41" s="45" t="str">
        <f t="shared" si="11"/>
        <v/>
      </c>
      <c r="U41" s="45" t="str">
        <f t="shared" si="11"/>
        <v/>
      </c>
      <c r="V41" s="45" t="str">
        <f t="shared" si="11"/>
        <v/>
      </c>
      <c r="W41" s="45" t="str">
        <f t="shared" si="11"/>
        <v/>
      </c>
      <c r="X41" s="45" t="str">
        <f t="shared" si="11"/>
        <v/>
      </c>
      <c r="Y41" s="45" t="str">
        <f t="shared" si="11"/>
        <v/>
      </c>
      <c r="Z41" s="45" t="str">
        <f t="shared" si="11"/>
        <v/>
      </c>
      <c r="AA41" s="45" t="str">
        <f t="shared" si="11"/>
        <v/>
      </c>
      <c r="AB41" s="45" t="str">
        <f t="shared" si="11"/>
        <v/>
      </c>
      <c r="AC41" s="45" t="str">
        <f t="shared" si="11"/>
        <v/>
      </c>
      <c r="AD41" s="45" t="str">
        <f t="shared" si="11"/>
        <v/>
      </c>
      <c r="AE41" s="45" t="str">
        <f t="shared" si="11"/>
        <v/>
      </c>
      <c r="AF41" s="45" t="str">
        <f t="shared" si="11"/>
        <v/>
      </c>
      <c r="AG41" s="77" t="str">
        <f t="shared" si="11"/>
        <v/>
      </c>
      <c r="AH41" s="49" t="e">
        <f>AH230</f>
        <v>#VALUE!</v>
      </c>
      <c r="AI41" s="49" t="e">
        <f>AI230</f>
        <v>#VALUE!</v>
      </c>
      <c r="AJ41" s="106" t="e">
        <f>AJ230</f>
        <v>#VALUE!</v>
      </c>
      <c r="AK41" s="105" t="str">
        <f t="shared" si="1"/>
        <v/>
      </c>
      <c r="AM41" s="49" t="e">
        <f>AM230</f>
        <v>#VALUE!</v>
      </c>
      <c r="AN41" s="49" t="e">
        <f>AN230</f>
        <v>#VALUE!</v>
      </c>
      <c r="AO41" s="49" t="e">
        <f>AO230</f>
        <v>#VALUE!</v>
      </c>
    </row>
    <row r="42" spans="1:41">
      <c r="A42" s="35" t="e">
        <f>#REF!</f>
        <v>#REF!</v>
      </c>
      <c r="B42" s="50" t="s">
        <v>27</v>
      </c>
      <c r="C42" s="50"/>
      <c r="D42" s="2" t="e">
        <f>IF(D$3&lt;-#REF!,"",INDEX(#REF!,#REF!-D$3,$A42))</f>
        <v>#REF!</v>
      </c>
      <c r="E42" s="2" t="e">
        <f>IF(E$3&lt;-#REF!,"",INDEX(#REF!,#REF!-E$3,$A42))</f>
        <v>#REF!</v>
      </c>
      <c r="F42" s="2" t="e">
        <f>IF(F$3&lt;-#REF!,"",INDEX(#REF!,#REF!-F$3,$A42))</f>
        <v>#REF!</v>
      </c>
      <c r="G42" s="2" t="e">
        <f>IF(G$3&lt;-#REF!,"",INDEX(#REF!,#REF!-G$3,$A42))</f>
        <v>#REF!</v>
      </c>
      <c r="H42" s="2" t="e">
        <f>IF(H$3&lt;-#REF!,"",INDEX(#REF!,#REF!-H$3,$A42))</f>
        <v>#REF!</v>
      </c>
      <c r="I42" s="2" t="e">
        <f>IF(I$3&lt;-#REF!,"",INDEX(#REF!,#REF!-I$3,$A42))</f>
        <v>#REF!</v>
      </c>
      <c r="J42" s="2" t="e">
        <f>IF(J$3&lt;-#REF!,"",INDEX(#REF!,#REF!-J$3,$A42))</f>
        <v>#REF!</v>
      </c>
      <c r="K42" s="2" t="e">
        <f>IF(K$3&lt;-#REF!,"",INDEX(#REF!,#REF!-K$3,$A42))</f>
        <v>#REF!</v>
      </c>
      <c r="L42" s="2" t="e">
        <f>IF(L$3&lt;-#REF!,"",INDEX(#REF!,#REF!-L$3,$A42))</f>
        <v>#REF!</v>
      </c>
      <c r="M42" s="2" t="e">
        <f>IF(M$3&lt;-#REF!,"",INDEX(#REF!,#REF!-M$3,$A42))</f>
        <v>#REF!</v>
      </c>
      <c r="N42" s="2" t="e">
        <f>IF(N$3&lt;-#REF!,"",INDEX(#REF!,#REF!-N$3,$A42))</f>
        <v>#REF!</v>
      </c>
      <c r="O42" s="2" t="e">
        <f>IF(O$3&lt;-#REF!,"",INDEX(#REF!,#REF!-O$3,$A42))</f>
        <v>#REF!</v>
      </c>
      <c r="P42" s="2" t="e">
        <f>IF(P$3&lt;-#REF!,"",INDEX(#REF!,#REF!-P$3,$A42))</f>
        <v>#REF!</v>
      </c>
      <c r="Q42" s="2" t="e">
        <f>IF(Q$3&lt;-#REF!,"",INDEX(#REF!,#REF!-Q$3,$A42))</f>
        <v>#REF!</v>
      </c>
      <c r="R42" s="2" t="e">
        <f>IF(R$3&lt;-#REF!,"",INDEX(#REF!,#REF!-R$3,$A42))</f>
        <v>#REF!</v>
      </c>
      <c r="S42" s="2" t="e">
        <f>IF(S$3&lt;-#REF!,"",INDEX(#REF!,#REF!-S$3,$A42))</f>
        <v>#REF!</v>
      </c>
      <c r="T42" s="2" t="e">
        <f>IF(T$3&lt;-#REF!,"",INDEX(#REF!,#REF!-T$3,$A42))</f>
        <v>#REF!</v>
      </c>
      <c r="U42" s="2" t="e">
        <f>IF(U$3&lt;-#REF!,"",INDEX(#REF!,#REF!-U$3,$A42))</f>
        <v>#REF!</v>
      </c>
      <c r="V42" s="2" t="e">
        <f>IF(V$3&lt;-#REF!,"",INDEX(#REF!,#REF!-V$3,$A42))</f>
        <v>#REF!</v>
      </c>
      <c r="W42" s="2" t="e">
        <f>IF(W$3&lt;-#REF!,"",INDEX(#REF!,#REF!-W$3,$A42))</f>
        <v>#REF!</v>
      </c>
      <c r="X42" s="2" t="e">
        <f>IF(X$3&lt;-#REF!,"",INDEX(#REF!,#REF!-X$3,$A42))</f>
        <v>#REF!</v>
      </c>
      <c r="Y42" s="2" t="e">
        <f>IF(Y$3&lt;-#REF!,"",INDEX(#REF!,#REF!-Y$3,$A42))</f>
        <v>#REF!</v>
      </c>
      <c r="Z42" s="2" t="e">
        <f>IF(Z$3&lt;-#REF!,"",INDEX(#REF!,#REF!-Z$3,$A42))</f>
        <v>#REF!</v>
      </c>
      <c r="AA42" s="2" t="e">
        <f>IF(AA$3&lt;-#REF!,"",INDEX(#REF!,#REF!-AA$3,$A42))</f>
        <v>#REF!</v>
      </c>
      <c r="AB42" s="2" t="e">
        <f>IF(AB$3&lt;-#REF!,"",INDEX(#REF!,#REF!-AB$3,$A42))</f>
        <v>#REF!</v>
      </c>
      <c r="AC42" s="2" t="e">
        <f>IF(AC$3&lt;-#REF!,"",INDEX(#REF!,#REF!-AC$3,$A42))</f>
        <v>#REF!</v>
      </c>
      <c r="AD42" s="2" t="e">
        <f>IF(AD$3&lt;-#REF!,"",INDEX(#REF!,#REF!-AD$3,$A42))</f>
        <v>#REF!</v>
      </c>
      <c r="AE42" s="2" t="e">
        <f>IF(AE$3&lt;-#REF!,"",INDEX(#REF!,#REF!-AE$3,$A42))</f>
        <v>#REF!</v>
      </c>
      <c r="AF42" s="2" t="e">
        <f>IF(AF$3&lt;-#REF!,"",INDEX(#REF!,#REF!-AF$3,$A42))</f>
        <v>#REF!</v>
      </c>
      <c r="AG42" s="4" t="e">
        <f>IF(AG$3&lt;-#REF!,"",INDEX(#REF!,#REF!-AG$3,$A42))</f>
        <v>#REF!</v>
      </c>
      <c r="AH42" s="145" t="e">
        <f>AH41+AH40+AH39</f>
        <v>#VALUE!</v>
      </c>
      <c r="AI42" s="145" t="e">
        <f>AI41+AI40+AI39</f>
        <v>#VALUE!</v>
      </c>
      <c r="AJ42" s="146" t="e">
        <f>AJ41+AJ40+AJ39</f>
        <v>#VALUE!</v>
      </c>
      <c r="AK42" s="78" t="str">
        <f t="shared" si="1"/>
        <v/>
      </c>
      <c r="AL42" s="79"/>
      <c r="AM42" s="145" t="e">
        <f>AM41+AM40+AM39</f>
        <v>#VALUE!</v>
      </c>
      <c r="AN42" s="145" t="e">
        <f>AN41+AN40+AN39</f>
        <v>#VALUE!</v>
      </c>
      <c r="AO42" s="145" t="e">
        <f>AO41+AO40+AO39</f>
        <v>#VALUE!</v>
      </c>
    </row>
    <row r="43" spans="1:41" s="107" customFormat="1" ht="15.75" thickBot="1">
      <c r="A43" s="23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  <c r="AA43" s="108"/>
      <c r="AB43" s="108"/>
      <c r="AC43" s="108"/>
      <c r="AD43" s="108"/>
      <c r="AE43" s="108"/>
      <c r="AF43" s="108"/>
      <c r="AG43" s="109"/>
      <c r="AH43" s="108"/>
      <c r="AI43" s="108"/>
      <c r="AJ43" s="109"/>
      <c r="AK43" s="110" t="str">
        <f t="shared" si="1"/>
        <v/>
      </c>
      <c r="AM43" s="111"/>
      <c r="AN43" s="111"/>
      <c r="AO43" s="111"/>
    </row>
    <row r="44" spans="1:41" s="117" customFormat="1" ht="16.5" thickTop="1" thickBot="1">
      <c r="A44" s="23"/>
      <c r="B44" s="147" t="s">
        <v>21</v>
      </c>
      <c r="C44" s="147"/>
      <c r="D44" s="148" t="str">
        <f t="shared" ref="D44:AG44" si="12">IFERROR(D37+D42,"")</f>
        <v/>
      </c>
      <c r="E44" s="148" t="str">
        <f t="shared" si="12"/>
        <v/>
      </c>
      <c r="F44" s="148" t="str">
        <f t="shared" si="12"/>
        <v/>
      </c>
      <c r="G44" s="148" t="str">
        <f t="shared" si="12"/>
        <v/>
      </c>
      <c r="H44" s="148" t="str">
        <f t="shared" si="12"/>
        <v/>
      </c>
      <c r="I44" s="148" t="str">
        <f t="shared" si="12"/>
        <v/>
      </c>
      <c r="J44" s="148" t="str">
        <f t="shared" si="12"/>
        <v/>
      </c>
      <c r="K44" s="148" t="str">
        <f t="shared" si="12"/>
        <v/>
      </c>
      <c r="L44" s="148" t="str">
        <f t="shared" si="12"/>
        <v/>
      </c>
      <c r="M44" s="148" t="str">
        <f t="shared" si="12"/>
        <v/>
      </c>
      <c r="N44" s="148" t="str">
        <f t="shared" si="12"/>
        <v/>
      </c>
      <c r="O44" s="148" t="str">
        <f t="shared" si="12"/>
        <v/>
      </c>
      <c r="P44" s="148" t="str">
        <f t="shared" si="12"/>
        <v/>
      </c>
      <c r="Q44" s="148" t="str">
        <f t="shared" si="12"/>
        <v/>
      </c>
      <c r="R44" s="148" t="str">
        <f t="shared" si="12"/>
        <v/>
      </c>
      <c r="S44" s="148" t="str">
        <f t="shared" si="12"/>
        <v/>
      </c>
      <c r="T44" s="148" t="str">
        <f t="shared" si="12"/>
        <v/>
      </c>
      <c r="U44" s="148" t="str">
        <f t="shared" si="12"/>
        <v/>
      </c>
      <c r="V44" s="148" t="str">
        <f t="shared" si="12"/>
        <v/>
      </c>
      <c r="W44" s="148" t="str">
        <f t="shared" si="12"/>
        <v/>
      </c>
      <c r="X44" s="148" t="str">
        <f t="shared" si="12"/>
        <v/>
      </c>
      <c r="Y44" s="148" t="str">
        <f t="shared" si="12"/>
        <v/>
      </c>
      <c r="Z44" s="148" t="str">
        <f t="shared" si="12"/>
        <v/>
      </c>
      <c r="AA44" s="148" t="str">
        <f t="shared" si="12"/>
        <v/>
      </c>
      <c r="AB44" s="148" t="str">
        <f t="shared" si="12"/>
        <v/>
      </c>
      <c r="AC44" s="148" t="str">
        <f t="shared" si="12"/>
        <v/>
      </c>
      <c r="AD44" s="148" t="str">
        <f t="shared" si="12"/>
        <v/>
      </c>
      <c r="AE44" s="148" t="str">
        <f t="shared" si="12"/>
        <v/>
      </c>
      <c r="AF44" s="148" t="str">
        <f t="shared" si="12"/>
        <v/>
      </c>
      <c r="AG44" s="149" t="str">
        <f t="shared" si="12"/>
        <v/>
      </c>
      <c r="AH44" s="148" t="e">
        <f>AH37+AH42</f>
        <v>#REF!</v>
      </c>
      <c r="AI44" s="148" t="e">
        <f>AI37+AI42</f>
        <v>#REF!</v>
      </c>
      <c r="AJ44" s="149" t="e">
        <f>AJ37+AJ42</f>
        <v>#REF!</v>
      </c>
      <c r="AK44" s="115" t="str">
        <f t="shared" si="1"/>
        <v/>
      </c>
      <c r="AL44" s="116"/>
      <c r="AM44" s="148" t="e">
        <f>AM37+AM42</f>
        <v>#REF!</v>
      </c>
      <c r="AN44" s="148" t="e">
        <f>AN37+AN42</f>
        <v>#REF!</v>
      </c>
      <c r="AO44" s="148" t="e">
        <f>AO37+AO42</f>
        <v>#REF!</v>
      </c>
    </row>
    <row r="45" spans="1:41" ht="15.75" thickTop="1">
      <c r="B45" s="150"/>
      <c r="C45" s="150"/>
      <c r="D45" s="151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151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2"/>
      <c r="AH45" s="151"/>
      <c r="AI45" s="33"/>
      <c r="AJ45" s="152"/>
    </row>
    <row r="46" spans="1:41" s="154" customFormat="1">
      <c r="A46" s="153"/>
      <c r="D46" s="155"/>
      <c r="E46" s="155"/>
      <c r="F46" s="155"/>
      <c r="G46" s="155"/>
      <c r="H46" s="155"/>
      <c r="I46" s="155"/>
      <c r="J46" s="155"/>
      <c r="K46" s="155"/>
      <c r="L46" s="155"/>
      <c r="M46" s="155"/>
      <c r="N46" s="155"/>
      <c r="O46" s="155"/>
      <c r="P46" s="155"/>
      <c r="Q46" s="155"/>
      <c r="R46" s="155"/>
      <c r="S46" s="155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5"/>
      <c r="AG46" s="156"/>
      <c r="AH46" s="157"/>
      <c r="AI46" s="158"/>
      <c r="AJ46" s="159"/>
      <c r="AK46" s="160"/>
      <c r="AM46" s="158"/>
      <c r="AN46" s="158"/>
      <c r="AO46" s="158"/>
    </row>
    <row r="47" spans="1:41">
      <c r="B47" s="150"/>
      <c r="C47" s="150"/>
      <c r="D47" s="161"/>
      <c r="E47" s="161"/>
      <c r="F47" s="161"/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2"/>
      <c r="AH47" s="161"/>
      <c r="AI47" s="161"/>
      <c r="AJ47" s="162"/>
      <c r="AM47" s="161"/>
      <c r="AN47" s="161"/>
      <c r="AO47" s="161"/>
    </row>
    <row r="48" spans="1:41" ht="18.75">
      <c r="A48" s="28" t="s">
        <v>166</v>
      </c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5"/>
      <c r="AH48" s="164"/>
      <c r="AI48" s="166"/>
      <c r="AJ48" s="165"/>
      <c r="AM48" s="166"/>
      <c r="AN48" s="166"/>
      <c r="AO48" s="166"/>
    </row>
    <row r="49" spans="1:41" ht="18.75">
      <c r="A49" s="28"/>
      <c r="C49" s="163"/>
      <c r="D49" s="164"/>
      <c r="E49" s="164"/>
      <c r="F49" s="164"/>
      <c r="G49" s="164"/>
      <c r="H49" s="164"/>
      <c r="I49" s="164"/>
      <c r="J49" s="164"/>
      <c r="K49" s="164"/>
      <c r="L49" s="164"/>
      <c r="M49" s="164"/>
      <c r="N49" s="164"/>
      <c r="O49" s="164"/>
      <c r="P49" s="164"/>
      <c r="Q49" s="164"/>
      <c r="R49" s="164"/>
      <c r="S49" s="164"/>
      <c r="T49" s="164"/>
      <c r="U49" s="164"/>
      <c r="V49" s="164"/>
      <c r="W49" s="164"/>
      <c r="X49" s="164"/>
      <c r="Y49" s="164"/>
      <c r="Z49" s="164"/>
      <c r="AA49" s="164"/>
      <c r="AB49" s="164"/>
      <c r="AC49" s="164"/>
      <c r="AD49" s="164"/>
      <c r="AE49" s="164"/>
      <c r="AF49" s="164"/>
      <c r="AG49" s="165"/>
      <c r="AH49" s="164"/>
      <c r="AI49" s="166"/>
      <c r="AJ49" s="165"/>
      <c r="AM49" s="166"/>
      <c r="AN49" s="166"/>
      <c r="AO49" s="166"/>
    </row>
    <row r="50" spans="1:41" s="172" customFormat="1" ht="12">
      <c r="A50" s="31"/>
      <c r="B50" s="167" t="str">
        <f>B11</f>
        <v>Current Assets (Excluding Excess Cash)</v>
      </c>
      <c r="C50" s="167"/>
      <c r="D50" s="168" t="e">
        <f t="shared" ref="D50:AG50" si="13">IF(D4=1,D11,"")</f>
        <v>#REF!</v>
      </c>
      <c r="E50" s="168" t="e">
        <f t="shared" si="13"/>
        <v>#REF!</v>
      </c>
      <c r="F50" s="168" t="e">
        <f t="shared" si="13"/>
        <v>#REF!</v>
      </c>
      <c r="G50" s="168" t="e">
        <f t="shared" si="13"/>
        <v>#REF!</v>
      </c>
      <c r="H50" s="168" t="e">
        <f t="shared" si="13"/>
        <v>#REF!</v>
      </c>
      <c r="I50" s="168" t="e">
        <f t="shared" si="13"/>
        <v>#REF!</v>
      </c>
      <c r="J50" s="168" t="e">
        <f t="shared" si="13"/>
        <v>#REF!</v>
      </c>
      <c r="K50" s="168" t="e">
        <f t="shared" si="13"/>
        <v>#REF!</v>
      </c>
      <c r="L50" s="168" t="e">
        <f t="shared" si="13"/>
        <v>#REF!</v>
      </c>
      <c r="M50" s="168" t="e">
        <f t="shared" si="13"/>
        <v>#REF!</v>
      </c>
      <c r="N50" s="168" t="e">
        <f t="shared" si="13"/>
        <v>#REF!</v>
      </c>
      <c r="O50" s="168" t="e">
        <f t="shared" si="13"/>
        <v>#REF!</v>
      </c>
      <c r="P50" s="168" t="e">
        <f t="shared" si="13"/>
        <v>#REF!</v>
      </c>
      <c r="Q50" s="168" t="e">
        <f t="shared" si="13"/>
        <v>#REF!</v>
      </c>
      <c r="R50" s="168" t="e">
        <f t="shared" si="13"/>
        <v>#REF!</v>
      </c>
      <c r="S50" s="168" t="e">
        <f t="shared" si="13"/>
        <v>#REF!</v>
      </c>
      <c r="T50" s="168" t="e">
        <f t="shared" si="13"/>
        <v>#REF!</v>
      </c>
      <c r="U50" s="168" t="e">
        <f t="shared" si="13"/>
        <v>#REF!</v>
      </c>
      <c r="V50" s="168" t="e">
        <f t="shared" si="13"/>
        <v>#REF!</v>
      </c>
      <c r="W50" s="168" t="e">
        <f t="shared" si="13"/>
        <v>#REF!</v>
      </c>
      <c r="X50" s="168" t="e">
        <f t="shared" si="13"/>
        <v>#REF!</v>
      </c>
      <c r="Y50" s="168" t="e">
        <f t="shared" si="13"/>
        <v>#REF!</v>
      </c>
      <c r="Z50" s="168" t="e">
        <f t="shared" si="13"/>
        <v>#REF!</v>
      </c>
      <c r="AA50" s="168" t="e">
        <f t="shared" si="13"/>
        <v>#REF!</v>
      </c>
      <c r="AB50" s="168" t="e">
        <f t="shared" si="13"/>
        <v>#REF!</v>
      </c>
      <c r="AC50" s="168" t="e">
        <f t="shared" si="13"/>
        <v>#REF!</v>
      </c>
      <c r="AD50" s="168" t="e">
        <f t="shared" si="13"/>
        <v>#REF!</v>
      </c>
      <c r="AE50" s="168" t="e">
        <f t="shared" si="13"/>
        <v>#REF!</v>
      </c>
      <c r="AF50" s="168" t="e">
        <f t="shared" si="13"/>
        <v>#REF!</v>
      </c>
      <c r="AG50" s="169" t="e">
        <f t="shared" si="13"/>
        <v>#REF!</v>
      </c>
      <c r="AH50" s="168" t="e">
        <f>AH11</f>
        <v>#REF!</v>
      </c>
      <c r="AI50" s="170" t="e">
        <f>AI11</f>
        <v>#REF!</v>
      </c>
      <c r="AJ50" s="169" t="e">
        <f>AJ11</f>
        <v>#REF!</v>
      </c>
      <c r="AK50" s="171"/>
      <c r="AM50" s="170" t="e">
        <f>AM11</f>
        <v>#REF!</v>
      </c>
      <c r="AN50" s="170" t="e">
        <f>AN11</f>
        <v>#REF!</v>
      </c>
      <c r="AO50" s="170" t="e">
        <f>AO11</f>
        <v>#REF!</v>
      </c>
    </row>
    <row r="51" spans="1:41" s="172" customFormat="1" ht="12">
      <c r="A51" s="31"/>
      <c r="B51" s="167" t="str">
        <f>B22</f>
        <v>Noncurrent Assets (Excluding Noncurrent Marketable Sec.)</v>
      </c>
      <c r="C51" s="167"/>
      <c r="D51" s="168" t="e">
        <f t="shared" ref="D51:AJ51" si="14">D22</f>
        <v>#REF!</v>
      </c>
      <c r="E51" s="168" t="e">
        <f t="shared" si="14"/>
        <v>#REF!</v>
      </c>
      <c r="F51" s="168" t="e">
        <f t="shared" si="14"/>
        <v>#REF!</v>
      </c>
      <c r="G51" s="168" t="e">
        <f t="shared" si="14"/>
        <v>#REF!</v>
      </c>
      <c r="H51" s="168" t="e">
        <f t="shared" si="14"/>
        <v>#REF!</v>
      </c>
      <c r="I51" s="168" t="e">
        <f t="shared" si="14"/>
        <v>#REF!</v>
      </c>
      <c r="J51" s="168" t="e">
        <f t="shared" si="14"/>
        <v>#REF!</v>
      </c>
      <c r="K51" s="168" t="e">
        <f t="shared" si="14"/>
        <v>#REF!</v>
      </c>
      <c r="L51" s="168" t="e">
        <f t="shared" si="14"/>
        <v>#REF!</v>
      </c>
      <c r="M51" s="168" t="e">
        <f t="shared" si="14"/>
        <v>#REF!</v>
      </c>
      <c r="N51" s="168" t="e">
        <f t="shared" si="14"/>
        <v>#REF!</v>
      </c>
      <c r="O51" s="168" t="e">
        <f t="shared" si="14"/>
        <v>#REF!</v>
      </c>
      <c r="P51" s="168" t="e">
        <f t="shared" si="14"/>
        <v>#REF!</v>
      </c>
      <c r="Q51" s="168" t="e">
        <f t="shared" si="14"/>
        <v>#REF!</v>
      </c>
      <c r="R51" s="168" t="e">
        <f t="shared" si="14"/>
        <v>#REF!</v>
      </c>
      <c r="S51" s="168" t="e">
        <f t="shared" si="14"/>
        <v>#REF!</v>
      </c>
      <c r="T51" s="168" t="e">
        <f t="shared" si="14"/>
        <v>#REF!</v>
      </c>
      <c r="U51" s="168" t="e">
        <f t="shared" si="14"/>
        <v>#REF!</v>
      </c>
      <c r="V51" s="168" t="e">
        <f t="shared" si="14"/>
        <v>#REF!</v>
      </c>
      <c r="W51" s="168" t="e">
        <f t="shared" si="14"/>
        <v>#REF!</v>
      </c>
      <c r="X51" s="168" t="e">
        <f t="shared" si="14"/>
        <v>#REF!</v>
      </c>
      <c r="Y51" s="168" t="e">
        <f t="shared" si="14"/>
        <v>#REF!</v>
      </c>
      <c r="Z51" s="168" t="e">
        <f t="shared" si="14"/>
        <v>#REF!</v>
      </c>
      <c r="AA51" s="168" t="e">
        <f t="shared" si="14"/>
        <v>#REF!</v>
      </c>
      <c r="AB51" s="168" t="e">
        <f t="shared" si="14"/>
        <v>#REF!</v>
      </c>
      <c r="AC51" s="168" t="e">
        <f t="shared" si="14"/>
        <v>#REF!</v>
      </c>
      <c r="AD51" s="168" t="e">
        <f t="shared" si="14"/>
        <v>#REF!</v>
      </c>
      <c r="AE51" s="168" t="e">
        <f t="shared" si="14"/>
        <v>#REF!</v>
      </c>
      <c r="AF51" s="168" t="e">
        <f t="shared" si="14"/>
        <v>#REF!</v>
      </c>
      <c r="AG51" s="169" t="e">
        <f t="shared" si="14"/>
        <v>#REF!</v>
      </c>
      <c r="AH51" s="168" t="e">
        <f t="shared" si="14"/>
        <v>#REF!</v>
      </c>
      <c r="AI51" s="170" t="e">
        <f t="shared" si="14"/>
        <v>#REF!</v>
      </c>
      <c r="AJ51" s="169" t="e">
        <f t="shared" si="14"/>
        <v>#REF!</v>
      </c>
      <c r="AK51" s="171"/>
      <c r="AM51" s="170" t="e">
        <f>AM22</f>
        <v>#REF!</v>
      </c>
      <c r="AN51" s="170" t="e">
        <f>AN22</f>
        <v>#REF!</v>
      </c>
      <c r="AO51" s="170" t="e">
        <f>AO22</f>
        <v>#REF!</v>
      </c>
    </row>
    <row r="52" spans="1:41" s="172" customFormat="1" ht="12">
      <c r="A52" s="31"/>
      <c r="B52" s="167" t="str">
        <f>B30</f>
        <v>Excess Cash</v>
      </c>
      <c r="C52" s="167"/>
      <c r="D52" s="168" t="str">
        <f t="shared" ref="D52:AJ52" si="15">D30</f>
        <v/>
      </c>
      <c r="E52" s="168" t="str">
        <f t="shared" si="15"/>
        <v/>
      </c>
      <c r="F52" s="168" t="str">
        <f t="shared" si="15"/>
        <v/>
      </c>
      <c r="G52" s="168" t="str">
        <f t="shared" si="15"/>
        <v/>
      </c>
      <c r="H52" s="168" t="str">
        <f t="shared" si="15"/>
        <v/>
      </c>
      <c r="I52" s="168" t="str">
        <f t="shared" si="15"/>
        <v/>
      </c>
      <c r="J52" s="168" t="str">
        <f t="shared" si="15"/>
        <v/>
      </c>
      <c r="K52" s="168" t="str">
        <f t="shared" si="15"/>
        <v/>
      </c>
      <c r="L52" s="168" t="str">
        <f t="shared" si="15"/>
        <v/>
      </c>
      <c r="M52" s="168" t="str">
        <f t="shared" si="15"/>
        <v/>
      </c>
      <c r="N52" s="168" t="str">
        <f t="shared" si="15"/>
        <v/>
      </c>
      <c r="O52" s="168" t="str">
        <f t="shared" si="15"/>
        <v/>
      </c>
      <c r="P52" s="168" t="str">
        <f t="shared" si="15"/>
        <v/>
      </c>
      <c r="Q52" s="168" t="str">
        <f t="shared" si="15"/>
        <v/>
      </c>
      <c r="R52" s="168" t="str">
        <f t="shared" si="15"/>
        <v/>
      </c>
      <c r="S52" s="168" t="str">
        <f t="shared" si="15"/>
        <v/>
      </c>
      <c r="T52" s="168" t="str">
        <f t="shared" si="15"/>
        <v/>
      </c>
      <c r="U52" s="168" t="str">
        <f t="shared" si="15"/>
        <v/>
      </c>
      <c r="V52" s="168" t="str">
        <f t="shared" si="15"/>
        <v/>
      </c>
      <c r="W52" s="168" t="str">
        <f t="shared" si="15"/>
        <v/>
      </c>
      <c r="X52" s="168" t="str">
        <f t="shared" si="15"/>
        <v/>
      </c>
      <c r="Y52" s="168" t="str">
        <f t="shared" si="15"/>
        <v/>
      </c>
      <c r="Z52" s="168" t="str">
        <f t="shared" si="15"/>
        <v/>
      </c>
      <c r="AA52" s="168" t="str">
        <f t="shared" si="15"/>
        <v/>
      </c>
      <c r="AB52" s="168" t="str">
        <f t="shared" si="15"/>
        <v/>
      </c>
      <c r="AC52" s="168" t="str">
        <f t="shared" si="15"/>
        <v/>
      </c>
      <c r="AD52" s="168" t="str">
        <f t="shared" si="15"/>
        <v/>
      </c>
      <c r="AE52" s="168" t="str">
        <f t="shared" si="15"/>
        <v/>
      </c>
      <c r="AF52" s="168" t="str">
        <f t="shared" si="15"/>
        <v/>
      </c>
      <c r="AG52" s="169" t="str">
        <f t="shared" si="15"/>
        <v/>
      </c>
      <c r="AH52" s="168" t="e">
        <f t="shared" si="15"/>
        <v>#REF!</v>
      </c>
      <c r="AI52" s="170" t="e">
        <f t="shared" si="15"/>
        <v>#REF!</v>
      </c>
      <c r="AJ52" s="169" t="e">
        <f t="shared" si="15"/>
        <v>#REF!</v>
      </c>
      <c r="AK52" s="171"/>
      <c r="AM52" s="170" t="e">
        <f>AM30</f>
        <v>#REF!</v>
      </c>
      <c r="AN52" s="170" t="e">
        <f>AN30</f>
        <v>#REF!</v>
      </c>
      <c r="AO52" s="170" t="e">
        <f>AO30</f>
        <v>#REF!</v>
      </c>
    </row>
    <row r="53" spans="1:41" s="177" customFormat="1">
      <c r="A53" s="23"/>
      <c r="B53" s="173" t="s">
        <v>38</v>
      </c>
      <c r="C53" s="173"/>
      <c r="D53" s="174" t="e">
        <f t="shared" ref="D53:AG53" si="16">IF(D4=1,SUM(D50:D52),"")</f>
        <v>#REF!</v>
      </c>
      <c r="E53" s="174" t="e">
        <f t="shared" si="16"/>
        <v>#REF!</v>
      </c>
      <c r="F53" s="174" t="e">
        <f t="shared" si="16"/>
        <v>#REF!</v>
      </c>
      <c r="G53" s="174" t="e">
        <f t="shared" si="16"/>
        <v>#REF!</v>
      </c>
      <c r="H53" s="174" t="e">
        <f t="shared" si="16"/>
        <v>#REF!</v>
      </c>
      <c r="I53" s="174" t="e">
        <f t="shared" si="16"/>
        <v>#REF!</v>
      </c>
      <c r="J53" s="174" t="e">
        <f t="shared" si="16"/>
        <v>#REF!</v>
      </c>
      <c r="K53" s="174" t="e">
        <f t="shared" si="16"/>
        <v>#REF!</v>
      </c>
      <c r="L53" s="174" t="e">
        <f t="shared" si="16"/>
        <v>#REF!</v>
      </c>
      <c r="M53" s="174" t="e">
        <f t="shared" si="16"/>
        <v>#REF!</v>
      </c>
      <c r="N53" s="174" t="e">
        <f t="shared" si="16"/>
        <v>#REF!</v>
      </c>
      <c r="O53" s="174" t="e">
        <f t="shared" si="16"/>
        <v>#REF!</v>
      </c>
      <c r="P53" s="174" t="e">
        <f t="shared" si="16"/>
        <v>#REF!</v>
      </c>
      <c r="Q53" s="174" t="e">
        <f t="shared" si="16"/>
        <v>#REF!</v>
      </c>
      <c r="R53" s="174" t="e">
        <f t="shared" si="16"/>
        <v>#REF!</v>
      </c>
      <c r="S53" s="174" t="e">
        <f t="shared" si="16"/>
        <v>#REF!</v>
      </c>
      <c r="T53" s="174" t="e">
        <f t="shared" si="16"/>
        <v>#REF!</v>
      </c>
      <c r="U53" s="174" t="e">
        <f t="shared" si="16"/>
        <v>#REF!</v>
      </c>
      <c r="V53" s="174" t="e">
        <f t="shared" si="16"/>
        <v>#REF!</v>
      </c>
      <c r="W53" s="174" t="e">
        <f t="shared" si="16"/>
        <v>#REF!</v>
      </c>
      <c r="X53" s="174" t="e">
        <f t="shared" si="16"/>
        <v>#REF!</v>
      </c>
      <c r="Y53" s="174" t="e">
        <f t="shared" si="16"/>
        <v>#REF!</v>
      </c>
      <c r="Z53" s="174" t="e">
        <f t="shared" si="16"/>
        <v>#REF!</v>
      </c>
      <c r="AA53" s="174" t="e">
        <f t="shared" si="16"/>
        <v>#REF!</v>
      </c>
      <c r="AB53" s="174" t="e">
        <f t="shared" si="16"/>
        <v>#REF!</v>
      </c>
      <c r="AC53" s="174" t="e">
        <f t="shared" si="16"/>
        <v>#REF!</v>
      </c>
      <c r="AD53" s="174" t="e">
        <f t="shared" si="16"/>
        <v>#REF!</v>
      </c>
      <c r="AE53" s="174" t="e">
        <f t="shared" si="16"/>
        <v>#REF!</v>
      </c>
      <c r="AF53" s="174" t="e">
        <f t="shared" si="16"/>
        <v>#REF!</v>
      </c>
      <c r="AG53" s="175" t="e">
        <f t="shared" si="16"/>
        <v>#REF!</v>
      </c>
      <c r="AH53" s="174" t="e">
        <f>SUM(AH50:AH52)</f>
        <v>#REF!</v>
      </c>
      <c r="AI53" s="174" t="e">
        <f>SUM(AI50:AI52)</f>
        <v>#REF!</v>
      </c>
      <c r="AJ53" s="175" t="e">
        <f>SUM(AJ50:AJ52)</f>
        <v>#REF!</v>
      </c>
      <c r="AK53" s="176"/>
      <c r="AM53" s="174" t="e">
        <f>SUM(AM50:AM52)</f>
        <v>#REF!</v>
      </c>
      <c r="AN53" s="174" t="e">
        <f>SUM(AN50:AN52)</f>
        <v>#REF!</v>
      </c>
      <c r="AO53" s="174" t="e">
        <f>SUM(AO50:AO52)</f>
        <v>#REF!</v>
      </c>
    </row>
    <row r="54" spans="1:41" s="184" customFormat="1" ht="12">
      <c r="A54" s="178"/>
      <c r="B54" s="179" t="s">
        <v>21</v>
      </c>
      <c r="C54" s="179"/>
      <c r="D54" s="180" t="str">
        <f t="shared" ref="D54:AJ54" si="17">D32</f>
        <v/>
      </c>
      <c r="E54" s="180" t="str">
        <f t="shared" si="17"/>
        <v/>
      </c>
      <c r="F54" s="180" t="str">
        <f t="shared" si="17"/>
        <v/>
      </c>
      <c r="G54" s="180" t="str">
        <f t="shared" si="17"/>
        <v/>
      </c>
      <c r="H54" s="180" t="str">
        <f t="shared" si="17"/>
        <v/>
      </c>
      <c r="I54" s="180" t="str">
        <f t="shared" si="17"/>
        <v/>
      </c>
      <c r="J54" s="180" t="str">
        <f t="shared" si="17"/>
        <v/>
      </c>
      <c r="K54" s="180" t="str">
        <f t="shared" si="17"/>
        <v/>
      </c>
      <c r="L54" s="180" t="str">
        <f t="shared" si="17"/>
        <v/>
      </c>
      <c r="M54" s="180" t="str">
        <f t="shared" si="17"/>
        <v/>
      </c>
      <c r="N54" s="180" t="str">
        <f t="shared" si="17"/>
        <v/>
      </c>
      <c r="O54" s="180" t="str">
        <f t="shared" si="17"/>
        <v/>
      </c>
      <c r="P54" s="180" t="str">
        <f t="shared" si="17"/>
        <v/>
      </c>
      <c r="Q54" s="180" t="str">
        <f t="shared" si="17"/>
        <v/>
      </c>
      <c r="R54" s="180" t="str">
        <f t="shared" si="17"/>
        <v/>
      </c>
      <c r="S54" s="180" t="str">
        <f t="shared" si="17"/>
        <v/>
      </c>
      <c r="T54" s="180" t="str">
        <f t="shared" si="17"/>
        <v/>
      </c>
      <c r="U54" s="180" t="str">
        <f t="shared" si="17"/>
        <v/>
      </c>
      <c r="V54" s="180" t="str">
        <f t="shared" si="17"/>
        <v/>
      </c>
      <c r="W54" s="180" t="str">
        <f t="shared" si="17"/>
        <v/>
      </c>
      <c r="X54" s="180" t="str">
        <f t="shared" si="17"/>
        <v/>
      </c>
      <c r="Y54" s="180" t="str">
        <f t="shared" si="17"/>
        <v/>
      </c>
      <c r="Z54" s="180" t="str">
        <f t="shared" si="17"/>
        <v/>
      </c>
      <c r="AA54" s="180" t="str">
        <f t="shared" si="17"/>
        <v/>
      </c>
      <c r="AB54" s="180" t="str">
        <f t="shared" si="17"/>
        <v/>
      </c>
      <c r="AC54" s="180" t="str">
        <f t="shared" si="17"/>
        <v/>
      </c>
      <c r="AD54" s="180" t="str">
        <f t="shared" si="17"/>
        <v/>
      </c>
      <c r="AE54" s="180" t="str">
        <f t="shared" si="17"/>
        <v/>
      </c>
      <c r="AF54" s="180" t="str">
        <f t="shared" si="17"/>
        <v/>
      </c>
      <c r="AG54" s="181" t="str">
        <f t="shared" si="17"/>
        <v/>
      </c>
      <c r="AH54" s="180" t="e">
        <f t="shared" si="17"/>
        <v>#REF!</v>
      </c>
      <c r="AI54" s="182" t="e">
        <f t="shared" si="17"/>
        <v>#REF!</v>
      </c>
      <c r="AJ54" s="181" t="e">
        <f t="shared" si="17"/>
        <v>#REF!</v>
      </c>
      <c r="AK54" s="183"/>
      <c r="AM54" s="182" t="e">
        <f>AM32</f>
        <v>#REF!</v>
      </c>
      <c r="AN54" s="182" t="e">
        <f>AN32</f>
        <v>#REF!</v>
      </c>
      <c r="AO54" s="182" t="e">
        <f>AO32</f>
        <v>#REF!</v>
      </c>
    </row>
    <row r="55" spans="1:41" s="184" customFormat="1" ht="12">
      <c r="A55" s="178"/>
      <c r="B55" s="184" t="s">
        <v>15</v>
      </c>
      <c r="D55" s="180" t="e">
        <f t="shared" ref="D55:AJ55" si="18">D15</f>
        <v>#REF!</v>
      </c>
      <c r="E55" s="180" t="e">
        <f t="shared" si="18"/>
        <v>#REF!</v>
      </c>
      <c r="F55" s="180" t="e">
        <f t="shared" si="18"/>
        <v>#REF!</v>
      </c>
      <c r="G55" s="180" t="e">
        <f t="shared" si="18"/>
        <v>#REF!</v>
      </c>
      <c r="H55" s="180" t="e">
        <f t="shared" si="18"/>
        <v>#REF!</v>
      </c>
      <c r="I55" s="180" t="e">
        <f t="shared" si="18"/>
        <v>#REF!</v>
      </c>
      <c r="J55" s="180" t="e">
        <f t="shared" si="18"/>
        <v>#REF!</v>
      </c>
      <c r="K55" s="180" t="e">
        <f t="shared" si="18"/>
        <v>#REF!</v>
      </c>
      <c r="L55" s="180" t="e">
        <f t="shared" si="18"/>
        <v>#REF!</v>
      </c>
      <c r="M55" s="180" t="e">
        <f t="shared" si="18"/>
        <v>#REF!</v>
      </c>
      <c r="N55" s="180" t="e">
        <f t="shared" si="18"/>
        <v>#REF!</v>
      </c>
      <c r="O55" s="180" t="e">
        <f t="shared" si="18"/>
        <v>#REF!</v>
      </c>
      <c r="P55" s="180" t="e">
        <f t="shared" si="18"/>
        <v>#REF!</v>
      </c>
      <c r="Q55" s="180" t="e">
        <f t="shared" si="18"/>
        <v>#REF!</v>
      </c>
      <c r="R55" s="180" t="e">
        <f t="shared" si="18"/>
        <v>#REF!</v>
      </c>
      <c r="S55" s="180" t="e">
        <f t="shared" si="18"/>
        <v>#REF!</v>
      </c>
      <c r="T55" s="180" t="e">
        <f t="shared" si="18"/>
        <v>#REF!</v>
      </c>
      <c r="U55" s="180" t="e">
        <f t="shared" si="18"/>
        <v>#REF!</v>
      </c>
      <c r="V55" s="180" t="e">
        <f t="shared" si="18"/>
        <v>#REF!</v>
      </c>
      <c r="W55" s="180" t="e">
        <f t="shared" si="18"/>
        <v>#REF!</v>
      </c>
      <c r="X55" s="180" t="e">
        <f t="shared" si="18"/>
        <v>#REF!</v>
      </c>
      <c r="Y55" s="180" t="e">
        <f t="shared" si="18"/>
        <v>#REF!</v>
      </c>
      <c r="Z55" s="180" t="e">
        <f t="shared" si="18"/>
        <v>#REF!</v>
      </c>
      <c r="AA55" s="180" t="e">
        <f t="shared" si="18"/>
        <v>#REF!</v>
      </c>
      <c r="AB55" s="180" t="e">
        <f t="shared" si="18"/>
        <v>#REF!</v>
      </c>
      <c r="AC55" s="180" t="e">
        <f t="shared" si="18"/>
        <v>#REF!</v>
      </c>
      <c r="AD55" s="180" t="e">
        <f t="shared" si="18"/>
        <v>#REF!</v>
      </c>
      <c r="AE55" s="180" t="e">
        <f t="shared" si="18"/>
        <v>#REF!</v>
      </c>
      <c r="AF55" s="180" t="e">
        <f t="shared" si="18"/>
        <v>#REF!</v>
      </c>
      <c r="AG55" s="181" t="e">
        <f t="shared" si="18"/>
        <v>#REF!</v>
      </c>
      <c r="AH55" s="180" t="e">
        <f t="shared" si="18"/>
        <v>#VALUE!</v>
      </c>
      <c r="AI55" s="182" t="e">
        <f t="shared" si="18"/>
        <v>#VALUE!</v>
      </c>
      <c r="AJ55" s="181" t="e">
        <f t="shared" si="18"/>
        <v>#VALUE!</v>
      </c>
      <c r="AK55" s="183"/>
      <c r="AM55" s="182" t="e">
        <f>AM15</f>
        <v>#VALUE!</v>
      </c>
      <c r="AN55" s="182" t="e">
        <f>AN15</f>
        <v>#VALUE!</v>
      </c>
      <c r="AO55" s="182" t="e">
        <f>AO15</f>
        <v>#VALUE!</v>
      </c>
    </row>
    <row r="56" spans="1:41" s="184" customFormat="1" ht="12">
      <c r="A56" s="178"/>
      <c r="B56" s="179" t="s">
        <v>39</v>
      </c>
      <c r="C56" s="179"/>
      <c r="D56" s="180" t="e">
        <f t="shared" ref="D56:AJ56" si="19">D24</f>
        <v>#REF!</v>
      </c>
      <c r="E56" s="180" t="e">
        <f t="shared" si="19"/>
        <v>#REF!</v>
      </c>
      <c r="F56" s="180" t="e">
        <f t="shared" si="19"/>
        <v>#REF!</v>
      </c>
      <c r="G56" s="180" t="e">
        <f t="shared" si="19"/>
        <v>#REF!</v>
      </c>
      <c r="H56" s="180" t="e">
        <f t="shared" si="19"/>
        <v>#REF!</v>
      </c>
      <c r="I56" s="180" t="e">
        <f t="shared" si="19"/>
        <v>#REF!</v>
      </c>
      <c r="J56" s="180" t="e">
        <f t="shared" si="19"/>
        <v>#REF!</v>
      </c>
      <c r="K56" s="180" t="e">
        <f t="shared" si="19"/>
        <v>#REF!</v>
      </c>
      <c r="L56" s="180" t="e">
        <f t="shared" si="19"/>
        <v>#REF!</v>
      </c>
      <c r="M56" s="180" t="e">
        <f t="shared" si="19"/>
        <v>#REF!</v>
      </c>
      <c r="N56" s="180" t="e">
        <f t="shared" si="19"/>
        <v>#REF!</v>
      </c>
      <c r="O56" s="180" t="e">
        <f t="shared" si="19"/>
        <v>#REF!</v>
      </c>
      <c r="P56" s="180" t="e">
        <f t="shared" si="19"/>
        <v>#REF!</v>
      </c>
      <c r="Q56" s="180" t="e">
        <f t="shared" si="19"/>
        <v>#REF!</v>
      </c>
      <c r="R56" s="180" t="e">
        <f t="shared" si="19"/>
        <v>#REF!</v>
      </c>
      <c r="S56" s="180" t="e">
        <f t="shared" si="19"/>
        <v>#REF!</v>
      </c>
      <c r="T56" s="180" t="e">
        <f t="shared" si="19"/>
        <v>#REF!</v>
      </c>
      <c r="U56" s="180" t="e">
        <f t="shared" si="19"/>
        <v>#REF!</v>
      </c>
      <c r="V56" s="180" t="e">
        <f t="shared" si="19"/>
        <v>#REF!</v>
      </c>
      <c r="W56" s="180" t="e">
        <f t="shared" si="19"/>
        <v>#REF!</v>
      </c>
      <c r="X56" s="180" t="e">
        <f t="shared" si="19"/>
        <v>#REF!</v>
      </c>
      <c r="Y56" s="180" t="e">
        <f t="shared" si="19"/>
        <v>#REF!</v>
      </c>
      <c r="Z56" s="180" t="e">
        <f t="shared" si="19"/>
        <v>#REF!</v>
      </c>
      <c r="AA56" s="180" t="e">
        <f t="shared" si="19"/>
        <v>#REF!</v>
      </c>
      <c r="AB56" s="180" t="e">
        <f t="shared" si="19"/>
        <v>#REF!</v>
      </c>
      <c r="AC56" s="180" t="e">
        <f t="shared" si="19"/>
        <v>#REF!</v>
      </c>
      <c r="AD56" s="180" t="e">
        <f t="shared" si="19"/>
        <v>#REF!</v>
      </c>
      <c r="AE56" s="180" t="e">
        <f t="shared" si="19"/>
        <v>#REF!</v>
      </c>
      <c r="AF56" s="180" t="e">
        <f t="shared" si="19"/>
        <v>#REF!</v>
      </c>
      <c r="AG56" s="181" t="e">
        <f t="shared" si="19"/>
        <v>#REF!</v>
      </c>
      <c r="AH56" s="180" t="e">
        <f t="shared" si="19"/>
        <v>#REF!</v>
      </c>
      <c r="AI56" s="182" t="e">
        <f t="shared" si="19"/>
        <v>#REF!</v>
      </c>
      <c r="AJ56" s="181" t="e">
        <f t="shared" si="19"/>
        <v>#REF!</v>
      </c>
      <c r="AK56" s="183"/>
      <c r="AM56" s="182" t="e">
        <f>AM24</f>
        <v>#REF!</v>
      </c>
      <c r="AN56" s="182" t="e">
        <f>AN24</f>
        <v>#REF!</v>
      </c>
      <c r="AO56" s="182" t="e">
        <f>AO24</f>
        <v>#REF!</v>
      </c>
    </row>
    <row r="57" spans="1:41" s="177" customFormat="1">
      <c r="A57" s="23"/>
      <c r="B57" s="173" t="s">
        <v>40</v>
      </c>
      <c r="C57" s="173"/>
      <c r="D57" s="174" t="e">
        <f t="shared" ref="D57:AG57" si="20">IF(D4=1,SUM(D54:D56),"")</f>
        <v>#REF!</v>
      </c>
      <c r="E57" s="174" t="e">
        <f t="shared" si="20"/>
        <v>#REF!</v>
      </c>
      <c r="F57" s="174" t="e">
        <f t="shared" si="20"/>
        <v>#REF!</v>
      </c>
      <c r="G57" s="174" t="e">
        <f t="shared" si="20"/>
        <v>#REF!</v>
      </c>
      <c r="H57" s="174" t="e">
        <f t="shared" si="20"/>
        <v>#REF!</v>
      </c>
      <c r="I57" s="174" t="e">
        <f t="shared" si="20"/>
        <v>#REF!</v>
      </c>
      <c r="J57" s="174" t="e">
        <f t="shared" si="20"/>
        <v>#REF!</v>
      </c>
      <c r="K57" s="174" t="e">
        <f t="shared" si="20"/>
        <v>#REF!</v>
      </c>
      <c r="L57" s="174" t="e">
        <f t="shared" si="20"/>
        <v>#REF!</v>
      </c>
      <c r="M57" s="174" t="e">
        <f t="shared" si="20"/>
        <v>#REF!</v>
      </c>
      <c r="N57" s="174" t="e">
        <f t="shared" si="20"/>
        <v>#REF!</v>
      </c>
      <c r="O57" s="174" t="e">
        <f t="shared" si="20"/>
        <v>#REF!</v>
      </c>
      <c r="P57" s="174" t="e">
        <f t="shared" si="20"/>
        <v>#REF!</v>
      </c>
      <c r="Q57" s="174" t="e">
        <f t="shared" si="20"/>
        <v>#REF!</v>
      </c>
      <c r="R57" s="174" t="e">
        <f t="shared" si="20"/>
        <v>#REF!</v>
      </c>
      <c r="S57" s="174" t="e">
        <f t="shared" si="20"/>
        <v>#REF!</v>
      </c>
      <c r="T57" s="174" t="e">
        <f t="shared" si="20"/>
        <v>#REF!</v>
      </c>
      <c r="U57" s="174" t="e">
        <f t="shared" si="20"/>
        <v>#REF!</v>
      </c>
      <c r="V57" s="174" t="e">
        <f t="shared" si="20"/>
        <v>#REF!</v>
      </c>
      <c r="W57" s="174" t="e">
        <f t="shared" si="20"/>
        <v>#REF!</v>
      </c>
      <c r="X57" s="174" t="e">
        <f t="shared" si="20"/>
        <v>#REF!</v>
      </c>
      <c r="Y57" s="174" t="e">
        <f t="shared" si="20"/>
        <v>#REF!</v>
      </c>
      <c r="Z57" s="174" t="e">
        <f t="shared" si="20"/>
        <v>#REF!</v>
      </c>
      <c r="AA57" s="174" t="e">
        <f t="shared" si="20"/>
        <v>#REF!</v>
      </c>
      <c r="AB57" s="174" t="e">
        <f t="shared" si="20"/>
        <v>#REF!</v>
      </c>
      <c r="AC57" s="174" t="e">
        <f t="shared" si="20"/>
        <v>#REF!</v>
      </c>
      <c r="AD57" s="174" t="e">
        <f t="shared" si="20"/>
        <v>#REF!</v>
      </c>
      <c r="AE57" s="174" t="e">
        <f t="shared" si="20"/>
        <v>#REF!</v>
      </c>
      <c r="AF57" s="174" t="e">
        <f t="shared" si="20"/>
        <v>#REF!</v>
      </c>
      <c r="AG57" s="175" t="e">
        <f t="shared" si="20"/>
        <v>#REF!</v>
      </c>
      <c r="AH57" s="174" t="e">
        <f>SUM(AH54:AH56)</f>
        <v>#REF!</v>
      </c>
      <c r="AI57" s="185" t="e">
        <f>SUM(AI54:AI56)</f>
        <v>#REF!</v>
      </c>
      <c r="AJ57" s="175" t="e">
        <f>SUM(AJ54:AJ56)</f>
        <v>#REF!</v>
      </c>
      <c r="AK57" s="176"/>
      <c r="AM57" s="185" t="e">
        <f>SUM(AM54:AM56)</f>
        <v>#REF!</v>
      </c>
      <c r="AN57" s="185" t="e">
        <f>SUM(AN54:AN56)</f>
        <v>#REF!</v>
      </c>
      <c r="AO57" s="185" t="e">
        <f>SUM(AO54:AO56)</f>
        <v>#REF!</v>
      </c>
    </row>
    <row r="58" spans="1:41">
      <c r="B58" s="150"/>
      <c r="C58" s="150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2"/>
      <c r="AH58" s="161"/>
      <c r="AI58" s="161"/>
      <c r="AJ58" s="162"/>
      <c r="AM58" s="161"/>
      <c r="AN58" s="161"/>
      <c r="AO58" s="161"/>
    </row>
    <row r="59" spans="1:41" s="154" customFormat="1">
      <c r="A59" s="153"/>
      <c r="D59" s="155"/>
      <c r="E59" s="155"/>
      <c r="F59" s="155"/>
      <c r="G59" s="155"/>
      <c r="H59" s="155"/>
      <c r="I59" s="155"/>
      <c r="J59" s="155"/>
      <c r="K59" s="155"/>
      <c r="L59" s="155"/>
      <c r="M59" s="155"/>
      <c r="N59" s="155"/>
      <c r="O59" s="155"/>
      <c r="P59" s="155"/>
      <c r="Q59" s="155"/>
      <c r="R59" s="155"/>
      <c r="S59" s="155"/>
      <c r="T59" s="155"/>
      <c r="U59" s="155"/>
      <c r="V59" s="155"/>
      <c r="W59" s="155"/>
      <c r="X59" s="155"/>
      <c r="Y59" s="155"/>
      <c r="Z59" s="155"/>
      <c r="AA59" s="155"/>
      <c r="AB59" s="155"/>
      <c r="AC59" s="155"/>
      <c r="AD59" s="155"/>
      <c r="AE59" s="155"/>
      <c r="AF59" s="155"/>
      <c r="AG59" s="156"/>
      <c r="AH59" s="157"/>
      <c r="AI59" s="158"/>
      <c r="AJ59" s="159"/>
      <c r="AK59" s="160"/>
      <c r="AM59" s="158"/>
      <c r="AN59" s="158"/>
      <c r="AO59" s="158"/>
    </row>
    <row r="60" spans="1:41">
      <c r="B60" s="150"/>
      <c r="C60" s="150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2"/>
      <c r="AH60" s="161"/>
      <c r="AI60" s="161"/>
      <c r="AJ60" s="162"/>
      <c r="AM60" s="161"/>
      <c r="AN60" s="161"/>
      <c r="AO60" s="161"/>
    </row>
    <row r="61" spans="1:41" ht="18.75">
      <c r="A61" s="28" t="s">
        <v>167</v>
      </c>
      <c r="B61" s="163"/>
      <c r="C61" s="163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1"/>
      <c r="Q61" s="151"/>
      <c r="R61" s="151"/>
      <c r="S61" s="151"/>
      <c r="T61" s="151"/>
      <c r="U61" s="151"/>
      <c r="V61" s="151"/>
      <c r="W61" s="151"/>
      <c r="X61" s="151"/>
      <c r="Y61" s="151"/>
      <c r="Z61" s="151"/>
      <c r="AA61" s="151"/>
      <c r="AB61" s="151"/>
      <c r="AC61" s="151"/>
      <c r="AD61" s="151"/>
      <c r="AE61" s="151"/>
      <c r="AF61" s="152"/>
      <c r="AG61" s="152"/>
      <c r="AH61" s="151"/>
      <c r="AI61" s="33"/>
      <c r="AJ61" s="152"/>
    </row>
    <row r="62" spans="1:41" s="7" customFormat="1" ht="12.75">
      <c r="A62" s="15"/>
      <c r="B62" s="186"/>
      <c r="C62" s="186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8"/>
      <c r="AH62" s="187"/>
      <c r="AI62" s="189"/>
      <c r="AJ62" s="188"/>
      <c r="AK62" s="19"/>
      <c r="AM62" s="189"/>
      <c r="AN62" s="189"/>
      <c r="AO62" s="189"/>
    </row>
    <row r="63" spans="1:41">
      <c r="A63" s="53"/>
      <c r="B63" s="163" t="s">
        <v>28</v>
      </c>
      <c r="C63" s="163"/>
      <c r="D63" s="151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151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2"/>
      <c r="AH63" s="151"/>
      <c r="AI63" s="33"/>
      <c r="AJ63" s="152"/>
    </row>
    <row r="64" spans="1:41">
      <c r="A64" s="35" t="e">
        <f>#REF!</f>
        <v>#REF!</v>
      </c>
      <c r="B64" s="76" t="s">
        <v>29</v>
      </c>
      <c r="C64" s="76"/>
      <c r="D64" s="2" t="e">
        <f>IF(D$3&lt;-#REF!,"",INDEX(#REF!,#REF!-D$3,$A64))</f>
        <v>#REF!</v>
      </c>
      <c r="E64" s="2" t="e">
        <f>IF(E$3&lt;-#REF!,"",INDEX(#REF!,#REF!-E$3,$A64))</f>
        <v>#REF!</v>
      </c>
      <c r="F64" s="2" t="e">
        <f>IF(F$3&lt;-#REF!,"",INDEX(#REF!,#REF!-F$3,$A64))</f>
        <v>#REF!</v>
      </c>
      <c r="G64" s="2" t="e">
        <f>IF(G$3&lt;-#REF!,"",INDEX(#REF!,#REF!-G$3,$A64))</f>
        <v>#REF!</v>
      </c>
      <c r="H64" s="2" t="e">
        <f>IF(H$3&lt;-#REF!,"",INDEX(#REF!,#REF!-H$3,$A64))</f>
        <v>#REF!</v>
      </c>
      <c r="I64" s="2" t="e">
        <f>IF(I$3&lt;-#REF!,"",INDEX(#REF!,#REF!-I$3,$A64))</f>
        <v>#REF!</v>
      </c>
      <c r="J64" s="2" t="e">
        <f>IF(J$3&lt;-#REF!,"",INDEX(#REF!,#REF!-J$3,$A64))</f>
        <v>#REF!</v>
      </c>
      <c r="K64" s="2" t="e">
        <f>IF(K$3&lt;-#REF!,"",INDEX(#REF!,#REF!-K$3,$A64))</f>
        <v>#REF!</v>
      </c>
      <c r="L64" s="2" t="e">
        <f>IF(L$3&lt;-#REF!,"",INDEX(#REF!,#REF!-L$3,$A64))</f>
        <v>#REF!</v>
      </c>
      <c r="M64" s="2" t="e">
        <f>IF(M$3&lt;-#REF!,"",INDEX(#REF!,#REF!-M$3,$A64))</f>
        <v>#REF!</v>
      </c>
      <c r="N64" s="2" t="e">
        <f>IF(N$3&lt;-#REF!,"",INDEX(#REF!,#REF!-N$3,$A64))</f>
        <v>#REF!</v>
      </c>
      <c r="O64" s="2" t="e">
        <f>IF(O$3&lt;-#REF!,"",INDEX(#REF!,#REF!-O$3,$A64))</f>
        <v>#REF!</v>
      </c>
      <c r="P64" s="2" t="e">
        <f>IF(P$3&lt;-#REF!,"",INDEX(#REF!,#REF!-P$3,$A64))</f>
        <v>#REF!</v>
      </c>
      <c r="Q64" s="2" t="e">
        <f>IF(Q$3&lt;-#REF!,"",INDEX(#REF!,#REF!-Q$3,$A64))</f>
        <v>#REF!</v>
      </c>
      <c r="R64" s="2" t="e">
        <f>IF(R$3&lt;-#REF!,"",INDEX(#REF!,#REF!-R$3,$A64))</f>
        <v>#REF!</v>
      </c>
      <c r="S64" s="2" t="e">
        <f>IF(S$3&lt;-#REF!,"",INDEX(#REF!,#REF!-S$3,$A64))</f>
        <v>#REF!</v>
      </c>
      <c r="T64" s="2" t="e">
        <f>IF(T$3&lt;-#REF!,"",INDEX(#REF!,#REF!-T$3,$A64))</f>
        <v>#REF!</v>
      </c>
      <c r="U64" s="2" t="e">
        <f>IF(U$3&lt;-#REF!,"",INDEX(#REF!,#REF!-U$3,$A64))</f>
        <v>#REF!</v>
      </c>
      <c r="V64" s="2" t="e">
        <f>IF(V$3&lt;-#REF!,"",INDEX(#REF!,#REF!-V$3,$A64))</f>
        <v>#REF!</v>
      </c>
      <c r="W64" s="2" t="e">
        <f>IF(W$3&lt;-#REF!,"",INDEX(#REF!,#REF!-W$3,$A64))</f>
        <v>#REF!</v>
      </c>
      <c r="X64" s="2" t="e">
        <f>IF(X$3&lt;-#REF!,"",INDEX(#REF!,#REF!-X$3,$A64))</f>
        <v>#REF!</v>
      </c>
      <c r="Y64" s="2" t="e">
        <f>IF(Y$3&lt;-#REF!,"",INDEX(#REF!,#REF!-Y$3,$A64))</f>
        <v>#REF!</v>
      </c>
      <c r="Z64" s="2" t="e">
        <f>IF(Z$3&lt;-#REF!,"",INDEX(#REF!,#REF!-Z$3,$A64))</f>
        <v>#REF!</v>
      </c>
      <c r="AA64" s="2" t="e">
        <f>IF(AA$3&lt;-#REF!,"",INDEX(#REF!,#REF!-AA$3,$A64))</f>
        <v>#REF!</v>
      </c>
      <c r="AB64" s="2" t="e">
        <f>IF(AB$3&lt;-#REF!,"",INDEX(#REF!,#REF!-AB$3,$A64))</f>
        <v>#REF!</v>
      </c>
      <c r="AC64" s="2" t="e">
        <f>IF(AC$3&lt;-#REF!,"",INDEX(#REF!,#REF!-AC$3,$A64))</f>
        <v>#REF!</v>
      </c>
      <c r="AD64" s="2" t="e">
        <f>IF(AD$3&lt;-#REF!,"",INDEX(#REF!,#REF!-AD$3,$A64))</f>
        <v>#REF!</v>
      </c>
      <c r="AE64" s="2" t="e">
        <f>IF(AE$3&lt;-#REF!,"",INDEX(#REF!,#REF!-AE$3,$A64))</f>
        <v>#REF!</v>
      </c>
      <c r="AF64" s="2" t="e">
        <f>IF(AF$3&lt;-#REF!,"",INDEX(#REF!,#REF!-AF$3,$A64))</f>
        <v>#REF!</v>
      </c>
      <c r="AG64" s="4" t="e">
        <f>IF(AG$3&lt;-#REF!,"",INDEX(#REF!,#REF!-AG$3,$A64))</f>
        <v>#REF!</v>
      </c>
      <c r="AH64" s="49" t="e">
        <f>AH67-AH65-AH66</f>
        <v>#REF!</v>
      </c>
      <c r="AI64" s="49" t="e">
        <f>AI67-AI65-AI66</f>
        <v>#REF!</v>
      </c>
      <c r="AJ64" s="106" t="e">
        <f>AJ67-AJ65-AJ66</f>
        <v>#REF!</v>
      </c>
      <c r="AM64" s="49" t="e">
        <f>AM67-AM65-AM66</f>
        <v>#REF!</v>
      </c>
      <c r="AN64" s="49" t="e">
        <f>AN67-AN65-AN66</f>
        <v>#REF!</v>
      </c>
      <c r="AO64" s="49" t="e">
        <f>AO67-AO65-AO66</f>
        <v>#REF!</v>
      </c>
    </row>
    <row r="65" spans="1:41">
      <c r="A65" s="35"/>
      <c r="B65" s="76" t="s">
        <v>30</v>
      </c>
      <c r="C65" s="76"/>
      <c r="D65" s="45" t="str">
        <f t="shared" ref="D65:AG65" si="21">IFERROR(D67-D64-D66,"")</f>
        <v/>
      </c>
      <c r="E65" s="45" t="str">
        <f t="shared" si="21"/>
        <v/>
      </c>
      <c r="F65" s="45" t="str">
        <f t="shared" si="21"/>
        <v/>
      </c>
      <c r="G65" s="45" t="str">
        <f t="shared" si="21"/>
        <v/>
      </c>
      <c r="H65" s="45" t="str">
        <f t="shared" si="21"/>
        <v/>
      </c>
      <c r="I65" s="45" t="str">
        <f t="shared" si="21"/>
        <v/>
      </c>
      <c r="J65" s="45" t="str">
        <f t="shared" si="21"/>
        <v/>
      </c>
      <c r="K65" s="45" t="str">
        <f t="shared" si="21"/>
        <v/>
      </c>
      <c r="L65" s="45" t="str">
        <f t="shared" si="21"/>
        <v/>
      </c>
      <c r="M65" s="45" t="str">
        <f t="shared" si="21"/>
        <v/>
      </c>
      <c r="N65" s="45" t="str">
        <f t="shared" si="21"/>
        <v/>
      </c>
      <c r="O65" s="45" t="str">
        <f t="shared" si="21"/>
        <v/>
      </c>
      <c r="P65" s="45" t="str">
        <f t="shared" si="21"/>
        <v/>
      </c>
      <c r="Q65" s="45" t="str">
        <f t="shared" si="21"/>
        <v/>
      </c>
      <c r="R65" s="45" t="str">
        <f t="shared" si="21"/>
        <v/>
      </c>
      <c r="S65" s="45" t="str">
        <f t="shared" si="21"/>
        <v/>
      </c>
      <c r="T65" s="45" t="str">
        <f t="shared" si="21"/>
        <v/>
      </c>
      <c r="U65" s="45" t="str">
        <f t="shared" si="21"/>
        <v/>
      </c>
      <c r="V65" s="45" t="str">
        <f t="shared" si="21"/>
        <v/>
      </c>
      <c r="W65" s="45" t="str">
        <f t="shared" si="21"/>
        <v/>
      </c>
      <c r="X65" s="45" t="str">
        <f t="shared" si="21"/>
        <v/>
      </c>
      <c r="Y65" s="45" t="str">
        <f t="shared" si="21"/>
        <v/>
      </c>
      <c r="Z65" s="45" t="str">
        <f t="shared" si="21"/>
        <v/>
      </c>
      <c r="AA65" s="45" t="str">
        <f t="shared" si="21"/>
        <v/>
      </c>
      <c r="AB65" s="45" t="str">
        <f t="shared" si="21"/>
        <v/>
      </c>
      <c r="AC65" s="45" t="str">
        <f t="shared" si="21"/>
        <v/>
      </c>
      <c r="AD65" s="45" t="str">
        <f t="shared" si="21"/>
        <v/>
      </c>
      <c r="AE65" s="45" t="str">
        <f t="shared" si="21"/>
        <v/>
      </c>
      <c r="AF65" s="45" t="str">
        <f t="shared" si="21"/>
        <v/>
      </c>
      <c r="AG65" s="77" t="str">
        <f t="shared" si="21"/>
        <v/>
      </c>
      <c r="AH65" s="49" t="str">
        <f>$AG65</f>
        <v/>
      </c>
      <c r="AI65" s="49" t="str">
        <f>AH65</f>
        <v/>
      </c>
      <c r="AJ65" s="106" t="str">
        <f>AI65</f>
        <v/>
      </c>
      <c r="AM65" s="49" t="str">
        <f>$AG65</f>
        <v/>
      </c>
      <c r="AN65" s="49" t="str">
        <f>AM65</f>
        <v/>
      </c>
      <c r="AO65" s="49" t="str">
        <f>AN65</f>
        <v/>
      </c>
    </row>
    <row r="66" spans="1:41">
      <c r="A66" s="35" t="e">
        <f>#REF!</f>
        <v>#REF!</v>
      </c>
      <c r="B66" s="76" t="s">
        <v>31</v>
      </c>
      <c r="C66" s="76"/>
      <c r="D66" s="2" t="e">
        <f>IF(D$3&lt;-#REF!,"",INDEX(#REF!,#REF!-D$3,$A66))</f>
        <v>#REF!</v>
      </c>
      <c r="E66" s="2" t="e">
        <f>IF(E$3&lt;-#REF!,"",INDEX(#REF!,#REF!-E$3,$A66))</f>
        <v>#REF!</v>
      </c>
      <c r="F66" s="2" t="e">
        <f>IF(F$3&lt;-#REF!,"",INDEX(#REF!,#REF!-F$3,$A66))</f>
        <v>#REF!</v>
      </c>
      <c r="G66" s="2" t="e">
        <f>IF(G$3&lt;-#REF!,"",INDEX(#REF!,#REF!-G$3,$A66))</f>
        <v>#REF!</v>
      </c>
      <c r="H66" s="2" t="e">
        <f>IF(H$3&lt;-#REF!,"",INDEX(#REF!,#REF!-H$3,$A66))</f>
        <v>#REF!</v>
      </c>
      <c r="I66" s="2" t="e">
        <f>IF(I$3&lt;-#REF!,"",INDEX(#REF!,#REF!-I$3,$A66))</f>
        <v>#REF!</v>
      </c>
      <c r="J66" s="2" t="e">
        <f>IF(J$3&lt;-#REF!,"",INDEX(#REF!,#REF!-J$3,$A66))</f>
        <v>#REF!</v>
      </c>
      <c r="K66" s="2" t="e">
        <f>IF(K$3&lt;-#REF!,"",INDEX(#REF!,#REF!-K$3,$A66))</f>
        <v>#REF!</v>
      </c>
      <c r="L66" s="2" t="e">
        <f>IF(L$3&lt;-#REF!,"",INDEX(#REF!,#REF!-L$3,$A66))</f>
        <v>#REF!</v>
      </c>
      <c r="M66" s="2" t="e">
        <f>IF(M$3&lt;-#REF!,"",INDEX(#REF!,#REF!-M$3,$A66))</f>
        <v>#REF!</v>
      </c>
      <c r="N66" s="2" t="e">
        <f>IF(N$3&lt;-#REF!,"",INDEX(#REF!,#REF!-N$3,$A66))</f>
        <v>#REF!</v>
      </c>
      <c r="O66" s="2" t="e">
        <f>IF(O$3&lt;-#REF!,"",INDEX(#REF!,#REF!-O$3,$A66))</f>
        <v>#REF!</v>
      </c>
      <c r="P66" s="2" t="e">
        <f>IF(P$3&lt;-#REF!,"",INDEX(#REF!,#REF!-P$3,$A66))</f>
        <v>#REF!</v>
      </c>
      <c r="Q66" s="2" t="e">
        <f>IF(Q$3&lt;-#REF!,"",INDEX(#REF!,#REF!-Q$3,$A66))</f>
        <v>#REF!</v>
      </c>
      <c r="R66" s="2" t="e">
        <f>IF(R$3&lt;-#REF!,"",INDEX(#REF!,#REF!-R$3,$A66))</f>
        <v>#REF!</v>
      </c>
      <c r="S66" s="2" t="e">
        <f>IF(S$3&lt;-#REF!,"",INDEX(#REF!,#REF!-S$3,$A66))</f>
        <v>#REF!</v>
      </c>
      <c r="T66" s="2" t="e">
        <f>IF(T$3&lt;-#REF!,"",INDEX(#REF!,#REF!-T$3,$A66))</f>
        <v>#REF!</v>
      </c>
      <c r="U66" s="2" t="e">
        <f>IF(U$3&lt;-#REF!,"",INDEX(#REF!,#REF!-U$3,$A66))</f>
        <v>#REF!</v>
      </c>
      <c r="V66" s="2" t="e">
        <f>IF(V$3&lt;-#REF!,"",INDEX(#REF!,#REF!-V$3,$A66))</f>
        <v>#REF!</v>
      </c>
      <c r="W66" s="2" t="e">
        <f>IF(W$3&lt;-#REF!,"",INDEX(#REF!,#REF!-W$3,$A66))</f>
        <v>#REF!</v>
      </c>
      <c r="X66" s="2" t="e">
        <f>IF(X$3&lt;-#REF!,"",INDEX(#REF!,#REF!-X$3,$A66))</f>
        <v>#REF!</v>
      </c>
      <c r="Y66" s="2" t="e">
        <f>IF(Y$3&lt;-#REF!,"",INDEX(#REF!,#REF!-Y$3,$A66))</f>
        <v>#REF!</v>
      </c>
      <c r="Z66" s="2" t="e">
        <f>IF(Z$3&lt;-#REF!,"",INDEX(#REF!,#REF!-Z$3,$A66))</f>
        <v>#REF!</v>
      </c>
      <c r="AA66" s="2" t="e">
        <f>IF(AA$3&lt;-#REF!,"",INDEX(#REF!,#REF!-AA$3,$A66))</f>
        <v>#REF!</v>
      </c>
      <c r="AB66" s="2" t="e">
        <f>IF(AB$3&lt;-#REF!,"",INDEX(#REF!,#REF!-AB$3,$A66))</f>
        <v>#REF!</v>
      </c>
      <c r="AC66" s="2" t="e">
        <f>IF(AC$3&lt;-#REF!,"",INDEX(#REF!,#REF!-AC$3,$A66))</f>
        <v>#REF!</v>
      </c>
      <c r="AD66" s="2" t="e">
        <f>IF(AD$3&lt;-#REF!,"",INDEX(#REF!,#REF!-AD$3,$A66))</f>
        <v>#REF!</v>
      </c>
      <c r="AE66" s="2" t="e">
        <f>IF(AE$3&lt;-#REF!,"",INDEX(#REF!,#REF!-AE$3,$A66))</f>
        <v>#REF!</v>
      </c>
      <c r="AF66" s="2" t="e">
        <f>IF(AF$3&lt;-#REF!,"",INDEX(#REF!,#REF!-AF$3,$A66))</f>
        <v>#REF!</v>
      </c>
      <c r="AG66" s="4" t="e">
        <f>IF(AG$3&lt;-#REF!,"",INDEX(#REF!,#REF!-AG$3,$A66))</f>
        <v>#REF!</v>
      </c>
      <c r="AH66" s="49" t="e">
        <f>$AG66</f>
        <v>#REF!</v>
      </c>
      <c r="AI66" s="49" t="e">
        <f>AH66</f>
        <v>#REF!</v>
      </c>
      <c r="AJ66" s="106" t="e">
        <f>AI66</f>
        <v>#REF!</v>
      </c>
      <c r="AM66" s="49" t="e">
        <f>$AG66</f>
        <v>#REF!</v>
      </c>
      <c r="AN66" s="49" t="e">
        <f>AM66</f>
        <v>#REF!</v>
      </c>
      <c r="AO66" s="49" t="e">
        <f>AN66</f>
        <v>#REF!</v>
      </c>
    </row>
    <row r="67" spans="1:41">
      <c r="A67" s="35" t="e">
        <f>#REF!</f>
        <v>#REF!</v>
      </c>
      <c r="B67" s="150" t="s">
        <v>32</v>
      </c>
      <c r="C67" s="150"/>
      <c r="D67" s="2" t="e">
        <f>IF(D$3&lt;-#REF!,"",INDEX(#REF!,#REF!-D$3,$A67))</f>
        <v>#REF!</v>
      </c>
      <c r="E67" s="2" t="e">
        <f>IF(E$3&lt;-#REF!,"",INDEX(#REF!,#REF!-E$3,$A67))</f>
        <v>#REF!</v>
      </c>
      <c r="F67" s="2" t="e">
        <f>IF(F$3&lt;-#REF!,"",INDEX(#REF!,#REF!-F$3,$A67))</f>
        <v>#REF!</v>
      </c>
      <c r="G67" s="2" t="e">
        <f>IF(G$3&lt;-#REF!,"",INDEX(#REF!,#REF!-G$3,$A67))</f>
        <v>#REF!</v>
      </c>
      <c r="H67" s="2" t="e">
        <f>IF(H$3&lt;-#REF!,"",INDEX(#REF!,#REF!-H$3,$A67))</f>
        <v>#REF!</v>
      </c>
      <c r="I67" s="2" t="e">
        <f>IF(I$3&lt;-#REF!,"",INDEX(#REF!,#REF!-I$3,$A67))</f>
        <v>#REF!</v>
      </c>
      <c r="J67" s="2" t="e">
        <f>IF(J$3&lt;-#REF!,"",INDEX(#REF!,#REF!-J$3,$A67))</f>
        <v>#REF!</v>
      </c>
      <c r="K67" s="2" t="e">
        <f>IF(K$3&lt;-#REF!,"",INDEX(#REF!,#REF!-K$3,$A67))</f>
        <v>#REF!</v>
      </c>
      <c r="L67" s="2" t="e">
        <f>IF(L$3&lt;-#REF!,"",INDEX(#REF!,#REF!-L$3,$A67))</f>
        <v>#REF!</v>
      </c>
      <c r="M67" s="2" t="e">
        <f>IF(M$3&lt;-#REF!,"",INDEX(#REF!,#REF!-M$3,$A67))</f>
        <v>#REF!</v>
      </c>
      <c r="N67" s="2" t="e">
        <f>IF(N$3&lt;-#REF!,"",INDEX(#REF!,#REF!-N$3,$A67))</f>
        <v>#REF!</v>
      </c>
      <c r="O67" s="2" t="e">
        <f>IF(O$3&lt;-#REF!,"",INDEX(#REF!,#REF!-O$3,$A67))</f>
        <v>#REF!</v>
      </c>
      <c r="P67" s="2" t="e">
        <f>IF(P$3&lt;-#REF!,"",INDEX(#REF!,#REF!-P$3,$A67))</f>
        <v>#REF!</v>
      </c>
      <c r="Q67" s="2" t="e">
        <f>IF(Q$3&lt;-#REF!,"",INDEX(#REF!,#REF!-Q$3,$A67))</f>
        <v>#REF!</v>
      </c>
      <c r="R67" s="2" t="e">
        <f>IF(R$3&lt;-#REF!,"",INDEX(#REF!,#REF!-R$3,$A67))</f>
        <v>#REF!</v>
      </c>
      <c r="S67" s="2" t="e">
        <f>IF(S$3&lt;-#REF!,"",INDEX(#REF!,#REF!-S$3,$A67))</f>
        <v>#REF!</v>
      </c>
      <c r="T67" s="2" t="e">
        <f>IF(T$3&lt;-#REF!,"",INDEX(#REF!,#REF!-T$3,$A67))</f>
        <v>#REF!</v>
      </c>
      <c r="U67" s="2" t="e">
        <f>IF(U$3&lt;-#REF!,"",INDEX(#REF!,#REF!-U$3,$A67))</f>
        <v>#REF!</v>
      </c>
      <c r="V67" s="2" t="e">
        <f>IF(V$3&lt;-#REF!,"",INDEX(#REF!,#REF!-V$3,$A67))</f>
        <v>#REF!</v>
      </c>
      <c r="W67" s="2" t="e">
        <f>IF(W$3&lt;-#REF!,"",INDEX(#REF!,#REF!-W$3,$A67))</f>
        <v>#REF!</v>
      </c>
      <c r="X67" s="2" t="e">
        <f>IF(X$3&lt;-#REF!,"",INDEX(#REF!,#REF!-X$3,$A67))</f>
        <v>#REF!</v>
      </c>
      <c r="Y67" s="2" t="e">
        <f>IF(Y$3&lt;-#REF!,"",INDEX(#REF!,#REF!-Y$3,$A67))</f>
        <v>#REF!</v>
      </c>
      <c r="Z67" s="2" t="e">
        <f>IF(Z$3&lt;-#REF!,"",INDEX(#REF!,#REF!-Z$3,$A67))</f>
        <v>#REF!</v>
      </c>
      <c r="AA67" s="2" t="e">
        <f>IF(AA$3&lt;-#REF!,"",INDEX(#REF!,#REF!-AA$3,$A67))</f>
        <v>#REF!</v>
      </c>
      <c r="AB67" s="2" t="e">
        <f>IF(AB$3&lt;-#REF!,"",INDEX(#REF!,#REF!-AB$3,$A67))</f>
        <v>#REF!</v>
      </c>
      <c r="AC67" s="2" t="e">
        <f>IF(AC$3&lt;-#REF!,"",INDEX(#REF!,#REF!-AC$3,$A67))</f>
        <v>#REF!</v>
      </c>
      <c r="AD67" s="2" t="e">
        <f>IF(AD$3&lt;-#REF!,"",INDEX(#REF!,#REF!-AD$3,$A67))</f>
        <v>#REF!</v>
      </c>
      <c r="AE67" s="2" t="e">
        <f>IF(AE$3&lt;-#REF!,"",INDEX(#REF!,#REF!-AE$3,$A67))</f>
        <v>#REF!</v>
      </c>
      <c r="AF67" s="2" t="e">
        <f>IF(AF$3&lt;-#REF!,"",INDEX(#REF!,#REF!-AF$3,$A67))</f>
        <v>#REF!</v>
      </c>
      <c r="AG67" s="4" t="e">
        <f>IF(AG$3&lt;-#REF!,"",INDEX(#REF!,#REF!-AG$3,$A67))</f>
        <v>#REF!</v>
      </c>
      <c r="AH67" s="190" t="e">
        <f>$AG72-(AH28-$AG28)+(AH7-$AG7)+(AH37-$AG37)+(AH42-$AG42)</f>
        <v>#REF!</v>
      </c>
      <c r="AI67" s="190" t="e">
        <f>AH67-(AI28-AH28)+(AI7-AH7)+(AI37-AH37)+(AI42-AH42)</f>
        <v>#REF!</v>
      </c>
      <c r="AJ67" s="191" t="e">
        <f>AI67-(AJ28-AI28)+(AJ7-AI7)+(AJ37-AI37)+(AJ42-AI42)</f>
        <v>#REF!</v>
      </c>
      <c r="AK67" s="192"/>
      <c r="AL67" s="40"/>
      <c r="AM67" s="193" t="e">
        <f>$AG67-(AM28-$AG28)+(AM7-$AG7)+(AM37-$AG37)+(AM42-$AG42)</f>
        <v>#REF!</v>
      </c>
      <c r="AN67" s="193" t="e">
        <f>AM67-(AN28-AM28)+(AN7-AM7)+(AN37-AM37)+(AN42-AM42)</f>
        <v>#REF!</v>
      </c>
      <c r="AO67" s="193" t="e">
        <f>AN67-(AO28-AN28)+(AO7-AN7)+(AO37-AN37)+(AO42-AN42)</f>
        <v>#REF!</v>
      </c>
    </row>
    <row r="68" spans="1:41" ht="15.75" thickBot="1">
      <c r="A68" s="75"/>
      <c r="B68" s="150"/>
      <c r="C68" s="150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84"/>
      <c r="AH68" s="193"/>
      <c r="AI68" s="193"/>
      <c r="AJ68" s="194"/>
      <c r="AM68" s="193"/>
      <c r="AN68" s="193"/>
      <c r="AO68" s="193"/>
    </row>
    <row r="69" spans="1:41" s="40" customFormat="1" ht="15.75" thickBot="1">
      <c r="A69" s="195"/>
      <c r="B69" s="196" t="s">
        <v>33</v>
      </c>
      <c r="C69" s="196"/>
      <c r="D69" s="197" t="e">
        <f t="shared" ref="D69:AE69" si="22">IF(D4=1,3%,"")</f>
        <v>#REF!</v>
      </c>
      <c r="E69" s="197" t="e">
        <f t="shared" si="22"/>
        <v>#REF!</v>
      </c>
      <c r="F69" s="197" t="e">
        <f t="shared" si="22"/>
        <v>#REF!</v>
      </c>
      <c r="G69" s="197" t="e">
        <f t="shared" si="22"/>
        <v>#REF!</v>
      </c>
      <c r="H69" s="197" t="e">
        <f t="shared" si="22"/>
        <v>#REF!</v>
      </c>
      <c r="I69" s="197" t="e">
        <f t="shared" si="22"/>
        <v>#REF!</v>
      </c>
      <c r="J69" s="197" t="e">
        <f t="shared" si="22"/>
        <v>#REF!</v>
      </c>
      <c r="K69" s="197" t="e">
        <f t="shared" si="22"/>
        <v>#REF!</v>
      </c>
      <c r="L69" s="197" t="e">
        <f t="shared" si="22"/>
        <v>#REF!</v>
      </c>
      <c r="M69" s="197" t="e">
        <f t="shared" si="22"/>
        <v>#REF!</v>
      </c>
      <c r="N69" s="197" t="e">
        <f t="shared" si="22"/>
        <v>#REF!</v>
      </c>
      <c r="O69" s="197" t="e">
        <f t="shared" si="22"/>
        <v>#REF!</v>
      </c>
      <c r="P69" s="197" t="e">
        <f t="shared" si="22"/>
        <v>#REF!</v>
      </c>
      <c r="Q69" s="197" t="e">
        <f t="shared" si="22"/>
        <v>#REF!</v>
      </c>
      <c r="R69" s="197" t="e">
        <f t="shared" si="22"/>
        <v>#REF!</v>
      </c>
      <c r="S69" s="197" t="e">
        <f t="shared" si="22"/>
        <v>#REF!</v>
      </c>
      <c r="T69" s="197" t="e">
        <f t="shared" si="22"/>
        <v>#REF!</v>
      </c>
      <c r="U69" s="197" t="e">
        <f t="shared" si="22"/>
        <v>#REF!</v>
      </c>
      <c r="V69" s="197" t="e">
        <f t="shared" si="22"/>
        <v>#REF!</v>
      </c>
      <c r="W69" s="197" t="e">
        <f t="shared" si="22"/>
        <v>#REF!</v>
      </c>
      <c r="X69" s="197" t="e">
        <f t="shared" si="22"/>
        <v>#REF!</v>
      </c>
      <c r="Y69" s="197" t="e">
        <f t="shared" si="22"/>
        <v>#REF!</v>
      </c>
      <c r="Z69" s="197" t="e">
        <f t="shared" si="22"/>
        <v>#REF!</v>
      </c>
      <c r="AA69" s="197" t="e">
        <f t="shared" si="22"/>
        <v>#REF!</v>
      </c>
      <c r="AB69" s="197" t="e">
        <f t="shared" si="22"/>
        <v>#REF!</v>
      </c>
      <c r="AC69" s="197" t="e">
        <f t="shared" si="22"/>
        <v>#REF!</v>
      </c>
      <c r="AD69" s="197" t="e">
        <f t="shared" si="22"/>
        <v>#REF!</v>
      </c>
      <c r="AE69" s="197" t="e">
        <f t="shared" si="22"/>
        <v>#REF!</v>
      </c>
      <c r="AF69" s="197" t="e">
        <f>IF(AF4=1,3%,"")</f>
        <v>#REF!</v>
      </c>
      <c r="AG69" s="198">
        <v>0.03</v>
      </c>
      <c r="AH69" s="199">
        <f>$AG69</f>
        <v>0.03</v>
      </c>
      <c r="AI69" s="198">
        <f>AH69</f>
        <v>0.03</v>
      </c>
      <c r="AJ69" s="200">
        <f>AI69</f>
        <v>0.03</v>
      </c>
      <c r="AK69" s="192"/>
      <c r="AM69" s="201">
        <f>$AG69</f>
        <v>0.03</v>
      </c>
      <c r="AN69" s="201">
        <f>AM69</f>
        <v>0.03</v>
      </c>
      <c r="AO69" s="201">
        <f>AN69</f>
        <v>0.03</v>
      </c>
    </row>
    <row r="70" spans="1:41">
      <c r="A70" s="53"/>
      <c r="B70" s="202" t="s">
        <v>10</v>
      </c>
      <c r="C70" s="202"/>
      <c r="D70" s="49" t="e">
        <f>IF(D4=1,IFERROR(D69*#REF!,0),"")</f>
        <v>#REF!</v>
      </c>
      <c r="E70" s="49" t="e">
        <f>IF(E4=1,IFERROR(E69*#REF!,0),"")</f>
        <v>#REF!</v>
      </c>
      <c r="F70" s="49" t="e">
        <f>IF(F4=1,IFERROR(F69*#REF!,0),"")</f>
        <v>#REF!</v>
      </c>
      <c r="G70" s="49" t="e">
        <f>IF(G4=1,IFERROR(G69*#REF!,0),"")</f>
        <v>#REF!</v>
      </c>
      <c r="H70" s="49" t="e">
        <f>IF(H4=1,IFERROR(H69*#REF!,0),"")</f>
        <v>#REF!</v>
      </c>
      <c r="I70" s="49" t="e">
        <f>IF(I4=1,IFERROR(I69*#REF!,0),"")</f>
        <v>#REF!</v>
      </c>
      <c r="J70" s="49" t="e">
        <f>IF(J4=1,IFERROR(J69*#REF!,0),"")</f>
        <v>#REF!</v>
      </c>
      <c r="K70" s="49" t="e">
        <f>IF(K4=1,IFERROR(K69*#REF!,0),"")</f>
        <v>#REF!</v>
      </c>
      <c r="L70" s="49" t="e">
        <f>IF(L4=1,IFERROR(L69*#REF!,0),"")</f>
        <v>#REF!</v>
      </c>
      <c r="M70" s="49" t="e">
        <f>IF(M4=1,IFERROR(M69*#REF!,0),"")</f>
        <v>#REF!</v>
      </c>
      <c r="N70" s="49" t="e">
        <f>IF(N4=1,IFERROR(N69*#REF!,0),"")</f>
        <v>#REF!</v>
      </c>
      <c r="O70" s="49" t="e">
        <f>IF(O4=1,IFERROR(O69*#REF!,0),"")</f>
        <v>#REF!</v>
      </c>
      <c r="P70" s="49" t="e">
        <f>IF(P4=1,IFERROR(P69*#REF!,0),"")</f>
        <v>#REF!</v>
      </c>
      <c r="Q70" s="49" t="e">
        <f>IF(Q4=1,IFERROR(Q69*#REF!,0),"")</f>
        <v>#REF!</v>
      </c>
      <c r="R70" s="49" t="e">
        <f>IF(R4=1,IFERROR(R69*#REF!,0),"")</f>
        <v>#REF!</v>
      </c>
      <c r="S70" s="49" t="e">
        <f>IF(S4=1,IFERROR(S69*#REF!,0),"")</f>
        <v>#REF!</v>
      </c>
      <c r="T70" s="49" t="e">
        <f>IF(T4=1,IFERROR(T69*#REF!,0),"")</f>
        <v>#REF!</v>
      </c>
      <c r="U70" s="49" t="e">
        <f>IF(U4=1,IFERROR(U69*#REF!,0),"")</f>
        <v>#REF!</v>
      </c>
      <c r="V70" s="49" t="e">
        <f>IF(V4=1,IFERROR(V69*#REF!,0),"")</f>
        <v>#REF!</v>
      </c>
      <c r="W70" s="49" t="e">
        <f>IF(W4=1,IFERROR(W69*#REF!,0),"")</f>
        <v>#REF!</v>
      </c>
      <c r="X70" s="49" t="e">
        <f>IF(X4=1,IFERROR(X69*#REF!,0),"")</f>
        <v>#REF!</v>
      </c>
      <c r="Y70" s="49" t="e">
        <f>IF(Y4=1,IFERROR(Y69*#REF!,0),"")</f>
        <v>#REF!</v>
      </c>
      <c r="Z70" s="49" t="e">
        <f>IF(Z4=1,IFERROR(Z69*#REF!,0),"")</f>
        <v>#REF!</v>
      </c>
      <c r="AA70" s="49" t="e">
        <f>IF(AA4=1,IFERROR(AA69*#REF!,0),"")</f>
        <v>#REF!</v>
      </c>
      <c r="AB70" s="49" t="e">
        <f>IF(AB4=1,IFERROR(AB69*#REF!,0),"")</f>
        <v>#REF!</v>
      </c>
      <c r="AC70" s="49" t="e">
        <f>IF(AC4=1,IFERROR(AC69*#REF!,0),"")</f>
        <v>#REF!</v>
      </c>
      <c r="AD70" s="49" t="e">
        <f>IF(AD4=1,IFERROR(AD69*#REF!,0),"")</f>
        <v>#REF!</v>
      </c>
      <c r="AE70" s="49" t="e">
        <f>IF(AE4=1,IFERROR(AE69*#REF!,0),"")</f>
        <v>#REF!</v>
      </c>
      <c r="AF70" s="49" t="e">
        <f>IF(AF4=1,IFERROR(AF69*#REF!,0),"")</f>
        <v>#REF!</v>
      </c>
      <c r="AG70" s="106" t="e">
        <f>IF(AG4=1,IFERROR(AG69*#REF!,0),"")</f>
        <v>#REF!</v>
      </c>
      <c r="AH70" s="49" t="e">
        <f>AH69*#REF!</f>
        <v>#REF!</v>
      </c>
      <c r="AI70" s="49" t="e">
        <f>AI69*#REF!</f>
        <v>#REF!</v>
      </c>
      <c r="AJ70" s="106" t="e">
        <f>AJ69*#REF!</f>
        <v>#REF!</v>
      </c>
      <c r="AM70" s="49" t="e">
        <f>AM69*#REF!</f>
        <v>#REF!</v>
      </c>
      <c r="AN70" s="49" t="e">
        <f>AN69*#REF!</f>
        <v>#REF!</v>
      </c>
      <c r="AO70" s="49" t="e">
        <f>AO69*#REF!</f>
        <v>#REF!</v>
      </c>
    </row>
    <row r="71" spans="1:41">
      <c r="A71" s="53"/>
      <c r="B71" s="76" t="str">
        <f>B30</f>
        <v>Excess Cash</v>
      </c>
      <c r="C71" s="76"/>
      <c r="D71" s="49" t="str">
        <f t="shared" ref="D71:AG71" si="23">IFERROR(D72-D70,"")</f>
        <v/>
      </c>
      <c r="E71" s="49" t="str">
        <f t="shared" si="23"/>
        <v/>
      </c>
      <c r="F71" s="49" t="str">
        <f t="shared" si="23"/>
        <v/>
      </c>
      <c r="G71" s="49" t="str">
        <f t="shared" si="23"/>
        <v/>
      </c>
      <c r="H71" s="49" t="str">
        <f t="shared" si="23"/>
        <v/>
      </c>
      <c r="I71" s="49" t="str">
        <f t="shared" si="23"/>
        <v/>
      </c>
      <c r="J71" s="49" t="str">
        <f t="shared" si="23"/>
        <v/>
      </c>
      <c r="K71" s="49" t="str">
        <f t="shared" si="23"/>
        <v/>
      </c>
      <c r="L71" s="49" t="str">
        <f t="shared" si="23"/>
        <v/>
      </c>
      <c r="M71" s="49" t="str">
        <f t="shared" si="23"/>
        <v/>
      </c>
      <c r="N71" s="49" t="str">
        <f t="shared" si="23"/>
        <v/>
      </c>
      <c r="O71" s="49" t="str">
        <f t="shared" si="23"/>
        <v/>
      </c>
      <c r="P71" s="49" t="str">
        <f t="shared" si="23"/>
        <v/>
      </c>
      <c r="Q71" s="49" t="str">
        <f t="shared" si="23"/>
        <v/>
      </c>
      <c r="R71" s="49" t="str">
        <f t="shared" si="23"/>
        <v/>
      </c>
      <c r="S71" s="49" t="str">
        <f t="shared" si="23"/>
        <v/>
      </c>
      <c r="T71" s="49" t="str">
        <f t="shared" si="23"/>
        <v/>
      </c>
      <c r="U71" s="49" t="str">
        <f t="shared" si="23"/>
        <v/>
      </c>
      <c r="V71" s="49" t="str">
        <f t="shared" si="23"/>
        <v/>
      </c>
      <c r="W71" s="49" t="str">
        <f t="shared" si="23"/>
        <v/>
      </c>
      <c r="X71" s="49" t="str">
        <f t="shared" si="23"/>
        <v/>
      </c>
      <c r="Y71" s="49" t="str">
        <f t="shared" si="23"/>
        <v/>
      </c>
      <c r="Z71" s="49" t="str">
        <f t="shared" si="23"/>
        <v/>
      </c>
      <c r="AA71" s="49" t="str">
        <f t="shared" si="23"/>
        <v/>
      </c>
      <c r="AB71" s="49" t="str">
        <f t="shared" si="23"/>
        <v/>
      </c>
      <c r="AC71" s="49" t="str">
        <f t="shared" si="23"/>
        <v/>
      </c>
      <c r="AD71" s="49" t="str">
        <f t="shared" si="23"/>
        <v/>
      </c>
      <c r="AE71" s="49" t="str">
        <f t="shared" si="23"/>
        <v/>
      </c>
      <c r="AF71" s="49" t="str">
        <f t="shared" si="23"/>
        <v/>
      </c>
      <c r="AG71" s="106" t="str">
        <f t="shared" si="23"/>
        <v/>
      </c>
      <c r="AH71" s="49" t="e">
        <f>AH67-AH70</f>
        <v>#REF!</v>
      </c>
      <c r="AI71" s="49" t="e">
        <f>AI67-AI70</f>
        <v>#REF!</v>
      </c>
      <c r="AJ71" s="106" t="e">
        <f>AJ67-AJ70</f>
        <v>#REF!</v>
      </c>
      <c r="AM71" s="49" t="e">
        <f>AM67-AM70</f>
        <v>#REF!</v>
      </c>
      <c r="AN71" s="49" t="e">
        <f>AN67-AN70</f>
        <v>#REF!</v>
      </c>
      <c r="AO71" s="49" t="e">
        <f>AO67-AO70</f>
        <v>#REF!</v>
      </c>
    </row>
    <row r="72" spans="1:41" s="40" customFormat="1">
      <c r="A72" s="56"/>
      <c r="B72" s="150" t="s">
        <v>32</v>
      </c>
      <c r="C72" s="150"/>
      <c r="D72" s="131" t="e">
        <f t="shared" ref="D72:AG72" si="24">D67</f>
        <v>#REF!</v>
      </c>
      <c r="E72" s="131" t="e">
        <f t="shared" si="24"/>
        <v>#REF!</v>
      </c>
      <c r="F72" s="131" t="e">
        <f t="shared" si="24"/>
        <v>#REF!</v>
      </c>
      <c r="G72" s="131" t="e">
        <f t="shared" si="24"/>
        <v>#REF!</v>
      </c>
      <c r="H72" s="131" t="e">
        <f t="shared" si="24"/>
        <v>#REF!</v>
      </c>
      <c r="I72" s="131" t="e">
        <f t="shared" si="24"/>
        <v>#REF!</v>
      </c>
      <c r="J72" s="131" t="e">
        <f t="shared" si="24"/>
        <v>#REF!</v>
      </c>
      <c r="K72" s="131" t="e">
        <f t="shared" si="24"/>
        <v>#REF!</v>
      </c>
      <c r="L72" s="131" t="e">
        <f t="shared" si="24"/>
        <v>#REF!</v>
      </c>
      <c r="M72" s="131" t="e">
        <f t="shared" si="24"/>
        <v>#REF!</v>
      </c>
      <c r="N72" s="131" t="e">
        <f t="shared" si="24"/>
        <v>#REF!</v>
      </c>
      <c r="O72" s="131" t="e">
        <f t="shared" si="24"/>
        <v>#REF!</v>
      </c>
      <c r="P72" s="131" t="e">
        <f t="shared" si="24"/>
        <v>#REF!</v>
      </c>
      <c r="Q72" s="131" t="e">
        <f t="shared" si="24"/>
        <v>#REF!</v>
      </c>
      <c r="R72" s="131" t="e">
        <f t="shared" si="24"/>
        <v>#REF!</v>
      </c>
      <c r="S72" s="131" t="e">
        <f t="shared" si="24"/>
        <v>#REF!</v>
      </c>
      <c r="T72" s="131" t="e">
        <f t="shared" si="24"/>
        <v>#REF!</v>
      </c>
      <c r="U72" s="131" t="e">
        <f t="shared" si="24"/>
        <v>#REF!</v>
      </c>
      <c r="V72" s="131" t="e">
        <f t="shared" si="24"/>
        <v>#REF!</v>
      </c>
      <c r="W72" s="131" t="e">
        <f t="shared" si="24"/>
        <v>#REF!</v>
      </c>
      <c r="X72" s="131" t="e">
        <f t="shared" si="24"/>
        <v>#REF!</v>
      </c>
      <c r="Y72" s="131" t="e">
        <f t="shared" si="24"/>
        <v>#REF!</v>
      </c>
      <c r="Z72" s="131" t="e">
        <f t="shared" si="24"/>
        <v>#REF!</v>
      </c>
      <c r="AA72" s="131" t="e">
        <f t="shared" si="24"/>
        <v>#REF!</v>
      </c>
      <c r="AB72" s="131" t="e">
        <f t="shared" si="24"/>
        <v>#REF!</v>
      </c>
      <c r="AC72" s="131" t="e">
        <f t="shared" si="24"/>
        <v>#REF!</v>
      </c>
      <c r="AD72" s="131" t="e">
        <f t="shared" si="24"/>
        <v>#REF!</v>
      </c>
      <c r="AE72" s="131" t="e">
        <f t="shared" si="24"/>
        <v>#REF!</v>
      </c>
      <c r="AF72" s="131" t="e">
        <f t="shared" si="24"/>
        <v>#REF!</v>
      </c>
      <c r="AG72" s="132" t="e">
        <f t="shared" si="24"/>
        <v>#REF!</v>
      </c>
      <c r="AH72" s="131" t="e">
        <f>SUM(AH70:AH71)</f>
        <v>#REF!</v>
      </c>
      <c r="AI72" s="131" t="e">
        <f>SUM(AI70:AI71)</f>
        <v>#REF!</v>
      </c>
      <c r="AJ72" s="132" t="e">
        <f>SUM(AJ70:AJ71)</f>
        <v>#REF!</v>
      </c>
      <c r="AM72" s="131" t="e">
        <f>SUM(AM70:AM71)</f>
        <v>#REF!</v>
      </c>
      <c r="AN72" s="131" t="e">
        <f>SUM(AN70:AN71)</f>
        <v>#REF!</v>
      </c>
      <c r="AO72" s="131" t="e">
        <f>SUM(AO70:AO71)</f>
        <v>#REF!</v>
      </c>
    </row>
    <row r="73" spans="1:41" s="40" customFormat="1">
      <c r="A73" s="56"/>
      <c r="B73" s="203" t="s">
        <v>34</v>
      </c>
      <c r="C73" s="203"/>
      <c r="D73" s="204" t="str">
        <f>IFERROR(D72/#REF!,"")</f>
        <v/>
      </c>
      <c r="E73" s="204" t="str">
        <f>IFERROR(E72/#REF!,"")</f>
        <v/>
      </c>
      <c r="F73" s="204" t="str">
        <f>IFERROR(F72/#REF!,"")</f>
        <v/>
      </c>
      <c r="G73" s="204" t="str">
        <f>IFERROR(G72/#REF!,"")</f>
        <v/>
      </c>
      <c r="H73" s="204" t="str">
        <f>IFERROR(H72/#REF!,"")</f>
        <v/>
      </c>
      <c r="I73" s="204" t="str">
        <f>IFERROR(I72/#REF!,"")</f>
        <v/>
      </c>
      <c r="J73" s="204" t="str">
        <f>IFERROR(J72/#REF!,"")</f>
        <v/>
      </c>
      <c r="K73" s="204" t="str">
        <f>IFERROR(K72/#REF!,"")</f>
        <v/>
      </c>
      <c r="L73" s="204" t="str">
        <f>IFERROR(L72/#REF!,"")</f>
        <v/>
      </c>
      <c r="M73" s="204" t="str">
        <f>IFERROR(M72/#REF!,"")</f>
        <v/>
      </c>
      <c r="N73" s="204" t="str">
        <f>IFERROR(N72/#REF!,"")</f>
        <v/>
      </c>
      <c r="O73" s="204" t="str">
        <f>IFERROR(O72/#REF!,"")</f>
        <v/>
      </c>
      <c r="P73" s="204" t="str">
        <f>IFERROR(P72/#REF!,"")</f>
        <v/>
      </c>
      <c r="Q73" s="204" t="str">
        <f>IFERROR(Q72/#REF!,"")</f>
        <v/>
      </c>
      <c r="R73" s="204" t="str">
        <f>IFERROR(R72/#REF!,"")</f>
        <v/>
      </c>
      <c r="S73" s="204" t="str">
        <f>IFERROR(S72/#REF!,"")</f>
        <v/>
      </c>
      <c r="T73" s="204" t="str">
        <f>IFERROR(T72/#REF!,"")</f>
        <v/>
      </c>
      <c r="U73" s="204" t="str">
        <f>IFERROR(U72/#REF!,"")</f>
        <v/>
      </c>
      <c r="V73" s="204" t="str">
        <f>IFERROR(V72/#REF!,"")</f>
        <v/>
      </c>
      <c r="W73" s="204" t="str">
        <f>IFERROR(W72/#REF!,"")</f>
        <v/>
      </c>
      <c r="X73" s="204" t="str">
        <f>IFERROR(X72/#REF!,"")</f>
        <v/>
      </c>
      <c r="Y73" s="204" t="str">
        <f>IFERROR(Y72/#REF!,"")</f>
        <v/>
      </c>
      <c r="Z73" s="204" t="str">
        <f>IFERROR(Z72/#REF!,"")</f>
        <v/>
      </c>
      <c r="AA73" s="204" t="str">
        <f>IFERROR(AA72/#REF!,"")</f>
        <v/>
      </c>
      <c r="AB73" s="204" t="str">
        <f>IFERROR(AB72/#REF!,"")</f>
        <v/>
      </c>
      <c r="AC73" s="204" t="str">
        <f>IFERROR(AC72/#REF!,"")</f>
        <v/>
      </c>
      <c r="AD73" s="204" t="str">
        <f>IFERROR(AD72/#REF!,"")</f>
        <v/>
      </c>
      <c r="AE73" s="204" t="str">
        <f>IFERROR(AE72/#REF!,"")</f>
        <v/>
      </c>
      <c r="AF73" s="204" t="str">
        <f>IFERROR(AF72/#REF!,"")</f>
        <v/>
      </c>
      <c r="AG73" s="205" t="str">
        <f>IFERROR(AG72/#REF!,"")</f>
        <v/>
      </c>
      <c r="AH73" s="204" t="e">
        <f>AH72/#REF!</f>
        <v>#REF!</v>
      </c>
      <c r="AI73" s="206" t="e">
        <f>AI72/#REF!</f>
        <v>#REF!</v>
      </c>
      <c r="AJ73" s="205" t="e">
        <f>AJ72/#REF!</f>
        <v>#REF!</v>
      </c>
      <c r="AM73" s="204" t="e">
        <f>AM72/#REF!</f>
        <v>#REF!</v>
      </c>
      <c r="AN73" s="204" t="e">
        <f>AN72/#REF!</f>
        <v>#REF!</v>
      </c>
      <c r="AO73" s="204" t="e">
        <f>AO72/#REF!</f>
        <v>#REF!</v>
      </c>
    </row>
    <row r="74" spans="1:41" s="40" customFormat="1">
      <c r="A74" s="56"/>
      <c r="B74" s="207"/>
      <c r="C74" s="207"/>
      <c r="D74" s="208"/>
      <c r="E74" s="208"/>
      <c r="F74" s="208"/>
      <c r="G74" s="208"/>
      <c r="H74" s="208"/>
      <c r="I74" s="208"/>
      <c r="J74" s="208"/>
      <c r="K74" s="208"/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  <c r="AF74" s="208"/>
      <c r="AG74" s="209"/>
      <c r="AH74" s="208"/>
      <c r="AI74" s="39"/>
      <c r="AJ74" s="209"/>
      <c r="AK74" s="192"/>
    </row>
    <row r="75" spans="1:41">
      <c r="A75" s="53"/>
      <c r="B75" s="150" t="s">
        <v>35</v>
      </c>
      <c r="C75" s="150"/>
      <c r="D75" s="161" t="str">
        <f t="shared" ref="D75:AG75" si="25">IFERROR(D67-D37,"")</f>
        <v/>
      </c>
      <c r="E75" s="161" t="str">
        <f t="shared" si="25"/>
        <v/>
      </c>
      <c r="F75" s="161" t="str">
        <f t="shared" si="25"/>
        <v/>
      </c>
      <c r="G75" s="161" t="str">
        <f t="shared" si="25"/>
        <v/>
      </c>
      <c r="H75" s="161" t="str">
        <f t="shared" si="25"/>
        <v/>
      </c>
      <c r="I75" s="161" t="str">
        <f t="shared" si="25"/>
        <v/>
      </c>
      <c r="J75" s="161" t="str">
        <f t="shared" si="25"/>
        <v/>
      </c>
      <c r="K75" s="161" t="str">
        <f t="shared" si="25"/>
        <v/>
      </c>
      <c r="L75" s="161" t="str">
        <f t="shared" si="25"/>
        <v/>
      </c>
      <c r="M75" s="161" t="str">
        <f t="shared" si="25"/>
        <v/>
      </c>
      <c r="N75" s="161" t="str">
        <f t="shared" si="25"/>
        <v/>
      </c>
      <c r="O75" s="161" t="str">
        <f t="shared" si="25"/>
        <v/>
      </c>
      <c r="P75" s="161" t="str">
        <f t="shared" si="25"/>
        <v/>
      </c>
      <c r="Q75" s="161" t="str">
        <f t="shared" si="25"/>
        <v/>
      </c>
      <c r="R75" s="161" t="str">
        <f t="shared" si="25"/>
        <v/>
      </c>
      <c r="S75" s="161" t="str">
        <f t="shared" si="25"/>
        <v/>
      </c>
      <c r="T75" s="161" t="str">
        <f t="shared" si="25"/>
        <v/>
      </c>
      <c r="U75" s="161" t="str">
        <f t="shared" si="25"/>
        <v/>
      </c>
      <c r="V75" s="161" t="str">
        <f t="shared" si="25"/>
        <v/>
      </c>
      <c r="W75" s="161" t="str">
        <f t="shared" si="25"/>
        <v/>
      </c>
      <c r="X75" s="161" t="str">
        <f t="shared" si="25"/>
        <v/>
      </c>
      <c r="Y75" s="161" t="str">
        <f t="shared" si="25"/>
        <v/>
      </c>
      <c r="Z75" s="161" t="str">
        <f t="shared" si="25"/>
        <v/>
      </c>
      <c r="AA75" s="161" t="str">
        <f t="shared" si="25"/>
        <v/>
      </c>
      <c r="AB75" s="161" t="str">
        <f t="shared" si="25"/>
        <v/>
      </c>
      <c r="AC75" s="161" t="str">
        <f t="shared" si="25"/>
        <v/>
      </c>
      <c r="AD75" s="161" t="str">
        <f t="shared" si="25"/>
        <v/>
      </c>
      <c r="AE75" s="161" t="str">
        <f t="shared" si="25"/>
        <v/>
      </c>
      <c r="AF75" s="161" t="str">
        <f t="shared" si="25"/>
        <v/>
      </c>
      <c r="AG75" s="162" t="str">
        <f t="shared" si="25"/>
        <v/>
      </c>
      <c r="AH75" s="161" t="e">
        <f>AH67-AH37</f>
        <v>#REF!</v>
      </c>
      <c r="AI75" s="161" t="e">
        <f>AI67-AI37</f>
        <v>#REF!</v>
      </c>
      <c r="AJ75" s="162" t="e">
        <f>AJ67-AJ37</f>
        <v>#REF!</v>
      </c>
      <c r="AM75" s="161" t="e">
        <f>AM67-AM37</f>
        <v>#REF!</v>
      </c>
      <c r="AN75" s="161" t="e">
        <f>AN67-AN37</f>
        <v>#REF!</v>
      </c>
      <c r="AO75" s="161" t="e">
        <f>AO67-AO37</f>
        <v>#REF!</v>
      </c>
    </row>
    <row r="76" spans="1:41">
      <c r="A76" s="53"/>
      <c r="B76" s="150" t="s">
        <v>36</v>
      </c>
      <c r="C76" s="150"/>
      <c r="D76" s="164" t="str">
        <f>IFERROR(D75/#REF!,"")</f>
        <v/>
      </c>
      <c r="E76" s="164" t="str">
        <f>IFERROR(E75/#REF!,"")</f>
        <v/>
      </c>
      <c r="F76" s="164" t="str">
        <f>IFERROR(F75/#REF!,"")</f>
        <v/>
      </c>
      <c r="G76" s="164" t="str">
        <f>IFERROR(G75/#REF!,"")</f>
        <v/>
      </c>
      <c r="H76" s="164" t="str">
        <f>IFERROR(H75/#REF!,"")</f>
        <v/>
      </c>
      <c r="I76" s="164" t="str">
        <f>IFERROR(I75/#REF!,"")</f>
        <v/>
      </c>
      <c r="J76" s="164" t="str">
        <f>IFERROR(J75/#REF!,"")</f>
        <v/>
      </c>
      <c r="K76" s="164" t="str">
        <f>IFERROR(K75/#REF!,"")</f>
        <v/>
      </c>
      <c r="L76" s="164" t="str">
        <f>IFERROR(L75/#REF!,"")</f>
        <v/>
      </c>
      <c r="M76" s="164" t="str">
        <f>IFERROR(M75/#REF!,"")</f>
        <v/>
      </c>
      <c r="N76" s="164" t="str">
        <f>IFERROR(N75/#REF!,"")</f>
        <v/>
      </c>
      <c r="O76" s="164" t="str">
        <f>IFERROR(O75/#REF!,"")</f>
        <v/>
      </c>
      <c r="P76" s="164" t="str">
        <f>IFERROR(P75/#REF!,"")</f>
        <v/>
      </c>
      <c r="Q76" s="164" t="str">
        <f>IFERROR(Q75/#REF!,"")</f>
        <v/>
      </c>
      <c r="R76" s="164" t="str">
        <f>IFERROR(R75/#REF!,"")</f>
        <v/>
      </c>
      <c r="S76" s="164" t="str">
        <f>IFERROR(S75/#REF!,"")</f>
        <v/>
      </c>
      <c r="T76" s="164" t="str">
        <f>IFERROR(T75/#REF!,"")</f>
        <v/>
      </c>
      <c r="U76" s="164" t="str">
        <f>IFERROR(U75/#REF!,"")</f>
        <v/>
      </c>
      <c r="V76" s="164" t="str">
        <f>IFERROR(V75/#REF!,"")</f>
        <v/>
      </c>
      <c r="W76" s="164" t="str">
        <f>IFERROR(W75/#REF!,"")</f>
        <v/>
      </c>
      <c r="X76" s="164" t="str">
        <f>IFERROR(X75/#REF!,"")</f>
        <v/>
      </c>
      <c r="Y76" s="164" t="str">
        <f>IFERROR(Y75/#REF!,"")</f>
        <v/>
      </c>
      <c r="Z76" s="164" t="str">
        <f>IFERROR(Z75/#REF!,"")</f>
        <v/>
      </c>
      <c r="AA76" s="164" t="str">
        <f>IFERROR(AA75/#REF!,"")</f>
        <v/>
      </c>
      <c r="AB76" s="164" t="str">
        <f>IFERROR(AB75/#REF!,"")</f>
        <v/>
      </c>
      <c r="AC76" s="164" t="str">
        <f>IFERROR(AC75/#REF!,"")</f>
        <v/>
      </c>
      <c r="AD76" s="164" t="str">
        <f>IFERROR(AD75/#REF!,"")</f>
        <v/>
      </c>
      <c r="AE76" s="164" t="str">
        <f>IFERROR(AE75/#REF!,"")</f>
        <v/>
      </c>
      <c r="AF76" s="164" t="str">
        <f>IFERROR(AF75/#REF!,"")</f>
        <v/>
      </c>
      <c r="AG76" s="165" t="str">
        <f>IFERROR(AG75/#REF!,"")</f>
        <v/>
      </c>
      <c r="AH76" s="164" t="str">
        <f>IFERROR(AH75/#REF!,"")</f>
        <v/>
      </c>
      <c r="AI76" s="166" t="str">
        <f>IFERROR(AI75/#REF!,"")</f>
        <v/>
      </c>
      <c r="AJ76" s="165" t="str">
        <f>IFERROR(AJ75/#REF!,"")</f>
        <v/>
      </c>
      <c r="AM76" s="166" t="e">
        <f>AM75/#REF!</f>
        <v>#REF!</v>
      </c>
      <c r="AN76" s="166" t="e">
        <f>AN75/#REF!</f>
        <v>#REF!</v>
      </c>
      <c r="AO76" s="166" t="e">
        <f>AO75/#REF!</f>
        <v>#REF!</v>
      </c>
    </row>
    <row r="77" spans="1:41">
      <c r="A77" s="53"/>
      <c r="B77" s="150"/>
      <c r="C77" s="150"/>
      <c r="D77" s="164"/>
      <c r="E77" s="164"/>
      <c r="F77" s="164"/>
      <c r="G77" s="164"/>
      <c r="H77" s="164"/>
      <c r="I77" s="164"/>
      <c r="J77" s="164"/>
      <c r="K77" s="164"/>
      <c r="L77" s="164"/>
      <c r="M77" s="164"/>
      <c r="N77" s="164"/>
      <c r="O77" s="164"/>
      <c r="P77" s="164"/>
      <c r="Q77" s="164"/>
      <c r="R77" s="164"/>
      <c r="S77" s="164"/>
      <c r="T77" s="164"/>
      <c r="U77" s="164"/>
      <c r="V77" s="164"/>
      <c r="W77" s="164"/>
      <c r="X77" s="164"/>
      <c r="Y77" s="164"/>
      <c r="Z77" s="164"/>
      <c r="AA77" s="164"/>
      <c r="AB77" s="164"/>
      <c r="AC77" s="164"/>
      <c r="AD77" s="164"/>
      <c r="AE77" s="164"/>
      <c r="AF77" s="164"/>
      <c r="AG77" s="165"/>
      <c r="AH77" s="164"/>
      <c r="AI77" s="166"/>
      <c r="AJ77" s="165"/>
      <c r="AM77" s="166"/>
      <c r="AN77" s="166"/>
      <c r="AO77" s="166"/>
    </row>
    <row r="78" spans="1:41">
      <c r="A78" s="53"/>
      <c r="B78" s="150" t="s">
        <v>37</v>
      </c>
      <c r="C78" s="150"/>
      <c r="D78" s="210" t="str">
        <f t="shared" ref="D78:AG78" si="26">IFERROR(D71-D37,"")</f>
        <v/>
      </c>
      <c r="E78" s="210" t="str">
        <f t="shared" si="26"/>
        <v/>
      </c>
      <c r="F78" s="210" t="str">
        <f t="shared" si="26"/>
        <v/>
      </c>
      <c r="G78" s="210" t="str">
        <f t="shared" si="26"/>
        <v/>
      </c>
      <c r="H78" s="210" t="str">
        <f t="shared" si="26"/>
        <v/>
      </c>
      <c r="I78" s="210" t="str">
        <f t="shared" si="26"/>
        <v/>
      </c>
      <c r="J78" s="210" t="str">
        <f t="shared" si="26"/>
        <v/>
      </c>
      <c r="K78" s="210" t="str">
        <f t="shared" si="26"/>
        <v/>
      </c>
      <c r="L78" s="210" t="str">
        <f t="shared" si="26"/>
        <v/>
      </c>
      <c r="M78" s="210" t="str">
        <f t="shared" si="26"/>
        <v/>
      </c>
      <c r="N78" s="210" t="str">
        <f t="shared" si="26"/>
        <v/>
      </c>
      <c r="O78" s="210" t="str">
        <f t="shared" si="26"/>
        <v/>
      </c>
      <c r="P78" s="210" t="str">
        <f t="shared" si="26"/>
        <v/>
      </c>
      <c r="Q78" s="210" t="str">
        <f t="shared" si="26"/>
        <v/>
      </c>
      <c r="R78" s="210" t="str">
        <f t="shared" si="26"/>
        <v/>
      </c>
      <c r="S78" s="210" t="str">
        <f t="shared" si="26"/>
        <v/>
      </c>
      <c r="T78" s="210" t="str">
        <f t="shared" si="26"/>
        <v/>
      </c>
      <c r="U78" s="210" t="str">
        <f t="shared" si="26"/>
        <v/>
      </c>
      <c r="V78" s="210" t="str">
        <f t="shared" si="26"/>
        <v/>
      </c>
      <c r="W78" s="210" t="str">
        <f t="shared" si="26"/>
        <v/>
      </c>
      <c r="X78" s="210" t="str">
        <f t="shared" si="26"/>
        <v/>
      </c>
      <c r="Y78" s="210" t="str">
        <f t="shared" si="26"/>
        <v/>
      </c>
      <c r="Z78" s="210" t="str">
        <f t="shared" si="26"/>
        <v/>
      </c>
      <c r="AA78" s="210" t="str">
        <f t="shared" si="26"/>
        <v/>
      </c>
      <c r="AB78" s="210" t="str">
        <f t="shared" si="26"/>
        <v/>
      </c>
      <c r="AC78" s="210" t="str">
        <f t="shared" si="26"/>
        <v/>
      </c>
      <c r="AD78" s="210" t="str">
        <f t="shared" si="26"/>
        <v/>
      </c>
      <c r="AE78" s="210" t="str">
        <f t="shared" si="26"/>
        <v/>
      </c>
      <c r="AF78" s="210" t="str">
        <f t="shared" si="26"/>
        <v/>
      </c>
      <c r="AG78" s="211" t="str">
        <f t="shared" si="26"/>
        <v/>
      </c>
      <c r="AH78" s="210" t="e">
        <f>AH71-AH37</f>
        <v>#REF!</v>
      </c>
      <c r="AI78" s="212" t="e">
        <f>AI71-AI37</f>
        <v>#REF!</v>
      </c>
      <c r="AJ78" s="211" t="e">
        <f>AJ71-AJ37</f>
        <v>#REF!</v>
      </c>
      <c r="AM78" s="210" t="e">
        <f>AM71-AM37</f>
        <v>#REF!</v>
      </c>
      <c r="AN78" s="212" t="e">
        <f>AN71-AN37</f>
        <v>#REF!</v>
      </c>
      <c r="AO78" s="212" t="e">
        <f>AO71-AO37</f>
        <v>#REF!</v>
      </c>
    </row>
    <row r="79" spans="1:41">
      <c r="A79" s="53"/>
      <c r="B79" s="150" t="s">
        <v>141</v>
      </c>
      <c r="C79" s="150"/>
      <c r="D79" s="164" t="str">
        <f>IFERROR(D78/#REF!,"")</f>
        <v/>
      </c>
      <c r="E79" s="164" t="str">
        <f>IFERROR(E78/#REF!,"")</f>
        <v/>
      </c>
      <c r="F79" s="164" t="str">
        <f>IFERROR(F78/#REF!,"")</f>
        <v/>
      </c>
      <c r="G79" s="164" t="str">
        <f>IFERROR(G78/#REF!,"")</f>
        <v/>
      </c>
      <c r="H79" s="164" t="str">
        <f>IFERROR(H78/#REF!,"")</f>
        <v/>
      </c>
      <c r="I79" s="164" t="str">
        <f>IFERROR(I78/#REF!,"")</f>
        <v/>
      </c>
      <c r="J79" s="164" t="str">
        <f>IFERROR(J78/#REF!,"")</f>
        <v/>
      </c>
      <c r="K79" s="164" t="str">
        <f>IFERROR(K78/#REF!,"")</f>
        <v/>
      </c>
      <c r="L79" s="164" t="str">
        <f>IFERROR(L78/#REF!,"")</f>
        <v/>
      </c>
      <c r="M79" s="164" t="str">
        <f>IFERROR(M78/#REF!,"")</f>
        <v/>
      </c>
      <c r="N79" s="164" t="str">
        <f>IFERROR(N78/#REF!,"")</f>
        <v/>
      </c>
      <c r="O79" s="164" t="str">
        <f>IFERROR(O78/#REF!,"")</f>
        <v/>
      </c>
      <c r="P79" s="164" t="str">
        <f>IFERROR(P78/#REF!,"")</f>
        <v/>
      </c>
      <c r="Q79" s="164" t="str">
        <f>IFERROR(Q78/#REF!,"")</f>
        <v/>
      </c>
      <c r="R79" s="164" t="str">
        <f>IFERROR(R78/#REF!,"")</f>
        <v/>
      </c>
      <c r="S79" s="164" t="str">
        <f>IFERROR(S78/#REF!,"")</f>
        <v/>
      </c>
      <c r="T79" s="164" t="str">
        <f>IFERROR(T78/#REF!,"")</f>
        <v/>
      </c>
      <c r="U79" s="164" t="str">
        <f>IFERROR(U78/#REF!,"")</f>
        <v/>
      </c>
      <c r="V79" s="164" t="str">
        <f>IFERROR(V78/#REF!,"")</f>
        <v/>
      </c>
      <c r="W79" s="164" t="str">
        <f>IFERROR(W78/#REF!,"")</f>
        <v/>
      </c>
      <c r="X79" s="164" t="str">
        <f>IFERROR(X78/#REF!,"")</f>
        <v/>
      </c>
      <c r="Y79" s="164" t="str">
        <f>IFERROR(Y78/#REF!,"")</f>
        <v/>
      </c>
      <c r="Z79" s="164" t="str">
        <f>IFERROR(Z78/#REF!,"")</f>
        <v/>
      </c>
      <c r="AA79" s="164" t="str">
        <f>IFERROR(AA78/#REF!,"")</f>
        <v/>
      </c>
      <c r="AB79" s="164" t="str">
        <f>IFERROR(AB78/#REF!,"")</f>
        <v/>
      </c>
      <c r="AC79" s="164" t="str">
        <f>IFERROR(AC78/#REF!,"")</f>
        <v/>
      </c>
      <c r="AD79" s="164" t="str">
        <f>IFERROR(AD78/#REF!,"")</f>
        <v/>
      </c>
      <c r="AE79" s="164" t="str">
        <f>IFERROR(AE78/#REF!,"")</f>
        <v/>
      </c>
      <c r="AF79" s="164" t="str">
        <f>IFERROR(AF78/#REF!,"")</f>
        <v/>
      </c>
      <c r="AG79" s="165" t="str">
        <f>IFERROR(AG78/#REF!,"")</f>
        <v/>
      </c>
      <c r="AH79" s="164" t="str">
        <f>IFERROR(AH78/#REF!,"")</f>
        <v/>
      </c>
      <c r="AI79" s="166" t="str">
        <f>IFERROR(AI78/#REF!,"")</f>
        <v/>
      </c>
      <c r="AJ79" s="165" t="str">
        <f>IFERROR(AJ78/#REF!,"")</f>
        <v/>
      </c>
      <c r="AM79" s="164" t="e">
        <f>AM78/#REF!</f>
        <v>#REF!</v>
      </c>
      <c r="AN79" s="166" t="e">
        <f>AN78/#REF!</f>
        <v>#REF!</v>
      </c>
      <c r="AO79" s="166" t="e">
        <f>AO78/#REF!</f>
        <v>#REF!</v>
      </c>
    </row>
    <row r="80" spans="1:41">
      <c r="A80" s="53"/>
      <c r="B80" s="150"/>
      <c r="C80" s="150"/>
      <c r="D80" s="164"/>
      <c r="E80" s="164"/>
      <c r="F80" s="164"/>
      <c r="G80" s="164"/>
      <c r="H80" s="164"/>
      <c r="I80" s="164"/>
      <c r="J80" s="164"/>
      <c r="K80" s="164"/>
      <c r="L80" s="164"/>
      <c r="M80" s="164"/>
      <c r="N80" s="164"/>
      <c r="O80" s="164"/>
      <c r="P80" s="164"/>
      <c r="Q80" s="164"/>
      <c r="R80" s="164"/>
      <c r="S80" s="164"/>
      <c r="T80" s="164"/>
      <c r="U80" s="164"/>
      <c r="V80" s="164"/>
      <c r="W80" s="164"/>
      <c r="X80" s="164"/>
      <c r="Y80" s="164"/>
      <c r="Z80" s="164"/>
      <c r="AA80" s="164"/>
      <c r="AB80" s="164"/>
      <c r="AC80" s="164"/>
      <c r="AD80" s="164"/>
      <c r="AE80" s="164"/>
      <c r="AF80" s="164"/>
      <c r="AG80" s="165"/>
      <c r="AH80" s="164"/>
      <c r="AI80" s="166"/>
      <c r="AJ80" s="165"/>
      <c r="AM80" s="166"/>
      <c r="AN80" s="166"/>
      <c r="AO80" s="166"/>
    </row>
    <row r="81" spans="1:41" s="154" customFormat="1">
      <c r="A81" s="153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5"/>
      <c r="AA81" s="155"/>
      <c r="AB81" s="155"/>
      <c r="AC81" s="155"/>
      <c r="AD81" s="155"/>
      <c r="AE81" s="155"/>
      <c r="AF81" s="155"/>
      <c r="AG81" s="156"/>
      <c r="AH81" s="157"/>
      <c r="AI81" s="158"/>
      <c r="AJ81" s="159"/>
      <c r="AK81" s="160"/>
      <c r="AM81" s="158"/>
      <c r="AN81" s="158"/>
      <c r="AO81" s="158"/>
    </row>
    <row r="82" spans="1:41">
      <c r="B82" s="150"/>
      <c r="C82" s="150"/>
      <c r="D82" s="161"/>
      <c r="E82" s="161"/>
      <c r="F82" s="161"/>
      <c r="G82" s="161"/>
      <c r="H82" s="161"/>
      <c r="I82" s="161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2"/>
      <c r="AH82" s="161"/>
      <c r="AI82" s="161"/>
      <c r="AJ82" s="162"/>
      <c r="AM82" s="161"/>
      <c r="AN82" s="161"/>
      <c r="AO82" s="161"/>
    </row>
    <row r="83" spans="1:41" ht="18.75">
      <c r="A83" s="28" t="s">
        <v>41</v>
      </c>
      <c r="B83" s="163"/>
      <c r="C83" s="163"/>
      <c r="D83" s="151"/>
      <c r="E83" s="151"/>
      <c r="F83" s="151"/>
      <c r="G83" s="151"/>
      <c r="H83" s="151"/>
      <c r="I83" s="151"/>
      <c r="J83" s="151"/>
      <c r="K83" s="151"/>
      <c r="L83" s="151"/>
      <c r="M83" s="151"/>
      <c r="N83" s="151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2"/>
      <c r="AH83" s="151"/>
      <c r="AI83" s="33"/>
      <c r="AJ83" s="152"/>
    </row>
    <row r="84" spans="1:41" s="44" customFormat="1">
      <c r="A84" s="23"/>
      <c r="B84" s="213"/>
      <c r="C84" s="213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  <c r="O84" s="214"/>
      <c r="P84" s="214"/>
      <c r="Q84" s="214"/>
      <c r="R84" s="214"/>
      <c r="S84" s="214"/>
      <c r="T84" s="214"/>
      <c r="U84" s="214"/>
      <c r="V84" s="214"/>
      <c r="W84" s="214"/>
      <c r="X84" s="214"/>
      <c r="Y84" s="214"/>
      <c r="Z84" s="214"/>
      <c r="AA84" s="214"/>
      <c r="AB84" s="214"/>
      <c r="AC84" s="214"/>
      <c r="AD84" s="214"/>
      <c r="AE84" s="214"/>
      <c r="AF84" s="214"/>
      <c r="AG84" s="215"/>
      <c r="AH84" s="214"/>
      <c r="AI84" s="216"/>
      <c r="AJ84" s="215"/>
      <c r="AK84" s="217"/>
      <c r="AM84" s="216"/>
      <c r="AN84" s="216"/>
      <c r="AO84" s="216"/>
    </row>
    <row r="85" spans="1:41">
      <c r="B85" s="53" t="s">
        <v>42</v>
      </c>
      <c r="C85" s="53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</row>
    <row r="86" spans="1:41">
      <c r="B86" s="26" t="s">
        <v>43</v>
      </c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</row>
    <row r="87" spans="1:41" s="44" customFormat="1">
      <c r="A87" s="75"/>
      <c r="B87" s="218" t="s">
        <v>44</v>
      </c>
      <c r="C87" s="218"/>
      <c r="D87" s="219" t="str">
        <f>IFERROR(#REF!/AVERAGE(C8,D8),"")</f>
        <v/>
      </c>
      <c r="E87" s="219" t="str">
        <f>IFERROR(#REF!/AVERAGE(D8,E8),"")</f>
        <v/>
      </c>
      <c r="F87" s="219" t="str">
        <f>IFERROR(#REF!/AVERAGE(E8,F8),"")</f>
        <v/>
      </c>
      <c r="G87" s="219" t="str">
        <f>IFERROR(#REF!/AVERAGE(F8,G8),"")</f>
        <v/>
      </c>
      <c r="H87" s="219" t="str">
        <f>IFERROR(#REF!/AVERAGE(G8,H8),"")</f>
        <v/>
      </c>
      <c r="I87" s="219" t="str">
        <f>IFERROR(#REF!/AVERAGE(H8,I8),"")</f>
        <v/>
      </c>
      <c r="J87" s="219" t="str">
        <f>IFERROR(#REF!/AVERAGE(I8,J8),"")</f>
        <v/>
      </c>
      <c r="K87" s="219" t="str">
        <f>IFERROR(#REF!/AVERAGE(J8,K8),"")</f>
        <v/>
      </c>
      <c r="L87" s="219" t="str">
        <f>IFERROR(#REF!/AVERAGE(K8,L8),"")</f>
        <v/>
      </c>
      <c r="M87" s="219" t="str">
        <f>IFERROR(#REF!/AVERAGE(L8,M8),"")</f>
        <v/>
      </c>
      <c r="N87" s="219" t="str">
        <f>IFERROR(#REF!/AVERAGE(M8,N8),"")</f>
        <v/>
      </c>
      <c r="O87" s="219" t="str">
        <f>IFERROR(#REF!/AVERAGE(N8,O8),"")</f>
        <v/>
      </c>
      <c r="P87" s="219" t="str">
        <f>IFERROR(#REF!/AVERAGE(O8,P8),"")</f>
        <v/>
      </c>
      <c r="Q87" s="219" t="str">
        <f>IFERROR(#REF!/AVERAGE(P8,Q8),"")</f>
        <v/>
      </c>
      <c r="R87" s="219" t="str">
        <f>IFERROR(#REF!/AVERAGE(Q8,R8),"")</f>
        <v/>
      </c>
      <c r="S87" s="219" t="str">
        <f>IFERROR(#REF!/AVERAGE(R8,S8),"")</f>
        <v/>
      </c>
      <c r="T87" s="219" t="str">
        <f>IFERROR(#REF!/AVERAGE(S8,T8),"")</f>
        <v/>
      </c>
      <c r="U87" s="219" t="str">
        <f>IFERROR(#REF!/AVERAGE(T8,U8),"")</f>
        <v/>
      </c>
      <c r="V87" s="219" t="str">
        <f>IFERROR(#REF!/AVERAGE(U8,V8),"")</f>
        <v/>
      </c>
      <c r="W87" s="219" t="str">
        <f>IFERROR(#REF!/AVERAGE(V8,W8),"")</f>
        <v/>
      </c>
      <c r="X87" s="219" t="str">
        <f>IFERROR(#REF!/AVERAGE(W8,X8),"")</f>
        <v/>
      </c>
      <c r="Y87" s="219" t="str">
        <f>IFERROR(#REF!/AVERAGE(X8,Y8),"")</f>
        <v/>
      </c>
      <c r="Z87" s="219" t="str">
        <f>IFERROR(#REF!/AVERAGE(Y8,Z8),"")</f>
        <v/>
      </c>
      <c r="AA87" s="219" t="str">
        <f>IFERROR(#REF!/AVERAGE(Z8,AA8),"")</f>
        <v/>
      </c>
      <c r="AB87" s="219" t="str">
        <f>IFERROR(#REF!/AVERAGE(AA8,AB8),"")</f>
        <v/>
      </c>
      <c r="AC87" s="219" t="str">
        <f>IFERROR(#REF!/AVERAGE(AB8,AC8),"")</f>
        <v/>
      </c>
      <c r="AD87" s="219" t="str">
        <f>IFERROR(#REF!/AVERAGE(AC8,AD8),"")</f>
        <v/>
      </c>
      <c r="AE87" s="219" t="str">
        <f>IFERROR(#REF!/AVERAGE(AD8,AE8),"")</f>
        <v/>
      </c>
      <c r="AF87" s="219" t="str">
        <f>IFERROR(#REF!/AVERAGE(AE8,AF8),"")</f>
        <v/>
      </c>
      <c r="AG87" s="220" t="str">
        <f>IFERROR(#REF!/AVERAGE(AF8,AG8),"")</f>
        <v/>
      </c>
      <c r="AH87" s="219" t="str">
        <f>IFERROR(365/AH92,"")</f>
        <v/>
      </c>
      <c r="AI87" s="219" t="str">
        <f t="shared" ref="AI87:AJ87" si="27">IFERROR(365/AI92,"")</f>
        <v/>
      </c>
      <c r="AJ87" s="220" t="str">
        <f t="shared" si="27"/>
        <v/>
      </c>
      <c r="AM87" s="219" t="str">
        <f t="shared" ref="AM87:AO89" si="28">IFERROR(365/AM92,"")</f>
        <v/>
      </c>
      <c r="AN87" s="219" t="str">
        <f t="shared" si="28"/>
        <v/>
      </c>
      <c r="AO87" s="219" t="str">
        <f t="shared" si="28"/>
        <v/>
      </c>
    </row>
    <row r="88" spans="1:41" s="44" customFormat="1">
      <c r="A88" s="75"/>
      <c r="B88" s="218" t="s">
        <v>45</v>
      </c>
      <c r="C88" s="218"/>
      <c r="D88" s="219" t="str">
        <f>IFERROR(IF(#REF!="",#REF!/AVERAGE(C9,D9),#REF!/AVERAGE(C9,D9)),"")</f>
        <v/>
      </c>
      <c r="E88" s="219" t="str">
        <f>IFERROR(IF(#REF!="",#REF!/AVERAGE(D9,E9),#REF!/AVERAGE(D9,E9)),"")</f>
        <v/>
      </c>
      <c r="F88" s="219" t="str">
        <f>IFERROR(IF(#REF!="",#REF!/AVERAGE(E9,F9),#REF!/AVERAGE(E9,F9)),"")</f>
        <v/>
      </c>
      <c r="G88" s="219" t="str">
        <f>IFERROR(IF(#REF!="",#REF!/AVERAGE(F9,G9),#REF!/AVERAGE(F9,G9)),"")</f>
        <v/>
      </c>
      <c r="H88" s="219" t="str">
        <f>IFERROR(IF(#REF!="",#REF!/AVERAGE(G9,H9),#REF!/AVERAGE(G9,H9)),"")</f>
        <v/>
      </c>
      <c r="I88" s="219" t="str">
        <f>IFERROR(IF(#REF!="",#REF!/AVERAGE(H9,I9),#REF!/AVERAGE(H9,I9)),"")</f>
        <v/>
      </c>
      <c r="J88" s="219" t="str">
        <f>IFERROR(IF(#REF!="",#REF!/AVERAGE(I9,J9),#REF!/AVERAGE(I9,J9)),"")</f>
        <v/>
      </c>
      <c r="K88" s="219" t="str">
        <f>IFERROR(IF(#REF!="",#REF!/AVERAGE(J9,K9),#REF!/AVERAGE(J9,K9)),"")</f>
        <v/>
      </c>
      <c r="L88" s="219" t="str">
        <f>IFERROR(IF(#REF!="",#REF!/AVERAGE(K9,L9),#REF!/AVERAGE(K9,L9)),"")</f>
        <v/>
      </c>
      <c r="M88" s="219" t="str">
        <f>IFERROR(IF(#REF!="",#REF!/AVERAGE(L9,M9),#REF!/AVERAGE(L9,M9)),"")</f>
        <v/>
      </c>
      <c r="N88" s="219" t="str">
        <f>IFERROR(IF(#REF!="",#REF!/AVERAGE(M9,N9),#REF!/AVERAGE(M9,N9)),"")</f>
        <v/>
      </c>
      <c r="O88" s="219" t="str">
        <f>IFERROR(IF(#REF!="",#REF!/AVERAGE(N9,O9),#REF!/AVERAGE(N9,O9)),"")</f>
        <v/>
      </c>
      <c r="P88" s="219" t="str">
        <f>IFERROR(IF(#REF!="",#REF!/AVERAGE(O9,P9),#REF!/AVERAGE(O9,P9)),"")</f>
        <v/>
      </c>
      <c r="Q88" s="219" t="str">
        <f>IFERROR(IF(#REF!="",#REF!/AVERAGE(P9,Q9),#REF!/AVERAGE(P9,Q9)),"")</f>
        <v/>
      </c>
      <c r="R88" s="219" t="str">
        <f>IFERROR(IF(#REF!="",#REF!/AVERAGE(Q9,R9),#REF!/AVERAGE(Q9,R9)),"")</f>
        <v/>
      </c>
      <c r="S88" s="219" t="str">
        <f>IFERROR(IF(#REF!="",#REF!/AVERAGE(R9,S9),#REF!/AVERAGE(R9,S9)),"")</f>
        <v/>
      </c>
      <c r="T88" s="219" t="str">
        <f>IFERROR(IF(#REF!="",#REF!/AVERAGE(S9,T9),#REF!/AVERAGE(S9,T9)),"")</f>
        <v/>
      </c>
      <c r="U88" s="219" t="str">
        <f>IFERROR(IF(#REF!="",#REF!/AVERAGE(T9,U9),#REF!/AVERAGE(T9,U9)),"")</f>
        <v/>
      </c>
      <c r="V88" s="219" t="str">
        <f>IFERROR(IF(#REF!="",#REF!/AVERAGE(U9,V9),#REF!/AVERAGE(U9,V9)),"")</f>
        <v/>
      </c>
      <c r="W88" s="219" t="str">
        <f>IFERROR(IF(#REF!="",#REF!/AVERAGE(V9,W9),#REF!/AVERAGE(V9,W9)),"")</f>
        <v/>
      </c>
      <c r="X88" s="219" t="str">
        <f>IFERROR(IF(#REF!="",#REF!/AVERAGE(W9,X9),#REF!/AVERAGE(W9,X9)),"")</f>
        <v/>
      </c>
      <c r="Y88" s="219" t="str">
        <f>IFERROR(IF(#REF!="",#REF!/AVERAGE(X9,Y9),#REF!/AVERAGE(X9,Y9)),"")</f>
        <v/>
      </c>
      <c r="Z88" s="219" t="str">
        <f>IFERROR(IF(#REF!="",#REF!/AVERAGE(Y9,Z9),#REF!/AVERAGE(Y9,Z9)),"")</f>
        <v/>
      </c>
      <c r="AA88" s="219" t="str">
        <f>IFERROR(IF(#REF!="",#REF!/AVERAGE(Z9,AA9),#REF!/AVERAGE(Z9,AA9)),"")</f>
        <v/>
      </c>
      <c r="AB88" s="219" t="str">
        <f>IFERROR(IF(#REF!="",#REF!/AVERAGE(AA9,AB9),#REF!/AVERAGE(AA9,AB9)),"")</f>
        <v/>
      </c>
      <c r="AC88" s="219" t="str">
        <f>IFERROR(IF(#REF!="",#REF!/AVERAGE(AB9,AC9),#REF!/AVERAGE(AB9,AC9)),"")</f>
        <v/>
      </c>
      <c r="AD88" s="219" t="str">
        <f>IFERROR(IF(#REF!="",#REF!/AVERAGE(AC9,AD9),#REF!/AVERAGE(AC9,AD9)),"")</f>
        <v/>
      </c>
      <c r="AE88" s="219" t="str">
        <f>IFERROR(IF(#REF!="",#REF!/AVERAGE(AD9,AE9),#REF!/AVERAGE(AD9,AE9)),"")</f>
        <v/>
      </c>
      <c r="AF88" s="219" t="str">
        <f>IFERROR(IF(#REF!="",#REF!/AVERAGE(AE9,AF9),#REF!/AVERAGE(AE9,AF9)),"")</f>
        <v/>
      </c>
      <c r="AG88" s="220" t="str">
        <f>IFERROR(IF(#REF!="",#REF!/AVERAGE(AF9,AG9),#REF!/AVERAGE(AF9,AG9)),"")</f>
        <v/>
      </c>
      <c r="AH88" s="219" t="str">
        <f t="shared" ref="AH88:AJ89" si="29">IFERROR(365/AH93,"")</f>
        <v/>
      </c>
      <c r="AI88" s="219" t="str">
        <f t="shared" si="29"/>
        <v/>
      </c>
      <c r="AJ88" s="220" t="str">
        <f t="shared" si="29"/>
        <v/>
      </c>
      <c r="AM88" s="219" t="str">
        <f t="shared" si="28"/>
        <v/>
      </c>
      <c r="AN88" s="219" t="str">
        <f t="shared" si="28"/>
        <v/>
      </c>
      <c r="AO88" s="219" t="str">
        <f t="shared" si="28"/>
        <v/>
      </c>
    </row>
    <row r="89" spans="1:41" s="44" customFormat="1">
      <c r="A89" s="75"/>
      <c r="B89" s="218" t="s">
        <v>46</v>
      </c>
      <c r="C89" s="221"/>
      <c r="D89" s="219" t="str">
        <f>IFERROR(IF(#REF!="",#REF!/AVERAGE(C13,D13),#REF!/AVERAGE(C13,D13)),"")</f>
        <v/>
      </c>
      <c r="E89" s="219" t="str">
        <f>IFERROR(IF(#REF!="",#REF!/AVERAGE(D13,E13),#REF!/AVERAGE(D13,E13)),"")</f>
        <v/>
      </c>
      <c r="F89" s="219" t="str">
        <f>IFERROR(IF(#REF!="",#REF!/AVERAGE(E13,F13),#REF!/AVERAGE(E13,F13)),"")</f>
        <v/>
      </c>
      <c r="G89" s="219" t="str">
        <f>IFERROR(IF(#REF!="",#REF!/AVERAGE(F13,G13),#REF!/AVERAGE(F13,G13)),"")</f>
        <v/>
      </c>
      <c r="H89" s="219" t="str">
        <f>IFERROR(IF(#REF!="",#REF!/AVERAGE(G13,H13),#REF!/AVERAGE(G13,H13)),"")</f>
        <v/>
      </c>
      <c r="I89" s="219" t="str">
        <f>IFERROR(IF(#REF!="",#REF!/AVERAGE(H13,I13),#REF!/AVERAGE(H13,I13)),"")</f>
        <v/>
      </c>
      <c r="J89" s="219" t="str">
        <f>IFERROR(IF(#REF!="",#REF!/AVERAGE(I13,J13),#REF!/AVERAGE(I13,J13)),"")</f>
        <v/>
      </c>
      <c r="K89" s="219" t="str">
        <f>IFERROR(IF(#REF!="",#REF!/AVERAGE(J13,K13),#REF!/AVERAGE(J13,K13)),"")</f>
        <v/>
      </c>
      <c r="L89" s="219" t="str">
        <f>IFERROR(IF(#REF!="",#REF!/AVERAGE(K13,L13),#REF!/AVERAGE(K13,L13)),"")</f>
        <v/>
      </c>
      <c r="M89" s="219" t="str">
        <f>IFERROR(IF(#REF!="",#REF!/AVERAGE(L13,M13),#REF!/AVERAGE(L13,M13)),"")</f>
        <v/>
      </c>
      <c r="N89" s="219" t="str">
        <f>IFERROR(IF(#REF!="",#REF!/AVERAGE(M13,N13),#REF!/AVERAGE(M13,N13)),"")</f>
        <v/>
      </c>
      <c r="O89" s="219" t="str">
        <f>IFERROR(IF(#REF!="",#REF!/AVERAGE(N13,O13),#REF!/AVERAGE(N13,O13)),"")</f>
        <v/>
      </c>
      <c r="P89" s="219" t="str">
        <f>IFERROR(IF(#REF!="",#REF!/AVERAGE(O13,P13),#REF!/AVERAGE(O13,P13)),"")</f>
        <v/>
      </c>
      <c r="Q89" s="219" t="str">
        <f>IFERROR(IF(#REF!="",#REF!/AVERAGE(P13,Q13),#REF!/AVERAGE(P13,Q13)),"")</f>
        <v/>
      </c>
      <c r="R89" s="219" t="str">
        <f>IFERROR(IF(#REF!="",#REF!/AVERAGE(Q13,R13),#REF!/AVERAGE(Q13,R13)),"")</f>
        <v/>
      </c>
      <c r="S89" s="219" t="str">
        <f>IFERROR(IF(#REF!="",#REF!/AVERAGE(R13,S13),#REF!/AVERAGE(R13,S13)),"")</f>
        <v/>
      </c>
      <c r="T89" s="219" t="str">
        <f>IFERROR(IF(#REF!="",#REF!/AVERAGE(S13,T13),#REF!/AVERAGE(S13,T13)),"")</f>
        <v/>
      </c>
      <c r="U89" s="219" t="str">
        <f>IFERROR(IF(#REF!="",#REF!/AVERAGE(T13,U13),#REF!/AVERAGE(T13,U13)),"")</f>
        <v/>
      </c>
      <c r="V89" s="219" t="str">
        <f>IFERROR(IF(#REF!="",#REF!/AVERAGE(U13,V13),#REF!/AVERAGE(U13,V13)),"")</f>
        <v/>
      </c>
      <c r="W89" s="219" t="str">
        <f>IFERROR(IF(#REF!="",#REF!/AVERAGE(V13,W13),#REF!/AVERAGE(V13,W13)),"")</f>
        <v/>
      </c>
      <c r="X89" s="219" t="str">
        <f>IFERROR(IF(#REF!="",#REF!/AVERAGE(W13,X13),#REF!/AVERAGE(W13,X13)),"")</f>
        <v/>
      </c>
      <c r="Y89" s="219" t="str">
        <f>IFERROR(IF(#REF!="",#REF!/AVERAGE(X13,Y13),#REF!/AVERAGE(X13,Y13)),"")</f>
        <v/>
      </c>
      <c r="Z89" s="219" t="str">
        <f>IFERROR(IF(#REF!="",#REF!/AVERAGE(Y13,Z13),#REF!/AVERAGE(Y13,Z13)),"")</f>
        <v/>
      </c>
      <c r="AA89" s="219" t="str">
        <f>IFERROR(IF(#REF!="",#REF!/AVERAGE(Z13,AA13),#REF!/AVERAGE(Z13,AA13)),"")</f>
        <v/>
      </c>
      <c r="AB89" s="219" t="str">
        <f>IFERROR(IF(#REF!="",#REF!/AVERAGE(AA13,AB13),#REF!/AVERAGE(AA13,AB13)),"")</f>
        <v/>
      </c>
      <c r="AC89" s="219" t="str">
        <f>IFERROR(IF(#REF!="",#REF!/AVERAGE(AB13,AC13),#REF!/AVERAGE(AB13,AC13)),"")</f>
        <v/>
      </c>
      <c r="AD89" s="219" t="str">
        <f>IFERROR(IF(#REF!="",#REF!/AVERAGE(AC13,AD13),#REF!/AVERAGE(AC13,AD13)),"")</f>
        <v/>
      </c>
      <c r="AE89" s="219" t="str">
        <f>IFERROR(IF(#REF!="",#REF!/AVERAGE(AD13,AE13),#REF!/AVERAGE(AD13,AE13)),"")</f>
        <v/>
      </c>
      <c r="AF89" s="219" t="str">
        <f>IFERROR(IF(#REF!="",#REF!/AVERAGE(AE13,AF13),#REF!/AVERAGE(AE13,AF13)),"")</f>
        <v/>
      </c>
      <c r="AG89" s="220" t="str">
        <f>IFERROR(IF(#REF!="",#REF!/AVERAGE(AF13,AG13),#REF!/AVERAGE(AF13,AG13)),"")</f>
        <v/>
      </c>
      <c r="AH89" s="219" t="str">
        <f t="shared" si="29"/>
        <v/>
      </c>
      <c r="AI89" s="219" t="str">
        <f t="shared" si="29"/>
        <v/>
      </c>
      <c r="AJ89" s="220" t="str">
        <f t="shared" si="29"/>
        <v/>
      </c>
      <c r="AM89" s="219" t="str">
        <f t="shared" si="28"/>
        <v/>
      </c>
      <c r="AN89" s="219" t="str">
        <f t="shared" si="28"/>
        <v/>
      </c>
      <c r="AO89" s="219" t="str">
        <f t="shared" si="28"/>
        <v/>
      </c>
    </row>
    <row r="90" spans="1:41">
      <c r="B90" s="202"/>
      <c r="C90" s="202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</row>
    <row r="91" spans="1:41" ht="15.75" thickBot="1">
      <c r="B91" s="213" t="s">
        <v>47</v>
      </c>
      <c r="C91" s="213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</row>
    <row r="92" spans="1:41" s="230" customFormat="1" ht="15.75" thickBot="1">
      <c r="A92" s="222"/>
      <c r="B92" s="223" t="s">
        <v>48</v>
      </c>
      <c r="C92" s="223"/>
      <c r="D92" s="224" t="str">
        <f t="shared" ref="D92:AF94" si="30">IFERROR(365/D87,"")</f>
        <v/>
      </c>
      <c r="E92" s="224" t="str">
        <f t="shared" si="30"/>
        <v/>
      </c>
      <c r="F92" s="224" t="str">
        <f t="shared" si="30"/>
        <v/>
      </c>
      <c r="G92" s="224" t="str">
        <f t="shared" si="30"/>
        <v/>
      </c>
      <c r="H92" s="224" t="str">
        <f t="shared" si="30"/>
        <v/>
      </c>
      <c r="I92" s="224" t="str">
        <f t="shared" si="30"/>
        <v/>
      </c>
      <c r="J92" s="224" t="str">
        <f t="shared" si="30"/>
        <v/>
      </c>
      <c r="K92" s="224" t="str">
        <f t="shared" si="30"/>
        <v/>
      </c>
      <c r="L92" s="224" t="str">
        <f t="shared" si="30"/>
        <v/>
      </c>
      <c r="M92" s="224" t="str">
        <f t="shared" si="30"/>
        <v/>
      </c>
      <c r="N92" s="224" t="str">
        <f t="shared" si="30"/>
        <v/>
      </c>
      <c r="O92" s="224" t="str">
        <f t="shared" si="30"/>
        <v/>
      </c>
      <c r="P92" s="224" t="str">
        <f t="shared" si="30"/>
        <v/>
      </c>
      <c r="Q92" s="224" t="str">
        <f t="shared" si="30"/>
        <v/>
      </c>
      <c r="R92" s="224" t="str">
        <f t="shared" si="30"/>
        <v/>
      </c>
      <c r="S92" s="224" t="str">
        <f t="shared" si="30"/>
        <v/>
      </c>
      <c r="T92" s="224" t="str">
        <f t="shared" si="30"/>
        <v/>
      </c>
      <c r="U92" s="224" t="str">
        <f t="shared" si="30"/>
        <v/>
      </c>
      <c r="V92" s="224" t="str">
        <f t="shared" si="30"/>
        <v/>
      </c>
      <c r="W92" s="224" t="str">
        <f t="shared" si="30"/>
        <v/>
      </c>
      <c r="X92" s="224" t="str">
        <f t="shared" si="30"/>
        <v/>
      </c>
      <c r="Y92" s="224" t="str">
        <f t="shared" si="30"/>
        <v/>
      </c>
      <c r="Z92" s="224" t="str">
        <f t="shared" si="30"/>
        <v/>
      </c>
      <c r="AA92" s="224" t="str">
        <f t="shared" si="30"/>
        <v/>
      </c>
      <c r="AB92" s="224" t="str">
        <f t="shared" si="30"/>
        <v/>
      </c>
      <c r="AC92" s="224" t="str">
        <f t="shared" si="30"/>
        <v/>
      </c>
      <c r="AD92" s="224" t="str">
        <f t="shared" si="30"/>
        <v/>
      </c>
      <c r="AE92" s="224" t="str">
        <f t="shared" si="30"/>
        <v/>
      </c>
      <c r="AF92" s="224" t="str">
        <f t="shared" si="30"/>
        <v/>
      </c>
      <c r="AG92" s="225" t="str">
        <f>IFERROR(365/AG87,"")</f>
        <v/>
      </c>
      <c r="AH92" s="226" t="str">
        <f>$AG92</f>
        <v/>
      </c>
      <c r="AI92" s="227" t="str">
        <f t="shared" ref="AI92:AJ94" si="31">AH92</f>
        <v/>
      </c>
      <c r="AJ92" s="228" t="str">
        <f t="shared" si="31"/>
        <v/>
      </c>
      <c r="AK92" s="229"/>
      <c r="AM92" s="231" t="str">
        <f>$AG92</f>
        <v/>
      </c>
      <c r="AN92" s="232" t="str">
        <f t="shared" ref="AN92:AO94" si="32">AM92</f>
        <v/>
      </c>
      <c r="AO92" s="233" t="str">
        <f t="shared" si="32"/>
        <v/>
      </c>
    </row>
    <row r="93" spans="1:41" s="230" customFormat="1" ht="15.75" thickBot="1">
      <c r="A93" s="222"/>
      <c r="B93" s="223" t="s">
        <v>49</v>
      </c>
      <c r="C93" s="223"/>
      <c r="D93" s="224" t="str">
        <f t="shared" si="30"/>
        <v/>
      </c>
      <c r="E93" s="224" t="str">
        <f t="shared" si="30"/>
        <v/>
      </c>
      <c r="F93" s="224" t="str">
        <f t="shared" si="30"/>
        <v/>
      </c>
      <c r="G93" s="224" t="str">
        <f t="shared" si="30"/>
        <v/>
      </c>
      <c r="H93" s="224" t="str">
        <f t="shared" si="30"/>
        <v/>
      </c>
      <c r="I93" s="224" t="str">
        <f t="shared" si="30"/>
        <v/>
      </c>
      <c r="J93" s="224" t="str">
        <f t="shared" si="30"/>
        <v/>
      </c>
      <c r="K93" s="224" t="str">
        <f t="shared" si="30"/>
        <v/>
      </c>
      <c r="L93" s="224" t="str">
        <f t="shared" si="30"/>
        <v/>
      </c>
      <c r="M93" s="224" t="str">
        <f t="shared" si="30"/>
        <v/>
      </c>
      <c r="N93" s="224" t="str">
        <f t="shared" si="30"/>
        <v/>
      </c>
      <c r="O93" s="224" t="str">
        <f t="shared" si="30"/>
        <v/>
      </c>
      <c r="P93" s="224" t="str">
        <f t="shared" si="30"/>
        <v/>
      </c>
      <c r="Q93" s="224" t="str">
        <f t="shared" si="30"/>
        <v/>
      </c>
      <c r="R93" s="224" t="str">
        <f t="shared" si="30"/>
        <v/>
      </c>
      <c r="S93" s="224" t="str">
        <f t="shared" si="30"/>
        <v/>
      </c>
      <c r="T93" s="224" t="str">
        <f t="shared" si="30"/>
        <v/>
      </c>
      <c r="U93" s="224" t="str">
        <f t="shared" si="30"/>
        <v/>
      </c>
      <c r="V93" s="224" t="str">
        <f t="shared" si="30"/>
        <v/>
      </c>
      <c r="W93" s="224" t="str">
        <f t="shared" si="30"/>
        <v/>
      </c>
      <c r="X93" s="224" t="str">
        <f t="shared" si="30"/>
        <v/>
      </c>
      <c r="Y93" s="224" t="str">
        <f t="shared" si="30"/>
        <v/>
      </c>
      <c r="Z93" s="224" t="str">
        <f t="shared" si="30"/>
        <v/>
      </c>
      <c r="AA93" s="224" t="str">
        <f t="shared" si="30"/>
        <v/>
      </c>
      <c r="AB93" s="224" t="str">
        <f t="shared" si="30"/>
        <v/>
      </c>
      <c r="AC93" s="224" t="str">
        <f t="shared" si="30"/>
        <v/>
      </c>
      <c r="AD93" s="224" t="str">
        <f t="shared" si="30"/>
        <v/>
      </c>
      <c r="AE93" s="224" t="str">
        <f t="shared" si="30"/>
        <v/>
      </c>
      <c r="AF93" s="224" t="str">
        <f t="shared" si="30"/>
        <v/>
      </c>
      <c r="AG93" s="225" t="str">
        <f>IFERROR(365/AG88,"")</f>
        <v/>
      </c>
      <c r="AH93" s="234" t="str">
        <f>$AG93</f>
        <v/>
      </c>
      <c r="AI93" s="235" t="str">
        <f t="shared" si="31"/>
        <v/>
      </c>
      <c r="AJ93" s="236" t="str">
        <f t="shared" si="31"/>
        <v/>
      </c>
      <c r="AK93" s="229"/>
      <c r="AM93" s="237" t="str">
        <f>$AG93</f>
        <v/>
      </c>
      <c r="AN93" s="238" t="str">
        <f t="shared" si="32"/>
        <v/>
      </c>
      <c r="AO93" s="239" t="str">
        <f t="shared" si="32"/>
        <v/>
      </c>
    </row>
    <row r="94" spans="1:41" s="230" customFormat="1" ht="15.75" thickBot="1">
      <c r="A94" s="222"/>
      <c r="B94" s="240" t="s">
        <v>50</v>
      </c>
      <c r="C94" s="240"/>
      <c r="D94" s="230" t="str">
        <f t="shared" si="30"/>
        <v/>
      </c>
      <c r="E94" s="230" t="str">
        <f t="shared" si="30"/>
        <v/>
      </c>
      <c r="F94" s="230" t="str">
        <f t="shared" si="30"/>
        <v/>
      </c>
      <c r="G94" s="230" t="str">
        <f t="shared" si="30"/>
        <v/>
      </c>
      <c r="H94" s="230" t="str">
        <f t="shared" si="30"/>
        <v/>
      </c>
      <c r="I94" s="230" t="str">
        <f t="shared" si="30"/>
        <v/>
      </c>
      <c r="J94" s="230" t="str">
        <f t="shared" si="30"/>
        <v/>
      </c>
      <c r="K94" s="230" t="str">
        <f t="shared" si="30"/>
        <v/>
      </c>
      <c r="L94" s="230" t="str">
        <f t="shared" si="30"/>
        <v/>
      </c>
      <c r="M94" s="230" t="str">
        <f t="shared" si="30"/>
        <v/>
      </c>
      <c r="N94" s="230" t="str">
        <f t="shared" si="30"/>
        <v/>
      </c>
      <c r="O94" s="230" t="str">
        <f t="shared" si="30"/>
        <v/>
      </c>
      <c r="P94" s="230" t="str">
        <f t="shared" si="30"/>
        <v/>
      </c>
      <c r="Q94" s="230" t="str">
        <f t="shared" si="30"/>
        <v/>
      </c>
      <c r="R94" s="230" t="str">
        <f t="shared" si="30"/>
        <v/>
      </c>
      <c r="S94" s="230" t="str">
        <f t="shared" si="30"/>
        <v/>
      </c>
      <c r="T94" s="230" t="str">
        <f t="shared" si="30"/>
        <v/>
      </c>
      <c r="U94" s="230" t="str">
        <f t="shared" si="30"/>
        <v/>
      </c>
      <c r="V94" s="230" t="str">
        <f t="shared" si="30"/>
        <v/>
      </c>
      <c r="W94" s="230" t="str">
        <f t="shared" si="30"/>
        <v/>
      </c>
      <c r="X94" s="230" t="str">
        <f t="shared" si="30"/>
        <v/>
      </c>
      <c r="Y94" s="230" t="str">
        <f t="shared" si="30"/>
        <v/>
      </c>
      <c r="Z94" s="230" t="str">
        <f t="shared" si="30"/>
        <v/>
      </c>
      <c r="AA94" s="230" t="str">
        <f t="shared" si="30"/>
        <v/>
      </c>
      <c r="AB94" s="230" t="str">
        <f t="shared" si="30"/>
        <v/>
      </c>
      <c r="AC94" s="230" t="str">
        <f t="shared" si="30"/>
        <v/>
      </c>
      <c r="AD94" s="230" t="str">
        <f t="shared" si="30"/>
        <v/>
      </c>
      <c r="AE94" s="230" t="str">
        <f t="shared" si="30"/>
        <v/>
      </c>
      <c r="AF94" s="230" t="str">
        <f t="shared" si="30"/>
        <v/>
      </c>
      <c r="AG94" s="241" t="str">
        <f>IFERROR(365/AG89,"")</f>
        <v/>
      </c>
      <c r="AH94" s="226" t="str">
        <f>$AG94</f>
        <v/>
      </c>
      <c r="AI94" s="227" t="str">
        <f t="shared" si="31"/>
        <v/>
      </c>
      <c r="AJ94" s="228" t="str">
        <f t="shared" si="31"/>
        <v/>
      </c>
      <c r="AK94" s="229"/>
      <c r="AM94" s="242" t="str">
        <f>$AG94</f>
        <v/>
      </c>
      <c r="AN94" s="243" t="str">
        <f t="shared" si="32"/>
        <v/>
      </c>
      <c r="AO94" s="244" t="str">
        <f t="shared" si="32"/>
        <v/>
      </c>
    </row>
    <row r="95" spans="1:41" s="230" customFormat="1">
      <c r="A95" s="222"/>
      <c r="B95" s="240" t="s">
        <v>51</v>
      </c>
      <c r="C95" s="240"/>
      <c r="D95" s="245" t="str">
        <f t="shared" ref="D95:AJ95" si="33">IFERROR(IF(D4=1,D93+D92-D94,""),"")</f>
        <v/>
      </c>
      <c r="E95" s="245" t="str">
        <f t="shared" si="33"/>
        <v/>
      </c>
      <c r="F95" s="245" t="str">
        <f t="shared" si="33"/>
        <v/>
      </c>
      <c r="G95" s="245" t="str">
        <f t="shared" si="33"/>
        <v/>
      </c>
      <c r="H95" s="245" t="str">
        <f t="shared" si="33"/>
        <v/>
      </c>
      <c r="I95" s="245" t="str">
        <f t="shared" si="33"/>
        <v/>
      </c>
      <c r="J95" s="245" t="str">
        <f t="shared" si="33"/>
        <v/>
      </c>
      <c r="K95" s="245" t="str">
        <f t="shared" si="33"/>
        <v/>
      </c>
      <c r="L95" s="245" t="str">
        <f t="shared" si="33"/>
        <v/>
      </c>
      <c r="M95" s="245" t="str">
        <f t="shared" si="33"/>
        <v/>
      </c>
      <c r="N95" s="245" t="str">
        <f t="shared" si="33"/>
        <v/>
      </c>
      <c r="O95" s="245" t="str">
        <f t="shared" si="33"/>
        <v/>
      </c>
      <c r="P95" s="245" t="str">
        <f t="shared" si="33"/>
        <v/>
      </c>
      <c r="Q95" s="245" t="str">
        <f t="shared" si="33"/>
        <v/>
      </c>
      <c r="R95" s="245" t="str">
        <f t="shared" si="33"/>
        <v/>
      </c>
      <c r="S95" s="245" t="str">
        <f t="shared" si="33"/>
        <v/>
      </c>
      <c r="T95" s="245" t="str">
        <f t="shared" si="33"/>
        <v/>
      </c>
      <c r="U95" s="245" t="str">
        <f t="shared" si="33"/>
        <v/>
      </c>
      <c r="V95" s="245" t="str">
        <f t="shared" si="33"/>
        <v/>
      </c>
      <c r="W95" s="245" t="str">
        <f t="shared" si="33"/>
        <v/>
      </c>
      <c r="X95" s="245" t="str">
        <f t="shared" si="33"/>
        <v/>
      </c>
      <c r="Y95" s="245" t="str">
        <f t="shared" si="33"/>
        <v/>
      </c>
      <c r="Z95" s="245" t="str">
        <f t="shared" si="33"/>
        <v/>
      </c>
      <c r="AA95" s="245" t="str">
        <f t="shared" si="33"/>
        <v/>
      </c>
      <c r="AB95" s="245" t="str">
        <f t="shared" si="33"/>
        <v/>
      </c>
      <c r="AC95" s="245" t="str">
        <f t="shared" si="33"/>
        <v/>
      </c>
      <c r="AD95" s="245" t="str">
        <f t="shared" si="33"/>
        <v/>
      </c>
      <c r="AE95" s="245" t="str">
        <f t="shared" si="33"/>
        <v/>
      </c>
      <c r="AF95" s="245" t="str">
        <f t="shared" si="33"/>
        <v/>
      </c>
      <c r="AG95" s="241" t="str">
        <f t="shared" si="33"/>
        <v/>
      </c>
      <c r="AH95" s="245" t="str">
        <f t="shared" si="33"/>
        <v/>
      </c>
      <c r="AI95" s="245" t="str">
        <f t="shared" si="33"/>
        <v/>
      </c>
      <c r="AJ95" s="246" t="str">
        <f t="shared" si="33"/>
        <v/>
      </c>
      <c r="AK95" s="229"/>
      <c r="AM95" s="245" t="str">
        <f>IFERROR(IF(AM4=1,AM93+AM92-AM94,""),"")</f>
        <v/>
      </c>
      <c r="AN95" s="245" t="str">
        <f>IFERROR(IF(AN4=1,AN93+AN92-AN94,""),"")</f>
        <v/>
      </c>
      <c r="AO95" s="245" t="str">
        <f>IFERROR(IF(AO4=1,AO93+AO92-AO94,""),"")</f>
        <v/>
      </c>
    </row>
    <row r="96" spans="1:41" s="44" customFormat="1">
      <c r="A96" s="75"/>
      <c r="B96" s="247" t="s">
        <v>52</v>
      </c>
      <c r="C96" s="247"/>
      <c r="D96" s="248" t="str">
        <f t="shared" ref="D96:AJ96" si="34">IFERROR(IF(D4=1,  D95  -  C95,""),"")</f>
        <v/>
      </c>
      <c r="E96" s="248" t="str">
        <f t="shared" si="34"/>
        <v/>
      </c>
      <c r="F96" s="248" t="str">
        <f t="shared" si="34"/>
        <v/>
      </c>
      <c r="G96" s="248" t="str">
        <f t="shared" si="34"/>
        <v/>
      </c>
      <c r="H96" s="248" t="str">
        <f t="shared" si="34"/>
        <v/>
      </c>
      <c r="I96" s="248" t="str">
        <f t="shared" si="34"/>
        <v/>
      </c>
      <c r="J96" s="248" t="str">
        <f t="shared" si="34"/>
        <v/>
      </c>
      <c r="K96" s="248" t="str">
        <f t="shared" si="34"/>
        <v/>
      </c>
      <c r="L96" s="248" t="str">
        <f t="shared" si="34"/>
        <v/>
      </c>
      <c r="M96" s="248" t="str">
        <f t="shared" si="34"/>
        <v/>
      </c>
      <c r="N96" s="248" t="str">
        <f t="shared" si="34"/>
        <v/>
      </c>
      <c r="O96" s="248" t="str">
        <f t="shared" si="34"/>
        <v/>
      </c>
      <c r="P96" s="248" t="str">
        <f t="shared" si="34"/>
        <v/>
      </c>
      <c r="Q96" s="248" t="str">
        <f t="shared" si="34"/>
        <v/>
      </c>
      <c r="R96" s="248" t="str">
        <f t="shared" si="34"/>
        <v/>
      </c>
      <c r="S96" s="248" t="str">
        <f t="shared" si="34"/>
        <v/>
      </c>
      <c r="T96" s="248" t="str">
        <f t="shared" si="34"/>
        <v/>
      </c>
      <c r="U96" s="248" t="str">
        <f t="shared" si="34"/>
        <v/>
      </c>
      <c r="V96" s="248" t="str">
        <f t="shared" si="34"/>
        <v/>
      </c>
      <c r="W96" s="248" t="str">
        <f t="shared" si="34"/>
        <v/>
      </c>
      <c r="X96" s="248" t="str">
        <f t="shared" si="34"/>
        <v/>
      </c>
      <c r="Y96" s="248" t="str">
        <f t="shared" si="34"/>
        <v/>
      </c>
      <c r="Z96" s="248" t="str">
        <f t="shared" si="34"/>
        <v/>
      </c>
      <c r="AA96" s="248" t="str">
        <f t="shared" si="34"/>
        <v/>
      </c>
      <c r="AB96" s="248" t="str">
        <f t="shared" si="34"/>
        <v/>
      </c>
      <c r="AC96" s="248" t="str">
        <f t="shared" si="34"/>
        <v/>
      </c>
      <c r="AD96" s="248" t="str">
        <f t="shared" si="34"/>
        <v/>
      </c>
      <c r="AE96" s="248" t="str">
        <f t="shared" si="34"/>
        <v/>
      </c>
      <c r="AF96" s="248" t="str">
        <f t="shared" si="34"/>
        <v/>
      </c>
      <c r="AG96" s="249" t="str">
        <f t="shared" si="34"/>
        <v/>
      </c>
      <c r="AH96" s="248" t="str">
        <f t="shared" si="34"/>
        <v/>
      </c>
      <c r="AI96" s="248" t="str">
        <f t="shared" si="34"/>
        <v/>
      </c>
      <c r="AJ96" s="249" t="str">
        <f t="shared" si="34"/>
        <v/>
      </c>
      <c r="AK96" s="217"/>
      <c r="AM96" s="248" t="str">
        <f>IFERROR(IF(AM4=1,  AM95  -  AG95,""),"")</f>
        <v/>
      </c>
      <c r="AN96" s="248" t="str">
        <f>IFERROR(IF(AN4=1,  AN95  -  AM95,""),"")</f>
        <v/>
      </c>
      <c r="AO96" s="248" t="str">
        <f>IFERROR(IF(AO4=1,  AO95  -  AN95,""),"")</f>
        <v/>
      </c>
    </row>
    <row r="97" spans="1:41" s="44" customFormat="1">
      <c r="A97" s="23"/>
      <c r="B97" s="247"/>
      <c r="C97" s="247"/>
      <c r="D97" s="248"/>
      <c r="E97" s="248"/>
      <c r="F97" s="248"/>
      <c r="G97" s="248"/>
      <c r="H97" s="248"/>
      <c r="I97" s="248"/>
      <c r="J97" s="248"/>
      <c r="K97" s="248"/>
      <c r="L97" s="248"/>
      <c r="M97" s="248"/>
      <c r="N97" s="248"/>
      <c r="O97" s="248"/>
      <c r="P97" s="248"/>
      <c r="Q97" s="248"/>
      <c r="R97" s="248"/>
      <c r="S97" s="248"/>
      <c r="T97" s="248"/>
      <c r="U97" s="248"/>
      <c r="V97" s="248"/>
      <c r="W97" s="248"/>
      <c r="X97" s="248"/>
      <c r="Y97" s="248"/>
      <c r="Z97" s="248"/>
      <c r="AA97" s="248"/>
      <c r="AB97" s="248"/>
      <c r="AC97" s="248"/>
      <c r="AD97" s="248"/>
      <c r="AE97" s="248"/>
      <c r="AF97" s="248"/>
      <c r="AG97" s="249"/>
      <c r="AH97" s="248"/>
      <c r="AI97" s="250"/>
      <c r="AJ97" s="249"/>
      <c r="AK97" s="217"/>
      <c r="AM97" s="47"/>
      <c r="AN97" s="47"/>
      <c r="AO97" s="47"/>
    </row>
    <row r="98" spans="1:41" ht="18.75">
      <c r="A98" s="28"/>
      <c r="B98" s="53" t="s">
        <v>53</v>
      </c>
      <c r="C98" s="53"/>
      <c r="D98" s="151"/>
      <c r="E98" s="151"/>
      <c r="F98" s="151"/>
      <c r="G98" s="151"/>
      <c r="H98" s="151"/>
      <c r="I98" s="151"/>
      <c r="J98" s="151"/>
      <c r="K98" s="151"/>
      <c r="L98" s="151"/>
      <c r="M98" s="151"/>
      <c r="N98" s="151"/>
      <c r="O98" s="151"/>
      <c r="P98" s="151"/>
      <c r="Q98" s="151"/>
      <c r="R98" s="151"/>
      <c r="S98" s="151"/>
      <c r="T98" s="151"/>
      <c r="U98" s="151"/>
      <c r="V98" s="151"/>
      <c r="W98" s="151"/>
      <c r="X98" s="151"/>
      <c r="Y98" s="151"/>
      <c r="Z98" s="151"/>
      <c r="AA98" s="151"/>
      <c r="AB98" s="151"/>
      <c r="AC98" s="151"/>
      <c r="AD98" s="151"/>
      <c r="AE98" s="151"/>
      <c r="AF98" s="151"/>
      <c r="AG98" s="152"/>
      <c r="AH98" s="151"/>
      <c r="AI98" s="33"/>
      <c r="AJ98" s="152"/>
    </row>
    <row r="99" spans="1:41" s="44" customFormat="1">
      <c r="A99" s="75"/>
      <c r="B99" s="203" t="s">
        <v>168</v>
      </c>
      <c r="C99" s="203"/>
      <c r="D99" s="251" t="str">
        <f t="shared" ref="D99:AJ99" si="35">IFERROR((D64+SUM(D8:D10))/(D15+D35),"")</f>
        <v/>
      </c>
      <c r="E99" s="251" t="str">
        <f t="shared" si="35"/>
        <v/>
      </c>
      <c r="F99" s="251" t="str">
        <f t="shared" si="35"/>
        <v/>
      </c>
      <c r="G99" s="251" t="str">
        <f t="shared" si="35"/>
        <v/>
      </c>
      <c r="H99" s="251" t="str">
        <f t="shared" si="35"/>
        <v/>
      </c>
      <c r="I99" s="251" t="str">
        <f t="shared" si="35"/>
        <v/>
      </c>
      <c r="J99" s="251" t="str">
        <f t="shared" si="35"/>
        <v/>
      </c>
      <c r="K99" s="251" t="str">
        <f t="shared" si="35"/>
        <v/>
      </c>
      <c r="L99" s="251" t="str">
        <f t="shared" si="35"/>
        <v/>
      </c>
      <c r="M99" s="251" t="str">
        <f t="shared" si="35"/>
        <v/>
      </c>
      <c r="N99" s="251" t="str">
        <f t="shared" si="35"/>
        <v/>
      </c>
      <c r="O99" s="251" t="str">
        <f t="shared" si="35"/>
        <v/>
      </c>
      <c r="P99" s="251" t="str">
        <f t="shared" si="35"/>
        <v/>
      </c>
      <c r="Q99" s="251" t="str">
        <f t="shared" si="35"/>
        <v/>
      </c>
      <c r="R99" s="251" t="str">
        <f t="shared" si="35"/>
        <v/>
      </c>
      <c r="S99" s="251" t="str">
        <f t="shared" si="35"/>
        <v/>
      </c>
      <c r="T99" s="251" t="str">
        <f t="shared" si="35"/>
        <v/>
      </c>
      <c r="U99" s="251" t="str">
        <f t="shared" si="35"/>
        <v/>
      </c>
      <c r="V99" s="251" t="str">
        <f t="shared" si="35"/>
        <v/>
      </c>
      <c r="W99" s="251" t="str">
        <f t="shared" si="35"/>
        <v/>
      </c>
      <c r="X99" s="251" t="str">
        <f t="shared" si="35"/>
        <v/>
      </c>
      <c r="Y99" s="251" t="str">
        <f t="shared" si="35"/>
        <v/>
      </c>
      <c r="Z99" s="251" t="str">
        <f t="shared" si="35"/>
        <v/>
      </c>
      <c r="AA99" s="251" t="str">
        <f t="shared" si="35"/>
        <v/>
      </c>
      <c r="AB99" s="251" t="str">
        <f t="shared" si="35"/>
        <v/>
      </c>
      <c r="AC99" s="251" t="str">
        <f t="shared" si="35"/>
        <v/>
      </c>
      <c r="AD99" s="251" t="str">
        <f t="shared" si="35"/>
        <v/>
      </c>
      <c r="AE99" s="251" t="str">
        <f t="shared" si="35"/>
        <v/>
      </c>
      <c r="AF99" s="251" t="str">
        <f t="shared" si="35"/>
        <v/>
      </c>
      <c r="AG99" s="252" t="str">
        <f t="shared" si="35"/>
        <v/>
      </c>
      <c r="AH99" s="251" t="str">
        <f t="shared" si="35"/>
        <v/>
      </c>
      <c r="AI99" s="251" t="str">
        <f t="shared" si="35"/>
        <v/>
      </c>
      <c r="AJ99" s="251" t="str">
        <f t="shared" si="35"/>
        <v/>
      </c>
      <c r="AK99" s="253"/>
      <c r="AL99" s="251" t="str">
        <f>IFERROR((AL64+SUM(AL8:AL10))/(AL15+AL35),"")</f>
        <v/>
      </c>
      <c r="AM99" s="251" t="str">
        <f>IFERROR((AM64+SUM(AM8:AM10))/(AM15+AM35),"")</f>
        <v/>
      </c>
      <c r="AN99" s="251" t="str">
        <f>IFERROR((AN64+SUM(AN8:AN10))/(AN15+AN35),"")</f>
        <v/>
      </c>
      <c r="AO99" s="251" t="str">
        <f>IFERROR((AO64+SUM(AO8:AO10))/(AO15+AO35),"")</f>
        <v/>
      </c>
    </row>
    <row r="100" spans="1:41" s="44" customFormat="1">
      <c r="A100" s="75"/>
      <c r="B100" s="203" t="s">
        <v>169</v>
      </c>
      <c r="C100" s="203"/>
      <c r="D100" s="251" t="str">
        <f t="shared" ref="D100:AJ100" si="36">IFERROR(D64/(D15+D35),"")</f>
        <v/>
      </c>
      <c r="E100" s="251" t="str">
        <f t="shared" si="36"/>
        <v/>
      </c>
      <c r="F100" s="251" t="str">
        <f t="shared" si="36"/>
        <v/>
      </c>
      <c r="G100" s="251" t="str">
        <f t="shared" si="36"/>
        <v/>
      </c>
      <c r="H100" s="251" t="str">
        <f t="shared" si="36"/>
        <v/>
      </c>
      <c r="I100" s="251" t="str">
        <f t="shared" si="36"/>
        <v/>
      </c>
      <c r="J100" s="251" t="str">
        <f t="shared" si="36"/>
        <v/>
      </c>
      <c r="K100" s="251" t="str">
        <f t="shared" si="36"/>
        <v/>
      </c>
      <c r="L100" s="251" t="str">
        <f t="shared" si="36"/>
        <v/>
      </c>
      <c r="M100" s="251" t="str">
        <f t="shared" si="36"/>
        <v/>
      </c>
      <c r="N100" s="251" t="str">
        <f t="shared" si="36"/>
        <v/>
      </c>
      <c r="O100" s="251" t="str">
        <f t="shared" si="36"/>
        <v/>
      </c>
      <c r="P100" s="251" t="str">
        <f t="shared" si="36"/>
        <v/>
      </c>
      <c r="Q100" s="251" t="str">
        <f t="shared" si="36"/>
        <v/>
      </c>
      <c r="R100" s="251" t="str">
        <f t="shared" si="36"/>
        <v/>
      </c>
      <c r="S100" s="251" t="str">
        <f t="shared" si="36"/>
        <v/>
      </c>
      <c r="T100" s="251" t="str">
        <f t="shared" si="36"/>
        <v/>
      </c>
      <c r="U100" s="251" t="str">
        <f t="shared" si="36"/>
        <v/>
      </c>
      <c r="V100" s="251" t="str">
        <f t="shared" si="36"/>
        <v/>
      </c>
      <c r="W100" s="251" t="str">
        <f t="shared" si="36"/>
        <v/>
      </c>
      <c r="X100" s="251" t="str">
        <f t="shared" si="36"/>
        <v/>
      </c>
      <c r="Y100" s="251" t="str">
        <f t="shared" si="36"/>
        <v/>
      </c>
      <c r="Z100" s="251" t="str">
        <f t="shared" si="36"/>
        <v/>
      </c>
      <c r="AA100" s="251" t="str">
        <f t="shared" si="36"/>
        <v/>
      </c>
      <c r="AB100" s="251" t="str">
        <f t="shared" si="36"/>
        <v/>
      </c>
      <c r="AC100" s="251" t="str">
        <f t="shared" si="36"/>
        <v/>
      </c>
      <c r="AD100" s="251" t="str">
        <f t="shared" si="36"/>
        <v/>
      </c>
      <c r="AE100" s="251" t="str">
        <f t="shared" si="36"/>
        <v/>
      </c>
      <c r="AF100" s="251" t="str">
        <f t="shared" si="36"/>
        <v/>
      </c>
      <c r="AG100" s="252" t="str">
        <f t="shared" si="36"/>
        <v/>
      </c>
      <c r="AH100" s="251" t="str">
        <f t="shared" si="36"/>
        <v/>
      </c>
      <c r="AI100" s="251" t="str">
        <f t="shared" si="36"/>
        <v/>
      </c>
      <c r="AJ100" s="251" t="str">
        <f t="shared" si="36"/>
        <v/>
      </c>
      <c r="AK100" s="253"/>
      <c r="AL100" s="251" t="str">
        <f>IFERROR(AL64/(AL15+AL35),"")</f>
        <v/>
      </c>
      <c r="AM100" s="251" t="str">
        <f>IFERROR(AM64/(AM15+AM35),"")</f>
        <v/>
      </c>
      <c r="AN100" s="251" t="str">
        <f>IFERROR(AN64/(AN15+AN35),"")</f>
        <v/>
      </c>
      <c r="AO100" s="251" t="str">
        <f>IFERROR(AO64/(AO15+AO35),"")</f>
        <v/>
      </c>
    </row>
    <row r="101" spans="1:41" s="44" customFormat="1">
      <c r="A101" s="75"/>
      <c r="B101" s="203" t="s">
        <v>170</v>
      </c>
      <c r="C101" s="203"/>
      <c r="D101" s="251" t="str">
        <f t="shared" ref="D101:AJ101" si="37">IFERROR((D67+D8)/(D15+D35),"")</f>
        <v/>
      </c>
      <c r="E101" s="251" t="str">
        <f t="shared" si="37"/>
        <v/>
      </c>
      <c r="F101" s="251" t="str">
        <f t="shared" si="37"/>
        <v/>
      </c>
      <c r="G101" s="251" t="str">
        <f t="shared" si="37"/>
        <v/>
      </c>
      <c r="H101" s="251" t="str">
        <f t="shared" si="37"/>
        <v/>
      </c>
      <c r="I101" s="251" t="str">
        <f t="shared" si="37"/>
        <v/>
      </c>
      <c r="J101" s="251" t="str">
        <f t="shared" si="37"/>
        <v/>
      </c>
      <c r="K101" s="251" t="str">
        <f t="shared" si="37"/>
        <v/>
      </c>
      <c r="L101" s="251" t="str">
        <f t="shared" si="37"/>
        <v/>
      </c>
      <c r="M101" s="251" t="str">
        <f t="shared" si="37"/>
        <v/>
      </c>
      <c r="N101" s="251" t="str">
        <f t="shared" si="37"/>
        <v/>
      </c>
      <c r="O101" s="251" t="str">
        <f t="shared" si="37"/>
        <v/>
      </c>
      <c r="P101" s="251" t="str">
        <f t="shared" si="37"/>
        <v/>
      </c>
      <c r="Q101" s="251" t="str">
        <f t="shared" si="37"/>
        <v/>
      </c>
      <c r="R101" s="251" t="str">
        <f t="shared" si="37"/>
        <v/>
      </c>
      <c r="S101" s="251" t="str">
        <f t="shared" si="37"/>
        <v/>
      </c>
      <c r="T101" s="251" t="str">
        <f t="shared" si="37"/>
        <v/>
      </c>
      <c r="U101" s="251" t="str">
        <f t="shared" si="37"/>
        <v/>
      </c>
      <c r="V101" s="251" t="str">
        <f t="shared" si="37"/>
        <v/>
      </c>
      <c r="W101" s="251" t="str">
        <f t="shared" si="37"/>
        <v/>
      </c>
      <c r="X101" s="251" t="str">
        <f t="shared" si="37"/>
        <v/>
      </c>
      <c r="Y101" s="251" t="str">
        <f t="shared" si="37"/>
        <v/>
      </c>
      <c r="Z101" s="251" t="str">
        <f t="shared" si="37"/>
        <v/>
      </c>
      <c r="AA101" s="251" t="str">
        <f t="shared" si="37"/>
        <v/>
      </c>
      <c r="AB101" s="251" t="str">
        <f t="shared" si="37"/>
        <v/>
      </c>
      <c r="AC101" s="251" t="str">
        <f t="shared" si="37"/>
        <v/>
      </c>
      <c r="AD101" s="251" t="str">
        <f t="shared" si="37"/>
        <v/>
      </c>
      <c r="AE101" s="251" t="str">
        <f t="shared" si="37"/>
        <v/>
      </c>
      <c r="AF101" s="251" t="str">
        <f t="shared" si="37"/>
        <v/>
      </c>
      <c r="AG101" s="252" t="str">
        <f t="shared" si="37"/>
        <v/>
      </c>
      <c r="AH101" s="251" t="str">
        <f t="shared" si="37"/>
        <v/>
      </c>
      <c r="AI101" s="251" t="str">
        <f t="shared" si="37"/>
        <v/>
      </c>
      <c r="AJ101" s="251" t="str">
        <f t="shared" si="37"/>
        <v/>
      </c>
      <c r="AK101" s="253"/>
      <c r="AL101" s="251"/>
      <c r="AM101" s="251" t="str">
        <f>IFERROR((AM67+AM8)/(AM15+AM35),"")</f>
        <v/>
      </c>
      <c r="AN101" s="251" t="str">
        <f>IFERROR((AN67+AN8)/(AN15+AN35),"")</f>
        <v/>
      </c>
      <c r="AO101" s="251" t="str">
        <f>IFERROR((AO67+AO8)/(AO15+AO35),"")</f>
        <v/>
      </c>
    </row>
    <row r="102" spans="1:41" s="44" customFormat="1">
      <c r="A102" s="23"/>
      <c r="B102" s="150"/>
      <c r="C102" s="150"/>
      <c r="D102" s="254"/>
      <c r="E102" s="254"/>
      <c r="F102" s="254"/>
      <c r="G102" s="254"/>
      <c r="H102" s="254"/>
      <c r="I102" s="254"/>
      <c r="J102" s="254"/>
      <c r="K102" s="254"/>
      <c r="L102" s="254"/>
      <c r="M102" s="254"/>
      <c r="N102" s="254"/>
      <c r="O102" s="254"/>
      <c r="P102" s="254"/>
      <c r="Q102" s="254"/>
      <c r="R102" s="254"/>
      <c r="S102" s="254"/>
      <c r="T102" s="254"/>
      <c r="U102" s="254"/>
      <c r="V102" s="254"/>
      <c r="W102" s="254"/>
      <c r="X102" s="254"/>
      <c r="Y102" s="254"/>
      <c r="Z102" s="254"/>
      <c r="AA102" s="254"/>
      <c r="AB102" s="254"/>
      <c r="AC102" s="254"/>
      <c r="AD102" s="254"/>
      <c r="AE102" s="254"/>
      <c r="AF102" s="254"/>
      <c r="AG102" s="255"/>
      <c r="AH102" s="254"/>
      <c r="AI102" s="256"/>
      <c r="AJ102" s="255"/>
      <c r="AK102" s="217"/>
      <c r="AM102" s="256"/>
      <c r="AN102" s="256"/>
      <c r="AO102" s="256"/>
    </row>
    <row r="103" spans="1:41" s="44" customFormat="1">
      <c r="A103" s="75"/>
      <c r="B103" s="50" t="s">
        <v>54</v>
      </c>
      <c r="C103" s="50"/>
      <c r="D103" s="248"/>
      <c r="E103" s="248"/>
      <c r="F103" s="248"/>
      <c r="G103" s="248"/>
      <c r="H103" s="248"/>
      <c r="I103" s="248"/>
      <c r="J103" s="248"/>
      <c r="K103" s="248"/>
      <c r="L103" s="248"/>
      <c r="M103" s="248"/>
      <c r="N103" s="248"/>
      <c r="O103" s="248"/>
      <c r="P103" s="248"/>
      <c r="Q103" s="248"/>
      <c r="R103" s="248"/>
      <c r="S103" s="248"/>
      <c r="T103" s="248"/>
      <c r="U103" s="248"/>
      <c r="V103" s="248"/>
      <c r="W103" s="248"/>
      <c r="X103" s="248"/>
      <c r="Y103" s="248"/>
      <c r="Z103" s="248"/>
      <c r="AA103" s="248"/>
      <c r="AB103" s="248"/>
      <c r="AC103" s="248"/>
      <c r="AD103" s="248"/>
      <c r="AE103" s="248"/>
      <c r="AF103" s="248"/>
      <c r="AG103" s="249"/>
      <c r="AH103" s="248"/>
      <c r="AI103" s="250"/>
      <c r="AJ103" s="249"/>
      <c r="AK103" s="217"/>
      <c r="AM103" s="47"/>
      <c r="AN103" s="47"/>
      <c r="AO103" s="47"/>
    </row>
    <row r="104" spans="1:41" s="44" customFormat="1">
      <c r="A104" s="75"/>
      <c r="B104" s="257" t="s">
        <v>55</v>
      </c>
      <c r="C104" s="257"/>
      <c r="D104" s="251" t="str">
        <f>IFERROR(#REF!/#REF!,"")</f>
        <v/>
      </c>
      <c r="E104" s="251" t="str">
        <f>IFERROR(#REF!/#REF!,"")</f>
        <v/>
      </c>
      <c r="F104" s="251" t="str">
        <f>IFERROR(#REF!/#REF!,"")</f>
        <v/>
      </c>
      <c r="G104" s="251" t="str">
        <f>IFERROR(#REF!/#REF!,"")</f>
        <v/>
      </c>
      <c r="H104" s="251" t="str">
        <f>IFERROR(#REF!/#REF!,"")</f>
        <v/>
      </c>
      <c r="I104" s="251" t="str">
        <f>IFERROR(#REF!/#REF!,"")</f>
        <v/>
      </c>
      <c r="J104" s="251" t="str">
        <f>IFERROR(#REF!/#REF!,"")</f>
        <v/>
      </c>
      <c r="K104" s="251" t="str">
        <f>IFERROR(#REF!/#REF!,"")</f>
        <v/>
      </c>
      <c r="L104" s="251" t="str">
        <f>IFERROR(#REF!/#REF!,"")</f>
        <v/>
      </c>
      <c r="M104" s="251" t="str">
        <f>IFERROR(#REF!/#REF!,"")</f>
        <v/>
      </c>
      <c r="N104" s="251" t="str">
        <f>IFERROR(#REF!/#REF!,"")</f>
        <v/>
      </c>
      <c r="O104" s="251" t="str">
        <f>IFERROR(#REF!/#REF!,"")</f>
        <v/>
      </c>
      <c r="P104" s="251" t="str">
        <f>IFERROR(#REF!/#REF!,"")</f>
        <v/>
      </c>
      <c r="Q104" s="251" t="str">
        <f>IFERROR(#REF!/#REF!,"")</f>
        <v/>
      </c>
      <c r="R104" s="251" t="str">
        <f>IFERROR(#REF!/#REF!,"")</f>
        <v/>
      </c>
      <c r="S104" s="251" t="str">
        <f>IFERROR(#REF!/#REF!,"")</f>
        <v/>
      </c>
      <c r="T104" s="251" t="str">
        <f>IFERROR(#REF!/#REF!,"")</f>
        <v/>
      </c>
      <c r="U104" s="251" t="str">
        <f>IFERROR(#REF!/#REF!,"")</f>
        <v/>
      </c>
      <c r="V104" s="251" t="str">
        <f>IFERROR(#REF!/#REF!,"")</f>
        <v/>
      </c>
      <c r="W104" s="251" t="str">
        <f>IFERROR(#REF!/#REF!,"")</f>
        <v/>
      </c>
      <c r="X104" s="251" t="str">
        <f>IFERROR(#REF!/#REF!,"")</f>
        <v/>
      </c>
      <c r="Y104" s="251" t="str">
        <f>IFERROR(#REF!/#REF!,"")</f>
        <v/>
      </c>
      <c r="Z104" s="251" t="str">
        <f>IFERROR(#REF!/#REF!,"")</f>
        <v/>
      </c>
      <c r="AA104" s="251" t="str">
        <f>IFERROR(#REF!/#REF!,"")</f>
        <v/>
      </c>
      <c r="AB104" s="251" t="str">
        <f>IFERROR(#REF!/#REF!,"")</f>
        <v/>
      </c>
      <c r="AC104" s="251" t="str">
        <f>IFERROR(#REF!/#REF!,"")</f>
        <v/>
      </c>
      <c r="AD104" s="251" t="str">
        <f>IFERROR(#REF!/#REF!,"")</f>
        <v/>
      </c>
      <c r="AE104" s="251" t="str">
        <f>IFERROR(#REF!/#REF!,"")</f>
        <v/>
      </c>
      <c r="AF104" s="251" t="str">
        <f>IFERROR(#REF!/#REF!,"")</f>
        <v/>
      </c>
      <c r="AG104" s="252" t="str">
        <f>IFERROR(#REF!/#REF!,"")</f>
        <v/>
      </c>
      <c r="AH104" s="251" t="str">
        <f>IFERROR(#REF!/#REF!,"")</f>
        <v/>
      </c>
      <c r="AI104" s="251" t="str">
        <f>IFERROR(#REF!/#REF!,"")</f>
        <v/>
      </c>
      <c r="AJ104" s="252" t="str">
        <f>IFERROR(#REF!/#REF!,"")</f>
        <v/>
      </c>
      <c r="AK104" s="217"/>
      <c r="AM104" s="251" t="str">
        <f>IFERROR(#REF!/#REF!,"")</f>
        <v/>
      </c>
      <c r="AN104" s="251" t="str">
        <f>IFERROR(#REF!/#REF!,"")</f>
        <v/>
      </c>
      <c r="AO104" s="251" t="str">
        <f>IFERROR(#REF!/#REF!,"")</f>
        <v/>
      </c>
    </row>
    <row r="105" spans="1:41" s="44" customFormat="1">
      <c r="A105" s="75"/>
      <c r="B105" s="203" t="s">
        <v>56</v>
      </c>
      <c r="C105" s="203"/>
      <c r="D105" s="197" t="str">
        <f t="shared" ref="D105:AJ105" si="38">IFERROR(D37/D42,"")</f>
        <v/>
      </c>
      <c r="E105" s="197" t="str">
        <f t="shared" si="38"/>
        <v/>
      </c>
      <c r="F105" s="197" t="str">
        <f t="shared" si="38"/>
        <v/>
      </c>
      <c r="G105" s="197" t="str">
        <f t="shared" si="38"/>
        <v/>
      </c>
      <c r="H105" s="197" t="str">
        <f t="shared" si="38"/>
        <v/>
      </c>
      <c r="I105" s="197" t="str">
        <f t="shared" si="38"/>
        <v/>
      </c>
      <c r="J105" s="197" t="str">
        <f t="shared" si="38"/>
        <v/>
      </c>
      <c r="K105" s="197" t="str">
        <f t="shared" si="38"/>
        <v/>
      </c>
      <c r="L105" s="197" t="str">
        <f t="shared" si="38"/>
        <v/>
      </c>
      <c r="M105" s="197" t="str">
        <f t="shared" si="38"/>
        <v/>
      </c>
      <c r="N105" s="197" t="str">
        <f t="shared" si="38"/>
        <v/>
      </c>
      <c r="O105" s="197" t="str">
        <f t="shared" si="38"/>
        <v/>
      </c>
      <c r="P105" s="197" t="str">
        <f t="shared" si="38"/>
        <v/>
      </c>
      <c r="Q105" s="197" t="str">
        <f t="shared" si="38"/>
        <v/>
      </c>
      <c r="R105" s="197" t="str">
        <f t="shared" si="38"/>
        <v/>
      </c>
      <c r="S105" s="197" t="str">
        <f t="shared" si="38"/>
        <v/>
      </c>
      <c r="T105" s="197" t="str">
        <f t="shared" si="38"/>
        <v/>
      </c>
      <c r="U105" s="197" t="str">
        <f t="shared" si="38"/>
        <v/>
      </c>
      <c r="V105" s="197" t="str">
        <f t="shared" si="38"/>
        <v/>
      </c>
      <c r="W105" s="197" t="str">
        <f t="shared" si="38"/>
        <v/>
      </c>
      <c r="X105" s="197" t="str">
        <f t="shared" si="38"/>
        <v/>
      </c>
      <c r="Y105" s="197" t="str">
        <f t="shared" si="38"/>
        <v/>
      </c>
      <c r="Z105" s="197" t="str">
        <f t="shared" si="38"/>
        <v/>
      </c>
      <c r="AA105" s="197" t="str">
        <f t="shared" si="38"/>
        <v/>
      </c>
      <c r="AB105" s="197" t="str">
        <f t="shared" si="38"/>
        <v/>
      </c>
      <c r="AC105" s="197" t="str">
        <f t="shared" si="38"/>
        <v/>
      </c>
      <c r="AD105" s="197" t="str">
        <f t="shared" si="38"/>
        <v/>
      </c>
      <c r="AE105" s="197" t="str">
        <f t="shared" si="38"/>
        <v/>
      </c>
      <c r="AF105" s="197" t="str">
        <f t="shared" si="38"/>
        <v/>
      </c>
      <c r="AG105" s="258" t="str">
        <f t="shared" si="38"/>
        <v/>
      </c>
      <c r="AH105" s="197" t="str">
        <f t="shared" si="38"/>
        <v/>
      </c>
      <c r="AI105" s="259" t="str">
        <f t="shared" si="38"/>
        <v/>
      </c>
      <c r="AJ105" s="258" t="str">
        <f t="shared" si="38"/>
        <v/>
      </c>
      <c r="AK105" s="260"/>
      <c r="AL105" s="42"/>
      <c r="AM105" s="259" t="str">
        <f>IFERROR(AM37/AM42,"")</f>
        <v/>
      </c>
      <c r="AN105" s="259" t="str">
        <f>IFERROR(AN37/AN42,"")</f>
        <v/>
      </c>
      <c r="AO105" s="259" t="str">
        <f>IFERROR(AO37/AO42,"")</f>
        <v/>
      </c>
    </row>
    <row r="106" spans="1:41" s="44" customFormat="1">
      <c r="A106" s="75"/>
      <c r="B106" s="203" t="s">
        <v>57</v>
      </c>
      <c r="C106" s="203"/>
      <c r="D106" s="197" t="str">
        <f t="shared" ref="D106:AJ106" si="39">IFERROR(D37/D44,"")</f>
        <v/>
      </c>
      <c r="E106" s="197" t="str">
        <f t="shared" si="39"/>
        <v/>
      </c>
      <c r="F106" s="197" t="str">
        <f t="shared" si="39"/>
        <v/>
      </c>
      <c r="G106" s="197" t="str">
        <f t="shared" si="39"/>
        <v/>
      </c>
      <c r="H106" s="197" t="str">
        <f t="shared" si="39"/>
        <v/>
      </c>
      <c r="I106" s="197" t="str">
        <f t="shared" si="39"/>
        <v/>
      </c>
      <c r="J106" s="197" t="str">
        <f t="shared" si="39"/>
        <v/>
      </c>
      <c r="K106" s="197" t="str">
        <f t="shared" si="39"/>
        <v/>
      </c>
      <c r="L106" s="197" t="str">
        <f t="shared" si="39"/>
        <v/>
      </c>
      <c r="M106" s="197" t="str">
        <f t="shared" si="39"/>
        <v/>
      </c>
      <c r="N106" s="197" t="str">
        <f t="shared" si="39"/>
        <v/>
      </c>
      <c r="O106" s="197" t="str">
        <f t="shared" si="39"/>
        <v/>
      </c>
      <c r="P106" s="197" t="str">
        <f t="shared" si="39"/>
        <v/>
      </c>
      <c r="Q106" s="197" t="str">
        <f t="shared" si="39"/>
        <v/>
      </c>
      <c r="R106" s="197" t="str">
        <f t="shared" si="39"/>
        <v/>
      </c>
      <c r="S106" s="197" t="str">
        <f t="shared" si="39"/>
        <v/>
      </c>
      <c r="T106" s="197" t="str">
        <f t="shared" si="39"/>
        <v/>
      </c>
      <c r="U106" s="197" t="str">
        <f t="shared" si="39"/>
        <v/>
      </c>
      <c r="V106" s="197" t="str">
        <f t="shared" si="39"/>
        <v/>
      </c>
      <c r="W106" s="197" t="str">
        <f t="shared" si="39"/>
        <v/>
      </c>
      <c r="X106" s="197" t="str">
        <f t="shared" si="39"/>
        <v/>
      </c>
      <c r="Y106" s="197" t="str">
        <f t="shared" si="39"/>
        <v/>
      </c>
      <c r="Z106" s="197" t="str">
        <f t="shared" si="39"/>
        <v/>
      </c>
      <c r="AA106" s="197" t="str">
        <f t="shared" si="39"/>
        <v/>
      </c>
      <c r="AB106" s="197" t="str">
        <f t="shared" si="39"/>
        <v/>
      </c>
      <c r="AC106" s="197" t="str">
        <f t="shared" si="39"/>
        <v/>
      </c>
      <c r="AD106" s="197" t="str">
        <f t="shared" si="39"/>
        <v/>
      </c>
      <c r="AE106" s="197" t="str">
        <f t="shared" si="39"/>
        <v/>
      </c>
      <c r="AF106" s="197" t="str">
        <f t="shared" si="39"/>
        <v/>
      </c>
      <c r="AG106" s="258" t="str">
        <f t="shared" si="39"/>
        <v/>
      </c>
      <c r="AH106" s="197" t="str">
        <f t="shared" si="39"/>
        <v/>
      </c>
      <c r="AI106" s="259" t="str">
        <f t="shared" si="39"/>
        <v/>
      </c>
      <c r="AJ106" s="258" t="str">
        <f t="shared" si="39"/>
        <v/>
      </c>
      <c r="AK106" s="260"/>
      <c r="AL106" s="42"/>
      <c r="AM106" s="259" t="str">
        <f>IFERROR(AM37/AM44,"")</f>
        <v/>
      </c>
      <c r="AN106" s="259" t="str">
        <f>IFERROR(AN37/AN44,"")</f>
        <v/>
      </c>
      <c r="AO106" s="259" t="str">
        <f>IFERROR(AO37/AO44,"")</f>
        <v/>
      </c>
    </row>
    <row r="107" spans="1:41" s="44" customFormat="1">
      <c r="A107" s="75"/>
      <c r="D107" s="261"/>
      <c r="E107" s="261"/>
      <c r="F107" s="261"/>
      <c r="G107" s="261"/>
      <c r="H107" s="261"/>
      <c r="I107" s="261"/>
      <c r="J107" s="261"/>
      <c r="K107" s="261"/>
      <c r="L107" s="261"/>
      <c r="M107" s="261"/>
      <c r="N107" s="261"/>
      <c r="O107" s="261"/>
      <c r="P107" s="261"/>
      <c r="Q107" s="261"/>
      <c r="R107" s="261"/>
      <c r="S107" s="261"/>
      <c r="T107" s="261"/>
      <c r="U107" s="261"/>
      <c r="V107" s="261"/>
      <c r="W107" s="261"/>
      <c r="X107" s="261"/>
      <c r="Y107" s="261"/>
      <c r="Z107" s="261"/>
      <c r="AA107" s="261"/>
      <c r="AB107" s="261"/>
      <c r="AC107" s="261"/>
      <c r="AD107" s="261"/>
      <c r="AE107" s="261"/>
      <c r="AF107" s="261"/>
      <c r="AG107" s="262"/>
      <c r="AH107" s="261"/>
      <c r="AI107" s="40"/>
      <c r="AJ107" s="262"/>
      <c r="AK107" s="217"/>
      <c r="AM107" s="40"/>
      <c r="AN107" s="40"/>
      <c r="AO107" s="40"/>
    </row>
    <row r="108" spans="1:41" s="50" customFormat="1">
      <c r="A108" s="53"/>
      <c r="B108" s="50" t="s">
        <v>171</v>
      </c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84"/>
      <c r="AH108" s="54"/>
      <c r="AI108" s="54"/>
      <c r="AJ108" s="84"/>
      <c r="AK108" s="263"/>
      <c r="AL108" s="264"/>
      <c r="AM108" s="54"/>
      <c r="AN108" s="54"/>
      <c r="AO108" s="54"/>
    </row>
    <row r="109" spans="1:41" s="44" customFormat="1">
      <c r="A109" s="75"/>
      <c r="B109" s="43" t="s">
        <v>58</v>
      </c>
      <c r="C109" s="26"/>
      <c r="D109" s="265"/>
      <c r="E109" s="265"/>
      <c r="F109" s="265"/>
      <c r="G109" s="265"/>
      <c r="H109" s="265"/>
      <c r="I109" s="265"/>
      <c r="J109" s="265"/>
      <c r="K109" s="265"/>
      <c r="L109" s="265"/>
      <c r="M109" s="265"/>
      <c r="N109" s="265"/>
      <c r="O109" s="265"/>
      <c r="P109" s="265"/>
      <c r="Q109" s="265"/>
      <c r="R109" s="265"/>
      <c r="S109" s="265"/>
      <c r="T109" s="265"/>
      <c r="U109" s="265"/>
      <c r="V109" s="265"/>
      <c r="W109" s="265"/>
      <c r="X109" s="265"/>
      <c r="Y109" s="265"/>
      <c r="Z109" s="265"/>
      <c r="AA109" s="265"/>
      <c r="AB109" s="265"/>
      <c r="AC109" s="265"/>
      <c r="AD109" s="265"/>
      <c r="AE109" s="265"/>
      <c r="AF109" s="265"/>
      <c r="AG109" s="266"/>
      <c r="AH109" s="265"/>
      <c r="AI109" s="267"/>
      <c r="AJ109" s="266"/>
      <c r="AK109" s="217"/>
      <c r="AM109" s="267"/>
      <c r="AN109" s="267"/>
      <c r="AO109" s="267"/>
    </row>
    <row r="110" spans="1:41" s="44" customFormat="1">
      <c r="A110" s="75"/>
      <c r="B110" s="268" t="s">
        <v>59</v>
      </c>
      <c r="C110" s="268"/>
      <c r="D110" s="269" t="e">
        <f>#REF!</f>
        <v>#REF!</v>
      </c>
      <c r="E110" s="269" t="e">
        <f>#REF!</f>
        <v>#REF!</v>
      </c>
      <c r="F110" s="269" t="e">
        <f>#REF!</f>
        <v>#REF!</v>
      </c>
      <c r="G110" s="269" t="e">
        <f>#REF!</f>
        <v>#REF!</v>
      </c>
      <c r="H110" s="269" t="e">
        <f>#REF!</f>
        <v>#REF!</v>
      </c>
      <c r="I110" s="269" t="e">
        <f>#REF!</f>
        <v>#REF!</v>
      </c>
      <c r="J110" s="269" t="e">
        <f>#REF!</f>
        <v>#REF!</v>
      </c>
      <c r="K110" s="269" t="e">
        <f>#REF!</f>
        <v>#REF!</v>
      </c>
      <c r="L110" s="269" t="e">
        <f>#REF!</f>
        <v>#REF!</v>
      </c>
      <c r="M110" s="269" t="e">
        <f>#REF!</f>
        <v>#REF!</v>
      </c>
      <c r="N110" s="269" t="e">
        <f>#REF!</f>
        <v>#REF!</v>
      </c>
      <c r="O110" s="269" t="e">
        <f>#REF!</f>
        <v>#REF!</v>
      </c>
      <c r="P110" s="269" t="e">
        <f>#REF!</f>
        <v>#REF!</v>
      </c>
      <c r="Q110" s="269" t="e">
        <f>#REF!</f>
        <v>#REF!</v>
      </c>
      <c r="R110" s="269" t="e">
        <f>#REF!</f>
        <v>#REF!</v>
      </c>
      <c r="S110" s="269" t="e">
        <f>#REF!</f>
        <v>#REF!</v>
      </c>
      <c r="T110" s="269" t="e">
        <f>#REF!</f>
        <v>#REF!</v>
      </c>
      <c r="U110" s="269" t="e">
        <f>#REF!</f>
        <v>#REF!</v>
      </c>
      <c r="V110" s="269" t="e">
        <f>#REF!</f>
        <v>#REF!</v>
      </c>
      <c r="W110" s="269" t="e">
        <f>#REF!</f>
        <v>#REF!</v>
      </c>
      <c r="X110" s="269" t="e">
        <f>#REF!</f>
        <v>#REF!</v>
      </c>
      <c r="Y110" s="269" t="e">
        <f>#REF!</f>
        <v>#REF!</v>
      </c>
      <c r="Z110" s="269" t="e">
        <f>#REF!</f>
        <v>#REF!</v>
      </c>
      <c r="AA110" s="269" t="e">
        <f>#REF!</f>
        <v>#REF!</v>
      </c>
      <c r="AB110" s="269" t="e">
        <f>#REF!</f>
        <v>#REF!</v>
      </c>
      <c r="AC110" s="269" t="e">
        <f>#REF!</f>
        <v>#REF!</v>
      </c>
      <c r="AD110" s="269" t="e">
        <f>#REF!</f>
        <v>#REF!</v>
      </c>
      <c r="AE110" s="269" t="e">
        <f>#REF!</f>
        <v>#REF!</v>
      </c>
      <c r="AF110" s="269" t="e">
        <f>#REF!</f>
        <v>#REF!</v>
      </c>
      <c r="AG110" s="270" t="e">
        <f>#REF!</f>
        <v>#REF!</v>
      </c>
      <c r="AH110" s="269" t="e">
        <f>#REF!</f>
        <v>#REF!</v>
      </c>
      <c r="AI110" s="271" t="e">
        <f>#REF!</f>
        <v>#REF!</v>
      </c>
      <c r="AJ110" s="270" t="e">
        <f>#REF!</f>
        <v>#REF!</v>
      </c>
      <c r="AK110" s="217"/>
      <c r="AM110" s="271" t="e">
        <f>#REF!</f>
        <v>#REF!</v>
      </c>
      <c r="AN110" s="271" t="e">
        <f>#REF!</f>
        <v>#REF!</v>
      </c>
      <c r="AO110" s="271" t="e">
        <f>#REF!</f>
        <v>#REF!</v>
      </c>
    </row>
    <row r="111" spans="1:41" s="44" customFormat="1" ht="15" customHeight="1">
      <c r="A111" s="75"/>
      <c r="B111" s="268" t="s">
        <v>60</v>
      </c>
      <c r="C111" s="268"/>
      <c r="D111" s="269" t="str">
        <f>IFERROR(#REF!/AVERAGE('Balance Sheet'!C57:D57),"")</f>
        <v/>
      </c>
      <c r="E111" s="269" t="str">
        <f>IFERROR(#REF!/AVERAGE('Balance Sheet'!D57:E57),"")</f>
        <v/>
      </c>
      <c r="F111" s="269" t="str">
        <f>IFERROR(#REF!/AVERAGE('Balance Sheet'!E57:F57),"")</f>
        <v/>
      </c>
      <c r="G111" s="269" t="str">
        <f>IFERROR(#REF!/AVERAGE('Balance Sheet'!F57:G57),"")</f>
        <v/>
      </c>
      <c r="H111" s="269" t="str">
        <f>IFERROR(#REF!/AVERAGE('Balance Sheet'!G57:H57),"")</f>
        <v/>
      </c>
      <c r="I111" s="269" t="str">
        <f>IFERROR(#REF!/AVERAGE('Balance Sheet'!H57:I57),"")</f>
        <v/>
      </c>
      <c r="J111" s="269" t="str">
        <f>IFERROR(#REF!/AVERAGE('Balance Sheet'!I57:J57),"")</f>
        <v/>
      </c>
      <c r="K111" s="269" t="str">
        <f>IFERROR(#REF!/AVERAGE('Balance Sheet'!J57:K57),"")</f>
        <v/>
      </c>
      <c r="L111" s="269" t="str">
        <f>IFERROR(#REF!/AVERAGE('Balance Sheet'!K57:L57),"")</f>
        <v/>
      </c>
      <c r="M111" s="269" t="str">
        <f>IFERROR(#REF!/AVERAGE('Balance Sheet'!L57:M57),"")</f>
        <v/>
      </c>
      <c r="N111" s="269" t="str">
        <f>IFERROR(#REF!/AVERAGE('Balance Sheet'!M57:N57),"")</f>
        <v/>
      </c>
      <c r="O111" s="269" t="str">
        <f>IFERROR(#REF!/AVERAGE('Balance Sheet'!N57:O57),"")</f>
        <v/>
      </c>
      <c r="P111" s="269" t="str">
        <f>IFERROR(#REF!/AVERAGE('Balance Sheet'!O57:P57),"")</f>
        <v/>
      </c>
      <c r="Q111" s="269" t="str">
        <f>IFERROR(#REF!/AVERAGE('Balance Sheet'!P57:Q57),"")</f>
        <v/>
      </c>
      <c r="R111" s="269" t="str">
        <f>IFERROR(#REF!/AVERAGE('Balance Sheet'!Q57:R57),"")</f>
        <v/>
      </c>
      <c r="S111" s="269" t="str">
        <f>IFERROR(#REF!/AVERAGE('Balance Sheet'!R57:S57),"")</f>
        <v/>
      </c>
      <c r="T111" s="269" t="str">
        <f>IFERROR(#REF!/AVERAGE('Balance Sheet'!S57:T57),"")</f>
        <v/>
      </c>
      <c r="U111" s="269" t="str">
        <f>IFERROR(#REF!/AVERAGE('Balance Sheet'!T57:U57),"")</f>
        <v/>
      </c>
      <c r="V111" s="269" t="str">
        <f>IFERROR(#REF!/AVERAGE('Balance Sheet'!U57:V57),"")</f>
        <v/>
      </c>
      <c r="W111" s="269" t="str">
        <f>IFERROR(#REF!/AVERAGE('Balance Sheet'!V57:W57),"")</f>
        <v/>
      </c>
      <c r="X111" s="269" t="str">
        <f>IFERROR(#REF!/AVERAGE('Balance Sheet'!W57:X57),"")</f>
        <v/>
      </c>
      <c r="Y111" s="269" t="str">
        <f>IFERROR(#REF!/AVERAGE('Balance Sheet'!X57:Y57),"")</f>
        <v/>
      </c>
      <c r="Z111" s="269" t="str">
        <f>IFERROR(#REF!/AVERAGE('Balance Sheet'!Y57:Z57),"")</f>
        <v/>
      </c>
      <c r="AA111" s="269" t="str">
        <f>IFERROR(#REF!/AVERAGE('Balance Sheet'!Z57:AA57),"")</f>
        <v/>
      </c>
      <c r="AB111" s="269" t="str">
        <f>IFERROR(#REF!/AVERAGE('Balance Sheet'!AA57:AB57),"")</f>
        <v/>
      </c>
      <c r="AC111" s="269" t="str">
        <f>IFERROR(#REF!/AVERAGE('Balance Sheet'!AB57:AC57),"")</f>
        <v/>
      </c>
      <c r="AD111" s="269" t="str">
        <f>IFERROR(#REF!/AVERAGE('Balance Sheet'!AC57:AD57),"")</f>
        <v/>
      </c>
      <c r="AE111" s="269" t="str">
        <f>IFERROR(#REF!/AVERAGE('Balance Sheet'!AD57:AE57),"")</f>
        <v/>
      </c>
      <c r="AF111" s="269" t="str">
        <f>IFERROR(#REF!/AVERAGE('Balance Sheet'!AE57:AF57),"")</f>
        <v/>
      </c>
      <c r="AG111" s="270" t="str">
        <f>IFERROR(#REF!/AVERAGE('Balance Sheet'!AF57:AG57),"")</f>
        <v/>
      </c>
      <c r="AH111" s="269">
        <f>IFERROR(#REF!/AVERAGE('Balance Sheet'!$AG57,AH57),0)</f>
        <v>0</v>
      </c>
      <c r="AI111" s="271">
        <f>IFERROR(#REF!/AVERAGE('Balance Sheet'!$AG57,AI57),0)</f>
        <v>0</v>
      </c>
      <c r="AJ111" s="270">
        <f>IFERROR(#REF!/AVERAGE('Balance Sheet'!$AG57,AJ57),0)</f>
        <v>0</v>
      </c>
      <c r="AK111" s="217"/>
      <c r="AM111" s="271" t="str">
        <f>IFERROR(#REF!/AVERAGE('Balance Sheet'!$AG57,AM57),"")</f>
        <v/>
      </c>
      <c r="AN111" s="271" t="str">
        <f>IFERROR(#REF!/AVERAGE('Balance Sheet'!AM57:AN57),"")</f>
        <v/>
      </c>
      <c r="AO111" s="271" t="str">
        <f>IFERROR(#REF!/AVERAGE('Balance Sheet'!AN57:AO57),"")</f>
        <v/>
      </c>
    </row>
    <row r="112" spans="1:41" s="273" customFormat="1">
      <c r="A112" s="75"/>
      <c r="B112" s="268" t="s">
        <v>61</v>
      </c>
      <c r="C112" s="268"/>
      <c r="D112" s="269" t="str">
        <f>IFERROR(AVERAGE('Balance Sheet'!C57:D57)/AVERAGE('Balance Sheet'!C42:D42),"")</f>
        <v/>
      </c>
      <c r="E112" s="269" t="str">
        <f>IFERROR(AVERAGE('Balance Sheet'!D57:E57)/AVERAGE('Balance Sheet'!D42:E42),"")</f>
        <v/>
      </c>
      <c r="F112" s="269" t="str">
        <f>IFERROR(AVERAGE('Balance Sheet'!E57:F57)/AVERAGE('Balance Sheet'!E42:F42),"")</f>
        <v/>
      </c>
      <c r="G112" s="269" t="str">
        <f>IFERROR(AVERAGE('Balance Sheet'!F57:G57)/AVERAGE('Balance Sheet'!F42:G42),"")</f>
        <v/>
      </c>
      <c r="H112" s="269" t="str">
        <f>IFERROR(AVERAGE('Balance Sheet'!G57:H57)/AVERAGE('Balance Sheet'!G42:H42),"")</f>
        <v/>
      </c>
      <c r="I112" s="269" t="str">
        <f>IFERROR(AVERAGE('Balance Sheet'!H57:I57)/AVERAGE('Balance Sheet'!H42:I42),"")</f>
        <v/>
      </c>
      <c r="J112" s="269" t="str">
        <f>IFERROR(AVERAGE('Balance Sheet'!I57:J57)/AVERAGE('Balance Sheet'!I42:J42),"")</f>
        <v/>
      </c>
      <c r="K112" s="269" t="str">
        <f>IFERROR(AVERAGE('Balance Sheet'!J57:K57)/AVERAGE('Balance Sheet'!J42:K42),"")</f>
        <v/>
      </c>
      <c r="L112" s="269" t="str">
        <f>IFERROR(AVERAGE('Balance Sheet'!K57:L57)/AVERAGE('Balance Sheet'!K42:L42),"")</f>
        <v/>
      </c>
      <c r="M112" s="269" t="str">
        <f>IFERROR(AVERAGE('Balance Sheet'!L57:M57)/AVERAGE('Balance Sheet'!L42:M42),"")</f>
        <v/>
      </c>
      <c r="N112" s="269" t="str">
        <f>IFERROR(AVERAGE('Balance Sheet'!M57:N57)/AVERAGE('Balance Sheet'!M42:N42),"")</f>
        <v/>
      </c>
      <c r="O112" s="269" t="str">
        <f>IFERROR(AVERAGE('Balance Sheet'!N57:O57)/AVERAGE('Balance Sheet'!N42:O42),"")</f>
        <v/>
      </c>
      <c r="P112" s="269" t="str">
        <f>IFERROR(AVERAGE('Balance Sheet'!O57:P57)/AVERAGE('Balance Sheet'!O42:P42),"")</f>
        <v/>
      </c>
      <c r="Q112" s="269" t="str">
        <f>IFERROR(AVERAGE('Balance Sheet'!P57:Q57)/AVERAGE('Balance Sheet'!P42:Q42),"")</f>
        <v/>
      </c>
      <c r="R112" s="269" t="str">
        <f>IFERROR(AVERAGE('Balance Sheet'!Q57:R57)/AVERAGE('Balance Sheet'!Q42:R42),"")</f>
        <v/>
      </c>
      <c r="S112" s="269" t="str">
        <f>IFERROR(AVERAGE('Balance Sheet'!R57:S57)/AVERAGE('Balance Sheet'!R42:S42),"")</f>
        <v/>
      </c>
      <c r="T112" s="269" t="str">
        <f>IFERROR(AVERAGE('Balance Sheet'!S57:T57)/AVERAGE('Balance Sheet'!S42:T42),"")</f>
        <v/>
      </c>
      <c r="U112" s="269" t="str">
        <f>IFERROR(AVERAGE('Balance Sheet'!T57:U57)/AVERAGE('Balance Sheet'!T42:U42),"")</f>
        <v/>
      </c>
      <c r="V112" s="269" t="str">
        <f>IFERROR(AVERAGE('Balance Sheet'!U57:V57)/AVERAGE('Balance Sheet'!U42:V42),"")</f>
        <v/>
      </c>
      <c r="W112" s="269" t="str">
        <f>IFERROR(AVERAGE('Balance Sheet'!V57:W57)/AVERAGE('Balance Sheet'!V42:W42),"")</f>
        <v/>
      </c>
      <c r="X112" s="269" t="str">
        <f>IFERROR(AVERAGE('Balance Sheet'!W57:X57)/AVERAGE('Balance Sheet'!W42:X42),"")</f>
        <v/>
      </c>
      <c r="Y112" s="269" t="str">
        <f>IFERROR(AVERAGE('Balance Sheet'!X57:Y57)/AVERAGE('Balance Sheet'!X42:Y42),"")</f>
        <v/>
      </c>
      <c r="Z112" s="269" t="str">
        <f>IFERROR(AVERAGE('Balance Sheet'!Y57:Z57)/AVERAGE('Balance Sheet'!Y42:Z42),"")</f>
        <v/>
      </c>
      <c r="AA112" s="269" t="str">
        <f>IFERROR(AVERAGE('Balance Sheet'!Z57:AA57)/AVERAGE('Balance Sheet'!Z42:AA42),"")</f>
        <v/>
      </c>
      <c r="AB112" s="269" t="str">
        <f>IFERROR(AVERAGE('Balance Sheet'!AA57:AB57)/AVERAGE('Balance Sheet'!AA42:AB42),"")</f>
        <v/>
      </c>
      <c r="AC112" s="269" t="str">
        <f>IFERROR(AVERAGE('Balance Sheet'!AB57:AC57)/AVERAGE('Balance Sheet'!AB42:AC42),"")</f>
        <v/>
      </c>
      <c r="AD112" s="269" t="str">
        <f>IFERROR(AVERAGE('Balance Sheet'!AC57:AD57)/AVERAGE('Balance Sheet'!AC42:AD42),"")</f>
        <v/>
      </c>
      <c r="AE112" s="269" t="str">
        <f>IFERROR(AVERAGE('Balance Sheet'!AD57:AE57)/AVERAGE('Balance Sheet'!AD42:AE42),"")</f>
        <v/>
      </c>
      <c r="AF112" s="269" t="str">
        <f>IFERROR(AVERAGE('Balance Sheet'!AE57:AF57)/AVERAGE('Balance Sheet'!AE42:AF42),"")</f>
        <v/>
      </c>
      <c r="AG112" s="270" t="str">
        <f>IFERROR(AVERAGE('Balance Sheet'!AF57:AG57)/AVERAGE('Balance Sheet'!AF42:AG42),"")</f>
        <v/>
      </c>
      <c r="AH112" s="269">
        <f>IFERROR(AVERAGE('Balance Sheet'!$AG57,AH57)/AVERAGE('Balance Sheet'!$AG42,AH42),0)</f>
        <v>0</v>
      </c>
      <c r="AI112" s="271">
        <f>IFERROR(AVERAGE('Balance Sheet'!$AG57,AI57)/AVERAGE('Balance Sheet'!$AG42,AI42),0)</f>
        <v>0</v>
      </c>
      <c r="AJ112" s="270">
        <f>IFERROR(AVERAGE('Balance Sheet'!$AG57,AJ57)/AVERAGE('Balance Sheet'!$AG42,AJ42),0)</f>
        <v>0</v>
      </c>
      <c r="AK112" s="272"/>
      <c r="AM112" s="271" t="str">
        <f>IFERROR(AVERAGE('Balance Sheet'!$AG57,AM57)/AVERAGE('Balance Sheet'!$AG42,AM42),"")</f>
        <v/>
      </c>
      <c r="AN112" s="271" t="str">
        <f>IFERROR(AVERAGE('Balance Sheet'!AM57:AN57)/AVERAGE('Balance Sheet'!AM42:AN42),"")</f>
        <v/>
      </c>
      <c r="AO112" s="271" t="str">
        <f>IFERROR(AVERAGE('Balance Sheet'!AN57:AO57)/AVERAGE('Balance Sheet'!AN42:AO42),"")</f>
        <v/>
      </c>
    </row>
    <row r="113" spans="1:41" s="273" customFormat="1">
      <c r="A113" s="75"/>
      <c r="B113" s="274" t="s">
        <v>62</v>
      </c>
      <c r="C113" s="274"/>
      <c r="D113" s="269" t="str">
        <f t="shared" ref="D113:AG113" si="40">IFERROR(D110*D111*D112,"")</f>
        <v/>
      </c>
      <c r="E113" s="269" t="str">
        <f t="shared" si="40"/>
        <v/>
      </c>
      <c r="F113" s="269" t="str">
        <f t="shared" si="40"/>
        <v/>
      </c>
      <c r="G113" s="269" t="str">
        <f t="shared" si="40"/>
        <v/>
      </c>
      <c r="H113" s="269" t="str">
        <f t="shared" si="40"/>
        <v/>
      </c>
      <c r="I113" s="269" t="str">
        <f t="shared" si="40"/>
        <v/>
      </c>
      <c r="J113" s="269" t="str">
        <f t="shared" si="40"/>
        <v/>
      </c>
      <c r="K113" s="269" t="str">
        <f t="shared" si="40"/>
        <v/>
      </c>
      <c r="L113" s="269" t="str">
        <f t="shared" si="40"/>
        <v/>
      </c>
      <c r="M113" s="269" t="str">
        <f t="shared" si="40"/>
        <v/>
      </c>
      <c r="N113" s="269" t="str">
        <f t="shared" si="40"/>
        <v/>
      </c>
      <c r="O113" s="269" t="str">
        <f t="shared" si="40"/>
        <v/>
      </c>
      <c r="P113" s="269" t="str">
        <f t="shared" si="40"/>
        <v/>
      </c>
      <c r="Q113" s="269" t="str">
        <f t="shared" si="40"/>
        <v/>
      </c>
      <c r="R113" s="269" t="str">
        <f t="shared" si="40"/>
        <v/>
      </c>
      <c r="S113" s="269" t="str">
        <f t="shared" si="40"/>
        <v/>
      </c>
      <c r="T113" s="269" t="str">
        <f t="shared" si="40"/>
        <v/>
      </c>
      <c r="U113" s="269" t="str">
        <f t="shared" si="40"/>
        <v/>
      </c>
      <c r="V113" s="269" t="str">
        <f t="shared" si="40"/>
        <v/>
      </c>
      <c r="W113" s="269" t="str">
        <f t="shared" si="40"/>
        <v/>
      </c>
      <c r="X113" s="269" t="str">
        <f t="shared" si="40"/>
        <v/>
      </c>
      <c r="Y113" s="269" t="str">
        <f t="shared" si="40"/>
        <v/>
      </c>
      <c r="Z113" s="269" t="str">
        <f t="shared" si="40"/>
        <v/>
      </c>
      <c r="AA113" s="269" t="str">
        <f t="shared" si="40"/>
        <v/>
      </c>
      <c r="AB113" s="269" t="str">
        <f t="shared" si="40"/>
        <v/>
      </c>
      <c r="AC113" s="269" t="str">
        <f t="shared" si="40"/>
        <v/>
      </c>
      <c r="AD113" s="269" t="str">
        <f t="shared" si="40"/>
        <v/>
      </c>
      <c r="AE113" s="269" t="str">
        <f t="shared" si="40"/>
        <v/>
      </c>
      <c r="AF113" s="269" t="str">
        <f t="shared" si="40"/>
        <v/>
      </c>
      <c r="AG113" s="270" t="str">
        <f t="shared" si="40"/>
        <v/>
      </c>
      <c r="AH113" s="269" t="e">
        <f>AH110*AH111*AH112</f>
        <v>#REF!</v>
      </c>
      <c r="AI113" s="271" t="e">
        <f>AI110*AI111*AI112</f>
        <v>#REF!</v>
      </c>
      <c r="AJ113" s="270" t="e">
        <f>AJ110*AJ111*AJ112</f>
        <v>#REF!</v>
      </c>
      <c r="AK113" s="272"/>
      <c r="AM113" s="271" t="e">
        <f>AM110*AM111*AM112</f>
        <v>#REF!</v>
      </c>
      <c r="AN113" s="271" t="e">
        <f>AN110*AN111*AN112</f>
        <v>#REF!</v>
      </c>
      <c r="AO113" s="271" t="e">
        <f>AO110*AO111*AO112</f>
        <v>#REF!</v>
      </c>
    </row>
    <row r="114" spans="1:41" s="273" customFormat="1">
      <c r="A114" s="23"/>
      <c r="B114" s="76"/>
      <c r="C114" s="76"/>
      <c r="D114" s="275"/>
      <c r="E114" s="275"/>
      <c r="F114" s="275"/>
      <c r="G114" s="275"/>
      <c r="H114" s="275"/>
      <c r="I114" s="275"/>
      <c r="J114" s="275"/>
      <c r="K114" s="275"/>
      <c r="L114" s="275"/>
      <c r="M114" s="275"/>
      <c r="N114" s="275"/>
      <c r="O114" s="275"/>
      <c r="P114" s="275"/>
      <c r="Q114" s="275"/>
      <c r="R114" s="275"/>
      <c r="S114" s="275"/>
      <c r="T114" s="275"/>
      <c r="U114" s="275"/>
      <c r="V114" s="275"/>
      <c r="W114" s="275"/>
      <c r="X114" s="275"/>
      <c r="Y114" s="275"/>
      <c r="Z114" s="275"/>
      <c r="AA114" s="275"/>
      <c r="AB114" s="275"/>
      <c r="AC114" s="275"/>
      <c r="AD114" s="275"/>
      <c r="AE114" s="275"/>
      <c r="AF114" s="275"/>
      <c r="AG114" s="276"/>
      <c r="AH114" s="275"/>
      <c r="AI114" s="277"/>
      <c r="AJ114" s="276"/>
      <c r="AK114" s="272"/>
      <c r="AM114" s="277"/>
      <c r="AN114" s="277"/>
      <c r="AO114" s="277"/>
    </row>
    <row r="115" spans="1:41">
      <c r="B115" s="43" t="s">
        <v>63</v>
      </c>
      <c r="D115" s="278" t="str">
        <f t="shared" ref="D115:AG115" si="41">IFERROR(D42-D20,"")</f>
        <v/>
      </c>
      <c r="E115" s="278" t="str">
        <f t="shared" si="41"/>
        <v/>
      </c>
      <c r="F115" s="278" t="str">
        <f t="shared" si="41"/>
        <v/>
      </c>
      <c r="G115" s="278" t="str">
        <f t="shared" si="41"/>
        <v/>
      </c>
      <c r="H115" s="278" t="str">
        <f t="shared" si="41"/>
        <v/>
      </c>
      <c r="I115" s="278" t="str">
        <f t="shared" si="41"/>
        <v/>
      </c>
      <c r="J115" s="278" t="str">
        <f t="shared" si="41"/>
        <v/>
      </c>
      <c r="K115" s="278" t="str">
        <f t="shared" si="41"/>
        <v/>
      </c>
      <c r="L115" s="278" t="str">
        <f t="shared" si="41"/>
        <v/>
      </c>
      <c r="M115" s="278" t="str">
        <f t="shared" si="41"/>
        <v/>
      </c>
      <c r="N115" s="278" t="str">
        <f t="shared" si="41"/>
        <v/>
      </c>
      <c r="O115" s="278" t="str">
        <f t="shared" si="41"/>
        <v/>
      </c>
      <c r="P115" s="278" t="str">
        <f t="shared" si="41"/>
        <v/>
      </c>
      <c r="Q115" s="278" t="str">
        <f t="shared" si="41"/>
        <v/>
      </c>
      <c r="R115" s="278" t="str">
        <f t="shared" si="41"/>
        <v/>
      </c>
      <c r="S115" s="278" t="str">
        <f t="shared" si="41"/>
        <v/>
      </c>
      <c r="T115" s="278" t="str">
        <f t="shared" si="41"/>
        <v/>
      </c>
      <c r="U115" s="278" t="str">
        <f t="shared" si="41"/>
        <v/>
      </c>
      <c r="V115" s="278" t="str">
        <f t="shared" si="41"/>
        <v/>
      </c>
      <c r="W115" s="278" t="str">
        <f t="shared" si="41"/>
        <v/>
      </c>
      <c r="X115" s="278" t="str">
        <f t="shared" si="41"/>
        <v/>
      </c>
      <c r="Y115" s="278" t="str">
        <f t="shared" si="41"/>
        <v/>
      </c>
      <c r="Z115" s="278" t="str">
        <f t="shared" si="41"/>
        <v/>
      </c>
      <c r="AA115" s="278" t="str">
        <f t="shared" si="41"/>
        <v/>
      </c>
      <c r="AB115" s="278" t="str">
        <f t="shared" si="41"/>
        <v/>
      </c>
      <c r="AC115" s="278" t="str">
        <f t="shared" si="41"/>
        <v/>
      </c>
      <c r="AD115" s="278" t="str">
        <f t="shared" si="41"/>
        <v/>
      </c>
      <c r="AE115" s="278" t="str">
        <f t="shared" si="41"/>
        <v/>
      </c>
      <c r="AF115" s="278" t="str">
        <f t="shared" si="41"/>
        <v/>
      </c>
      <c r="AG115" s="279" t="str">
        <f t="shared" si="41"/>
        <v/>
      </c>
      <c r="AH115" s="278" t="e">
        <f>AH42-AH20</f>
        <v>#VALUE!</v>
      </c>
      <c r="AI115" s="280" t="e">
        <f>AI42-AI20</f>
        <v>#VALUE!</v>
      </c>
      <c r="AJ115" s="279" t="e">
        <f>AJ42-AJ20</f>
        <v>#VALUE!</v>
      </c>
      <c r="AM115" s="280" t="e">
        <f>AM42-AM20</f>
        <v>#VALUE!</v>
      </c>
      <c r="AN115" s="280" t="e">
        <f>AN42-AN20</f>
        <v>#VALUE!</v>
      </c>
      <c r="AO115" s="280" t="e">
        <f>AO42-AO20</f>
        <v>#VALUE!</v>
      </c>
    </row>
    <row r="116" spans="1:41" s="285" customFormat="1" ht="18.75">
      <c r="A116" s="281"/>
      <c r="B116" s="282" t="s">
        <v>64</v>
      </c>
      <c r="C116" s="282"/>
      <c r="D116" s="269" t="str">
        <f>IFERROR(#REF!/AVERAGE(C115:D115),"")</f>
        <v/>
      </c>
      <c r="E116" s="269" t="str">
        <f>IFERROR(#REF!/AVERAGE(D115:E115),"")</f>
        <v/>
      </c>
      <c r="F116" s="269" t="str">
        <f>IFERROR(#REF!/AVERAGE(E115:F115),"")</f>
        <v/>
      </c>
      <c r="G116" s="269" t="str">
        <f>IFERROR(#REF!/AVERAGE(F115:G115),"")</f>
        <v/>
      </c>
      <c r="H116" s="269" t="str">
        <f>IFERROR(#REF!/AVERAGE(G115:H115),"")</f>
        <v/>
      </c>
      <c r="I116" s="269" t="str">
        <f>IFERROR(#REF!/AVERAGE(H115:I115),"")</f>
        <v/>
      </c>
      <c r="J116" s="269" t="str">
        <f>IFERROR(#REF!/AVERAGE(I115:J115),"")</f>
        <v/>
      </c>
      <c r="K116" s="269" t="str">
        <f>IFERROR(#REF!/AVERAGE(J115:K115),"")</f>
        <v/>
      </c>
      <c r="L116" s="269" t="str">
        <f>IFERROR(#REF!/AVERAGE(K115:L115),"")</f>
        <v/>
      </c>
      <c r="M116" s="269" t="str">
        <f>IFERROR(#REF!/AVERAGE(L115:M115),"")</f>
        <v/>
      </c>
      <c r="N116" s="269" t="str">
        <f>IFERROR(#REF!/AVERAGE(M115:N115),"")</f>
        <v/>
      </c>
      <c r="O116" s="269" t="str">
        <f>IFERROR(#REF!/AVERAGE(N115:O115),"")</f>
        <v/>
      </c>
      <c r="P116" s="269" t="str">
        <f>IFERROR(#REF!/AVERAGE(O115:P115),"")</f>
        <v/>
      </c>
      <c r="Q116" s="269" t="str">
        <f>IFERROR(#REF!/AVERAGE(P115:Q115),"")</f>
        <v/>
      </c>
      <c r="R116" s="269" t="str">
        <f>IFERROR(#REF!/AVERAGE(Q115:R115),"")</f>
        <v/>
      </c>
      <c r="S116" s="269" t="str">
        <f>IFERROR(#REF!/AVERAGE(R115:S115),"")</f>
        <v/>
      </c>
      <c r="T116" s="269" t="str">
        <f>IFERROR(#REF!/AVERAGE(S115:T115),"")</f>
        <v/>
      </c>
      <c r="U116" s="269" t="str">
        <f>IFERROR(#REF!/AVERAGE(T115:U115),"")</f>
        <v/>
      </c>
      <c r="V116" s="269" t="str">
        <f>IFERROR(#REF!/AVERAGE(U115:V115),"")</f>
        <v/>
      </c>
      <c r="W116" s="269" t="str">
        <f>IFERROR(#REF!/AVERAGE(V115:W115),"")</f>
        <v/>
      </c>
      <c r="X116" s="269" t="str">
        <f>IFERROR(#REF!/AVERAGE(W115:X115),"")</f>
        <v/>
      </c>
      <c r="Y116" s="269" t="str">
        <f>IFERROR(#REF!/AVERAGE(X115:Y115),"")</f>
        <v/>
      </c>
      <c r="Z116" s="269" t="str">
        <f>IFERROR(#REF!/AVERAGE(Y115:Z115),"")</f>
        <v/>
      </c>
      <c r="AA116" s="269" t="str">
        <f>IFERROR(#REF!/AVERAGE(Z115:AA115),"")</f>
        <v/>
      </c>
      <c r="AB116" s="269" t="str">
        <f>IFERROR(#REF!/AVERAGE(AA115:AB115),"")</f>
        <v/>
      </c>
      <c r="AC116" s="269" t="str">
        <f>IFERROR(#REF!/AVERAGE(AB115:AC115),"")</f>
        <v/>
      </c>
      <c r="AD116" s="269" t="str">
        <f>IFERROR(#REF!/AVERAGE(AC115:AD115),"")</f>
        <v/>
      </c>
      <c r="AE116" s="269" t="str">
        <f>IFERROR(#REF!/AVERAGE(AD115:AE115),"")</f>
        <v/>
      </c>
      <c r="AF116" s="269" t="str">
        <f>IFERROR(#REF!/AVERAGE(AE115:AF115),"")</f>
        <v/>
      </c>
      <c r="AG116" s="270" t="str">
        <f>IFERROR(#REF!/AVERAGE(AF115:AG115),"")</f>
        <v/>
      </c>
      <c r="AH116" s="269" t="str">
        <f>IFERROR(#REF!/AVERAGE($AG115,AH115),"")</f>
        <v/>
      </c>
      <c r="AI116" s="271" t="str">
        <f>IFERROR(#REF!/AVERAGE(AH115:AI115),"")</f>
        <v/>
      </c>
      <c r="AJ116" s="270" t="str">
        <f>IFERROR(#REF!/AVERAGE(AI115:AJ115),"")</f>
        <v/>
      </c>
      <c r="AK116" s="283"/>
      <c r="AL116" s="284"/>
      <c r="AM116" s="271" t="str">
        <f>IFERROR(#REF!/AVERAGE($AG115,AM115),"")</f>
        <v/>
      </c>
      <c r="AN116" s="271" t="str">
        <f>IFERROR(#REF!/AVERAGE(AM115:AN115),"")</f>
        <v/>
      </c>
      <c r="AO116" s="271" t="str">
        <f>IFERROR(#REF!/AVERAGE(AN115:AO115),"")</f>
        <v/>
      </c>
    </row>
    <row r="117" spans="1:41" s="285" customFormat="1" ht="18.75">
      <c r="A117" s="281"/>
      <c r="B117" s="282"/>
      <c r="C117" s="282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  <c r="AA117" s="269"/>
      <c r="AB117" s="269"/>
      <c r="AC117" s="269"/>
      <c r="AD117" s="269"/>
      <c r="AE117" s="269"/>
      <c r="AF117" s="269"/>
      <c r="AG117" s="270"/>
      <c r="AH117" s="269"/>
      <c r="AI117" s="271"/>
      <c r="AJ117" s="270"/>
      <c r="AK117" s="283"/>
      <c r="AL117" s="284"/>
      <c r="AM117" s="271"/>
      <c r="AN117" s="271"/>
      <c r="AO117" s="271"/>
    </row>
    <row r="118" spans="1:41" s="285" customFormat="1" ht="18.75">
      <c r="A118" s="281"/>
      <c r="B118" s="286" t="s">
        <v>172</v>
      </c>
      <c r="C118" s="282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  <c r="AA118" s="269"/>
      <c r="AB118" s="269"/>
      <c r="AC118" s="269"/>
      <c r="AD118" s="269"/>
      <c r="AE118" s="269"/>
      <c r="AF118" s="269"/>
      <c r="AG118" s="270"/>
      <c r="AH118" s="269"/>
      <c r="AI118" s="271"/>
      <c r="AJ118" s="270"/>
      <c r="AK118" s="283"/>
      <c r="AL118" s="284"/>
      <c r="AM118" s="271"/>
      <c r="AN118" s="271"/>
      <c r="AO118" s="271"/>
    </row>
    <row r="119" spans="1:41" s="285" customFormat="1" ht="18.75">
      <c r="A119" s="281"/>
      <c r="B119" s="287" t="s">
        <v>3</v>
      </c>
      <c r="C119" s="282"/>
      <c r="D119" s="55" t="e">
        <f>#REF!</f>
        <v>#REF!</v>
      </c>
      <c r="E119" s="55" t="e">
        <f>#REF!</f>
        <v>#REF!</v>
      </c>
      <c r="F119" s="55" t="e">
        <f>#REF!</f>
        <v>#REF!</v>
      </c>
      <c r="G119" s="55" t="e">
        <f>#REF!</f>
        <v>#REF!</v>
      </c>
      <c r="H119" s="55" t="e">
        <f>#REF!</f>
        <v>#REF!</v>
      </c>
      <c r="I119" s="55" t="e">
        <f>#REF!</f>
        <v>#REF!</v>
      </c>
      <c r="J119" s="55" t="e">
        <f>#REF!</f>
        <v>#REF!</v>
      </c>
      <c r="K119" s="55" t="e">
        <f>#REF!</f>
        <v>#REF!</v>
      </c>
      <c r="L119" s="55" t="e">
        <f>#REF!</f>
        <v>#REF!</v>
      </c>
      <c r="M119" s="55" t="e">
        <f>#REF!</f>
        <v>#REF!</v>
      </c>
      <c r="N119" s="55" t="e">
        <f>#REF!</f>
        <v>#REF!</v>
      </c>
      <c r="O119" s="55" t="e">
        <f>#REF!</f>
        <v>#REF!</v>
      </c>
      <c r="P119" s="55" t="e">
        <f>#REF!</f>
        <v>#REF!</v>
      </c>
      <c r="Q119" s="55" t="e">
        <f>#REF!</f>
        <v>#REF!</v>
      </c>
      <c r="R119" s="55" t="e">
        <f>#REF!</f>
        <v>#REF!</v>
      </c>
      <c r="S119" s="55" t="e">
        <f>#REF!</f>
        <v>#REF!</v>
      </c>
      <c r="T119" s="55" t="e">
        <f>#REF!</f>
        <v>#REF!</v>
      </c>
      <c r="U119" s="55" t="e">
        <f>#REF!</f>
        <v>#REF!</v>
      </c>
      <c r="V119" s="55" t="e">
        <f>#REF!</f>
        <v>#REF!</v>
      </c>
      <c r="W119" s="55" t="e">
        <f>#REF!</f>
        <v>#REF!</v>
      </c>
      <c r="X119" s="55" t="e">
        <f>#REF!</f>
        <v>#REF!</v>
      </c>
      <c r="Y119" s="55" t="e">
        <f>#REF!</f>
        <v>#REF!</v>
      </c>
      <c r="Z119" s="55" t="e">
        <f>#REF!</f>
        <v>#REF!</v>
      </c>
      <c r="AA119" s="55" t="e">
        <f>#REF!</f>
        <v>#REF!</v>
      </c>
      <c r="AB119" s="55" t="e">
        <f>#REF!</f>
        <v>#REF!</v>
      </c>
      <c r="AC119" s="55" t="e">
        <f>#REF!</f>
        <v>#REF!</v>
      </c>
      <c r="AD119" s="55" t="e">
        <f>#REF!</f>
        <v>#REF!</v>
      </c>
      <c r="AE119" s="55" t="e">
        <f>#REF!</f>
        <v>#REF!</v>
      </c>
      <c r="AF119" s="55" t="e">
        <f>#REF!</f>
        <v>#REF!</v>
      </c>
      <c r="AG119" s="83" t="e">
        <f>#REF!</f>
        <v>#REF!</v>
      </c>
      <c r="AH119" s="55" t="e">
        <f>#REF!</f>
        <v>#REF!</v>
      </c>
      <c r="AI119" s="55" t="e">
        <f>#REF!</f>
        <v>#REF!</v>
      </c>
      <c r="AJ119" s="55" t="e">
        <f>#REF!</f>
        <v>#REF!</v>
      </c>
      <c r="AK119" s="288"/>
      <c r="AL119" s="55"/>
      <c r="AM119" s="55" t="e">
        <f>#REF!</f>
        <v>#REF!</v>
      </c>
      <c r="AN119" s="55" t="e">
        <f>#REF!</f>
        <v>#REF!</v>
      </c>
      <c r="AO119" s="55" t="e">
        <f>#REF!</f>
        <v>#REF!</v>
      </c>
    </row>
    <row r="120" spans="1:41" s="285" customFormat="1" ht="15" customHeight="1">
      <c r="A120" s="281"/>
      <c r="B120" s="287" t="s">
        <v>38</v>
      </c>
      <c r="C120" s="282"/>
      <c r="D120" s="55" t="e">
        <f t="shared" ref="D120:AJ120" si="42">D53</f>
        <v>#REF!</v>
      </c>
      <c r="E120" s="55" t="e">
        <f t="shared" si="42"/>
        <v>#REF!</v>
      </c>
      <c r="F120" s="55" t="e">
        <f t="shared" si="42"/>
        <v>#REF!</v>
      </c>
      <c r="G120" s="55" t="e">
        <f t="shared" si="42"/>
        <v>#REF!</v>
      </c>
      <c r="H120" s="55" t="e">
        <f t="shared" si="42"/>
        <v>#REF!</v>
      </c>
      <c r="I120" s="55" t="e">
        <f t="shared" si="42"/>
        <v>#REF!</v>
      </c>
      <c r="J120" s="55" t="e">
        <f t="shared" si="42"/>
        <v>#REF!</v>
      </c>
      <c r="K120" s="55" t="e">
        <f t="shared" si="42"/>
        <v>#REF!</v>
      </c>
      <c r="L120" s="55" t="e">
        <f t="shared" si="42"/>
        <v>#REF!</v>
      </c>
      <c r="M120" s="55" t="e">
        <f t="shared" si="42"/>
        <v>#REF!</v>
      </c>
      <c r="N120" s="55" t="e">
        <f t="shared" si="42"/>
        <v>#REF!</v>
      </c>
      <c r="O120" s="55" t="e">
        <f t="shared" si="42"/>
        <v>#REF!</v>
      </c>
      <c r="P120" s="55" t="e">
        <f t="shared" si="42"/>
        <v>#REF!</v>
      </c>
      <c r="Q120" s="55" t="e">
        <f t="shared" si="42"/>
        <v>#REF!</v>
      </c>
      <c r="R120" s="55" t="e">
        <f t="shared" si="42"/>
        <v>#REF!</v>
      </c>
      <c r="S120" s="55" t="e">
        <f t="shared" si="42"/>
        <v>#REF!</v>
      </c>
      <c r="T120" s="55" t="e">
        <f t="shared" si="42"/>
        <v>#REF!</v>
      </c>
      <c r="U120" s="55" t="e">
        <f t="shared" si="42"/>
        <v>#REF!</v>
      </c>
      <c r="V120" s="55" t="e">
        <f t="shared" si="42"/>
        <v>#REF!</v>
      </c>
      <c r="W120" s="55" t="e">
        <f t="shared" si="42"/>
        <v>#REF!</v>
      </c>
      <c r="X120" s="55" t="e">
        <f t="shared" si="42"/>
        <v>#REF!</v>
      </c>
      <c r="Y120" s="55" t="e">
        <f t="shared" si="42"/>
        <v>#REF!</v>
      </c>
      <c r="Z120" s="55" t="e">
        <f t="shared" si="42"/>
        <v>#REF!</v>
      </c>
      <c r="AA120" s="55" t="e">
        <f t="shared" si="42"/>
        <v>#REF!</v>
      </c>
      <c r="AB120" s="55" t="e">
        <f t="shared" si="42"/>
        <v>#REF!</v>
      </c>
      <c r="AC120" s="55" t="e">
        <f t="shared" si="42"/>
        <v>#REF!</v>
      </c>
      <c r="AD120" s="55" t="e">
        <f t="shared" si="42"/>
        <v>#REF!</v>
      </c>
      <c r="AE120" s="55" t="e">
        <f t="shared" si="42"/>
        <v>#REF!</v>
      </c>
      <c r="AF120" s="55" t="e">
        <f t="shared" si="42"/>
        <v>#REF!</v>
      </c>
      <c r="AG120" s="83" t="e">
        <f t="shared" si="42"/>
        <v>#REF!</v>
      </c>
      <c r="AH120" s="55" t="e">
        <f t="shared" si="42"/>
        <v>#REF!</v>
      </c>
      <c r="AI120" s="55" t="e">
        <f t="shared" si="42"/>
        <v>#REF!</v>
      </c>
      <c r="AJ120" s="55" t="e">
        <f t="shared" si="42"/>
        <v>#REF!</v>
      </c>
      <c r="AK120" s="288"/>
      <c r="AL120" s="55"/>
      <c r="AM120" s="55" t="e">
        <f>AM53</f>
        <v>#REF!</v>
      </c>
      <c r="AN120" s="55" t="e">
        <f>AN53</f>
        <v>#REF!</v>
      </c>
      <c r="AO120" s="55" t="e">
        <f>AO53</f>
        <v>#REF!</v>
      </c>
    </row>
    <row r="121" spans="1:41" s="285" customFormat="1" ht="15" customHeight="1">
      <c r="A121" s="281"/>
      <c r="B121" s="287" t="s">
        <v>173</v>
      </c>
      <c r="C121" s="282"/>
      <c r="D121" s="289" t="str">
        <f t="shared" ref="D121:AG121" si="43">IFERROR(AVERAGE(C120:D120),"")</f>
        <v/>
      </c>
      <c r="E121" s="289" t="str">
        <f t="shared" si="43"/>
        <v/>
      </c>
      <c r="F121" s="289" t="str">
        <f t="shared" si="43"/>
        <v/>
      </c>
      <c r="G121" s="289" t="str">
        <f t="shared" si="43"/>
        <v/>
      </c>
      <c r="H121" s="289" t="str">
        <f t="shared" si="43"/>
        <v/>
      </c>
      <c r="I121" s="289" t="str">
        <f t="shared" si="43"/>
        <v/>
      </c>
      <c r="J121" s="289" t="str">
        <f t="shared" si="43"/>
        <v/>
      </c>
      <c r="K121" s="289" t="str">
        <f t="shared" si="43"/>
        <v/>
      </c>
      <c r="L121" s="289" t="str">
        <f t="shared" si="43"/>
        <v/>
      </c>
      <c r="M121" s="289" t="str">
        <f t="shared" si="43"/>
        <v/>
      </c>
      <c r="N121" s="289" t="str">
        <f t="shared" si="43"/>
        <v/>
      </c>
      <c r="O121" s="289" t="str">
        <f t="shared" si="43"/>
        <v/>
      </c>
      <c r="P121" s="289" t="str">
        <f t="shared" si="43"/>
        <v/>
      </c>
      <c r="Q121" s="289" t="str">
        <f t="shared" si="43"/>
        <v/>
      </c>
      <c r="R121" s="289" t="str">
        <f t="shared" si="43"/>
        <v/>
      </c>
      <c r="S121" s="289" t="str">
        <f t="shared" si="43"/>
        <v/>
      </c>
      <c r="T121" s="289" t="str">
        <f t="shared" si="43"/>
        <v/>
      </c>
      <c r="U121" s="289" t="str">
        <f t="shared" si="43"/>
        <v/>
      </c>
      <c r="V121" s="289" t="str">
        <f t="shared" si="43"/>
        <v/>
      </c>
      <c r="W121" s="289" t="str">
        <f t="shared" si="43"/>
        <v/>
      </c>
      <c r="X121" s="289" t="str">
        <f t="shared" si="43"/>
        <v/>
      </c>
      <c r="Y121" s="289" t="str">
        <f t="shared" si="43"/>
        <v/>
      </c>
      <c r="Z121" s="289" t="str">
        <f t="shared" si="43"/>
        <v/>
      </c>
      <c r="AA121" s="289" t="str">
        <f t="shared" si="43"/>
        <v/>
      </c>
      <c r="AB121" s="289" t="str">
        <f t="shared" si="43"/>
        <v/>
      </c>
      <c r="AC121" s="289" t="str">
        <f t="shared" si="43"/>
        <v/>
      </c>
      <c r="AD121" s="289" t="str">
        <f t="shared" si="43"/>
        <v/>
      </c>
      <c r="AE121" s="289" t="str">
        <f t="shared" si="43"/>
        <v/>
      </c>
      <c r="AF121" s="289" t="str">
        <f t="shared" si="43"/>
        <v/>
      </c>
      <c r="AG121" s="290" t="str">
        <f t="shared" si="43"/>
        <v/>
      </c>
      <c r="AH121" s="289" t="e">
        <f t="shared" ref="AH121:AO121" si="44">AVERAGE(AG120:AH120)</f>
        <v>#REF!</v>
      </c>
      <c r="AI121" s="289" t="e">
        <f t="shared" si="44"/>
        <v>#REF!</v>
      </c>
      <c r="AJ121" s="289" t="e">
        <f t="shared" si="44"/>
        <v>#REF!</v>
      </c>
      <c r="AK121" s="291"/>
      <c r="AL121" s="289"/>
      <c r="AM121" s="289" t="e">
        <f>AVERAGE(AG120,AM120)</f>
        <v>#REF!</v>
      </c>
      <c r="AN121" s="289" t="e">
        <f t="shared" si="44"/>
        <v>#REF!</v>
      </c>
      <c r="AO121" s="289" t="e">
        <f t="shared" si="44"/>
        <v>#REF!</v>
      </c>
    </row>
    <row r="122" spans="1:41" s="285" customFormat="1" ht="15" customHeight="1">
      <c r="A122" s="281"/>
      <c r="B122" s="282" t="s">
        <v>174</v>
      </c>
      <c r="C122" s="282"/>
      <c r="D122" s="197" t="str">
        <f t="shared" ref="D122:AG122" si="45">IFERROR(D119/D121,"")</f>
        <v/>
      </c>
      <c r="E122" s="197" t="str">
        <f t="shared" si="45"/>
        <v/>
      </c>
      <c r="F122" s="197" t="str">
        <f t="shared" si="45"/>
        <v/>
      </c>
      <c r="G122" s="197" t="str">
        <f t="shared" si="45"/>
        <v/>
      </c>
      <c r="H122" s="197" t="str">
        <f t="shared" si="45"/>
        <v/>
      </c>
      <c r="I122" s="197" t="str">
        <f t="shared" si="45"/>
        <v/>
      </c>
      <c r="J122" s="197" t="str">
        <f t="shared" si="45"/>
        <v/>
      </c>
      <c r="K122" s="197" t="str">
        <f t="shared" si="45"/>
        <v/>
      </c>
      <c r="L122" s="197" t="str">
        <f t="shared" si="45"/>
        <v/>
      </c>
      <c r="M122" s="197" t="str">
        <f t="shared" si="45"/>
        <v/>
      </c>
      <c r="N122" s="197" t="str">
        <f t="shared" si="45"/>
        <v/>
      </c>
      <c r="O122" s="197" t="str">
        <f t="shared" si="45"/>
        <v/>
      </c>
      <c r="P122" s="197" t="str">
        <f t="shared" si="45"/>
        <v/>
      </c>
      <c r="Q122" s="197" t="str">
        <f t="shared" si="45"/>
        <v/>
      </c>
      <c r="R122" s="197" t="str">
        <f t="shared" si="45"/>
        <v/>
      </c>
      <c r="S122" s="197" t="str">
        <f t="shared" si="45"/>
        <v/>
      </c>
      <c r="T122" s="197" t="str">
        <f t="shared" si="45"/>
        <v/>
      </c>
      <c r="U122" s="197" t="str">
        <f t="shared" si="45"/>
        <v/>
      </c>
      <c r="V122" s="197" t="str">
        <f t="shared" si="45"/>
        <v/>
      </c>
      <c r="W122" s="197" t="str">
        <f t="shared" si="45"/>
        <v/>
      </c>
      <c r="X122" s="197" t="str">
        <f t="shared" si="45"/>
        <v/>
      </c>
      <c r="Y122" s="197" t="str">
        <f t="shared" si="45"/>
        <v/>
      </c>
      <c r="Z122" s="197" t="str">
        <f t="shared" si="45"/>
        <v/>
      </c>
      <c r="AA122" s="197" t="str">
        <f t="shared" si="45"/>
        <v/>
      </c>
      <c r="AB122" s="197" t="str">
        <f t="shared" si="45"/>
        <v/>
      </c>
      <c r="AC122" s="197" t="str">
        <f t="shared" si="45"/>
        <v/>
      </c>
      <c r="AD122" s="197" t="str">
        <f t="shared" si="45"/>
        <v/>
      </c>
      <c r="AE122" s="197" t="str">
        <f t="shared" si="45"/>
        <v/>
      </c>
      <c r="AF122" s="197" t="str">
        <f t="shared" si="45"/>
        <v/>
      </c>
      <c r="AG122" s="258" t="str">
        <f t="shared" si="45"/>
        <v/>
      </c>
      <c r="AH122" s="197" t="e">
        <f t="shared" ref="AH122:AO122" si="46">AH119/AH121</f>
        <v>#REF!</v>
      </c>
      <c r="AI122" s="197" t="e">
        <f t="shared" si="46"/>
        <v>#REF!</v>
      </c>
      <c r="AJ122" s="197" t="e">
        <f t="shared" si="46"/>
        <v>#REF!</v>
      </c>
      <c r="AK122" s="292"/>
      <c r="AL122" s="197"/>
      <c r="AM122" s="197" t="e">
        <f t="shared" si="46"/>
        <v>#REF!</v>
      </c>
      <c r="AN122" s="197" t="e">
        <f t="shared" si="46"/>
        <v>#REF!</v>
      </c>
      <c r="AO122" s="197" t="e">
        <f t="shared" si="46"/>
        <v>#REF!</v>
      </c>
    </row>
    <row r="123" spans="1:41" s="285" customFormat="1" ht="15" customHeight="1">
      <c r="A123" s="281"/>
      <c r="B123" s="282"/>
      <c r="C123" s="282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  <c r="AA123" s="269"/>
      <c r="AB123" s="269"/>
      <c r="AC123" s="269"/>
      <c r="AD123" s="269"/>
      <c r="AE123" s="269"/>
      <c r="AF123" s="269"/>
      <c r="AG123" s="270"/>
      <c r="AH123" s="269"/>
      <c r="AI123" s="271"/>
      <c r="AJ123" s="270"/>
      <c r="AK123" s="283"/>
      <c r="AL123" s="284"/>
      <c r="AM123" s="271"/>
      <c r="AN123" s="271"/>
      <c r="AO123" s="271"/>
    </row>
    <row r="124" spans="1:41" s="52" customFormat="1">
      <c r="A124" s="293"/>
      <c r="B124" s="294" t="s">
        <v>175</v>
      </c>
      <c r="D124" s="295"/>
      <c r="E124" s="295"/>
      <c r="F124" s="295"/>
      <c r="G124" s="295"/>
      <c r="H124" s="295"/>
      <c r="I124" s="295"/>
      <c r="J124" s="295"/>
      <c r="K124" s="295"/>
      <c r="L124" s="295"/>
      <c r="M124" s="295"/>
      <c r="N124" s="295"/>
      <c r="O124" s="295"/>
      <c r="P124" s="295"/>
      <c r="Q124" s="295"/>
      <c r="R124" s="295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  <c r="AG124" s="296"/>
      <c r="AH124" s="295"/>
      <c r="AI124" s="295"/>
      <c r="AJ124" s="296"/>
      <c r="AM124" s="297"/>
      <c r="AN124" s="297"/>
      <c r="AO124" s="297"/>
    </row>
    <row r="125" spans="1:41" s="52" customFormat="1">
      <c r="A125" s="293"/>
      <c r="B125" s="294"/>
      <c r="D125" s="295"/>
      <c r="E125" s="295"/>
      <c r="F125" s="295"/>
      <c r="G125" s="295"/>
      <c r="H125" s="295"/>
      <c r="I125" s="295"/>
      <c r="J125" s="295"/>
      <c r="K125" s="295"/>
      <c r="L125" s="295"/>
      <c r="M125" s="295"/>
      <c r="N125" s="295"/>
      <c r="O125" s="295"/>
      <c r="P125" s="295"/>
      <c r="Q125" s="295"/>
      <c r="R125" s="295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  <c r="AG125" s="296"/>
      <c r="AH125" s="295"/>
      <c r="AI125" s="295"/>
      <c r="AJ125" s="296"/>
      <c r="AM125" s="297"/>
      <c r="AN125" s="297"/>
      <c r="AO125" s="297"/>
    </row>
    <row r="126" spans="1:41" s="303" customFormat="1" ht="12">
      <c r="A126" s="298"/>
      <c r="B126" s="299" t="s">
        <v>2</v>
      </c>
      <c r="C126" s="300"/>
      <c r="D126" s="301" t="e">
        <f>#REF!</f>
        <v>#REF!</v>
      </c>
      <c r="E126" s="301" t="e">
        <f>#REF!</f>
        <v>#REF!</v>
      </c>
      <c r="F126" s="301" t="e">
        <f>#REF!</f>
        <v>#REF!</v>
      </c>
      <c r="G126" s="301" t="e">
        <f>#REF!</f>
        <v>#REF!</v>
      </c>
      <c r="H126" s="301" t="e">
        <f>#REF!</f>
        <v>#REF!</v>
      </c>
      <c r="I126" s="301" t="e">
        <f>#REF!</f>
        <v>#REF!</v>
      </c>
      <c r="J126" s="301" t="e">
        <f>#REF!</f>
        <v>#REF!</v>
      </c>
      <c r="K126" s="301" t="e">
        <f>#REF!</f>
        <v>#REF!</v>
      </c>
      <c r="L126" s="301" t="e">
        <f>#REF!</f>
        <v>#REF!</v>
      </c>
      <c r="M126" s="301" t="e">
        <f>#REF!</f>
        <v>#REF!</v>
      </c>
      <c r="N126" s="301" t="e">
        <f>#REF!</f>
        <v>#REF!</v>
      </c>
      <c r="O126" s="301" t="e">
        <f>#REF!</f>
        <v>#REF!</v>
      </c>
      <c r="P126" s="301" t="e">
        <f>#REF!</f>
        <v>#REF!</v>
      </c>
      <c r="Q126" s="301" t="e">
        <f>#REF!</f>
        <v>#REF!</v>
      </c>
      <c r="R126" s="301" t="e">
        <f>#REF!</f>
        <v>#REF!</v>
      </c>
      <c r="S126" s="301" t="e">
        <f>#REF!</f>
        <v>#REF!</v>
      </c>
      <c r="T126" s="301" t="e">
        <f>#REF!</f>
        <v>#REF!</v>
      </c>
      <c r="U126" s="301" t="e">
        <f>#REF!</f>
        <v>#REF!</v>
      </c>
      <c r="V126" s="301" t="e">
        <f>#REF!</f>
        <v>#REF!</v>
      </c>
      <c r="W126" s="301" t="e">
        <f>#REF!</f>
        <v>#REF!</v>
      </c>
      <c r="X126" s="301" t="e">
        <f>#REF!</f>
        <v>#REF!</v>
      </c>
      <c r="Y126" s="301" t="e">
        <f>#REF!</f>
        <v>#REF!</v>
      </c>
      <c r="Z126" s="301" t="e">
        <f>#REF!</f>
        <v>#REF!</v>
      </c>
      <c r="AA126" s="301" t="e">
        <f>#REF!</f>
        <v>#REF!</v>
      </c>
      <c r="AB126" s="301" t="e">
        <f>#REF!</f>
        <v>#REF!</v>
      </c>
      <c r="AC126" s="301" t="e">
        <f>#REF!</f>
        <v>#REF!</v>
      </c>
      <c r="AD126" s="301" t="e">
        <f>#REF!</f>
        <v>#REF!</v>
      </c>
      <c r="AE126" s="301" t="e">
        <f>#REF!</f>
        <v>#REF!</v>
      </c>
      <c r="AF126" s="301" t="e">
        <f>#REF!</f>
        <v>#REF!</v>
      </c>
      <c r="AG126" s="302" t="e">
        <f>#REF!</f>
        <v>#REF!</v>
      </c>
      <c r="AH126" s="301" t="e">
        <f>#REF!</f>
        <v>#REF!</v>
      </c>
      <c r="AI126" s="301" t="e">
        <f>#REF!</f>
        <v>#REF!</v>
      </c>
      <c r="AJ126" s="302" t="e">
        <f>#REF!</f>
        <v>#REF!</v>
      </c>
      <c r="AM126" s="304" t="e">
        <f>#REF!</f>
        <v>#REF!</v>
      </c>
      <c r="AN126" s="304" t="e">
        <f>#REF!</f>
        <v>#REF!</v>
      </c>
      <c r="AO126" s="304" t="e">
        <f>#REF!</f>
        <v>#REF!</v>
      </c>
    </row>
    <row r="127" spans="1:41" s="308" customFormat="1" ht="12">
      <c r="A127" s="305"/>
      <c r="B127" s="306" t="s">
        <v>1</v>
      </c>
      <c r="C127" s="307"/>
      <c r="D127" s="308" t="e">
        <f>#REF!</f>
        <v>#REF!</v>
      </c>
      <c r="E127" s="308" t="e">
        <f>#REF!</f>
        <v>#REF!</v>
      </c>
      <c r="F127" s="308" t="e">
        <f>#REF!</f>
        <v>#REF!</v>
      </c>
      <c r="G127" s="308" t="e">
        <f>#REF!</f>
        <v>#REF!</v>
      </c>
      <c r="H127" s="308" t="e">
        <f>#REF!</f>
        <v>#REF!</v>
      </c>
      <c r="I127" s="308" t="e">
        <f>#REF!</f>
        <v>#REF!</v>
      </c>
      <c r="J127" s="308" t="e">
        <f>#REF!</f>
        <v>#REF!</v>
      </c>
      <c r="K127" s="308" t="e">
        <f>#REF!</f>
        <v>#REF!</v>
      </c>
      <c r="L127" s="308" t="e">
        <f>#REF!</f>
        <v>#REF!</v>
      </c>
      <c r="M127" s="308" t="e">
        <f>#REF!</f>
        <v>#REF!</v>
      </c>
      <c r="N127" s="308" t="e">
        <f>#REF!</f>
        <v>#REF!</v>
      </c>
      <c r="O127" s="308" t="e">
        <f>#REF!</f>
        <v>#REF!</v>
      </c>
      <c r="P127" s="308" t="e">
        <f>#REF!</f>
        <v>#REF!</v>
      </c>
      <c r="Q127" s="308" t="e">
        <f>#REF!</f>
        <v>#REF!</v>
      </c>
      <c r="R127" s="308" t="e">
        <f>#REF!</f>
        <v>#REF!</v>
      </c>
      <c r="S127" s="308" t="e">
        <f>#REF!</f>
        <v>#REF!</v>
      </c>
      <c r="T127" s="308" t="e">
        <f>#REF!</f>
        <v>#REF!</v>
      </c>
      <c r="U127" s="308" t="e">
        <f>#REF!</f>
        <v>#REF!</v>
      </c>
      <c r="V127" s="308" t="e">
        <f>#REF!</f>
        <v>#REF!</v>
      </c>
      <c r="W127" s="308" t="e">
        <f>#REF!</f>
        <v>#REF!</v>
      </c>
      <c r="X127" s="308" t="e">
        <f>#REF!</f>
        <v>#REF!</v>
      </c>
      <c r="Y127" s="308" t="e">
        <f>#REF!</f>
        <v>#REF!</v>
      </c>
      <c r="Z127" s="308" t="e">
        <f>#REF!</f>
        <v>#REF!</v>
      </c>
      <c r="AA127" s="308" t="e">
        <f>#REF!</f>
        <v>#REF!</v>
      </c>
      <c r="AB127" s="308" t="e">
        <f>#REF!</f>
        <v>#REF!</v>
      </c>
      <c r="AC127" s="308" t="e">
        <f>#REF!</f>
        <v>#REF!</v>
      </c>
      <c r="AD127" s="308" t="e">
        <f>#REF!</f>
        <v>#REF!</v>
      </c>
      <c r="AE127" s="308" t="e">
        <f>#REF!</f>
        <v>#REF!</v>
      </c>
      <c r="AF127" s="308" t="e">
        <f>#REF!</f>
        <v>#REF!</v>
      </c>
      <c r="AG127" s="309" t="e">
        <f>#REF!</f>
        <v>#REF!</v>
      </c>
      <c r="AH127" s="308" t="e">
        <f>#REF!</f>
        <v>#REF!</v>
      </c>
      <c r="AI127" s="308" t="e">
        <f>#REF!</f>
        <v>#REF!</v>
      </c>
      <c r="AJ127" s="309" t="e">
        <f>#REF!</f>
        <v>#REF!</v>
      </c>
      <c r="AM127" s="310" t="e">
        <f>#REF!</f>
        <v>#REF!</v>
      </c>
      <c r="AN127" s="310" t="e">
        <f>#REF!</f>
        <v>#REF!</v>
      </c>
      <c r="AO127" s="310" t="e">
        <f>#REF!</f>
        <v>#REF!</v>
      </c>
    </row>
    <row r="128" spans="1:41" s="52" customFormat="1">
      <c r="A128" s="293"/>
      <c r="B128" s="311" t="s">
        <v>65</v>
      </c>
      <c r="D128" s="312" t="str">
        <f t="shared" ref="D128:AG128" si="47">IFERROR(D126*(1-D127),"")</f>
        <v/>
      </c>
      <c r="E128" s="312" t="str">
        <f t="shared" si="47"/>
        <v/>
      </c>
      <c r="F128" s="312" t="str">
        <f t="shared" si="47"/>
        <v/>
      </c>
      <c r="G128" s="312" t="str">
        <f t="shared" si="47"/>
        <v/>
      </c>
      <c r="H128" s="312" t="str">
        <f t="shared" si="47"/>
        <v/>
      </c>
      <c r="I128" s="312" t="str">
        <f t="shared" si="47"/>
        <v/>
      </c>
      <c r="J128" s="312" t="str">
        <f t="shared" si="47"/>
        <v/>
      </c>
      <c r="K128" s="312" t="str">
        <f t="shared" si="47"/>
        <v/>
      </c>
      <c r="L128" s="312" t="str">
        <f t="shared" si="47"/>
        <v/>
      </c>
      <c r="M128" s="312" t="str">
        <f t="shared" si="47"/>
        <v/>
      </c>
      <c r="N128" s="312" t="str">
        <f t="shared" si="47"/>
        <v/>
      </c>
      <c r="O128" s="312" t="str">
        <f t="shared" si="47"/>
        <v/>
      </c>
      <c r="P128" s="312" t="str">
        <f t="shared" si="47"/>
        <v/>
      </c>
      <c r="Q128" s="312" t="str">
        <f t="shared" si="47"/>
        <v/>
      </c>
      <c r="R128" s="312" t="str">
        <f t="shared" si="47"/>
        <v/>
      </c>
      <c r="S128" s="312" t="str">
        <f t="shared" si="47"/>
        <v/>
      </c>
      <c r="T128" s="312" t="str">
        <f t="shared" si="47"/>
        <v/>
      </c>
      <c r="U128" s="312" t="str">
        <f t="shared" si="47"/>
        <v/>
      </c>
      <c r="V128" s="312" t="str">
        <f t="shared" si="47"/>
        <v/>
      </c>
      <c r="W128" s="312" t="str">
        <f t="shared" si="47"/>
        <v/>
      </c>
      <c r="X128" s="312" t="str">
        <f t="shared" si="47"/>
        <v/>
      </c>
      <c r="Y128" s="312" t="str">
        <f t="shared" si="47"/>
        <v/>
      </c>
      <c r="Z128" s="312" t="str">
        <f t="shared" si="47"/>
        <v/>
      </c>
      <c r="AA128" s="312" t="str">
        <f t="shared" si="47"/>
        <v/>
      </c>
      <c r="AB128" s="312" t="str">
        <f t="shared" si="47"/>
        <v/>
      </c>
      <c r="AC128" s="312" t="str">
        <f t="shared" si="47"/>
        <v/>
      </c>
      <c r="AD128" s="312" t="str">
        <f t="shared" si="47"/>
        <v/>
      </c>
      <c r="AE128" s="312" t="str">
        <f t="shared" si="47"/>
        <v/>
      </c>
      <c r="AF128" s="312" t="str">
        <f t="shared" si="47"/>
        <v/>
      </c>
      <c r="AG128" s="313" t="str">
        <f t="shared" si="47"/>
        <v/>
      </c>
      <c r="AH128" s="312" t="e">
        <f>AH126*(1-AH127)</f>
        <v>#REF!</v>
      </c>
      <c r="AI128" s="312" t="e">
        <f>AI126*(1-AI127)</f>
        <v>#REF!</v>
      </c>
      <c r="AJ128" s="313" t="e">
        <f>AJ126*(1-AJ127)</f>
        <v>#REF!</v>
      </c>
      <c r="AM128" s="314" t="e">
        <f>AM126*(1-AM127)</f>
        <v>#REF!</v>
      </c>
      <c r="AN128" s="314" t="e">
        <f>AN126*(1-AN127)</f>
        <v>#REF!</v>
      </c>
      <c r="AO128" s="314" t="e">
        <f>AO126*(1-AO127)</f>
        <v>#REF!</v>
      </c>
    </row>
    <row r="129" spans="1:44" s="52" customFormat="1">
      <c r="A129" s="293"/>
      <c r="AG129" s="315"/>
      <c r="AJ129" s="315"/>
    </row>
    <row r="130" spans="1:44" s="303" customFormat="1" ht="12">
      <c r="A130" s="316"/>
      <c r="B130" s="317" t="s">
        <v>176</v>
      </c>
      <c r="C130" s="318"/>
      <c r="D130" s="301" t="str">
        <f>'Balance Sheet'!D44</f>
        <v/>
      </c>
      <c r="E130" s="301" t="str">
        <f>'Balance Sheet'!E44</f>
        <v/>
      </c>
      <c r="F130" s="301" t="str">
        <f>'Balance Sheet'!F44</f>
        <v/>
      </c>
      <c r="G130" s="301" t="str">
        <f>'Balance Sheet'!G44</f>
        <v/>
      </c>
      <c r="H130" s="301" t="str">
        <f>'Balance Sheet'!H44</f>
        <v/>
      </c>
      <c r="I130" s="301" t="str">
        <f>'Balance Sheet'!I44</f>
        <v/>
      </c>
      <c r="J130" s="301" t="str">
        <f>'Balance Sheet'!J44</f>
        <v/>
      </c>
      <c r="K130" s="301" t="str">
        <f>'Balance Sheet'!K44</f>
        <v/>
      </c>
      <c r="L130" s="301" t="str">
        <f>'Balance Sheet'!L44</f>
        <v/>
      </c>
      <c r="M130" s="301" t="str">
        <f>'Balance Sheet'!M44</f>
        <v/>
      </c>
      <c r="N130" s="301" t="str">
        <f>'Balance Sheet'!N44</f>
        <v/>
      </c>
      <c r="O130" s="301" t="str">
        <f>'Balance Sheet'!O44</f>
        <v/>
      </c>
      <c r="P130" s="301" t="str">
        <f>'Balance Sheet'!P44</f>
        <v/>
      </c>
      <c r="Q130" s="301" t="str">
        <f>'Balance Sheet'!Q44</f>
        <v/>
      </c>
      <c r="R130" s="301" t="str">
        <f>'Balance Sheet'!R44</f>
        <v/>
      </c>
      <c r="S130" s="301" t="str">
        <f>'Balance Sheet'!S44</f>
        <v/>
      </c>
      <c r="T130" s="301" t="str">
        <f>'Balance Sheet'!T44</f>
        <v/>
      </c>
      <c r="U130" s="301" t="str">
        <f>'Balance Sheet'!U44</f>
        <v/>
      </c>
      <c r="V130" s="301" t="str">
        <f>'Balance Sheet'!V44</f>
        <v/>
      </c>
      <c r="W130" s="301" t="str">
        <f>'Balance Sheet'!W44</f>
        <v/>
      </c>
      <c r="X130" s="301" t="str">
        <f>'Balance Sheet'!X44</f>
        <v/>
      </c>
      <c r="Y130" s="301" t="str">
        <f>'Balance Sheet'!Y44</f>
        <v/>
      </c>
      <c r="Z130" s="301" t="str">
        <f>'Balance Sheet'!Z44</f>
        <v/>
      </c>
      <c r="AA130" s="301" t="str">
        <f>'Balance Sheet'!AA44</f>
        <v/>
      </c>
      <c r="AB130" s="301" t="str">
        <f>'Balance Sheet'!AB44</f>
        <v/>
      </c>
      <c r="AC130" s="301" t="str">
        <f>'Balance Sheet'!AC44</f>
        <v/>
      </c>
      <c r="AD130" s="301" t="str">
        <f>'Balance Sheet'!AD44</f>
        <v/>
      </c>
      <c r="AE130" s="301" t="str">
        <f>'Balance Sheet'!AE44</f>
        <v/>
      </c>
      <c r="AF130" s="301" t="str">
        <f>'Balance Sheet'!AF44</f>
        <v/>
      </c>
      <c r="AG130" s="302" t="str">
        <f>'Balance Sheet'!AG44</f>
        <v/>
      </c>
      <c r="AH130" s="301" t="e">
        <f>'Balance Sheet'!AH44</f>
        <v>#REF!</v>
      </c>
      <c r="AI130" s="301" t="e">
        <f>'Balance Sheet'!AI44</f>
        <v>#REF!</v>
      </c>
      <c r="AJ130" s="302" t="e">
        <f>'Balance Sheet'!AJ44</f>
        <v>#REF!</v>
      </c>
      <c r="AM130" s="301" t="e">
        <f>'Balance Sheet'!AM44</f>
        <v>#REF!</v>
      </c>
      <c r="AN130" s="301" t="e">
        <f>'Balance Sheet'!AN44</f>
        <v>#REF!</v>
      </c>
      <c r="AO130" s="301" t="e">
        <f>'Balance Sheet'!AO44</f>
        <v>#REF!</v>
      </c>
    </row>
    <row r="131" spans="1:44" s="303" customFormat="1" ht="12">
      <c r="A131" s="316"/>
      <c r="B131" s="319" t="s">
        <v>177</v>
      </c>
      <c r="C131" s="300"/>
      <c r="D131" s="301" t="e">
        <f>'Balance Sheet'!D24</f>
        <v>#REF!</v>
      </c>
      <c r="E131" s="301" t="e">
        <f>'Balance Sheet'!E24</f>
        <v>#REF!</v>
      </c>
      <c r="F131" s="301" t="e">
        <f>'Balance Sheet'!F24</f>
        <v>#REF!</v>
      </c>
      <c r="G131" s="301" t="e">
        <f>'Balance Sheet'!G24</f>
        <v>#REF!</v>
      </c>
      <c r="H131" s="301" t="e">
        <f>'Balance Sheet'!H24</f>
        <v>#REF!</v>
      </c>
      <c r="I131" s="301" t="e">
        <f>'Balance Sheet'!I24</f>
        <v>#REF!</v>
      </c>
      <c r="J131" s="301" t="e">
        <f>'Balance Sheet'!J24</f>
        <v>#REF!</v>
      </c>
      <c r="K131" s="301" t="e">
        <f>'Balance Sheet'!K24</f>
        <v>#REF!</v>
      </c>
      <c r="L131" s="301" t="e">
        <f>'Balance Sheet'!L24</f>
        <v>#REF!</v>
      </c>
      <c r="M131" s="301" t="e">
        <f>'Balance Sheet'!M24</f>
        <v>#REF!</v>
      </c>
      <c r="N131" s="301" t="e">
        <f>'Balance Sheet'!N24</f>
        <v>#REF!</v>
      </c>
      <c r="O131" s="301" t="e">
        <f>'Balance Sheet'!O24</f>
        <v>#REF!</v>
      </c>
      <c r="P131" s="301" t="e">
        <f>'Balance Sheet'!P24</f>
        <v>#REF!</v>
      </c>
      <c r="Q131" s="301" t="e">
        <f>'Balance Sheet'!Q24</f>
        <v>#REF!</v>
      </c>
      <c r="R131" s="301" t="e">
        <f>'Balance Sheet'!R24</f>
        <v>#REF!</v>
      </c>
      <c r="S131" s="301" t="e">
        <f>'Balance Sheet'!S24</f>
        <v>#REF!</v>
      </c>
      <c r="T131" s="301" t="e">
        <f>'Balance Sheet'!T24</f>
        <v>#REF!</v>
      </c>
      <c r="U131" s="301" t="e">
        <f>'Balance Sheet'!U24</f>
        <v>#REF!</v>
      </c>
      <c r="V131" s="301" t="e">
        <f>'Balance Sheet'!V24</f>
        <v>#REF!</v>
      </c>
      <c r="W131" s="301" t="e">
        <f>'Balance Sheet'!W24</f>
        <v>#REF!</v>
      </c>
      <c r="X131" s="301" t="e">
        <f>'Balance Sheet'!X24</f>
        <v>#REF!</v>
      </c>
      <c r="Y131" s="301" t="e">
        <f>'Balance Sheet'!Y24</f>
        <v>#REF!</v>
      </c>
      <c r="Z131" s="301" t="e">
        <f>'Balance Sheet'!Z24</f>
        <v>#REF!</v>
      </c>
      <c r="AA131" s="301" t="e">
        <f>'Balance Sheet'!AA24</f>
        <v>#REF!</v>
      </c>
      <c r="AB131" s="301" t="e">
        <f>'Balance Sheet'!AB24</f>
        <v>#REF!</v>
      </c>
      <c r="AC131" s="301" t="e">
        <f>'Balance Sheet'!AC24</f>
        <v>#REF!</v>
      </c>
      <c r="AD131" s="301" t="e">
        <f>'Balance Sheet'!AD24</f>
        <v>#REF!</v>
      </c>
      <c r="AE131" s="301" t="e">
        <f>'Balance Sheet'!AE24</f>
        <v>#REF!</v>
      </c>
      <c r="AF131" s="301" t="e">
        <f>'Balance Sheet'!AF24</f>
        <v>#REF!</v>
      </c>
      <c r="AG131" s="302" t="e">
        <f>'Balance Sheet'!AG24</f>
        <v>#REF!</v>
      </c>
      <c r="AH131" s="301" t="e">
        <f>'Balance Sheet'!AH24</f>
        <v>#REF!</v>
      </c>
      <c r="AI131" s="301" t="e">
        <f>'Balance Sheet'!AI24</f>
        <v>#REF!</v>
      </c>
      <c r="AJ131" s="302" t="e">
        <f>'Balance Sheet'!AJ24</f>
        <v>#REF!</v>
      </c>
      <c r="AM131" s="301" t="e">
        <f>'Balance Sheet'!AM24</f>
        <v>#REF!</v>
      </c>
      <c r="AN131" s="301" t="e">
        <f>'Balance Sheet'!AN24</f>
        <v>#REF!</v>
      </c>
      <c r="AO131" s="301" t="e">
        <f>'Balance Sheet'!AO24</f>
        <v>#REF!</v>
      </c>
    </row>
    <row r="132" spans="1:44" s="52" customFormat="1">
      <c r="A132" s="293"/>
      <c r="B132" s="320" t="s">
        <v>66</v>
      </c>
      <c r="D132" s="312" t="str">
        <f t="shared" ref="D132:AG132" si="48">IFERROR(D131+D130,"")</f>
        <v/>
      </c>
      <c r="E132" s="312" t="str">
        <f t="shared" si="48"/>
        <v/>
      </c>
      <c r="F132" s="312" t="str">
        <f t="shared" si="48"/>
        <v/>
      </c>
      <c r="G132" s="312" t="str">
        <f t="shared" si="48"/>
        <v/>
      </c>
      <c r="H132" s="312" t="str">
        <f t="shared" si="48"/>
        <v/>
      </c>
      <c r="I132" s="312" t="str">
        <f t="shared" si="48"/>
        <v/>
      </c>
      <c r="J132" s="312" t="str">
        <f t="shared" si="48"/>
        <v/>
      </c>
      <c r="K132" s="312" t="str">
        <f t="shared" si="48"/>
        <v/>
      </c>
      <c r="L132" s="312" t="str">
        <f t="shared" si="48"/>
        <v/>
      </c>
      <c r="M132" s="312" t="str">
        <f t="shared" si="48"/>
        <v/>
      </c>
      <c r="N132" s="312" t="str">
        <f t="shared" si="48"/>
        <v/>
      </c>
      <c r="O132" s="312" t="str">
        <f t="shared" si="48"/>
        <v/>
      </c>
      <c r="P132" s="312" t="str">
        <f t="shared" si="48"/>
        <v/>
      </c>
      <c r="Q132" s="312" t="str">
        <f t="shared" si="48"/>
        <v/>
      </c>
      <c r="R132" s="312" t="str">
        <f t="shared" si="48"/>
        <v/>
      </c>
      <c r="S132" s="312" t="str">
        <f t="shared" si="48"/>
        <v/>
      </c>
      <c r="T132" s="312" t="str">
        <f t="shared" si="48"/>
        <v/>
      </c>
      <c r="U132" s="312" t="str">
        <f t="shared" si="48"/>
        <v/>
      </c>
      <c r="V132" s="312" t="str">
        <f t="shared" si="48"/>
        <v/>
      </c>
      <c r="W132" s="312" t="str">
        <f t="shared" si="48"/>
        <v/>
      </c>
      <c r="X132" s="312" t="str">
        <f t="shared" si="48"/>
        <v/>
      </c>
      <c r="Y132" s="312" t="str">
        <f t="shared" si="48"/>
        <v/>
      </c>
      <c r="Z132" s="312" t="str">
        <f t="shared" si="48"/>
        <v/>
      </c>
      <c r="AA132" s="312" t="str">
        <f t="shared" si="48"/>
        <v/>
      </c>
      <c r="AB132" s="312" t="str">
        <f t="shared" si="48"/>
        <v/>
      </c>
      <c r="AC132" s="312" t="str">
        <f t="shared" si="48"/>
        <v/>
      </c>
      <c r="AD132" s="312" t="str">
        <f t="shared" si="48"/>
        <v/>
      </c>
      <c r="AE132" s="312" t="str">
        <f t="shared" si="48"/>
        <v/>
      </c>
      <c r="AF132" s="312" t="str">
        <f t="shared" si="48"/>
        <v/>
      </c>
      <c r="AG132" s="313" t="str">
        <f t="shared" si="48"/>
        <v/>
      </c>
      <c r="AH132" s="312" t="e">
        <f>AH131+AH130</f>
        <v>#REF!</v>
      </c>
      <c r="AI132" s="312" t="e">
        <f>AI131+AI130</f>
        <v>#REF!</v>
      </c>
      <c r="AJ132" s="313" t="e">
        <f>AJ131+AJ130</f>
        <v>#REF!</v>
      </c>
      <c r="AM132" s="312" t="e">
        <f>AM131+AM130</f>
        <v>#REF!</v>
      </c>
      <c r="AN132" s="312" t="e">
        <f>AN131+AN130</f>
        <v>#REF!</v>
      </c>
      <c r="AO132" s="312" t="e">
        <f>AO131+AO130</f>
        <v>#REF!</v>
      </c>
    </row>
    <row r="133" spans="1:44" s="52" customFormat="1">
      <c r="A133" s="293"/>
      <c r="B133" s="311" t="s">
        <v>178</v>
      </c>
      <c r="D133" s="312" t="str">
        <f t="shared" ref="D133:AG133" si="49">IFERROR(AVERAGE(C132:D132),"")</f>
        <v/>
      </c>
      <c r="E133" s="312" t="str">
        <f t="shared" si="49"/>
        <v/>
      </c>
      <c r="F133" s="312" t="str">
        <f t="shared" si="49"/>
        <v/>
      </c>
      <c r="G133" s="312" t="str">
        <f t="shared" si="49"/>
        <v/>
      </c>
      <c r="H133" s="312" t="str">
        <f t="shared" si="49"/>
        <v/>
      </c>
      <c r="I133" s="312" t="str">
        <f t="shared" si="49"/>
        <v/>
      </c>
      <c r="J133" s="312" t="str">
        <f t="shared" si="49"/>
        <v/>
      </c>
      <c r="K133" s="312" t="str">
        <f t="shared" si="49"/>
        <v/>
      </c>
      <c r="L133" s="312" t="str">
        <f t="shared" si="49"/>
        <v/>
      </c>
      <c r="M133" s="312" t="str">
        <f t="shared" si="49"/>
        <v/>
      </c>
      <c r="N133" s="312" t="str">
        <f t="shared" si="49"/>
        <v/>
      </c>
      <c r="O133" s="312" t="str">
        <f t="shared" si="49"/>
        <v/>
      </c>
      <c r="P133" s="312" t="str">
        <f t="shared" si="49"/>
        <v/>
      </c>
      <c r="Q133" s="312" t="str">
        <f t="shared" si="49"/>
        <v/>
      </c>
      <c r="R133" s="312" t="str">
        <f t="shared" si="49"/>
        <v/>
      </c>
      <c r="S133" s="312" t="str">
        <f t="shared" si="49"/>
        <v/>
      </c>
      <c r="T133" s="312" t="str">
        <f t="shared" si="49"/>
        <v/>
      </c>
      <c r="U133" s="312" t="str">
        <f t="shared" si="49"/>
        <v/>
      </c>
      <c r="V133" s="312" t="str">
        <f t="shared" si="49"/>
        <v/>
      </c>
      <c r="W133" s="312" t="str">
        <f t="shared" si="49"/>
        <v/>
      </c>
      <c r="X133" s="312" t="str">
        <f t="shared" si="49"/>
        <v/>
      </c>
      <c r="Y133" s="312" t="str">
        <f t="shared" si="49"/>
        <v/>
      </c>
      <c r="Z133" s="312" t="str">
        <f t="shared" si="49"/>
        <v/>
      </c>
      <c r="AA133" s="312" t="str">
        <f t="shared" si="49"/>
        <v/>
      </c>
      <c r="AB133" s="312" t="str">
        <f t="shared" si="49"/>
        <v/>
      </c>
      <c r="AC133" s="312" t="str">
        <f t="shared" si="49"/>
        <v/>
      </c>
      <c r="AD133" s="312" t="str">
        <f t="shared" si="49"/>
        <v/>
      </c>
      <c r="AE133" s="312" t="str">
        <f t="shared" si="49"/>
        <v/>
      </c>
      <c r="AF133" s="312" t="str">
        <f t="shared" si="49"/>
        <v/>
      </c>
      <c r="AG133" s="313" t="str">
        <f t="shared" si="49"/>
        <v/>
      </c>
      <c r="AH133" s="312" t="e">
        <f t="shared" ref="AH133:AJ133" si="50">AVERAGE(AG132:AH132)</f>
        <v>#REF!</v>
      </c>
      <c r="AI133" s="312" t="e">
        <f t="shared" si="50"/>
        <v>#REF!</v>
      </c>
      <c r="AJ133" s="313" t="e">
        <f t="shared" si="50"/>
        <v>#REF!</v>
      </c>
      <c r="AM133" s="314" t="e">
        <f>AVERAGE(AM132,AG132)</f>
        <v>#REF!</v>
      </c>
      <c r="AN133" s="314" t="e">
        <f>AVERAGE(AM132:AN132)</f>
        <v>#REF!</v>
      </c>
      <c r="AO133" s="314" t="e">
        <f>AVERAGE(AN132:AO132)</f>
        <v>#REF!</v>
      </c>
    </row>
    <row r="134" spans="1:44" s="325" customFormat="1" ht="15.75" thickBot="1">
      <c r="A134" s="321"/>
      <c r="B134" s="322" t="s">
        <v>67</v>
      </c>
      <c r="C134" s="322"/>
      <c r="D134" s="323" t="str">
        <f t="shared" ref="D134:AG134" si="51">IFERROR(IF(D133&lt;=0,"nmf",D128/D133),"")</f>
        <v/>
      </c>
      <c r="E134" s="323" t="str">
        <f t="shared" si="51"/>
        <v/>
      </c>
      <c r="F134" s="323" t="str">
        <f t="shared" si="51"/>
        <v/>
      </c>
      <c r="G134" s="323" t="str">
        <f t="shared" si="51"/>
        <v/>
      </c>
      <c r="H134" s="323" t="str">
        <f t="shared" si="51"/>
        <v/>
      </c>
      <c r="I134" s="323" t="str">
        <f t="shared" si="51"/>
        <v/>
      </c>
      <c r="J134" s="323" t="str">
        <f t="shared" si="51"/>
        <v/>
      </c>
      <c r="K134" s="323" t="str">
        <f t="shared" si="51"/>
        <v/>
      </c>
      <c r="L134" s="323" t="str">
        <f t="shared" si="51"/>
        <v/>
      </c>
      <c r="M134" s="323" t="str">
        <f t="shared" si="51"/>
        <v/>
      </c>
      <c r="N134" s="323" t="str">
        <f t="shared" si="51"/>
        <v/>
      </c>
      <c r="O134" s="323" t="str">
        <f t="shared" si="51"/>
        <v/>
      </c>
      <c r="P134" s="323" t="str">
        <f t="shared" si="51"/>
        <v/>
      </c>
      <c r="Q134" s="323" t="str">
        <f t="shared" si="51"/>
        <v/>
      </c>
      <c r="R134" s="323" t="str">
        <f t="shared" si="51"/>
        <v/>
      </c>
      <c r="S134" s="323" t="str">
        <f t="shared" si="51"/>
        <v/>
      </c>
      <c r="T134" s="323" t="str">
        <f t="shared" si="51"/>
        <v/>
      </c>
      <c r="U134" s="323" t="str">
        <f t="shared" si="51"/>
        <v/>
      </c>
      <c r="V134" s="323" t="str">
        <f t="shared" si="51"/>
        <v/>
      </c>
      <c r="W134" s="323" t="str">
        <f t="shared" si="51"/>
        <v/>
      </c>
      <c r="X134" s="323" t="str">
        <f t="shared" si="51"/>
        <v/>
      </c>
      <c r="Y134" s="323" t="str">
        <f t="shared" si="51"/>
        <v/>
      </c>
      <c r="Z134" s="323" t="str">
        <f t="shared" si="51"/>
        <v/>
      </c>
      <c r="AA134" s="323" t="str">
        <f t="shared" si="51"/>
        <v/>
      </c>
      <c r="AB134" s="323" t="str">
        <f t="shared" si="51"/>
        <v/>
      </c>
      <c r="AC134" s="323" t="str">
        <f t="shared" si="51"/>
        <v/>
      </c>
      <c r="AD134" s="323" t="str">
        <f t="shared" si="51"/>
        <v/>
      </c>
      <c r="AE134" s="323" t="str">
        <f t="shared" si="51"/>
        <v/>
      </c>
      <c r="AF134" s="323" t="str">
        <f t="shared" si="51"/>
        <v/>
      </c>
      <c r="AG134" s="324" t="str">
        <f t="shared" si="51"/>
        <v/>
      </c>
      <c r="AH134" s="323" t="e">
        <f>IF(AH133&lt;=0,"nmf",AH128/AH133)</f>
        <v>#REF!</v>
      </c>
      <c r="AI134" s="323" t="e">
        <f>IF(AI133&lt;=0,"nmf",AI128/AI133)</f>
        <v>#REF!</v>
      </c>
      <c r="AJ134" s="324" t="e">
        <f>IF(AJ133&lt;=0,"nmf",AJ128/AJ133)</f>
        <v>#REF!</v>
      </c>
      <c r="AK134" s="323"/>
      <c r="AL134" s="323"/>
      <c r="AM134" s="323" t="e">
        <f>IF(AM133&lt;=0,"nmf",AM128/AM133)</f>
        <v>#REF!</v>
      </c>
      <c r="AN134" s="323" t="e">
        <f>IF(AN133&lt;=0,"nmf",AN128/AN133)</f>
        <v>#REF!</v>
      </c>
      <c r="AO134" s="323" t="e">
        <f>IF(AO133&lt;=0,"nmf",AO128/AO133)</f>
        <v>#REF!</v>
      </c>
    </row>
    <row r="135" spans="1:44" s="333" customFormat="1" ht="15.75" thickBot="1">
      <c r="A135" s="326" t="e">
        <f>#REF!</f>
        <v>#REF!</v>
      </c>
      <c r="B135" s="327" t="s">
        <v>68</v>
      </c>
      <c r="C135" s="327"/>
      <c r="D135" s="328" t="e">
        <f>IF(D$3&lt;-#REF!,"",INDEX(#REF!,#REF!-D$3,$A135)/100)</f>
        <v>#REF!</v>
      </c>
      <c r="E135" s="328" t="e">
        <f>IF(E$3&lt;-#REF!,"",INDEX(#REF!,#REF!-E$3,$A135)/100)</f>
        <v>#REF!</v>
      </c>
      <c r="F135" s="328" t="e">
        <f>IF(F$3&lt;-#REF!,"",INDEX(#REF!,#REF!-F$3,$A135)/100)</f>
        <v>#REF!</v>
      </c>
      <c r="G135" s="328" t="e">
        <f>IF(G$3&lt;-#REF!,"",INDEX(#REF!,#REF!-G$3,$A135)/100)</f>
        <v>#REF!</v>
      </c>
      <c r="H135" s="328" t="e">
        <f>IF(H$3&lt;-#REF!,"",INDEX(#REF!,#REF!-H$3,$A135)/100)</f>
        <v>#REF!</v>
      </c>
      <c r="I135" s="328" t="e">
        <f>IF(I$3&lt;-#REF!,"",INDEX(#REF!,#REF!-I$3,$A135)/100)</f>
        <v>#REF!</v>
      </c>
      <c r="J135" s="328" t="e">
        <f>IF(J$3&lt;-#REF!,"",INDEX(#REF!,#REF!-J$3,$A135)/100)</f>
        <v>#REF!</v>
      </c>
      <c r="K135" s="328" t="e">
        <f>IF(K$3&lt;-#REF!,"",INDEX(#REF!,#REF!-K$3,$A135)/100)</f>
        <v>#REF!</v>
      </c>
      <c r="L135" s="328" t="e">
        <f>IF(L$3&lt;-#REF!,"",INDEX(#REF!,#REF!-L$3,$A135)/100)</f>
        <v>#REF!</v>
      </c>
      <c r="M135" s="328" t="e">
        <f>IF(M$3&lt;-#REF!,"",INDEX(#REF!,#REF!-M$3,$A135)/100)</f>
        <v>#REF!</v>
      </c>
      <c r="N135" s="328" t="e">
        <f>IF(N$3&lt;-#REF!,"",INDEX(#REF!,#REF!-N$3,$A135)/100)</f>
        <v>#REF!</v>
      </c>
      <c r="O135" s="328" t="e">
        <f>IF(O$3&lt;-#REF!,"",INDEX(#REF!,#REF!-O$3,$A135)/100)</f>
        <v>#REF!</v>
      </c>
      <c r="P135" s="328" t="e">
        <f>IF(P$3&lt;-#REF!,"",INDEX(#REF!,#REF!-P$3,$A135)/100)</f>
        <v>#REF!</v>
      </c>
      <c r="Q135" s="328" t="e">
        <f>IF(Q$3&lt;-#REF!,"",INDEX(#REF!,#REF!-Q$3,$A135)/100)</f>
        <v>#REF!</v>
      </c>
      <c r="R135" s="328" t="e">
        <f>IF(R$3&lt;-#REF!,"",INDEX(#REF!,#REF!-R$3,$A135)/100)</f>
        <v>#REF!</v>
      </c>
      <c r="S135" s="328" t="e">
        <f>IF(S$3&lt;-#REF!,"",INDEX(#REF!,#REF!-S$3,$A135)/100)</f>
        <v>#REF!</v>
      </c>
      <c r="T135" s="328" t="e">
        <f>IF(T$3&lt;-#REF!,"",INDEX(#REF!,#REF!-T$3,$A135)/100)</f>
        <v>#REF!</v>
      </c>
      <c r="U135" s="328" t="e">
        <f>IF(U$3&lt;-#REF!,"",INDEX(#REF!,#REF!-U$3,$A135)/100)</f>
        <v>#REF!</v>
      </c>
      <c r="V135" s="328" t="e">
        <f>IF(V$3&lt;-#REF!,"",INDEX(#REF!,#REF!-V$3,$A135)/100)</f>
        <v>#REF!</v>
      </c>
      <c r="W135" s="328" t="e">
        <f>IF(W$3&lt;-#REF!,"",INDEX(#REF!,#REF!-W$3,$A135)/100)</f>
        <v>#REF!</v>
      </c>
      <c r="X135" s="328" t="e">
        <f>IF(X$3&lt;-#REF!,"",INDEX(#REF!,#REF!-X$3,$A135)/100)</f>
        <v>#REF!</v>
      </c>
      <c r="Y135" s="328" t="e">
        <f>IF(Y$3&lt;-#REF!,"",INDEX(#REF!,#REF!-Y$3,$A135)/100)</f>
        <v>#REF!</v>
      </c>
      <c r="Z135" s="328" t="e">
        <f>IF(Z$3&lt;-#REF!,"",INDEX(#REF!,#REF!-Z$3,$A135)/100)</f>
        <v>#REF!</v>
      </c>
      <c r="AA135" s="328" t="e">
        <f>IF(AA$3&lt;-#REF!,"",INDEX(#REF!,#REF!-AA$3,$A135)/100)</f>
        <v>#REF!</v>
      </c>
      <c r="AB135" s="328" t="e">
        <f>IF(AB$3&lt;-#REF!,"",INDEX(#REF!,#REF!-AB$3,$A135)/100)</f>
        <v>#REF!</v>
      </c>
      <c r="AC135" s="328" t="e">
        <f>IF(AC$3&lt;-#REF!,"",INDEX(#REF!,#REF!-AC$3,$A135)/100)</f>
        <v>#REF!</v>
      </c>
      <c r="AD135" s="328" t="e">
        <f>IF(AD$3&lt;-#REF!,"",INDEX(#REF!,#REF!-AD$3,$A135)/100)</f>
        <v>#REF!</v>
      </c>
      <c r="AE135" s="328" t="e">
        <f>IF(AE$3&lt;-#REF!,"",INDEX(#REF!,#REF!-AE$3,$A135)/100)</f>
        <v>#REF!</v>
      </c>
      <c r="AF135" s="328" t="e">
        <f>IF(AF$3&lt;-#REF!,"",INDEX(#REF!,#REF!-AF$3,$A135)/100)</f>
        <v>#REF!</v>
      </c>
      <c r="AG135" s="329" t="e">
        <f>IF(AG$3&lt;-#REF!,"",INDEX(#REF!,#REF!-AG$3,$A135)/100)</f>
        <v>#REF!</v>
      </c>
      <c r="AH135" s="330" t="e">
        <f>AG$135</f>
        <v>#REF!</v>
      </c>
      <c r="AI135" s="331" t="e">
        <f>AH135</f>
        <v>#REF!</v>
      </c>
      <c r="AJ135" s="332" t="e">
        <f>AI135</f>
        <v>#REF!</v>
      </c>
      <c r="AM135" s="334" t="e">
        <f>AG$135</f>
        <v>#REF!</v>
      </c>
      <c r="AN135" s="335" t="e">
        <f>AM135</f>
        <v>#REF!</v>
      </c>
      <c r="AO135" s="336" t="e">
        <f>AN135</f>
        <v>#REF!</v>
      </c>
    </row>
    <row r="136" spans="1:44" s="333" customFormat="1" ht="15.75" thickBot="1">
      <c r="A136" s="337"/>
      <c r="B136" s="338" t="s">
        <v>69</v>
      </c>
      <c r="C136" s="338"/>
      <c r="D136" s="339" t="str">
        <f t="shared" ref="D136:AG136" si="52">IFERROR(IF(D134="nmf","nmf",D134-D135),"")</f>
        <v/>
      </c>
      <c r="E136" s="339" t="str">
        <f t="shared" si="52"/>
        <v/>
      </c>
      <c r="F136" s="339" t="str">
        <f t="shared" si="52"/>
        <v/>
      </c>
      <c r="G136" s="339" t="str">
        <f t="shared" si="52"/>
        <v/>
      </c>
      <c r="H136" s="339" t="str">
        <f t="shared" si="52"/>
        <v/>
      </c>
      <c r="I136" s="339" t="str">
        <f t="shared" si="52"/>
        <v/>
      </c>
      <c r="J136" s="339" t="str">
        <f t="shared" si="52"/>
        <v/>
      </c>
      <c r="K136" s="339" t="str">
        <f t="shared" si="52"/>
        <v/>
      </c>
      <c r="L136" s="339" t="str">
        <f t="shared" si="52"/>
        <v/>
      </c>
      <c r="M136" s="339" t="str">
        <f t="shared" si="52"/>
        <v/>
      </c>
      <c r="N136" s="339" t="str">
        <f t="shared" si="52"/>
        <v/>
      </c>
      <c r="O136" s="339" t="str">
        <f t="shared" si="52"/>
        <v/>
      </c>
      <c r="P136" s="339" t="str">
        <f t="shared" si="52"/>
        <v/>
      </c>
      <c r="Q136" s="339" t="str">
        <f t="shared" si="52"/>
        <v/>
      </c>
      <c r="R136" s="339" t="str">
        <f t="shared" si="52"/>
        <v/>
      </c>
      <c r="S136" s="339" t="str">
        <f t="shared" si="52"/>
        <v/>
      </c>
      <c r="T136" s="339" t="str">
        <f t="shared" si="52"/>
        <v/>
      </c>
      <c r="U136" s="339" t="str">
        <f t="shared" si="52"/>
        <v/>
      </c>
      <c r="V136" s="339" t="str">
        <f t="shared" si="52"/>
        <v/>
      </c>
      <c r="W136" s="339" t="str">
        <f t="shared" si="52"/>
        <v/>
      </c>
      <c r="X136" s="339" t="str">
        <f t="shared" si="52"/>
        <v/>
      </c>
      <c r="Y136" s="339" t="str">
        <f t="shared" si="52"/>
        <v/>
      </c>
      <c r="Z136" s="339" t="str">
        <f t="shared" si="52"/>
        <v/>
      </c>
      <c r="AA136" s="339" t="str">
        <f t="shared" si="52"/>
        <v/>
      </c>
      <c r="AB136" s="339" t="str">
        <f t="shared" si="52"/>
        <v/>
      </c>
      <c r="AC136" s="339" t="str">
        <f t="shared" si="52"/>
        <v/>
      </c>
      <c r="AD136" s="339" t="str">
        <f t="shared" si="52"/>
        <v/>
      </c>
      <c r="AE136" s="339" t="str">
        <f t="shared" si="52"/>
        <v/>
      </c>
      <c r="AF136" s="339" t="str">
        <f t="shared" si="52"/>
        <v/>
      </c>
      <c r="AG136" s="340" t="str">
        <f t="shared" si="52"/>
        <v/>
      </c>
      <c r="AH136" s="339" t="e">
        <f>IF(AH134="nmf","nmf",AH134-AH135)</f>
        <v>#REF!</v>
      </c>
      <c r="AI136" s="339" t="e">
        <f>IF(AI134="nmf","nmf",AI134-AI135)</f>
        <v>#REF!</v>
      </c>
      <c r="AJ136" s="340" t="e">
        <f>IF(AJ134="nmf","nmf",AJ134-AJ135)</f>
        <v>#REF!</v>
      </c>
      <c r="AK136" s="341"/>
      <c r="AL136" s="341"/>
      <c r="AM136" s="339" t="e">
        <f>IF(AM134="nmf","nmf",AM134-AM135)</f>
        <v>#REF!</v>
      </c>
      <c r="AN136" s="339" t="e">
        <f>IF(AN134="nmf","nmf",AN134-AN135)</f>
        <v>#REF!</v>
      </c>
      <c r="AO136" s="339" t="e">
        <f>IF(AO134="nmf","nmf",AO134-AO135)</f>
        <v>#REF!</v>
      </c>
      <c r="AP136" s="341"/>
      <c r="AQ136" s="341"/>
      <c r="AR136" s="341"/>
    </row>
    <row r="137" spans="1:44" s="347" customFormat="1" ht="16.5" thickTop="1" thickBot="1">
      <c r="A137" s="342"/>
      <c r="B137" s="343" t="s">
        <v>70</v>
      </c>
      <c r="C137" s="344"/>
      <c r="D137" s="345" t="str">
        <f t="shared" ref="D137:AG137" si="53">IFERROR(D128-D133*D135,"")</f>
        <v/>
      </c>
      <c r="E137" s="345" t="str">
        <f t="shared" si="53"/>
        <v/>
      </c>
      <c r="F137" s="345" t="str">
        <f t="shared" si="53"/>
        <v/>
      </c>
      <c r="G137" s="345" t="str">
        <f t="shared" si="53"/>
        <v/>
      </c>
      <c r="H137" s="345" t="str">
        <f t="shared" si="53"/>
        <v/>
      </c>
      <c r="I137" s="345" t="str">
        <f t="shared" si="53"/>
        <v/>
      </c>
      <c r="J137" s="345" t="str">
        <f t="shared" si="53"/>
        <v/>
      </c>
      <c r="K137" s="345" t="str">
        <f t="shared" si="53"/>
        <v/>
      </c>
      <c r="L137" s="345" t="str">
        <f t="shared" si="53"/>
        <v/>
      </c>
      <c r="M137" s="345" t="str">
        <f t="shared" si="53"/>
        <v/>
      </c>
      <c r="N137" s="345" t="str">
        <f t="shared" si="53"/>
        <v/>
      </c>
      <c r="O137" s="345" t="str">
        <f t="shared" si="53"/>
        <v/>
      </c>
      <c r="P137" s="345" t="str">
        <f t="shared" si="53"/>
        <v/>
      </c>
      <c r="Q137" s="345" t="str">
        <f t="shared" si="53"/>
        <v/>
      </c>
      <c r="R137" s="345" t="str">
        <f t="shared" si="53"/>
        <v/>
      </c>
      <c r="S137" s="345" t="str">
        <f t="shared" si="53"/>
        <v/>
      </c>
      <c r="T137" s="345" t="str">
        <f t="shared" si="53"/>
        <v/>
      </c>
      <c r="U137" s="345" t="str">
        <f t="shared" si="53"/>
        <v/>
      </c>
      <c r="V137" s="345" t="str">
        <f t="shared" si="53"/>
        <v/>
      </c>
      <c r="W137" s="345" t="str">
        <f t="shared" si="53"/>
        <v/>
      </c>
      <c r="X137" s="345" t="str">
        <f t="shared" si="53"/>
        <v/>
      </c>
      <c r="Y137" s="345" t="str">
        <f t="shared" si="53"/>
        <v/>
      </c>
      <c r="Z137" s="345" t="str">
        <f t="shared" si="53"/>
        <v/>
      </c>
      <c r="AA137" s="345" t="str">
        <f t="shared" si="53"/>
        <v/>
      </c>
      <c r="AB137" s="345" t="str">
        <f t="shared" si="53"/>
        <v/>
      </c>
      <c r="AC137" s="345" t="str">
        <f t="shared" si="53"/>
        <v/>
      </c>
      <c r="AD137" s="345" t="str">
        <f t="shared" si="53"/>
        <v/>
      </c>
      <c r="AE137" s="345" t="str">
        <f t="shared" si="53"/>
        <v/>
      </c>
      <c r="AF137" s="345" t="str">
        <f t="shared" si="53"/>
        <v/>
      </c>
      <c r="AG137" s="346" t="str">
        <f t="shared" si="53"/>
        <v/>
      </c>
      <c r="AH137" s="345" t="e">
        <f>AH128-AH133*AH135</f>
        <v>#REF!</v>
      </c>
      <c r="AI137" s="345" t="e">
        <f>AI128-AI133*AI135</f>
        <v>#REF!</v>
      </c>
      <c r="AJ137" s="346" t="e">
        <f>AJ128-AJ133*AJ135</f>
        <v>#REF!</v>
      </c>
      <c r="AM137" s="345" t="e">
        <f>AM128-AM133*AM135</f>
        <v>#REF!</v>
      </c>
      <c r="AN137" s="345" t="e">
        <f>AN128-AN133*AN135</f>
        <v>#REF!</v>
      </c>
      <c r="AO137" s="345" t="e">
        <f>AO128-AO133*AO135</f>
        <v>#REF!</v>
      </c>
    </row>
    <row r="138" spans="1:44" s="294" customFormat="1" ht="15.75" thickTop="1">
      <c r="A138" s="348"/>
      <c r="B138" s="349"/>
      <c r="C138" s="350"/>
      <c r="D138" s="351"/>
      <c r="E138" s="351"/>
      <c r="F138" s="351"/>
      <c r="G138" s="351"/>
      <c r="H138" s="351"/>
      <c r="I138" s="351"/>
      <c r="J138" s="351"/>
      <c r="K138" s="351"/>
      <c r="L138" s="351"/>
      <c r="M138" s="351"/>
      <c r="N138" s="351"/>
      <c r="O138" s="351"/>
      <c r="P138" s="351"/>
      <c r="Q138" s="351"/>
      <c r="R138" s="351"/>
      <c r="S138" s="351"/>
      <c r="T138" s="351"/>
      <c r="U138" s="351"/>
      <c r="V138" s="351"/>
      <c r="W138" s="351"/>
      <c r="X138" s="351"/>
      <c r="Y138" s="351"/>
      <c r="Z138" s="351"/>
      <c r="AA138" s="351"/>
      <c r="AB138" s="351"/>
      <c r="AC138" s="351"/>
      <c r="AD138" s="351"/>
      <c r="AE138" s="351"/>
      <c r="AF138" s="351"/>
      <c r="AG138" s="352"/>
      <c r="AH138" s="351"/>
      <c r="AI138" s="351"/>
      <c r="AJ138" s="352"/>
      <c r="AM138" s="351"/>
      <c r="AN138" s="351"/>
      <c r="AO138" s="351"/>
    </row>
    <row r="139" spans="1:44" s="354" customFormat="1">
      <c r="A139" s="353"/>
      <c r="B139" s="311" t="s">
        <v>65</v>
      </c>
      <c r="C139" s="322"/>
      <c r="D139" s="312" t="str">
        <f t="shared" ref="D139:AG139" si="54">D128</f>
        <v/>
      </c>
      <c r="E139" s="312" t="str">
        <f t="shared" si="54"/>
        <v/>
      </c>
      <c r="F139" s="312" t="str">
        <f t="shared" si="54"/>
        <v/>
      </c>
      <c r="G139" s="312" t="str">
        <f t="shared" si="54"/>
        <v/>
      </c>
      <c r="H139" s="312" t="str">
        <f t="shared" si="54"/>
        <v/>
      </c>
      <c r="I139" s="312" t="str">
        <f t="shared" si="54"/>
        <v/>
      </c>
      <c r="J139" s="312" t="str">
        <f t="shared" si="54"/>
        <v/>
      </c>
      <c r="K139" s="312" t="str">
        <f t="shared" si="54"/>
        <v/>
      </c>
      <c r="L139" s="312" t="str">
        <f t="shared" si="54"/>
        <v/>
      </c>
      <c r="M139" s="312" t="str">
        <f t="shared" si="54"/>
        <v/>
      </c>
      <c r="N139" s="312" t="str">
        <f t="shared" si="54"/>
        <v/>
      </c>
      <c r="O139" s="312" t="str">
        <f t="shared" si="54"/>
        <v/>
      </c>
      <c r="P139" s="312" t="str">
        <f t="shared" si="54"/>
        <v/>
      </c>
      <c r="Q139" s="312" t="str">
        <f t="shared" si="54"/>
        <v/>
      </c>
      <c r="R139" s="312" t="str">
        <f t="shared" si="54"/>
        <v/>
      </c>
      <c r="S139" s="312" t="str">
        <f t="shared" si="54"/>
        <v/>
      </c>
      <c r="T139" s="312" t="str">
        <f t="shared" si="54"/>
        <v/>
      </c>
      <c r="U139" s="312" t="str">
        <f t="shared" si="54"/>
        <v/>
      </c>
      <c r="V139" s="312" t="str">
        <f t="shared" si="54"/>
        <v/>
      </c>
      <c r="W139" s="312" t="str">
        <f t="shared" si="54"/>
        <v/>
      </c>
      <c r="X139" s="312" t="str">
        <f t="shared" si="54"/>
        <v/>
      </c>
      <c r="Y139" s="312" t="str">
        <f t="shared" si="54"/>
        <v/>
      </c>
      <c r="Z139" s="312" t="str">
        <f t="shared" si="54"/>
        <v/>
      </c>
      <c r="AA139" s="312" t="str">
        <f t="shared" si="54"/>
        <v/>
      </c>
      <c r="AB139" s="312" t="str">
        <f t="shared" si="54"/>
        <v/>
      </c>
      <c r="AC139" s="312" t="str">
        <f t="shared" si="54"/>
        <v/>
      </c>
      <c r="AD139" s="312" t="str">
        <f t="shared" si="54"/>
        <v/>
      </c>
      <c r="AE139" s="312" t="str">
        <f t="shared" si="54"/>
        <v/>
      </c>
      <c r="AF139" s="312" t="str">
        <f t="shared" si="54"/>
        <v/>
      </c>
      <c r="AG139" s="313" t="str">
        <f t="shared" si="54"/>
        <v/>
      </c>
      <c r="AH139" s="312" t="e">
        <f>AH128</f>
        <v>#REF!</v>
      </c>
      <c r="AI139" s="312" t="e">
        <f>AI128</f>
        <v>#REF!</v>
      </c>
      <c r="AJ139" s="313" t="e">
        <f>AJ128</f>
        <v>#REF!</v>
      </c>
      <c r="AM139" s="312" t="e">
        <f>AM128</f>
        <v>#REF!</v>
      </c>
      <c r="AN139" s="312" t="e">
        <f>AN128</f>
        <v>#REF!</v>
      </c>
      <c r="AO139" s="312" t="e">
        <f>AO128</f>
        <v>#REF!</v>
      </c>
    </row>
    <row r="140" spans="1:44" s="52" customFormat="1">
      <c r="A140" s="293"/>
      <c r="B140" s="349"/>
      <c r="C140" s="349"/>
      <c r="D140" s="355"/>
      <c r="E140" s="355"/>
      <c r="F140" s="355"/>
      <c r="G140" s="355"/>
      <c r="H140" s="355"/>
      <c r="I140" s="355"/>
      <c r="J140" s="355"/>
      <c r="K140" s="355"/>
      <c r="L140" s="355"/>
      <c r="M140" s="355"/>
      <c r="N140" s="355"/>
      <c r="O140" s="355"/>
      <c r="P140" s="355"/>
      <c r="Q140" s="355"/>
      <c r="R140" s="355"/>
      <c r="S140" s="355"/>
      <c r="T140" s="355"/>
      <c r="U140" s="355"/>
      <c r="V140" s="355"/>
      <c r="W140" s="355"/>
      <c r="X140" s="355"/>
      <c r="Y140" s="355"/>
      <c r="Z140" s="355"/>
      <c r="AA140" s="355"/>
      <c r="AB140" s="355"/>
      <c r="AC140" s="355"/>
      <c r="AD140" s="355"/>
      <c r="AE140" s="355"/>
      <c r="AF140" s="355"/>
      <c r="AG140" s="356"/>
      <c r="AH140" s="355"/>
      <c r="AI140" s="355"/>
      <c r="AJ140" s="356"/>
      <c r="AM140" s="355"/>
      <c r="AN140" s="355"/>
      <c r="AO140" s="355"/>
    </row>
    <row r="141" spans="1:44" s="52" customFormat="1">
      <c r="A141" s="293"/>
      <c r="B141" s="357" t="s">
        <v>158</v>
      </c>
      <c r="C141" s="349"/>
      <c r="D141" s="358" t="str">
        <f t="shared" ref="D141:AJ141" si="55">D17</f>
        <v/>
      </c>
      <c r="E141" s="358" t="str">
        <f t="shared" si="55"/>
        <v/>
      </c>
      <c r="F141" s="358" t="str">
        <f t="shared" si="55"/>
        <v/>
      </c>
      <c r="G141" s="358" t="str">
        <f t="shared" si="55"/>
        <v/>
      </c>
      <c r="H141" s="358" t="str">
        <f t="shared" si="55"/>
        <v/>
      </c>
      <c r="I141" s="358" t="str">
        <f t="shared" si="55"/>
        <v/>
      </c>
      <c r="J141" s="358" t="str">
        <f t="shared" si="55"/>
        <v/>
      </c>
      <c r="K141" s="358" t="str">
        <f t="shared" si="55"/>
        <v/>
      </c>
      <c r="L141" s="358" t="str">
        <f t="shared" si="55"/>
        <v/>
      </c>
      <c r="M141" s="358" t="str">
        <f t="shared" si="55"/>
        <v/>
      </c>
      <c r="N141" s="358" t="str">
        <f t="shared" si="55"/>
        <v/>
      </c>
      <c r="O141" s="358" t="str">
        <f t="shared" si="55"/>
        <v/>
      </c>
      <c r="P141" s="358" t="str">
        <f t="shared" si="55"/>
        <v/>
      </c>
      <c r="Q141" s="358" t="str">
        <f t="shared" si="55"/>
        <v/>
      </c>
      <c r="R141" s="358" t="str">
        <f t="shared" si="55"/>
        <v/>
      </c>
      <c r="S141" s="358" t="str">
        <f t="shared" si="55"/>
        <v/>
      </c>
      <c r="T141" s="358" t="str">
        <f t="shared" si="55"/>
        <v/>
      </c>
      <c r="U141" s="358" t="str">
        <f t="shared" si="55"/>
        <v/>
      </c>
      <c r="V141" s="358" t="str">
        <f t="shared" si="55"/>
        <v/>
      </c>
      <c r="W141" s="358" t="str">
        <f t="shared" si="55"/>
        <v/>
      </c>
      <c r="X141" s="358" t="str">
        <f t="shared" si="55"/>
        <v/>
      </c>
      <c r="Y141" s="358" t="str">
        <f t="shared" si="55"/>
        <v/>
      </c>
      <c r="Z141" s="358" t="str">
        <f t="shared" si="55"/>
        <v/>
      </c>
      <c r="AA141" s="358" t="str">
        <f t="shared" si="55"/>
        <v/>
      </c>
      <c r="AB141" s="358" t="str">
        <f t="shared" si="55"/>
        <v/>
      </c>
      <c r="AC141" s="358" t="str">
        <f t="shared" si="55"/>
        <v/>
      </c>
      <c r="AD141" s="358" t="str">
        <f t="shared" si="55"/>
        <v/>
      </c>
      <c r="AE141" s="358" t="str">
        <f t="shared" si="55"/>
        <v/>
      </c>
      <c r="AF141" s="358" t="str">
        <f t="shared" si="55"/>
        <v/>
      </c>
      <c r="AG141" s="359" t="str">
        <f t="shared" si="55"/>
        <v/>
      </c>
      <c r="AH141" s="358" t="e">
        <f t="shared" si="55"/>
        <v>#REF!</v>
      </c>
      <c r="AI141" s="358" t="e">
        <f t="shared" si="55"/>
        <v>#REF!</v>
      </c>
      <c r="AJ141" s="359" t="e">
        <f t="shared" si="55"/>
        <v>#REF!</v>
      </c>
      <c r="AM141" s="358" t="e">
        <f>AM17</f>
        <v>#REF!</v>
      </c>
      <c r="AN141" s="358" t="e">
        <f>AN17</f>
        <v>#REF!</v>
      </c>
      <c r="AO141" s="358" t="e">
        <f>AO17</f>
        <v>#REF!</v>
      </c>
    </row>
    <row r="142" spans="1:44" s="52" customFormat="1">
      <c r="A142" s="293"/>
      <c r="B142" s="357" t="s">
        <v>18</v>
      </c>
      <c r="C142" s="349"/>
      <c r="D142" s="358" t="str">
        <f t="shared" ref="D142:AJ142" si="56">D26</f>
        <v/>
      </c>
      <c r="E142" s="358" t="str">
        <f t="shared" si="56"/>
        <v/>
      </c>
      <c r="F142" s="358" t="str">
        <f t="shared" si="56"/>
        <v/>
      </c>
      <c r="G142" s="358" t="str">
        <f t="shared" si="56"/>
        <v/>
      </c>
      <c r="H142" s="358" t="str">
        <f t="shared" si="56"/>
        <v/>
      </c>
      <c r="I142" s="358" t="str">
        <f t="shared" si="56"/>
        <v/>
      </c>
      <c r="J142" s="358" t="str">
        <f t="shared" si="56"/>
        <v/>
      </c>
      <c r="K142" s="358" t="str">
        <f t="shared" si="56"/>
        <v/>
      </c>
      <c r="L142" s="358" t="str">
        <f t="shared" si="56"/>
        <v/>
      </c>
      <c r="M142" s="358" t="str">
        <f t="shared" si="56"/>
        <v/>
      </c>
      <c r="N142" s="358" t="str">
        <f t="shared" si="56"/>
        <v/>
      </c>
      <c r="O142" s="358" t="str">
        <f t="shared" si="56"/>
        <v/>
      </c>
      <c r="P142" s="358" t="str">
        <f t="shared" si="56"/>
        <v/>
      </c>
      <c r="Q142" s="358" t="str">
        <f t="shared" si="56"/>
        <v/>
      </c>
      <c r="R142" s="358" t="str">
        <f t="shared" si="56"/>
        <v/>
      </c>
      <c r="S142" s="358" t="str">
        <f t="shared" si="56"/>
        <v/>
      </c>
      <c r="T142" s="358" t="str">
        <f t="shared" si="56"/>
        <v/>
      </c>
      <c r="U142" s="358" t="str">
        <f t="shared" si="56"/>
        <v/>
      </c>
      <c r="V142" s="358" t="str">
        <f t="shared" si="56"/>
        <v/>
      </c>
      <c r="W142" s="358" t="str">
        <f t="shared" si="56"/>
        <v/>
      </c>
      <c r="X142" s="358" t="str">
        <f t="shared" si="56"/>
        <v/>
      </c>
      <c r="Y142" s="358" t="str">
        <f t="shared" si="56"/>
        <v/>
      </c>
      <c r="Z142" s="358" t="str">
        <f t="shared" si="56"/>
        <v/>
      </c>
      <c r="AA142" s="358" t="str">
        <f t="shared" si="56"/>
        <v/>
      </c>
      <c r="AB142" s="358" t="str">
        <f t="shared" si="56"/>
        <v/>
      </c>
      <c r="AC142" s="358" t="str">
        <f t="shared" si="56"/>
        <v/>
      </c>
      <c r="AD142" s="358" t="str">
        <f t="shared" si="56"/>
        <v/>
      </c>
      <c r="AE142" s="358" t="str">
        <f t="shared" si="56"/>
        <v/>
      </c>
      <c r="AF142" s="358" t="str">
        <f t="shared" si="56"/>
        <v/>
      </c>
      <c r="AG142" s="359" t="str">
        <f t="shared" si="56"/>
        <v/>
      </c>
      <c r="AH142" s="358" t="e">
        <f t="shared" si="56"/>
        <v>#REF!</v>
      </c>
      <c r="AI142" s="358" t="e">
        <f t="shared" si="56"/>
        <v>#REF!</v>
      </c>
      <c r="AJ142" s="359" t="e">
        <f t="shared" si="56"/>
        <v>#REF!</v>
      </c>
      <c r="AM142" s="358" t="e">
        <f>AM26</f>
        <v>#REF!</v>
      </c>
      <c r="AN142" s="358" t="e">
        <f>AN26</f>
        <v>#REF!</v>
      </c>
      <c r="AO142" s="358" t="e">
        <f>AO26</f>
        <v>#REF!</v>
      </c>
    </row>
    <row r="143" spans="1:44" s="52" customFormat="1">
      <c r="A143" s="293"/>
      <c r="B143" s="360" t="s">
        <v>19</v>
      </c>
      <c r="C143" s="349"/>
      <c r="D143" s="361" t="str">
        <f t="shared" ref="D143:AG143" si="57">IFERROR(D142+D141,"")</f>
        <v/>
      </c>
      <c r="E143" s="361" t="str">
        <f t="shared" si="57"/>
        <v/>
      </c>
      <c r="F143" s="361" t="str">
        <f t="shared" si="57"/>
        <v/>
      </c>
      <c r="G143" s="361" t="str">
        <f t="shared" si="57"/>
        <v/>
      </c>
      <c r="H143" s="361" t="str">
        <f t="shared" si="57"/>
        <v/>
      </c>
      <c r="I143" s="361" t="str">
        <f t="shared" si="57"/>
        <v/>
      </c>
      <c r="J143" s="361" t="str">
        <f t="shared" si="57"/>
        <v/>
      </c>
      <c r="K143" s="361" t="str">
        <f t="shared" si="57"/>
        <v/>
      </c>
      <c r="L143" s="361" t="str">
        <f t="shared" si="57"/>
        <v/>
      </c>
      <c r="M143" s="361" t="str">
        <f t="shared" si="57"/>
        <v/>
      </c>
      <c r="N143" s="361" t="str">
        <f t="shared" si="57"/>
        <v/>
      </c>
      <c r="O143" s="361" t="str">
        <f t="shared" si="57"/>
        <v/>
      </c>
      <c r="P143" s="361" t="str">
        <f t="shared" si="57"/>
        <v/>
      </c>
      <c r="Q143" s="361" t="str">
        <f t="shared" si="57"/>
        <v/>
      </c>
      <c r="R143" s="361" t="str">
        <f t="shared" si="57"/>
        <v/>
      </c>
      <c r="S143" s="361" t="str">
        <f t="shared" si="57"/>
        <v/>
      </c>
      <c r="T143" s="361" t="str">
        <f t="shared" si="57"/>
        <v/>
      </c>
      <c r="U143" s="361" t="str">
        <f t="shared" si="57"/>
        <v/>
      </c>
      <c r="V143" s="361" t="str">
        <f t="shared" si="57"/>
        <v/>
      </c>
      <c r="W143" s="361" t="str">
        <f t="shared" si="57"/>
        <v/>
      </c>
      <c r="X143" s="361" t="str">
        <f t="shared" si="57"/>
        <v/>
      </c>
      <c r="Y143" s="361" t="str">
        <f t="shared" si="57"/>
        <v/>
      </c>
      <c r="Z143" s="361" t="str">
        <f t="shared" si="57"/>
        <v/>
      </c>
      <c r="AA143" s="361" t="str">
        <f t="shared" si="57"/>
        <v/>
      </c>
      <c r="AB143" s="361" t="str">
        <f t="shared" si="57"/>
        <v/>
      </c>
      <c r="AC143" s="361" t="str">
        <f t="shared" si="57"/>
        <v/>
      </c>
      <c r="AD143" s="361" t="str">
        <f t="shared" si="57"/>
        <v/>
      </c>
      <c r="AE143" s="361" t="str">
        <f t="shared" si="57"/>
        <v/>
      </c>
      <c r="AF143" s="361" t="str">
        <f t="shared" si="57"/>
        <v/>
      </c>
      <c r="AG143" s="362" t="str">
        <f t="shared" si="57"/>
        <v/>
      </c>
      <c r="AH143" s="361" t="e">
        <f>AH142+AH141</f>
        <v>#REF!</v>
      </c>
      <c r="AI143" s="361" t="e">
        <f>AI142+AI141</f>
        <v>#REF!</v>
      </c>
      <c r="AJ143" s="362" t="e">
        <f>AJ142+AJ141</f>
        <v>#REF!</v>
      </c>
      <c r="AM143" s="361" t="e">
        <f>AM142+AM141</f>
        <v>#REF!</v>
      </c>
      <c r="AN143" s="361" t="e">
        <f>AN142+AN141</f>
        <v>#REF!</v>
      </c>
      <c r="AO143" s="361" t="e">
        <f>AO142+AO141</f>
        <v>#REF!</v>
      </c>
    </row>
    <row r="144" spans="1:44" s="52" customFormat="1">
      <c r="A144" s="293"/>
      <c r="B144" s="311" t="s">
        <v>179</v>
      </c>
      <c r="C144" s="349"/>
      <c r="D144" s="361" t="str">
        <f t="shared" ref="D144:AG144" si="58">IFERROR(AVERAGE(C143:D143),"")</f>
        <v/>
      </c>
      <c r="E144" s="361" t="str">
        <f t="shared" si="58"/>
        <v/>
      </c>
      <c r="F144" s="361" t="str">
        <f t="shared" si="58"/>
        <v/>
      </c>
      <c r="G144" s="361" t="str">
        <f t="shared" si="58"/>
        <v/>
      </c>
      <c r="H144" s="361" t="str">
        <f t="shared" si="58"/>
        <v/>
      </c>
      <c r="I144" s="361" t="str">
        <f t="shared" si="58"/>
        <v/>
      </c>
      <c r="J144" s="361" t="str">
        <f t="shared" si="58"/>
        <v/>
      </c>
      <c r="K144" s="361" t="str">
        <f t="shared" si="58"/>
        <v/>
      </c>
      <c r="L144" s="361" t="str">
        <f t="shared" si="58"/>
        <v/>
      </c>
      <c r="M144" s="361" t="str">
        <f t="shared" si="58"/>
        <v/>
      </c>
      <c r="N144" s="361" t="str">
        <f t="shared" si="58"/>
        <v/>
      </c>
      <c r="O144" s="361" t="str">
        <f t="shared" si="58"/>
        <v/>
      </c>
      <c r="P144" s="361" t="str">
        <f t="shared" si="58"/>
        <v/>
      </c>
      <c r="Q144" s="361" t="str">
        <f t="shared" si="58"/>
        <v/>
      </c>
      <c r="R144" s="361" t="str">
        <f t="shared" si="58"/>
        <v/>
      </c>
      <c r="S144" s="361" t="str">
        <f t="shared" si="58"/>
        <v/>
      </c>
      <c r="T144" s="361" t="str">
        <f t="shared" si="58"/>
        <v/>
      </c>
      <c r="U144" s="361" t="str">
        <f t="shared" si="58"/>
        <v/>
      </c>
      <c r="V144" s="361" t="str">
        <f t="shared" si="58"/>
        <v/>
      </c>
      <c r="W144" s="361" t="str">
        <f t="shared" si="58"/>
        <v/>
      </c>
      <c r="X144" s="361" t="str">
        <f t="shared" si="58"/>
        <v/>
      </c>
      <c r="Y144" s="361" t="str">
        <f t="shared" si="58"/>
        <v/>
      </c>
      <c r="Z144" s="361" t="str">
        <f t="shared" si="58"/>
        <v/>
      </c>
      <c r="AA144" s="361" t="str">
        <f t="shared" si="58"/>
        <v/>
      </c>
      <c r="AB144" s="361" t="str">
        <f t="shared" si="58"/>
        <v/>
      </c>
      <c r="AC144" s="361" t="str">
        <f t="shared" si="58"/>
        <v/>
      </c>
      <c r="AD144" s="361" t="str">
        <f t="shared" si="58"/>
        <v/>
      </c>
      <c r="AE144" s="361" t="str">
        <f t="shared" si="58"/>
        <v/>
      </c>
      <c r="AF144" s="361" t="str">
        <f t="shared" si="58"/>
        <v/>
      </c>
      <c r="AG144" s="362" t="str">
        <f t="shared" si="58"/>
        <v/>
      </c>
      <c r="AH144" s="361" t="e">
        <f t="shared" ref="AH144:AJ144" si="59">AVERAGE(AG143:AH143)</f>
        <v>#REF!</v>
      </c>
      <c r="AI144" s="361" t="e">
        <f t="shared" si="59"/>
        <v>#REF!</v>
      </c>
      <c r="AJ144" s="362" t="e">
        <f t="shared" si="59"/>
        <v>#REF!</v>
      </c>
      <c r="AM144" s="314" t="e">
        <f>AVERAGE(AM143,AG143)</f>
        <v>#REF!</v>
      </c>
      <c r="AN144" s="314" t="e">
        <f>AVERAGE(AM143:AN143)</f>
        <v>#REF!</v>
      </c>
      <c r="AO144" s="314" t="e">
        <f>AVERAGE(AN143:AO143)</f>
        <v>#REF!</v>
      </c>
    </row>
    <row r="145" spans="1:41" s="294" customFormat="1">
      <c r="A145" s="348"/>
      <c r="B145" s="322" t="s">
        <v>142</v>
      </c>
      <c r="C145" s="350"/>
      <c r="D145" s="323" t="str">
        <f t="shared" ref="D145:AG145" si="60">IFERROR(IF(D144&lt;=0,"nmf",D139/D144),"")</f>
        <v/>
      </c>
      <c r="E145" s="323" t="str">
        <f t="shared" si="60"/>
        <v/>
      </c>
      <c r="F145" s="323" t="str">
        <f t="shared" si="60"/>
        <v/>
      </c>
      <c r="G145" s="323" t="str">
        <f t="shared" si="60"/>
        <v/>
      </c>
      <c r="H145" s="323" t="str">
        <f t="shared" si="60"/>
        <v/>
      </c>
      <c r="I145" s="323" t="str">
        <f t="shared" si="60"/>
        <v/>
      </c>
      <c r="J145" s="323" t="str">
        <f t="shared" si="60"/>
        <v/>
      </c>
      <c r="K145" s="323" t="str">
        <f t="shared" si="60"/>
        <v/>
      </c>
      <c r="L145" s="323" t="str">
        <f t="shared" si="60"/>
        <v/>
      </c>
      <c r="M145" s="323" t="str">
        <f t="shared" si="60"/>
        <v/>
      </c>
      <c r="N145" s="323" t="str">
        <f t="shared" si="60"/>
        <v/>
      </c>
      <c r="O145" s="323" t="str">
        <f t="shared" si="60"/>
        <v/>
      </c>
      <c r="P145" s="323" t="str">
        <f t="shared" si="60"/>
        <v/>
      </c>
      <c r="Q145" s="323" t="str">
        <f t="shared" si="60"/>
        <v/>
      </c>
      <c r="R145" s="323" t="str">
        <f t="shared" si="60"/>
        <v/>
      </c>
      <c r="S145" s="323" t="str">
        <f t="shared" si="60"/>
        <v/>
      </c>
      <c r="T145" s="323" t="str">
        <f t="shared" si="60"/>
        <v/>
      </c>
      <c r="U145" s="323" t="str">
        <f t="shared" si="60"/>
        <v/>
      </c>
      <c r="V145" s="323" t="str">
        <f t="shared" si="60"/>
        <v/>
      </c>
      <c r="W145" s="323" t="str">
        <f t="shared" si="60"/>
        <v/>
      </c>
      <c r="X145" s="323" t="str">
        <f t="shared" si="60"/>
        <v/>
      </c>
      <c r="Y145" s="323" t="str">
        <f t="shared" si="60"/>
        <v/>
      </c>
      <c r="Z145" s="323" t="str">
        <f t="shared" si="60"/>
        <v/>
      </c>
      <c r="AA145" s="323" t="str">
        <f t="shared" si="60"/>
        <v/>
      </c>
      <c r="AB145" s="323" t="str">
        <f t="shared" si="60"/>
        <v/>
      </c>
      <c r="AC145" s="323" t="str">
        <f t="shared" si="60"/>
        <v/>
      </c>
      <c r="AD145" s="323" t="str">
        <f t="shared" si="60"/>
        <v/>
      </c>
      <c r="AE145" s="323" t="str">
        <f t="shared" si="60"/>
        <v/>
      </c>
      <c r="AF145" s="323" t="str">
        <f t="shared" si="60"/>
        <v/>
      </c>
      <c r="AG145" s="324" t="str">
        <f t="shared" si="60"/>
        <v/>
      </c>
      <c r="AH145" s="323" t="e">
        <f>IF(AH144&lt;=0,"nmf",AH139/AH144)</f>
        <v>#REF!</v>
      </c>
      <c r="AI145" s="323" t="e">
        <f>IF(AI144&lt;=0,"nmf",AI139/AI144)</f>
        <v>#REF!</v>
      </c>
      <c r="AJ145" s="324" t="e">
        <f>IF(AJ144&lt;=0,"nmf",AJ139/AJ144)</f>
        <v>#REF!</v>
      </c>
      <c r="AM145" s="323" t="e">
        <f>IF(AM144&lt;=0,"nmf",AM139/AM144)</f>
        <v>#REF!</v>
      </c>
      <c r="AN145" s="323" t="e">
        <f>IF(AN144&lt;=0,"nmf",AN139/AN144)</f>
        <v>#REF!</v>
      </c>
      <c r="AO145" s="323" t="e">
        <f>IF(AO144&lt;=0,"nmf",AO139/AO144)</f>
        <v>#REF!</v>
      </c>
    </row>
    <row r="146" spans="1:41" s="52" customFormat="1">
      <c r="A146" s="293"/>
      <c r="B146" s="327" t="s">
        <v>68</v>
      </c>
      <c r="C146" s="349"/>
      <c r="D146" s="363" t="e">
        <f t="shared" ref="D146:AG146" si="61">D135</f>
        <v>#REF!</v>
      </c>
      <c r="E146" s="363" t="e">
        <f t="shared" si="61"/>
        <v>#REF!</v>
      </c>
      <c r="F146" s="363" t="e">
        <f t="shared" si="61"/>
        <v>#REF!</v>
      </c>
      <c r="G146" s="363" t="e">
        <f t="shared" si="61"/>
        <v>#REF!</v>
      </c>
      <c r="H146" s="363" t="e">
        <f t="shared" si="61"/>
        <v>#REF!</v>
      </c>
      <c r="I146" s="363" t="e">
        <f t="shared" si="61"/>
        <v>#REF!</v>
      </c>
      <c r="J146" s="363" t="e">
        <f t="shared" si="61"/>
        <v>#REF!</v>
      </c>
      <c r="K146" s="363" t="e">
        <f t="shared" si="61"/>
        <v>#REF!</v>
      </c>
      <c r="L146" s="363" t="e">
        <f t="shared" si="61"/>
        <v>#REF!</v>
      </c>
      <c r="M146" s="363" t="e">
        <f t="shared" si="61"/>
        <v>#REF!</v>
      </c>
      <c r="N146" s="363" t="e">
        <f t="shared" si="61"/>
        <v>#REF!</v>
      </c>
      <c r="O146" s="363" t="e">
        <f t="shared" si="61"/>
        <v>#REF!</v>
      </c>
      <c r="P146" s="363" t="e">
        <f t="shared" si="61"/>
        <v>#REF!</v>
      </c>
      <c r="Q146" s="363" t="e">
        <f t="shared" si="61"/>
        <v>#REF!</v>
      </c>
      <c r="R146" s="363" t="e">
        <f t="shared" si="61"/>
        <v>#REF!</v>
      </c>
      <c r="S146" s="363" t="e">
        <f t="shared" si="61"/>
        <v>#REF!</v>
      </c>
      <c r="T146" s="363" t="e">
        <f t="shared" si="61"/>
        <v>#REF!</v>
      </c>
      <c r="U146" s="363" t="e">
        <f t="shared" si="61"/>
        <v>#REF!</v>
      </c>
      <c r="V146" s="363" t="e">
        <f t="shared" si="61"/>
        <v>#REF!</v>
      </c>
      <c r="W146" s="363" t="e">
        <f t="shared" si="61"/>
        <v>#REF!</v>
      </c>
      <c r="X146" s="363" t="e">
        <f t="shared" si="61"/>
        <v>#REF!</v>
      </c>
      <c r="Y146" s="363" t="e">
        <f t="shared" si="61"/>
        <v>#REF!</v>
      </c>
      <c r="Z146" s="363" t="e">
        <f t="shared" si="61"/>
        <v>#REF!</v>
      </c>
      <c r="AA146" s="363" t="e">
        <f t="shared" si="61"/>
        <v>#REF!</v>
      </c>
      <c r="AB146" s="363" t="e">
        <f t="shared" si="61"/>
        <v>#REF!</v>
      </c>
      <c r="AC146" s="363" t="e">
        <f t="shared" si="61"/>
        <v>#REF!</v>
      </c>
      <c r="AD146" s="363" t="e">
        <f t="shared" si="61"/>
        <v>#REF!</v>
      </c>
      <c r="AE146" s="363" t="e">
        <f t="shared" si="61"/>
        <v>#REF!</v>
      </c>
      <c r="AF146" s="363" t="e">
        <f t="shared" si="61"/>
        <v>#REF!</v>
      </c>
      <c r="AG146" s="364" t="e">
        <f t="shared" si="61"/>
        <v>#REF!</v>
      </c>
      <c r="AH146" s="363" t="e">
        <f>AH135</f>
        <v>#REF!</v>
      </c>
      <c r="AI146" s="363" t="e">
        <f>AI135</f>
        <v>#REF!</v>
      </c>
      <c r="AJ146" s="364" t="e">
        <f>AJ135</f>
        <v>#REF!</v>
      </c>
      <c r="AM146" s="363" t="e">
        <f>AM135</f>
        <v>#REF!</v>
      </c>
      <c r="AN146" s="363" t="e">
        <f>AN135</f>
        <v>#REF!</v>
      </c>
      <c r="AO146" s="363" t="e">
        <f>AO135</f>
        <v>#REF!</v>
      </c>
    </row>
    <row r="147" spans="1:41" s="52" customFormat="1" ht="15.75" thickBot="1">
      <c r="A147" s="293"/>
      <c r="B147" s="338" t="s">
        <v>180</v>
      </c>
      <c r="C147" s="365"/>
      <c r="D147" s="339" t="str">
        <f t="shared" ref="D147:AG147" si="62">IFERROR(IF(D145="nmf","nmf",D145-D146),"")</f>
        <v/>
      </c>
      <c r="E147" s="339" t="str">
        <f t="shared" si="62"/>
        <v/>
      </c>
      <c r="F147" s="339" t="str">
        <f t="shared" si="62"/>
        <v/>
      </c>
      <c r="G147" s="339" t="str">
        <f t="shared" si="62"/>
        <v/>
      </c>
      <c r="H147" s="339" t="str">
        <f t="shared" si="62"/>
        <v/>
      </c>
      <c r="I147" s="339" t="str">
        <f t="shared" si="62"/>
        <v/>
      </c>
      <c r="J147" s="339" t="str">
        <f t="shared" si="62"/>
        <v/>
      </c>
      <c r="K147" s="339" t="str">
        <f t="shared" si="62"/>
        <v/>
      </c>
      <c r="L147" s="339" t="str">
        <f t="shared" si="62"/>
        <v/>
      </c>
      <c r="M147" s="339" t="str">
        <f t="shared" si="62"/>
        <v/>
      </c>
      <c r="N147" s="339" t="str">
        <f t="shared" si="62"/>
        <v/>
      </c>
      <c r="O147" s="339" t="str">
        <f t="shared" si="62"/>
        <v/>
      </c>
      <c r="P147" s="339" t="str">
        <f t="shared" si="62"/>
        <v/>
      </c>
      <c r="Q147" s="339" t="str">
        <f t="shared" si="62"/>
        <v/>
      </c>
      <c r="R147" s="339" t="str">
        <f t="shared" si="62"/>
        <v/>
      </c>
      <c r="S147" s="339" t="str">
        <f t="shared" si="62"/>
        <v/>
      </c>
      <c r="T147" s="339" t="str">
        <f t="shared" si="62"/>
        <v/>
      </c>
      <c r="U147" s="339" t="str">
        <f t="shared" si="62"/>
        <v/>
      </c>
      <c r="V147" s="339" t="str">
        <f t="shared" si="62"/>
        <v/>
      </c>
      <c r="W147" s="339" t="str">
        <f t="shared" si="62"/>
        <v/>
      </c>
      <c r="X147" s="339" t="str">
        <f t="shared" si="62"/>
        <v/>
      </c>
      <c r="Y147" s="339" t="str">
        <f t="shared" si="62"/>
        <v/>
      </c>
      <c r="Z147" s="339" t="str">
        <f t="shared" si="62"/>
        <v/>
      </c>
      <c r="AA147" s="339" t="str">
        <f t="shared" si="62"/>
        <v/>
      </c>
      <c r="AB147" s="339" t="str">
        <f t="shared" si="62"/>
        <v/>
      </c>
      <c r="AC147" s="339" t="str">
        <f t="shared" si="62"/>
        <v/>
      </c>
      <c r="AD147" s="339" t="str">
        <f t="shared" si="62"/>
        <v/>
      </c>
      <c r="AE147" s="339" t="str">
        <f t="shared" si="62"/>
        <v/>
      </c>
      <c r="AF147" s="339" t="str">
        <f t="shared" si="62"/>
        <v/>
      </c>
      <c r="AG147" s="340" t="str">
        <f t="shared" si="62"/>
        <v/>
      </c>
      <c r="AH147" s="339" t="e">
        <f>IF(AH145="nmf","nmf",AH145-AH146)</f>
        <v>#REF!</v>
      </c>
      <c r="AI147" s="339" t="e">
        <f>IF(AI145="nmf","nmf",AI145-AI146)</f>
        <v>#REF!</v>
      </c>
      <c r="AJ147" s="340" t="e">
        <f>IF(AJ145="nmf","nmf",AJ145-AJ146)</f>
        <v>#REF!</v>
      </c>
      <c r="AM147" s="339" t="e">
        <f>IF(AM145="nmf","nmf",AM145-AM146)</f>
        <v>#REF!</v>
      </c>
      <c r="AN147" s="339" t="e">
        <f>IF(AN145="nmf","nmf",AN145-AN146)</f>
        <v>#REF!</v>
      </c>
      <c r="AO147" s="339" t="e">
        <f>IF(AO145="nmf","nmf",AO145-AO146)</f>
        <v>#REF!</v>
      </c>
    </row>
    <row r="148" spans="1:41" s="52" customFormat="1" ht="16.5" thickTop="1" thickBot="1">
      <c r="A148" s="293"/>
      <c r="B148" s="343" t="s">
        <v>181</v>
      </c>
      <c r="C148" s="344"/>
      <c r="D148" s="345" t="str">
        <f t="shared" ref="D148:AG148" si="63">IFERROR(D139-D144*D146,"")</f>
        <v/>
      </c>
      <c r="E148" s="345" t="str">
        <f t="shared" si="63"/>
        <v/>
      </c>
      <c r="F148" s="345" t="str">
        <f t="shared" si="63"/>
        <v/>
      </c>
      <c r="G148" s="345" t="str">
        <f t="shared" si="63"/>
        <v/>
      </c>
      <c r="H148" s="345" t="str">
        <f t="shared" si="63"/>
        <v/>
      </c>
      <c r="I148" s="345" t="str">
        <f t="shared" si="63"/>
        <v/>
      </c>
      <c r="J148" s="345" t="str">
        <f t="shared" si="63"/>
        <v/>
      </c>
      <c r="K148" s="345" t="str">
        <f t="shared" si="63"/>
        <v/>
      </c>
      <c r="L148" s="345" t="str">
        <f t="shared" si="63"/>
        <v/>
      </c>
      <c r="M148" s="345" t="str">
        <f t="shared" si="63"/>
        <v/>
      </c>
      <c r="N148" s="345" t="str">
        <f t="shared" si="63"/>
        <v/>
      </c>
      <c r="O148" s="345" t="str">
        <f t="shared" si="63"/>
        <v/>
      </c>
      <c r="P148" s="345" t="str">
        <f t="shared" si="63"/>
        <v/>
      </c>
      <c r="Q148" s="345" t="str">
        <f t="shared" si="63"/>
        <v/>
      </c>
      <c r="R148" s="345" t="str">
        <f t="shared" si="63"/>
        <v/>
      </c>
      <c r="S148" s="345" t="str">
        <f t="shared" si="63"/>
        <v/>
      </c>
      <c r="T148" s="345" t="str">
        <f t="shared" si="63"/>
        <v/>
      </c>
      <c r="U148" s="345" t="str">
        <f t="shared" si="63"/>
        <v/>
      </c>
      <c r="V148" s="345" t="str">
        <f t="shared" si="63"/>
        <v/>
      </c>
      <c r="W148" s="345" t="str">
        <f t="shared" si="63"/>
        <v/>
      </c>
      <c r="X148" s="345" t="str">
        <f t="shared" si="63"/>
        <v/>
      </c>
      <c r="Y148" s="345" t="str">
        <f t="shared" si="63"/>
        <v/>
      </c>
      <c r="Z148" s="345" t="str">
        <f t="shared" si="63"/>
        <v/>
      </c>
      <c r="AA148" s="345" t="str">
        <f t="shared" si="63"/>
        <v/>
      </c>
      <c r="AB148" s="345" t="str">
        <f t="shared" si="63"/>
        <v/>
      </c>
      <c r="AC148" s="345" t="str">
        <f t="shared" si="63"/>
        <v/>
      </c>
      <c r="AD148" s="345" t="str">
        <f t="shared" si="63"/>
        <v/>
      </c>
      <c r="AE148" s="345" t="str">
        <f t="shared" si="63"/>
        <v/>
      </c>
      <c r="AF148" s="345" t="str">
        <f t="shared" si="63"/>
        <v/>
      </c>
      <c r="AG148" s="346" t="str">
        <f t="shared" si="63"/>
        <v/>
      </c>
      <c r="AH148" s="345" t="e">
        <f>AH139-AH144*AH146</f>
        <v>#REF!</v>
      </c>
      <c r="AI148" s="345" t="e">
        <f>AI139-AI144*AI146</f>
        <v>#REF!</v>
      </c>
      <c r="AJ148" s="346" t="e">
        <f>AJ139-AJ144*AJ146</f>
        <v>#REF!</v>
      </c>
      <c r="AK148" s="366"/>
      <c r="AL148" s="366"/>
      <c r="AM148" s="345" t="e">
        <f>AM139-AM144*AM146</f>
        <v>#REF!</v>
      </c>
      <c r="AN148" s="345" t="e">
        <f>AN139-AN144*AN146</f>
        <v>#REF!</v>
      </c>
      <c r="AO148" s="345" t="e">
        <f>AO139-AO144*AO146</f>
        <v>#REF!</v>
      </c>
    </row>
    <row r="149" spans="1:41" s="52" customFormat="1" ht="15.75" thickTop="1">
      <c r="A149" s="293"/>
      <c r="B149" s="367"/>
      <c r="C149" s="349"/>
      <c r="D149" s="355"/>
      <c r="E149" s="355"/>
      <c r="F149" s="355"/>
      <c r="G149" s="355"/>
      <c r="H149" s="355"/>
      <c r="I149" s="355"/>
      <c r="J149" s="355"/>
      <c r="K149" s="355"/>
      <c r="L149" s="355"/>
      <c r="M149" s="355"/>
      <c r="N149" s="355"/>
      <c r="O149" s="355"/>
      <c r="P149" s="355"/>
      <c r="Q149" s="355"/>
      <c r="R149" s="355"/>
      <c r="S149" s="355"/>
      <c r="T149" s="355"/>
      <c r="U149" s="355"/>
      <c r="V149" s="355"/>
      <c r="W149" s="355"/>
      <c r="X149" s="355"/>
      <c r="Y149" s="355"/>
      <c r="Z149" s="355"/>
      <c r="AA149" s="355"/>
      <c r="AB149" s="355"/>
      <c r="AC149" s="355"/>
      <c r="AD149" s="355"/>
      <c r="AE149" s="355"/>
      <c r="AF149" s="355"/>
      <c r="AG149" s="356"/>
      <c r="AH149" s="355"/>
      <c r="AI149" s="355"/>
      <c r="AJ149" s="356"/>
      <c r="AM149" s="355"/>
      <c r="AN149" s="355"/>
      <c r="AO149" s="355"/>
    </row>
    <row r="150" spans="1:41" s="52" customFormat="1">
      <c r="A150" s="293"/>
      <c r="B150" s="367"/>
      <c r="C150" s="349"/>
      <c r="D150" s="355"/>
      <c r="E150" s="355"/>
      <c r="F150" s="355"/>
      <c r="G150" s="355"/>
      <c r="H150" s="355"/>
      <c r="I150" s="355"/>
      <c r="J150" s="355"/>
      <c r="K150" s="355"/>
      <c r="L150" s="355"/>
      <c r="M150" s="355"/>
      <c r="N150" s="355"/>
      <c r="O150" s="355"/>
      <c r="P150" s="355"/>
      <c r="Q150" s="355"/>
      <c r="R150" s="355"/>
      <c r="S150" s="355"/>
      <c r="T150" s="355"/>
      <c r="U150" s="355"/>
      <c r="V150" s="355"/>
      <c r="W150" s="355"/>
      <c r="X150" s="355"/>
      <c r="Y150" s="355"/>
      <c r="Z150" s="355"/>
      <c r="AA150" s="355"/>
      <c r="AB150" s="355"/>
      <c r="AC150" s="355"/>
      <c r="AD150" s="355"/>
      <c r="AE150" s="355"/>
      <c r="AF150" s="355"/>
      <c r="AG150" s="356"/>
      <c r="AH150" s="355"/>
      <c r="AI150" s="355"/>
      <c r="AJ150" s="356"/>
      <c r="AM150" s="355"/>
      <c r="AN150" s="355"/>
      <c r="AO150" s="355"/>
    </row>
    <row r="151" spans="1:41" s="52" customFormat="1">
      <c r="A151" s="293"/>
      <c r="B151" s="311" t="s">
        <v>65</v>
      </c>
      <c r="C151" s="349"/>
      <c r="D151" s="361" t="str">
        <f t="shared" ref="D151:AG151" si="64">D139</f>
        <v/>
      </c>
      <c r="E151" s="361" t="str">
        <f t="shared" si="64"/>
        <v/>
      </c>
      <c r="F151" s="361" t="str">
        <f t="shared" si="64"/>
        <v/>
      </c>
      <c r="G151" s="361" t="str">
        <f t="shared" si="64"/>
        <v/>
      </c>
      <c r="H151" s="361" t="str">
        <f t="shared" si="64"/>
        <v/>
      </c>
      <c r="I151" s="361" t="str">
        <f t="shared" si="64"/>
        <v/>
      </c>
      <c r="J151" s="361" t="str">
        <f t="shared" si="64"/>
        <v/>
      </c>
      <c r="K151" s="361" t="str">
        <f t="shared" si="64"/>
        <v/>
      </c>
      <c r="L151" s="361" t="str">
        <f t="shared" si="64"/>
        <v/>
      </c>
      <c r="M151" s="361" t="str">
        <f t="shared" si="64"/>
        <v/>
      </c>
      <c r="N151" s="361" t="str">
        <f t="shared" si="64"/>
        <v/>
      </c>
      <c r="O151" s="361" t="str">
        <f t="shared" si="64"/>
        <v/>
      </c>
      <c r="P151" s="361" t="str">
        <f t="shared" si="64"/>
        <v/>
      </c>
      <c r="Q151" s="361" t="str">
        <f t="shared" si="64"/>
        <v/>
      </c>
      <c r="R151" s="361" t="str">
        <f t="shared" si="64"/>
        <v/>
      </c>
      <c r="S151" s="361" t="str">
        <f t="shared" si="64"/>
        <v/>
      </c>
      <c r="T151" s="361" t="str">
        <f t="shared" si="64"/>
        <v/>
      </c>
      <c r="U151" s="361" t="str">
        <f t="shared" si="64"/>
        <v/>
      </c>
      <c r="V151" s="361" t="str">
        <f t="shared" si="64"/>
        <v/>
      </c>
      <c r="W151" s="361" t="str">
        <f t="shared" si="64"/>
        <v/>
      </c>
      <c r="X151" s="361" t="str">
        <f t="shared" si="64"/>
        <v/>
      </c>
      <c r="Y151" s="361" t="str">
        <f t="shared" si="64"/>
        <v/>
      </c>
      <c r="Z151" s="361" t="str">
        <f t="shared" si="64"/>
        <v/>
      </c>
      <c r="AA151" s="361" t="str">
        <f t="shared" si="64"/>
        <v/>
      </c>
      <c r="AB151" s="361" t="str">
        <f t="shared" si="64"/>
        <v/>
      </c>
      <c r="AC151" s="361" t="str">
        <f t="shared" si="64"/>
        <v/>
      </c>
      <c r="AD151" s="361" t="str">
        <f t="shared" si="64"/>
        <v/>
      </c>
      <c r="AE151" s="361" t="str">
        <f t="shared" si="64"/>
        <v/>
      </c>
      <c r="AF151" s="361" t="str">
        <f t="shared" si="64"/>
        <v/>
      </c>
      <c r="AG151" s="362" t="str">
        <f t="shared" si="64"/>
        <v/>
      </c>
      <c r="AH151" s="361" t="e">
        <f>AH139</f>
        <v>#REF!</v>
      </c>
      <c r="AI151" s="361" t="e">
        <f>AI139</f>
        <v>#REF!</v>
      </c>
      <c r="AJ151" s="362" t="e">
        <f>AJ139</f>
        <v>#REF!</v>
      </c>
      <c r="AM151" s="361" t="e">
        <f>AM139</f>
        <v>#REF!</v>
      </c>
      <c r="AN151" s="361" t="e">
        <f>AN139</f>
        <v>#REF!</v>
      </c>
      <c r="AO151" s="361" t="e">
        <f>AO139</f>
        <v>#REF!</v>
      </c>
    </row>
    <row r="152" spans="1:41" s="52" customFormat="1">
      <c r="A152" s="293"/>
      <c r="B152" s="349"/>
      <c r="C152" s="349"/>
      <c r="D152" s="355"/>
      <c r="E152" s="355"/>
      <c r="F152" s="355"/>
      <c r="G152" s="355"/>
      <c r="H152" s="355"/>
      <c r="I152" s="355"/>
      <c r="J152" s="355"/>
      <c r="K152" s="355"/>
      <c r="L152" s="355"/>
      <c r="M152" s="355"/>
      <c r="N152" s="355"/>
      <c r="O152" s="355"/>
      <c r="P152" s="355"/>
      <c r="Q152" s="355"/>
      <c r="R152" s="355"/>
      <c r="S152" s="355"/>
      <c r="T152" s="355"/>
      <c r="U152" s="355"/>
      <c r="V152" s="355"/>
      <c r="W152" s="355"/>
      <c r="X152" s="355"/>
      <c r="Y152" s="355"/>
      <c r="Z152" s="355"/>
      <c r="AA152" s="355"/>
      <c r="AB152" s="355"/>
      <c r="AC152" s="355"/>
      <c r="AD152" s="355"/>
      <c r="AE152" s="355"/>
      <c r="AF152" s="355"/>
      <c r="AG152" s="356"/>
      <c r="AH152" s="355"/>
      <c r="AI152" s="355"/>
      <c r="AJ152" s="356"/>
      <c r="AM152" s="355"/>
      <c r="AN152" s="355"/>
      <c r="AO152" s="355"/>
    </row>
    <row r="153" spans="1:41" s="303" customFormat="1" ht="12">
      <c r="A153" s="316"/>
      <c r="B153" s="357" t="s">
        <v>19</v>
      </c>
      <c r="C153" s="368"/>
      <c r="D153" s="301" t="str">
        <f t="shared" ref="D153:AG153" si="65">D143</f>
        <v/>
      </c>
      <c r="E153" s="301" t="str">
        <f t="shared" si="65"/>
        <v/>
      </c>
      <c r="F153" s="301" t="str">
        <f t="shared" si="65"/>
        <v/>
      </c>
      <c r="G153" s="301" t="str">
        <f t="shared" si="65"/>
        <v/>
      </c>
      <c r="H153" s="301" t="str">
        <f t="shared" si="65"/>
        <v/>
      </c>
      <c r="I153" s="301" t="str">
        <f t="shared" si="65"/>
        <v/>
      </c>
      <c r="J153" s="301" t="str">
        <f t="shared" si="65"/>
        <v/>
      </c>
      <c r="K153" s="301" t="str">
        <f t="shared" si="65"/>
        <v/>
      </c>
      <c r="L153" s="301" t="str">
        <f t="shared" si="65"/>
        <v/>
      </c>
      <c r="M153" s="301" t="str">
        <f t="shared" si="65"/>
        <v/>
      </c>
      <c r="N153" s="301" t="str">
        <f t="shared" si="65"/>
        <v/>
      </c>
      <c r="O153" s="301" t="str">
        <f t="shared" si="65"/>
        <v/>
      </c>
      <c r="P153" s="301" t="str">
        <f t="shared" si="65"/>
        <v/>
      </c>
      <c r="Q153" s="301" t="str">
        <f t="shared" si="65"/>
        <v/>
      </c>
      <c r="R153" s="301" t="str">
        <f t="shared" si="65"/>
        <v/>
      </c>
      <c r="S153" s="301" t="str">
        <f t="shared" si="65"/>
        <v/>
      </c>
      <c r="T153" s="301" t="str">
        <f t="shared" si="65"/>
        <v/>
      </c>
      <c r="U153" s="301" t="str">
        <f t="shared" si="65"/>
        <v/>
      </c>
      <c r="V153" s="301" t="str">
        <f t="shared" si="65"/>
        <v/>
      </c>
      <c r="W153" s="301" t="str">
        <f t="shared" si="65"/>
        <v/>
      </c>
      <c r="X153" s="301" t="str">
        <f t="shared" si="65"/>
        <v/>
      </c>
      <c r="Y153" s="301" t="str">
        <f t="shared" si="65"/>
        <v/>
      </c>
      <c r="Z153" s="301" t="str">
        <f t="shared" si="65"/>
        <v/>
      </c>
      <c r="AA153" s="301" t="str">
        <f t="shared" si="65"/>
        <v/>
      </c>
      <c r="AB153" s="301" t="str">
        <f t="shared" si="65"/>
        <v/>
      </c>
      <c r="AC153" s="301" t="str">
        <f t="shared" si="65"/>
        <v/>
      </c>
      <c r="AD153" s="301" t="str">
        <f t="shared" si="65"/>
        <v/>
      </c>
      <c r="AE153" s="301" t="str">
        <f t="shared" si="65"/>
        <v/>
      </c>
      <c r="AF153" s="301" t="str">
        <f t="shared" si="65"/>
        <v/>
      </c>
      <c r="AG153" s="302" t="str">
        <f t="shared" si="65"/>
        <v/>
      </c>
      <c r="AH153" s="301" t="e">
        <f>AH143</f>
        <v>#REF!</v>
      </c>
      <c r="AI153" s="301" t="e">
        <f>AI143</f>
        <v>#REF!</v>
      </c>
      <c r="AJ153" s="302" t="e">
        <f>AJ143</f>
        <v>#REF!</v>
      </c>
      <c r="AK153" s="301"/>
      <c r="AL153" s="301"/>
      <c r="AM153" s="301" t="e">
        <f>AM143</f>
        <v>#REF!</v>
      </c>
      <c r="AN153" s="301" t="e">
        <f>AN143</f>
        <v>#REF!</v>
      </c>
      <c r="AO153" s="301" t="e">
        <f>AO143</f>
        <v>#REF!</v>
      </c>
    </row>
    <row r="154" spans="1:41" s="303" customFormat="1" ht="12">
      <c r="A154" s="316"/>
      <c r="B154" s="357" t="s">
        <v>17</v>
      </c>
      <c r="C154" s="368"/>
      <c r="D154" s="301" t="e">
        <f t="shared" ref="D154:AJ154" si="66">D20</f>
        <v>#REF!</v>
      </c>
      <c r="E154" s="301" t="e">
        <f t="shared" si="66"/>
        <v>#REF!</v>
      </c>
      <c r="F154" s="301" t="e">
        <f t="shared" si="66"/>
        <v>#REF!</v>
      </c>
      <c r="G154" s="301" t="e">
        <f t="shared" si="66"/>
        <v>#REF!</v>
      </c>
      <c r="H154" s="301" t="e">
        <f t="shared" si="66"/>
        <v>#REF!</v>
      </c>
      <c r="I154" s="301" t="e">
        <f t="shared" si="66"/>
        <v>#REF!</v>
      </c>
      <c r="J154" s="301" t="e">
        <f t="shared" si="66"/>
        <v>#REF!</v>
      </c>
      <c r="K154" s="301" t="e">
        <f t="shared" si="66"/>
        <v>#REF!</v>
      </c>
      <c r="L154" s="301" t="e">
        <f t="shared" si="66"/>
        <v>#REF!</v>
      </c>
      <c r="M154" s="301" t="e">
        <f t="shared" si="66"/>
        <v>#REF!</v>
      </c>
      <c r="N154" s="301" t="e">
        <f t="shared" si="66"/>
        <v>#REF!</v>
      </c>
      <c r="O154" s="301" t="e">
        <f t="shared" si="66"/>
        <v>#REF!</v>
      </c>
      <c r="P154" s="301" t="e">
        <f t="shared" si="66"/>
        <v>#REF!</v>
      </c>
      <c r="Q154" s="301" t="e">
        <f t="shared" si="66"/>
        <v>#REF!</v>
      </c>
      <c r="R154" s="301" t="e">
        <f t="shared" si="66"/>
        <v>#REF!</v>
      </c>
      <c r="S154" s="301" t="e">
        <f t="shared" si="66"/>
        <v>#REF!</v>
      </c>
      <c r="T154" s="301" t="e">
        <f t="shared" si="66"/>
        <v>#REF!</v>
      </c>
      <c r="U154" s="301" t="e">
        <f t="shared" si="66"/>
        <v>#REF!</v>
      </c>
      <c r="V154" s="301" t="e">
        <f t="shared" si="66"/>
        <v>#REF!</v>
      </c>
      <c r="W154" s="301" t="e">
        <f t="shared" si="66"/>
        <v>#REF!</v>
      </c>
      <c r="X154" s="301" t="e">
        <f t="shared" si="66"/>
        <v>#REF!</v>
      </c>
      <c r="Y154" s="301" t="e">
        <f t="shared" si="66"/>
        <v>#REF!</v>
      </c>
      <c r="Z154" s="301" t="e">
        <f t="shared" si="66"/>
        <v>#REF!</v>
      </c>
      <c r="AA154" s="301" t="e">
        <f t="shared" si="66"/>
        <v>#REF!</v>
      </c>
      <c r="AB154" s="301" t="e">
        <f t="shared" si="66"/>
        <v>#REF!</v>
      </c>
      <c r="AC154" s="301" t="e">
        <f t="shared" si="66"/>
        <v>#REF!</v>
      </c>
      <c r="AD154" s="301" t="e">
        <f t="shared" si="66"/>
        <v>#REF!</v>
      </c>
      <c r="AE154" s="301" t="e">
        <f t="shared" si="66"/>
        <v>#REF!</v>
      </c>
      <c r="AF154" s="301" t="e">
        <f t="shared" si="66"/>
        <v>#REF!</v>
      </c>
      <c r="AG154" s="302" t="e">
        <f t="shared" si="66"/>
        <v>#REF!</v>
      </c>
      <c r="AH154" s="301" t="e">
        <f t="shared" si="66"/>
        <v>#REF!</v>
      </c>
      <c r="AI154" s="301" t="e">
        <f t="shared" si="66"/>
        <v>#REF!</v>
      </c>
      <c r="AJ154" s="302" t="e">
        <f t="shared" si="66"/>
        <v>#REF!</v>
      </c>
      <c r="AM154" s="301" t="e">
        <f>AM20</f>
        <v>#REF!</v>
      </c>
      <c r="AN154" s="301" t="e">
        <f>AN20</f>
        <v>#REF!</v>
      </c>
      <c r="AO154" s="301" t="e">
        <f>AO20</f>
        <v>#REF!</v>
      </c>
    </row>
    <row r="155" spans="1:41" s="52" customFormat="1">
      <c r="A155" s="293"/>
      <c r="B155" s="369" t="s">
        <v>143</v>
      </c>
      <c r="C155" s="349"/>
      <c r="D155" s="312" t="str">
        <f t="shared" ref="D155:AG155" si="67">IFERROR(D153-D154,"")</f>
        <v/>
      </c>
      <c r="E155" s="312" t="str">
        <f t="shared" si="67"/>
        <v/>
      </c>
      <c r="F155" s="312" t="str">
        <f t="shared" si="67"/>
        <v/>
      </c>
      <c r="G155" s="312" t="str">
        <f t="shared" si="67"/>
        <v/>
      </c>
      <c r="H155" s="312" t="str">
        <f t="shared" si="67"/>
        <v/>
      </c>
      <c r="I155" s="312" t="str">
        <f t="shared" si="67"/>
        <v/>
      </c>
      <c r="J155" s="312" t="str">
        <f t="shared" si="67"/>
        <v/>
      </c>
      <c r="K155" s="312" t="str">
        <f t="shared" si="67"/>
        <v/>
      </c>
      <c r="L155" s="312" t="str">
        <f t="shared" si="67"/>
        <v/>
      </c>
      <c r="M155" s="312" t="str">
        <f t="shared" si="67"/>
        <v/>
      </c>
      <c r="N155" s="312" t="str">
        <f t="shared" si="67"/>
        <v/>
      </c>
      <c r="O155" s="312" t="str">
        <f t="shared" si="67"/>
        <v/>
      </c>
      <c r="P155" s="312" t="str">
        <f t="shared" si="67"/>
        <v/>
      </c>
      <c r="Q155" s="312" t="str">
        <f t="shared" si="67"/>
        <v/>
      </c>
      <c r="R155" s="312" t="str">
        <f t="shared" si="67"/>
        <v/>
      </c>
      <c r="S155" s="312" t="str">
        <f t="shared" si="67"/>
        <v/>
      </c>
      <c r="T155" s="312" t="str">
        <f t="shared" si="67"/>
        <v/>
      </c>
      <c r="U155" s="312" t="str">
        <f t="shared" si="67"/>
        <v/>
      </c>
      <c r="V155" s="312" t="str">
        <f t="shared" si="67"/>
        <v/>
      </c>
      <c r="W155" s="312" t="str">
        <f t="shared" si="67"/>
        <v/>
      </c>
      <c r="X155" s="312" t="str">
        <f t="shared" si="67"/>
        <v/>
      </c>
      <c r="Y155" s="312" t="str">
        <f t="shared" si="67"/>
        <v/>
      </c>
      <c r="Z155" s="312" t="str">
        <f t="shared" si="67"/>
        <v/>
      </c>
      <c r="AA155" s="312" t="str">
        <f t="shared" si="67"/>
        <v/>
      </c>
      <c r="AB155" s="312" t="str">
        <f t="shared" si="67"/>
        <v/>
      </c>
      <c r="AC155" s="312" t="str">
        <f t="shared" si="67"/>
        <v/>
      </c>
      <c r="AD155" s="312" t="str">
        <f t="shared" si="67"/>
        <v/>
      </c>
      <c r="AE155" s="312" t="str">
        <f t="shared" si="67"/>
        <v/>
      </c>
      <c r="AF155" s="312" t="str">
        <f t="shared" si="67"/>
        <v/>
      </c>
      <c r="AG155" s="313" t="str">
        <f t="shared" si="67"/>
        <v/>
      </c>
      <c r="AH155" s="312" t="e">
        <f>AH153-AH154</f>
        <v>#REF!</v>
      </c>
      <c r="AI155" s="312" t="e">
        <f>AI153-AI154</f>
        <v>#REF!</v>
      </c>
      <c r="AJ155" s="313" t="e">
        <f>AJ153-AJ154</f>
        <v>#REF!</v>
      </c>
      <c r="AK155" s="312"/>
      <c r="AL155" s="312"/>
      <c r="AM155" s="312" t="e">
        <f>AM153-AM154</f>
        <v>#REF!</v>
      </c>
      <c r="AN155" s="312" t="e">
        <f>AN153-AN154</f>
        <v>#REF!</v>
      </c>
      <c r="AO155" s="312" t="e">
        <f>AO153-AO154</f>
        <v>#REF!</v>
      </c>
    </row>
    <row r="156" spans="1:41" s="52" customFormat="1">
      <c r="A156" s="293"/>
      <c r="B156" s="370" t="s">
        <v>182</v>
      </c>
      <c r="D156" s="312" t="str">
        <f t="shared" ref="D156:AG156" si="68">IFERROR(AVERAGE(C155:D155),"")</f>
        <v/>
      </c>
      <c r="E156" s="312" t="str">
        <f t="shared" si="68"/>
        <v/>
      </c>
      <c r="F156" s="312" t="str">
        <f t="shared" si="68"/>
        <v/>
      </c>
      <c r="G156" s="312" t="str">
        <f t="shared" si="68"/>
        <v/>
      </c>
      <c r="H156" s="312" t="str">
        <f t="shared" si="68"/>
        <v/>
      </c>
      <c r="I156" s="312" t="str">
        <f t="shared" si="68"/>
        <v/>
      </c>
      <c r="J156" s="312" t="str">
        <f t="shared" si="68"/>
        <v/>
      </c>
      <c r="K156" s="312" t="str">
        <f t="shared" si="68"/>
        <v/>
      </c>
      <c r="L156" s="312" t="str">
        <f t="shared" si="68"/>
        <v/>
      </c>
      <c r="M156" s="312" t="str">
        <f t="shared" si="68"/>
        <v/>
      </c>
      <c r="N156" s="312" t="str">
        <f t="shared" si="68"/>
        <v/>
      </c>
      <c r="O156" s="312" t="str">
        <f t="shared" si="68"/>
        <v/>
      </c>
      <c r="P156" s="312" t="str">
        <f t="shared" si="68"/>
        <v/>
      </c>
      <c r="Q156" s="312" t="str">
        <f t="shared" si="68"/>
        <v/>
      </c>
      <c r="R156" s="312" t="str">
        <f t="shared" si="68"/>
        <v/>
      </c>
      <c r="S156" s="312" t="str">
        <f t="shared" si="68"/>
        <v/>
      </c>
      <c r="T156" s="312" t="str">
        <f t="shared" si="68"/>
        <v/>
      </c>
      <c r="U156" s="312" t="str">
        <f t="shared" si="68"/>
        <v/>
      </c>
      <c r="V156" s="312" t="str">
        <f t="shared" si="68"/>
        <v/>
      </c>
      <c r="W156" s="312" t="str">
        <f t="shared" si="68"/>
        <v/>
      </c>
      <c r="X156" s="312" t="str">
        <f t="shared" si="68"/>
        <v/>
      </c>
      <c r="Y156" s="312" t="str">
        <f t="shared" si="68"/>
        <v/>
      </c>
      <c r="Z156" s="312" t="str">
        <f t="shared" si="68"/>
        <v/>
      </c>
      <c r="AA156" s="312" t="str">
        <f t="shared" si="68"/>
        <v/>
      </c>
      <c r="AB156" s="312" t="str">
        <f t="shared" si="68"/>
        <v/>
      </c>
      <c r="AC156" s="312" t="str">
        <f t="shared" si="68"/>
        <v/>
      </c>
      <c r="AD156" s="312" t="str">
        <f t="shared" si="68"/>
        <v/>
      </c>
      <c r="AE156" s="312" t="str">
        <f t="shared" si="68"/>
        <v/>
      </c>
      <c r="AF156" s="312" t="str">
        <f t="shared" si="68"/>
        <v/>
      </c>
      <c r="AG156" s="313" t="str">
        <f t="shared" si="68"/>
        <v/>
      </c>
      <c r="AH156" s="312" t="e">
        <f t="shared" ref="AH156:AJ156" si="69">AVERAGE(AG155:AH155)</f>
        <v>#REF!</v>
      </c>
      <c r="AI156" s="312" t="e">
        <f t="shared" si="69"/>
        <v>#REF!</v>
      </c>
      <c r="AJ156" s="313" t="e">
        <f t="shared" si="69"/>
        <v>#REF!</v>
      </c>
      <c r="AK156" s="312"/>
      <c r="AL156" s="312"/>
      <c r="AM156" s="314" t="e">
        <f>AVERAGE(AM155,AG155)</f>
        <v>#REF!</v>
      </c>
      <c r="AN156" s="314" t="e">
        <f>AVERAGE(AM155:AN155)</f>
        <v>#REF!</v>
      </c>
      <c r="AO156" s="314" t="e">
        <f>AVERAGE(AN155:AO155)</f>
        <v>#REF!</v>
      </c>
    </row>
    <row r="157" spans="1:41" s="325" customFormat="1">
      <c r="A157" s="353"/>
      <c r="B157" s="322" t="s">
        <v>144</v>
      </c>
      <c r="C157" s="322"/>
      <c r="D157" s="323" t="str">
        <f t="shared" ref="D157:AG157" si="70">IFERROR(IF(D156&lt;=0,"nmf",D151/D156),"")</f>
        <v/>
      </c>
      <c r="E157" s="323" t="str">
        <f t="shared" si="70"/>
        <v/>
      </c>
      <c r="F157" s="323" t="str">
        <f t="shared" si="70"/>
        <v/>
      </c>
      <c r="G157" s="323" t="str">
        <f t="shared" si="70"/>
        <v/>
      </c>
      <c r="H157" s="323" t="str">
        <f t="shared" si="70"/>
        <v/>
      </c>
      <c r="I157" s="323" t="str">
        <f t="shared" si="70"/>
        <v/>
      </c>
      <c r="J157" s="323" t="str">
        <f t="shared" si="70"/>
        <v/>
      </c>
      <c r="K157" s="323" t="str">
        <f t="shared" si="70"/>
        <v/>
      </c>
      <c r="L157" s="323" t="str">
        <f t="shared" si="70"/>
        <v/>
      </c>
      <c r="M157" s="323" t="str">
        <f t="shared" si="70"/>
        <v/>
      </c>
      <c r="N157" s="323" t="str">
        <f t="shared" si="70"/>
        <v/>
      </c>
      <c r="O157" s="323" t="str">
        <f t="shared" si="70"/>
        <v/>
      </c>
      <c r="P157" s="323" t="str">
        <f t="shared" si="70"/>
        <v/>
      </c>
      <c r="Q157" s="323" t="str">
        <f t="shared" si="70"/>
        <v/>
      </c>
      <c r="R157" s="323" t="str">
        <f t="shared" si="70"/>
        <v/>
      </c>
      <c r="S157" s="323" t="str">
        <f t="shared" si="70"/>
        <v/>
      </c>
      <c r="T157" s="323" t="str">
        <f t="shared" si="70"/>
        <v/>
      </c>
      <c r="U157" s="323" t="str">
        <f t="shared" si="70"/>
        <v/>
      </c>
      <c r="V157" s="323" t="str">
        <f t="shared" si="70"/>
        <v/>
      </c>
      <c r="W157" s="323" t="str">
        <f t="shared" si="70"/>
        <v/>
      </c>
      <c r="X157" s="323" t="str">
        <f t="shared" si="70"/>
        <v/>
      </c>
      <c r="Y157" s="323" t="str">
        <f t="shared" si="70"/>
        <v/>
      </c>
      <c r="Z157" s="323" t="str">
        <f t="shared" si="70"/>
        <v/>
      </c>
      <c r="AA157" s="323" t="str">
        <f t="shared" si="70"/>
        <v/>
      </c>
      <c r="AB157" s="323" t="str">
        <f t="shared" si="70"/>
        <v/>
      </c>
      <c r="AC157" s="323" t="str">
        <f t="shared" si="70"/>
        <v/>
      </c>
      <c r="AD157" s="323" t="str">
        <f t="shared" si="70"/>
        <v/>
      </c>
      <c r="AE157" s="323" t="str">
        <f t="shared" si="70"/>
        <v/>
      </c>
      <c r="AF157" s="323" t="str">
        <f t="shared" si="70"/>
        <v/>
      </c>
      <c r="AG157" s="324" t="str">
        <f t="shared" si="70"/>
        <v/>
      </c>
      <c r="AH157" s="323" t="e">
        <f>IF(AH156&lt;=0,"nmf",AH151/AH156)</f>
        <v>#REF!</v>
      </c>
      <c r="AI157" s="323" t="e">
        <f>IF(AI156&lt;=0,"nmf",AI151/AI156)</f>
        <v>#REF!</v>
      </c>
      <c r="AJ157" s="324" t="e">
        <f>IF(AJ156&lt;=0,"nmf",AJ151/AJ156)</f>
        <v>#REF!</v>
      </c>
      <c r="AM157" s="323" t="e">
        <f>IF(AM156&lt;=0,"nmf",AM151/AM156)</f>
        <v>#REF!</v>
      </c>
      <c r="AN157" s="323" t="e">
        <f>IF(AN156&lt;=0,"nmf",AN151/AN156)</f>
        <v>#REF!</v>
      </c>
      <c r="AO157" s="323" t="e">
        <f>IF(AO156&lt;=0,"nmf",AO151/AO156)</f>
        <v>#REF!</v>
      </c>
    </row>
    <row r="158" spans="1:41" s="374" customFormat="1">
      <c r="A158" s="337"/>
      <c r="B158" s="371" t="s">
        <v>68</v>
      </c>
      <c r="C158" s="371"/>
      <c r="D158" s="372" t="e">
        <f t="shared" ref="D158:AG158" si="71">D146</f>
        <v>#REF!</v>
      </c>
      <c r="E158" s="372" t="e">
        <f t="shared" si="71"/>
        <v>#REF!</v>
      </c>
      <c r="F158" s="372" t="e">
        <f t="shared" si="71"/>
        <v>#REF!</v>
      </c>
      <c r="G158" s="372" t="e">
        <f t="shared" si="71"/>
        <v>#REF!</v>
      </c>
      <c r="H158" s="372" t="e">
        <f t="shared" si="71"/>
        <v>#REF!</v>
      </c>
      <c r="I158" s="372" t="e">
        <f t="shared" si="71"/>
        <v>#REF!</v>
      </c>
      <c r="J158" s="372" t="e">
        <f t="shared" si="71"/>
        <v>#REF!</v>
      </c>
      <c r="K158" s="372" t="e">
        <f t="shared" si="71"/>
        <v>#REF!</v>
      </c>
      <c r="L158" s="372" t="e">
        <f t="shared" si="71"/>
        <v>#REF!</v>
      </c>
      <c r="M158" s="372" t="e">
        <f t="shared" si="71"/>
        <v>#REF!</v>
      </c>
      <c r="N158" s="372" t="e">
        <f t="shared" si="71"/>
        <v>#REF!</v>
      </c>
      <c r="O158" s="372" t="e">
        <f t="shared" si="71"/>
        <v>#REF!</v>
      </c>
      <c r="P158" s="372" t="e">
        <f t="shared" si="71"/>
        <v>#REF!</v>
      </c>
      <c r="Q158" s="372" t="e">
        <f t="shared" si="71"/>
        <v>#REF!</v>
      </c>
      <c r="R158" s="372" t="e">
        <f t="shared" si="71"/>
        <v>#REF!</v>
      </c>
      <c r="S158" s="372" t="e">
        <f t="shared" si="71"/>
        <v>#REF!</v>
      </c>
      <c r="T158" s="372" t="e">
        <f t="shared" si="71"/>
        <v>#REF!</v>
      </c>
      <c r="U158" s="372" t="e">
        <f t="shared" si="71"/>
        <v>#REF!</v>
      </c>
      <c r="V158" s="372" t="e">
        <f t="shared" si="71"/>
        <v>#REF!</v>
      </c>
      <c r="W158" s="372" t="e">
        <f t="shared" si="71"/>
        <v>#REF!</v>
      </c>
      <c r="X158" s="372" t="e">
        <f t="shared" si="71"/>
        <v>#REF!</v>
      </c>
      <c r="Y158" s="372" t="e">
        <f t="shared" si="71"/>
        <v>#REF!</v>
      </c>
      <c r="Z158" s="372" t="e">
        <f t="shared" si="71"/>
        <v>#REF!</v>
      </c>
      <c r="AA158" s="372" t="e">
        <f t="shared" si="71"/>
        <v>#REF!</v>
      </c>
      <c r="AB158" s="372" t="e">
        <f t="shared" si="71"/>
        <v>#REF!</v>
      </c>
      <c r="AC158" s="372" t="e">
        <f t="shared" si="71"/>
        <v>#REF!</v>
      </c>
      <c r="AD158" s="372" t="e">
        <f t="shared" si="71"/>
        <v>#REF!</v>
      </c>
      <c r="AE158" s="372" t="e">
        <f t="shared" si="71"/>
        <v>#REF!</v>
      </c>
      <c r="AF158" s="372" t="e">
        <f t="shared" si="71"/>
        <v>#REF!</v>
      </c>
      <c r="AG158" s="373" t="e">
        <f t="shared" si="71"/>
        <v>#REF!</v>
      </c>
      <c r="AH158" s="372" t="e">
        <f>AH146</f>
        <v>#REF!</v>
      </c>
      <c r="AI158" s="372" t="e">
        <f>AI146</f>
        <v>#REF!</v>
      </c>
      <c r="AJ158" s="373" t="e">
        <f>AJ146</f>
        <v>#REF!</v>
      </c>
      <c r="AM158" s="372" t="e">
        <f>AM146</f>
        <v>#REF!</v>
      </c>
      <c r="AN158" s="372" t="e">
        <f>AN146</f>
        <v>#REF!</v>
      </c>
      <c r="AO158" s="372" t="e">
        <f>AO146</f>
        <v>#REF!</v>
      </c>
    </row>
    <row r="159" spans="1:41" s="341" customFormat="1" ht="15.75" thickBot="1">
      <c r="A159" s="337"/>
      <c r="B159" s="338" t="s">
        <v>183</v>
      </c>
      <c r="C159" s="338"/>
      <c r="D159" s="339" t="str">
        <f t="shared" ref="D159:AG159" si="72">IFERROR(IF(D157="nmf","nmf",D157-D158),"")</f>
        <v/>
      </c>
      <c r="E159" s="339" t="str">
        <f t="shared" si="72"/>
        <v/>
      </c>
      <c r="F159" s="339" t="str">
        <f t="shared" si="72"/>
        <v/>
      </c>
      <c r="G159" s="339" t="str">
        <f t="shared" si="72"/>
        <v/>
      </c>
      <c r="H159" s="339" t="str">
        <f t="shared" si="72"/>
        <v/>
      </c>
      <c r="I159" s="339" t="str">
        <f t="shared" si="72"/>
        <v/>
      </c>
      <c r="J159" s="339" t="str">
        <f t="shared" si="72"/>
        <v/>
      </c>
      <c r="K159" s="339" t="str">
        <f t="shared" si="72"/>
        <v/>
      </c>
      <c r="L159" s="339" t="str">
        <f t="shared" si="72"/>
        <v/>
      </c>
      <c r="M159" s="339" t="str">
        <f t="shared" si="72"/>
        <v/>
      </c>
      <c r="N159" s="339" t="str">
        <f t="shared" si="72"/>
        <v/>
      </c>
      <c r="O159" s="339" t="str">
        <f t="shared" si="72"/>
        <v/>
      </c>
      <c r="P159" s="339" t="str">
        <f t="shared" si="72"/>
        <v/>
      </c>
      <c r="Q159" s="339" t="str">
        <f t="shared" si="72"/>
        <v/>
      </c>
      <c r="R159" s="339" t="str">
        <f t="shared" si="72"/>
        <v/>
      </c>
      <c r="S159" s="339" t="str">
        <f t="shared" si="72"/>
        <v/>
      </c>
      <c r="T159" s="339" t="str">
        <f t="shared" si="72"/>
        <v/>
      </c>
      <c r="U159" s="339" t="str">
        <f t="shared" si="72"/>
        <v/>
      </c>
      <c r="V159" s="339" t="str">
        <f t="shared" si="72"/>
        <v/>
      </c>
      <c r="W159" s="339" t="str">
        <f t="shared" si="72"/>
        <v/>
      </c>
      <c r="X159" s="339" t="str">
        <f t="shared" si="72"/>
        <v/>
      </c>
      <c r="Y159" s="339" t="str">
        <f t="shared" si="72"/>
        <v/>
      </c>
      <c r="Z159" s="339" t="str">
        <f t="shared" si="72"/>
        <v/>
      </c>
      <c r="AA159" s="339" t="str">
        <f t="shared" si="72"/>
        <v/>
      </c>
      <c r="AB159" s="339" t="str">
        <f t="shared" si="72"/>
        <v/>
      </c>
      <c r="AC159" s="339" t="str">
        <f t="shared" si="72"/>
        <v/>
      </c>
      <c r="AD159" s="339" t="str">
        <f t="shared" si="72"/>
        <v/>
      </c>
      <c r="AE159" s="339" t="str">
        <f t="shared" si="72"/>
        <v/>
      </c>
      <c r="AF159" s="339" t="str">
        <f t="shared" si="72"/>
        <v/>
      </c>
      <c r="AG159" s="340" t="str">
        <f t="shared" si="72"/>
        <v/>
      </c>
      <c r="AH159" s="339" t="e">
        <f>IF(AH157="nmf","nmf",AH157-AH158)</f>
        <v>#REF!</v>
      </c>
      <c r="AI159" s="339" t="e">
        <f>IF(AI157="nmf","nmf",AI157-AI158)</f>
        <v>#REF!</v>
      </c>
      <c r="AJ159" s="340" t="e">
        <f>IF(AJ157="nmf","nmf",AJ157-AJ158)</f>
        <v>#REF!</v>
      </c>
      <c r="AM159" s="339" t="e">
        <f>IF(AM157="nmf","nmf",AM157-AM158)</f>
        <v>#REF!</v>
      </c>
      <c r="AN159" s="339" t="e">
        <f>IF(AN157="nmf","nmf",AN157-AN158)</f>
        <v>#REF!</v>
      </c>
      <c r="AO159" s="339" t="e">
        <f>IF(AO157="nmf","nmf",AO157-AO158)</f>
        <v>#REF!</v>
      </c>
    </row>
    <row r="160" spans="1:41" s="366" customFormat="1" ht="16.5" thickTop="1" thickBot="1">
      <c r="A160" s="348"/>
      <c r="B160" s="375" t="s">
        <v>184</v>
      </c>
      <c r="C160" s="376"/>
      <c r="D160" s="376" t="str">
        <f t="shared" ref="D160:AG160" si="73">IFERROR(D151-D156*D158,"")</f>
        <v/>
      </c>
      <c r="E160" s="376" t="str">
        <f t="shared" si="73"/>
        <v/>
      </c>
      <c r="F160" s="376" t="str">
        <f t="shared" si="73"/>
        <v/>
      </c>
      <c r="G160" s="376" t="str">
        <f t="shared" si="73"/>
        <v/>
      </c>
      <c r="H160" s="376" t="str">
        <f t="shared" si="73"/>
        <v/>
      </c>
      <c r="I160" s="376" t="str">
        <f t="shared" si="73"/>
        <v/>
      </c>
      <c r="J160" s="376" t="str">
        <f t="shared" si="73"/>
        <v/>
      </c>
      <c r="K160" s="376" t="str">
        <f t="shared" si="73"/>
        <v/>
      </c>
      <c r="L160" s="376" t="str">
        <f t="shared" si="73"/>
        <v/>
      </c>
      <c r="M160" s="376" t="str">
        <f t="shared" si="73"/>
        <v/>
      </c>
      <c r="N160" s="376" t="str">
        <f t="shared" si="73"/>
        <v/>
      </c>
      <c r="O160" s="376" t="str">
        <f t="shared" si="73"/>
        <v/>
      </c>
      <c r="P160" s="376" t="str">
        <f t="shared" si="73"/>
        <v/>
      </c>
      <c r="Q160" s="376" t="str">
        <f t="shared" si="73"/>
        <v/>
      </c>
      <c r="R160" s="376" t="str">
        <f t="shared" si="73"/>
        <v/>
      </c>
      <c r="S160" s="376" t="str">
        <f t="shared" si="73"/>
        <v/>
      </c>
      <c r="T160" s="376" t="str">
        <f t="shared" si="73"/>
        <v/>
      </c>
      <c r="U160" s="376" t="str">
        <f t="shared" si="73"/>
        <v/>
      </c>
      <c r="V160" s="376" t="str">
        <f t="shared" si="73"/>
        <v/>
      </c>
      <c r="W160" s="376" t="str">
        <f t="shared" si="73"/>
        <v/>
      </c>
      <c r="X160" s="376" t="str">
        <f t="shared" si="73"/>
        <v/>
      </c>
      <c r="Y160" s="376" t="str">
        <f t="shared" si="73"/>
        <v/>
      </c>
      <c r="Z160" s="376" t="str">
        <f t="shared" si="73"/>
        <v/>
      </c>
      <c r="AA160" s="376" t="str">
        <f t="shared" si="73"/>
        <v/>
      </c>
      <c r="AB160" s="376" t="str">
        <f t="shared" si="73"/>
        <v/>
      </c>
      <c r="AC160" s="376" t="str">
        <f t="shared" si="73"/>
        <v/>
      </c>
      <c r="AD160" s="376" t="str">
        <f t="shared" si="73"/>
        <v/>
      </c>
      <c r="AE160" s="376" t="str">
        <f t="shared" si="73"/>
        <v/>
      </c>
      <c r="AF160" s="376" t="str">
        <f t="shared" si="73"/>
        <v/>
      </c>
      <c r="AG160" s="377" t="str">
        <f t="shared" si="73"/>
        <v/>
      </c>
      <c r="AH160" s="376" t="e">
        <f>AH151-AH156*AH158</f>
        <v>#REF!</v>
      </c>
      <c r="AI160" s="376" t="e">
        <f>AI151-AI156*AI158</f>
        <v>#REF!</v>
      </c>
      <c r="AJ160" s="377" t="e">
        <f>AJ151-AJ156*AJ158</f>
        <v>#REF!</v>
      </c>
      <c r="AM160" s="376" t="e">
        <f>AM151-AM156*AM158</f>
        <v>#REF!</v>
      </c>
      <c r="AN160" s="376" t="e">
        <f>AN151-AN156*AN158</f>
        <v>#REF!</v>
      </c>
      <c r="AO160" s="376" t="e">
        <f>AO151-AO156*AO158</f>
        <v>#REF!</v>
      </c>
    </row>
    <row r="161" spans="1:41" s="285" customFormat="1" ht="19.5" thickTop="1">
      <c r="A161" s="281"/>
      <c r="B161" s="282"/>
      <c r="C161" s="282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  <c r="AA161" s="269"/>
      <c r="AB161" s="269"/>
      <c r="AC161" s="269"/>
      <c r="AD161" s="269"/>
      <c r="AE161" s="269"/>
      <c r="AF161" s="269"/>
      <c r="AG161" s="270"/>
      <c r="AH161" s="269"/>
      <c r="AI161" s="271"/>
      <c r="AJ161" s="270"/>
      <c r="AK161" s="283"/>
      <c r="AL161" s="284"/>
      <c r="AM161" s="271"/>
      <c r="AN161" s="271"/>
      <c r="AO161" s="271"/>
    </row>
    <row r="162" spans="1:41" s="154" customFormat="1">
      <c r="A162" s="153"/>
      <c r="D162" s="155"/>
      <c r="E162" s="155"/>
      <c r="F162" s="155"/>
      <c r="G162" s="155"/>
      <c r="H162" s="155"/>
      <c r="I162" s="155"/>
      <c r="J162" s="155"/>
      <c r="K162" s="155"/>
      <c r="L162" s="155"/>
      <c r="M162" s="155"/>
      <c r="N162" s="155"/>
      <c r="O162" s="155"/>
      <c r="P162" s="155"/>
      <c r="Q162" s="155"/>
      <c r="R162" s="155"/>
      <c r="S162" s="155"/>
      <c r="T162" s="155"/>
      <c r="U162" s="155"/>
      <c r="V162" s="155"/>
      <c r="W162" s="155"/>
      <c r="X162" s="155"/>
      <c r="Y162" s="155"/>
      <c r="Z162" s="155"/>
      <c r="AA162" s="155"/>
      <c r="AB162" s="155"/>
      <c r="AC162" s="155"/>
      <c r="AD162" s="155"/>
      <c r="AE162" s="155"/>
      <c r="AF162" s="155"/>
      <c r="AG162" s="156"/>
      <c r="AH162" s="157"/>
      <c r="AI162" s="158"/>
      <c r="AJ162" s="159"/>
      <c r="AK162" s="160"/>
    </row>
    <row r="163" spans="1:41" s="285" customFormat="1" ht="18.75">
      <c r="A163" s="281"/>
      <c r="B163" s="282"/>
      <c r="C163" s="282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  <c r="AA163" s="269"/>
      <c r="AB163" s="269"/>
      <c r="AC163" s="269"/>
      <c r="AD163" s="269"/>
      <c r="AE163" s="269"/>
      <c r="AF163" s="269"/>
      <c r="AG163" s="270"/>
      <c r="AH163" s="269"/>
      <c r="AI163" s="271"/>
      <c r="AJ163" s="270"/>
      <c r="AK163" s="283"/>
      <c r="AL163" s="284"/>
      <c r="AM163" s="271"/>
      <c r="AN163" s="271"/>
      <c r="AO163" s="271"/>
    </row>
    <row r="164" spans="1:41" s="50" customFormat="1" ht="18.75">
      <c r="A164" s="28" t="s">
        <v>185</v>
      </c>
      <c r="B164" s="378"/>
      <c r="C164" s="378"/>
      <c r="D164" s="275"/>
      <c r="E164" s="275"/>
      <c r="F164" s="275"/>
      <c r="G164" s="275"/>
      <c r="H164" s="275"/>
      <c r="I164" s="275"/>
      <c r="J164" s="275"/>
      <c r="K164" s="275"/>
      <c r="L164" s="275"/>
      <c r="M164" s="275"/>
      <c r="N164" s="275"/>
      <c r="O164" s="275"/>
      <c r="P164" s="275"/>
      <c r="Q164" s="275"/>
      <c r="R164" s="275"/>
      <c r="S164" s="275"/>
      <c r="T164" s="275"/>
      <c r="U164" s="275"/>
      <c r="V164" s="275"/>
      <c r="W164" s="275"/>
      <c r="X164" s="275"/>
      <c r="Y164" s="275"/>
      <c r="Z164" s="275"/>
      <c r="AA164" s="275"/>
      <c r="AB164" s="275"/>
      <c r="AC164" s="275"/>
      <c r="AD164" s="275"/>
      <c r="AE164" s="275"/>
      <c r="AF164" s="275"/>
      <c r="AG164" s="276"/>
      <c r="AH164" s="275"/>
      <c r="AI164" s="277"/>
      <c r="AJ164" s="276"/>
      <c r="AK164" s="263"/>
      <c r="AL164" s="264"/>
      <c r="AM164" s="277"/>
      <c r="AN164" s="277"/>
      <c r="AO164" s="277"/>
    </row>
    <row r="165" spans="1:41">
      <c r="A165" s="23" t="s">
        <v>4</v>
      </c>
      <c r="B165" s="378"/>
      <c r="C165" s="378"/>
      <c r="D165" s="275"/>
      <c r="E165" s="275"/>
      <c r="F165" s="275"/>
      <c r="G165" s="275"/>
      <c r="H165" s="275"/>
      <c r="I165" s="275"/>
      <c r="J165" s="275"/>
      <c r="K165" s="275"/>
      <c r="L165" s="275"/>
      <c r="M165" s="275"/>
      <c r="N165" s="275"/>
      <c r="O165" s="275"/>
      <c r="P165" s="275"/>
      <c r="Q165" s="275"/>
      <c r="R165" s="275"/>
      <c r="S165" s="275"/>
      <c r="T165" s="275"/>
      <c r="U165" s="275"/>
      <c r="V165" s="275"/>
      <c r="W165" s="275"/>
      <c r="X165" s="275"/>
      <c r="Y165" s="275"/>
      <c r="Z165" s="275"/>
      <c r="AA165" s="275"/>
      <c r="AB165" s="275"/>
      <c r="AC165" s="275"/>
      <c r="AD165" s="275"/>
      <c r="AE165" s="275"/>
      <c r="AF165" s="275"/>
      <c r="AG165" s="276"/>
      <c r="AH165" s="275"/>
      <c r="AI165" s="277"/>
      <c r="AJ165" s="276"/>
      <c r="AK165" s="379"/>
      <c r="AL165" s="151"/>
      <c r="AM165" s="277"/>
      <c r="AN165" s="277"/>
      <c r="AO165" s="277"/>
    </row>
    <row r="166" spans="1:41">
      <c r="B166" s="378"/>
      <c r="C166" s="378"/>
      <c r="D166" s="275"/>
      <c r="E166" s="275"/>
      <c r="F166" s="275"/>
      <c r="G166" s="275"/>
      <c r="H166" s="275"/>
      <c r="I166" s="275"/>
      <c r="J166" s="275"/>
      <c r="K166" s="275"/>
      <c r="L166" s="275"/>
      <c r="M166" s="275"/>
      <c r="N166" s="275"/>
      <c r="O166" s="275"/>
      <c r="P166" s="275"/>
      <c r="Q166" s="275"/>
      <c r="R166" s="275"/>
      <c r="S166" s="275"/>
      <c r="T166" s="275"/>
      <c r="U166" s="275"/>
      <c r="V166" s="275"/>
      <c r="W166" s="275"/>
      <c r="X166" s="275"/>
      <c r="Y166" s="275"/>
      <c r="Z166" s="275"/>
      <c r="AA166" s="275"/>
      <c r="AB166" s="275"/>
      <c r="AC166" s="275"/>
      <c r="AD166" s="275"/>
      <c r="AE166" s="275"/>
      <c r="AF166" s="275"/>
      <c r="AG166" s="276"/>
      <c r="AH166" s="275"/>
      <c r="AI166" s="277"/>
      <c r="AJ166" s="276"/>
      <c r="AK166" s="379"/>
      <c r="AL166" s="151"/>
      <c r="AM166" s="277"/>
      <c r="AN166" s="277"/>
      <c r="AO166" s="277"/>
    </row>
    <row r="167" spans="1:41">
      <c r="B167" s="76" t="s">
        <v>10</v>
      </c>
      <c r="C167" s="378"/>
      <c r="D167" s="380" t="str">
        <f>IFERROR(D7/#REF!,"")</f>
        <v/>
      </c>
      <c r="E167" s="380" t="str">
        <f>IFERROR(E7/#REF!,"")</f>
        <v/>
      </c>
      <c r="F167" s="380" t="str">
        <f>IFERROR(F7/#REF!,"")</f>
        <v/>
      </c>
      <c r="G167" s="380" t="str">
        <f>IFERROR(G7/#REF!,"")</f>
        <v/>
      </c>
      <c r="H167" s="380" t="str">
        <f>IFERROR(H7/#REF!,"")</f>
        <v/>
      </c>
      <c r="I167" s="380" t="str">
        <f>IFERROR(I7/#REF!,"")</f>
        <v/>
      </c>
      <c r="J167" s="380" t="str">
        <f>IFERROR(J7/#REF!,"")</f>
        <v/>
      </c>
      <c r="K167" s="380" t="str">
        <f>IFERROR(K7/#REF!,"")</f>
        <v/>
      </c>
      <c r="L167" s="380" t="str">
        <f>IFERROR(L7/#REF!,"")</f>
        <v/>
      </c>
      <c r="M167" s="380" t="str">
        <f>IFERROR(M7/#REF!,"")</f>
        <v/>
      </c>
      <c r="N167" s="380" t="str">
        <f>IFERROR(N7/#REF!,"")</f>
        <v/>
      </c>
      <c r="O167" s="380" t="str">
        <f>IFERROR(O7/#REF!,"")</f>
        <v/>
      </c>
      <c r="P167" s="380" t="str">
        <f>IFERROR(P7/#REF!,"")</f>
        <v/>
      </c>
      <c r="Q167" s="380" t="str">
        <f>IFERROR(Q7/#REF!,"")</f>
        <v/>
      </c>
      <c r="R167" s="380" t="str">
        <f>IFERROR(R7/#REF!,"")</f>
        <v/>
      </c>
      <c r="S167" s="380" t="str">
        <f>IFERROR(S7/#REF!,"")</f>
        <v/>
      </c>
      <c r="T167" s="380" t="str">
        <f>IFERROR(T7/#REF!,"")</f>
        <v/>
      </c>
      <c r="U167" s="380" t="str">
        <f>IFERROR(U7/#REF!,"")</f>
        <v/>
      </c>
      <c r="V167" s="380" t="str">
        <f>IFERROR(V7/#REF!,"")</f>
        <v/>
      </c>
      <c r="W167" s="380" t="str">
        <f>IFERROR(W7/#REF!,"")</f>
        <v/>
      </c>
      <c r="X167" s="380" t="str">
        <f>IFERROR(X7/#REF!,"")</f>
        <v/>
      </c>
      <c r="Y167" s="380" t="str">
        <f>IFERROR(Y7/#REF!,"")</f>
        <v/>
      </c>
      <c r="Z167" s="380" t="str">
        <f>IFERROR(Z7/#REF!,"")</f>
        <v/>
      </c>
      <c r="AA167" s="380" t="str">
        <f>IFERROR(AA7/#REF!,"")</f>
        <v/>
      </c>
      <c r="AB167" s="380" t="str">
        <f>IFERROR(AB7/#REF!,"")</f>
        <v/>
      </c>
      <c r="AC167" s="380" t="str">
        <f>IFERROR(AC7/#REF!,"")</f>
        <v/>
      </c>
      <c r="AD167" s="380" t="str">
        <f>IFERROR(AD7/#REF!,"")</f>
        <v/>
      </c>
      <c r="AE167" s="380" t="str">
        <f>IFERROR(AE7/#REF!,"")</f>
        <v/>
      </c>
      <c r="AF167" s="380" t="str">
        <f>IFERROR(AF7/#REF!,"")</f>
        <v/>
      </c>
      <c r="AG167" s="381" t="str">
        <f>IFERROR(AG7/#REF!,"")</f>
        <v/>
      </c>
      <c r="AH167" s="275" t="e">
        <f>AH7/#REF!</f>
        <v>#REF!</v>
      </c>
      <c r="AI167" s="277" t="e">
        <f>AI7/#REF!</f>
        <v>#REF!</v>
      </c>
      <c r="AJ167" s="276" t="e">
        <f>AJ7/#REF!</f>
        <v>#REF!</v>
      </c>
      <c r="AK167" s="379"/>
      <c r="AL167" s="151"/>
      <c r="AM167" s="277" t="e">
        <f>AM7/#REF!</f>
        <v>#REF!</v>
      </c>
      <c r="AN167" s="277" t="e">
        <f>AN7/#REF!</f>
        <v>#REF!</v>
      </c>
      <c r="AO167" s="277" t="e">
        <f>AO7/#REF!</f>
        <v>#REF!</v>
      </c>
    </row>
    <row r="168" spans="1:41">
      <c r="B168" s="76" t="s">
        <v>11</v>
      </c>
      <c r="C168" s="378"/>
      <c r="D168" s="380" t="str">
        <f>IFERROR(D8/#REF!,"")</f>
        <v/>
      </c>
      <c r="E168" s="380" t="str">
        <f>IFERROR(E8/#REF!,"")</f>
        <v/>
      </c>
      <c r="F168" s="380" t="str">
        <f>IFERROR(F8/#REF!,"")</f>
        <v/>
      </c>
      <c r="G168" s="380" t="str">
        <f>IFERROR(G8/#REF!,"")</f>
        <v/>
      </c>
      <c r="H168" s="380" t="str">
        <f>IFERROR(H8/#REF!,"")</f>
        <v/>
      </c>
      <c r="I168" s="380" t="str">
        <f>IFERROR(I8/#REF!,"")</f>
        <v/>
      </c>
      <c r="J168" s="380" t="str">
        <f>IFERROR(J8/#REF!,"")</f>
        <v/>
      </c>
      <c r="K168" s="380" t="str">
        <f>IFERROR(K8/#REF!,"")</f>
        <v/>
      </c>
      <c r="L168" s="380" t="str">
        <f>IFERROR(L8/#REF!,"")</f>
        <v/>
      </c>
      <c r="M168" s="380" t="str">
        <f>IFERROR(M8/#REF!,"")</f>
        <v/>
      </c>
      <c r="N168" s="380" t="str">
        <f>IFERROR(N8/#REF!,"")</f>
        <v/>
      </c>
      <c r="O168" s="380" t="str">
        <f>IFERROR(O8/#REF!,"")</f>
        <v/>
      </c>
      <c r="P168" s="380" t="str">
        <f>IFERROR(P8/#REF!,"")</f>
        <v/>
      </c>
      <c r="Q168" s="380" t="str">
        <f>IFERROR(Q8/#REF!,"")</f>
        <v/>
      </c>
      <c r="R168" s="380" t="str">
        <f>IFERROR(R8/#REF!,"")</f>
        <v/>
      </c>
      <c r="S168" s="380" t="str">
        <f>IFERROR(S8/#REF!,"")</f>
        <v/>
      </c>
      <c r="T168" s="380" t="str">
        <f>IFERROR(T8/#REF!,"")</f>
        <v/>
      </c>
      <c r="U168" s="380" t="str">
        <f>IFERROR(U8/#REF!,"")</f>
        <v/>
      </c>
      <c r="V168" s="380" t="str">
        <f>IFERROR(V8/#REF!,"")</f>
        <v/>
      </c>
      <c r="W168" s="380" t="str">
        <f>IFERROR(W8/#REF!,"")</f>
        <v/>
      </c>
      <c r="X168" s="380" t="str">
        <f>IFERROR(X8/#REF!,"")</f>
        <v/>
      </c>
      <c r="Y168" s="380" t="str">
        <f>IFERROR(Y8/#REF!,"")</f>
        <v/>
      </c>
      <c r="Z168" s="380" t="str">
        <f>IFERROR(Z8/#REF!,"")</f>
        <v/>
      </c>
      <c r="AA168" s="380" t="str">
        <f>IFERROR(AA8/#REF!,"")</f>
        <v/>
      </c>
      <c r="AB168" s="380" t="str">
        <f>IFERROR(AB8/#REF!,"")</f>
        <v/>
      </c>
      <c r="AC168" s="380" t="str">
        <f>IFERROR(AC8/#REF!,"")</f>
        <v/>
      </c>
      <c r="AD168" s="380" t="str">
        <f>IFERROR(AD8/#REF!,"")</f>
        <v/>
      </c>
      <c r="AE168" s="380" t="str">
        <f>IFERROR(AE8/#REF!,"")</f>
        <v/>
      </c>
      <c r="AF168" s="380" t="str">
        <f>IFERROR(AF8/#REF!,"")</f>
        <v/>
      </c>
      <c r="AG168" s="381" t="str">
        <f>IFERROR(AG8/#REF!,"")</f>
        <v/>
      </c>
      <c r="AH168" s="275" t="e">
        <f>AH8/#REF!</f>
        <v>#VALUE!</v>
      </c>
      <c r="AI168" s="277" t="e">
        <f>AI8/#REF!</f>
        <v>#VALUE!</v>
      </c>
      <c r="AJ168" s="276" t="e">
        <f>AJ8/#REF!</f>
        <v>#VALUE!</v>
      </c>
      <c r="AK168" s="379"/>
      <c r="AL168" s="151"/>
      <c r="AM168" s="277" t="e">
        <f>AM8/#REF!</f>
        <v>#VALUE!</v>
      </c>
      <c r="AN168" s="277" t="e">
        <f>AN8/#REF!</f>
        <v>#VALUE!</v>
      </c>
      <c r="AO168" s="277" t="e">
        <f>AO8/#REF!</f>
        <v>#VALUE!</v>
      </c>
    </row>
    <row r="169" spans="1:41" ht="15.75" thickBot="1">
      <c r="B169" s="76" t="s">
        <v>12</v>
      </c>
      <c r="C169" s="378"/>
      <c r="D169" s="380" t="str">
        <f>IFERROR(D9/#REF!,"")</f>
        <v/>
      </c>
      <c r="E169" s="380" t="str">
        <f>IFERROR(E9/#REF!,"")</f>
        <v/>
      </c>
      <c r="F169" s="380" t="str">
        <f>IFERROR(F9/#REF!,"")</f>
        <v/>
      </c>
      <c r="G169" s="380" t="str">
        <f>IFERROR(G9/#REF!,"")</f>
        <v/>
      </c>
      <c r="H169" s="380" t="str">
        <f>IFERROR(H9/#REF!,"")</f>
        <v/>
      </c>
      <c r="I169" s="380" t="str">
        <f>IFERROR(I9/#REF!,"")</f>
        <v/>
      </c>
      <c r="J169" s="380" t="str">
        <f>IFERROR(J9/#REF!,"")</f>
        <v/>
      </c>
      <c r="K169" s="380" t="str">
        <f>IFERROR(K9/#REF!,"")</f>
        <v/>
      </c>
      <c r="L169" s="380" t="str">
        <f>IFERROR(L9/#REF!,"")</f>
        <v/>
      </c>
      <c r="M169" s="380" t="str">
        <f>IFERROR(M9/#REF!,"")</f>
        <v/>
      </c>
      <c r="N169" s="380" t="str">
        <f>IFERROR(N9/#REF!,"")</f>
        <v/>
      </c>
      <c r="O169" s="380" t="str">
        <f>IFERROR(O9/#REF!,"")</f>
        <v/>
      </c>
      <c r="P169" s="380" t="str">
        <f>IFERROR(P9/#REF!,"")</f>
        <v/>
      </c>
      <c r="Q169" s="380" t="str">
        <f>IFERROR(Q9/#REF!,"")</f>
        <v/>
      </c>
      <c r="R169" s="380" t="str">
        <f>IFERROR(R9/#REF!,"")</f>
        <v/>
      </c>
      <c r="S169" s="380" t="str">
        <f>IFERROR(S9/#REF!,"")</f>
        <v/>
      </c>
      <c r="T169" s="380" t="str">
        <f>IFERROR(T9/#REF!,"")</f>
        <v/>
      </c>
      <c r="U169" s="380" t="str">
        <f>IFERROR(U9/#REF!,"")</f>
        <v/>
      </c>
      <c r="V169" s="380" t="str">
        <f>IFERROR(V9/#REF!,"")</f>
        <v/>
      </c>
      <c r="W169" s="380" t="str">
        <f>IFERROR(W9/#REF!,"")</f>
        <v/>
      </c>
      <c r="X169" s="380" t="str">
        <f>IFERROR(X9/#REF!,"")</f>
        <v/>
      </c>
      <c r="Y169" s="380" t="str">
        <f>IFERROR(Y9/#REF!,"")</f>
        <v/>
      </c>
      <c r="Z169" s="380" t="str">
        <f>IFERROR(Z9/#REF!,"")</f>
        <v/>
      </c>
      <c r="AA169" s="380" t="str">
        <f>IFERROR(AA9/#REF!,"")</f>
        <v/>
      </c>
      <c r="AB169" s="380" t="str">
        <f>IFERROR(AB9/#REF!,"")</f>
        <v/>
      </c>
      <c r="AC169" s="380" t="str">
        <f>IFERROR(AC9/#REF!,"")</f>
        <v/>
      </c>
      <c r="AD169" s="380" t="str">
        <f>IFERROR(AD9/#REF!,"")</f>
        <v/>
      </c>
      <c r="AE169" s="380" t="str">
        <f>IFERROR(AE9/#REF!,"")</f>
        <v/>
      </c>
      <c r="AF169" s="380" t="str">
        <f>IFERROR(AF9/#REF!,"")</f>
        <v/>
      </c>
      <c r="AG169" s="381" t="str">
        <f>IFERROR(AG9/#REF!,"")</f>
        <v/>
      </c>
      <c r="AH169" s="275" t="e">
        <f>AH9/#REF!</f>
        <v>#REF!</v>
      </c>
      <c r="AI169" s="277" t="e">
        <f>AI9/#REF!</f>
        <v>#REF!</v>
      </c>
      <c r="AJ169" s="276" t="e">
        <f>AJ9/#REF!</f>
        <v>#REF!</v>
      </c>
      <c r="AK169" s="379"/>
      <c r="AL169" s="151"/>
      <c r="AM169" s="277" t="e">
        <f>AM9/#REF!</f>
        <v>#REF!</v>
      </c>
      <c r="AN169" s="277" t="e">
        <f>AN9/#REF!</f>
        <v>#REF!</v>
      </c>
      <c r="AO169" s="277" t="e">
        <f>AO9/#REF!</f>
        <v>#REF!</v>
      </c>
    </row>
    <row r="170" spans="1:41" ht="15.75" thickBot="1">
      <c r="B170" s="287" t="s">
        <v>138</v>
      </c>
      <c r="C170" s="378"/>
      <c r="D170" s="380" t="str">
        <f>IFERROR(D10/#REF!,"")</f>
        <v/>
      </c>
      <c r="E170" s="380" t="str">
        <f>IFERROR(E10/#REF!,"")</f>
        <v/>
      </c>
      <c r="F170" s="380" t="str">
        <f>IFERROR(F10/#REF!,"")</f>
        <v/>
      </c>
      <c r="G170" s="380" t="str">
        <f>IFERROR(G10/#REF!,"")</f>
        <v/>
      </c>
      <c r="H170" s="380" t="str">
        <f>IFERROR(H10/#REF!,"")</f>
        <v/>
      </c>
      <c r="I170" s="380" t="str">
        <f>IFERROR(I10/#REF!,"")</f>
        <v/>
      </c>
      <c r="J170" s="380" t="str">
        <f>IFERROR(J10/#REF!,"")</f>
        <v/>
      </c>
      <c r="K170" s="380" t="str">
        <f>IFERROR(K10/#REF!,"")</f>
        <v/>
      </c>
      <c r="L170" s="380" t="str">
        <f>IFERROR(L10/#REF!,"")</f>
        <v/>
      </c>
      <c r="M170" s="380" t="str">
        <f>IFERROR(M10/#REF!,"")</f>
        <v/>
      </c>
      <c r="N170" s="380" t="str">
        <f>IFERROR(N10/#REF!,"")</f>
        <v/>
      </c>
      <c r="O170" s="380" t="str">
        <f>IFERROR(O10/#REF!,"")</f>
        <v/>
      </c>
      <c r="P170" s="380" t="str">
        <f>IFERROR(P10/#REF!,"")</f>
        <v/>
      </c>
      <c r="Q170" s="380" t="str">
        <f>IFERROR(Q10/#REF!,"")</f>
        <v/>
      </c>
      <c r="R170" s="380" t="str">
        <f>IFERROR(R10/#REF!,"")</f>
        <v/>
      </c>
      <c r="S170" s="380" t="str">
        <f>IFERROR(S10/#REF!,"")</f>
        <v/>
      </c>
      <c r="T170" s="380" t="str">
        <f>IFERROR(T10/#REF!,"")</f>
        <v/>
      </c>
      <c r="U170" s="380" t="str">
        <f>IFERROR(U10/#REF!,"")</f>
        <v/>
      </c>
      <c r="V170" s="380" t="str">
        <f>IFERROR(V10/#REF!,"")</f>
        <v/>
      </c>
      <c r="W170" s="380" t="str">
        <f>IFERROR(W10/#REF!,"")</f>
        <v/>
      </c>
      <c r="X170" s="380" t="str">
        <f>IFERROR(X10/#REF!,"")</f>
        <v/>
      </c>
      <c r="Y170" s="380" t="str">
        <f>IFERROR(Y10/#REF!,"")</f>
        <v/>
      </c>
      <c r="Z170" s="380" t="str">
        <f>IFERROR(Z10/#REF!,"")</f>
        <v/>
      </c>
      <c r="AA170" s="380" t="str">
        <f>IFERROR(AA10/#REF!,"")</f>
        <v/>
      </c>
      <c r="AB170" s="380" t="str">
        <f>IFERROR(AB10/#REF!,"")</f>
        <v/>
      </c>
      <c r="AC170" s="380" t="str">
        <f>IFERROR(AC10/#REF!,"")</f>
        <v/>
      </c>
      <c r="AD170" s="380" t="str">
        <f>IFERROR(AD10/#REF!,"")</f>
        <v/>
      </c>
      <c r="AE170" s="380" t="str">
        <f>IFERROR(AE10/#REF!,"")</f>
        <v/>
      </c>
      <c r="AF170" s="380" t="str">
        <f>IFERROR(AF10/#REF!,"")</f>
        <v/>
      </c>
      <c r="AG170" s="381" t="str">
        <f>IFERROR(AG10/#REF!,"")</f>
        <v/>
      </c>
      <c r="AH170" s="382" t="str">
        <f>$AG170</f>
        <v/>
      </c>
      <c r="AI170" s="383" t="str">
        <f>AH170</f>
        <v/>
      </c>
      <c r="AJ170" s="384" t="str">
        <f>AI170</f>
        <v/>
      </c>
      <c r="AM170" s="385" t="str">
        <f>$AG170</f>
        <v/>
      </c>
      <c r="AN170" s="386" t="str">
        <f>AM170</f>
        <v/>
      </c>
      <c r="AO170" s="387" t="str">
        <f>AN170</f>
        <v/>
      </c>
    </row>
    <row r="171" spans="1:41">
      <c r="B171" s="378" t="s">
        <v>156</v>
      </c>
      <c r="C171" s="378"/>
      <c r="D171" s="380" t="str">
        <f>IFERROR(D11/#REF!,"")</f>
        <v/>
      </c>
      <c r="E171" s="380" t="str">
        <f>IFERROR(E11/#REF!,"")</f>
        <v/>
      </c>
      <c r="F171" s="380" t="str">
        <f>IFERROR(F11/#REF!,"")</f>
        <v/>
      </c>
      <c r="G171" s="380" t="str">
        <f>IFERROR(G11/#REF!,"")</f>
        <v/>
      </c>
      <c r="H171" s="380" t="str">
        <f>IFERROR(H11/#REF!,"")</f>
        <v/>
      </c>
      <c r="I171" s="380" t="str">
        <f>IFERROR(I11/#REF!,"")</f>
        <v/>
      </c>
      <c r="J171" s="380" t="str">
        <f>IFERROR(J11/#REF!,"")</f>
        <v/>
      </c>
      <c r="K171" s="380" t="str">
        <f>IFERROR(K11/#REF!,"")</f>
        <v/>
      </c>
      <c r="L171" s="380" t="str">
        <f>IFERROR(L11/#REF!,"")</f>
        <v/>
      </c>
      <c r="M171" s="380" t="str">
        <f>IFERROR(M11/#REF!,"")</f>
        <v/>
      </c>
      <c r="N171" s="380" t="str">
        <f>IFERROR(N11/#REF!,"")</f>
        <v/>
      </c>
      <c r="O171" s="380" t="str">
        <f>IFERROR(O11/#REF!,"")</f>
        <v/>
      </c>
      <c r="P171" s="380" t="str">
        <f>IFERROR(P11/#REF!,"")</f>
        <v/>
      </c>
      <c r="Q171" s="380" t="str">
        <f>IFERROR(Q11/#REF!,"")</f>
        <v/>
      </c>
      <c r="R171" s="380" t="str">
        <f>IFERROR(R11/#REF!,"")</f>
        <v/>
      </c>
      <c r="S171" s="380" t="str">
        <f>IFERROR(S11/#REF!,"")</f>
        <v/>
      </c>
      <c r="T171" s="380" t="str">
        <f>IFERROR(T11/#REF!,"")</f>
        <v/>
      </c>
      <c r="U171" s="380" t="str">
        <f>IFERROR(U11/#REF!,"")</f>
        <v/>
      </c>
      <c r="V171" s="380" t="str">
        <f>IFERROR(V11/#REF!,"")</f>
        <v/>
      </c>
      <c r="W171" s="380" t="str">
        <f>IFERROR(W11/#REF!,"")</f>
        <v/>
      </c>
      <c r="X171" s="380" t="str">
        <f>IFERROR(X11/#REF!,"")</f>
        <v/>
      </c>
      <c r="Y171" s="380" t="str">
        <f>IFERROR(Y11/#REF!,"")</f>
        <v/>
      </c>
      <c r="Z171" s="380" t="str">
        <f>IFERROR(Z11/#REF!,"")</f>
        <v/>
      </c>
      <c r="AA171" s="380" t="str">
        <f>IFERROR(AA11/#REF!,"")</f>
        <v/>
      </c>
      <c r="AB171" s="380" t="str">
        <f>IFERROR(AB11/#REF!,"")</f>
        <v/>
      </c>
      <c r="AC171" s="380" t="str">
        <f>IFERROR(AC11/#REF!,"")</f>
        <v/>
      </c>
      <c r="AD171" s="380" t="str">
        <f>IFERROR(AD11/#REF!,"")</f>
        <v/>
      </c>
      <c r="AE171" s="380" t="str">
        <f>IFERROR(AE11/#REF!,"")</f>
        <v/>
      </c>
      <c r="AF171" s="380" t="str">
        <f>IFERROR(AF11/#REF!,"")</f>
        <v/>
      </c>
      <c r="AG171" s="381" t="str">
        <f>IFERROR(AG11/#REF!,"")</f>
        <v/>
      </c>
      <c r="AH171" s="275" t="e">
        <f>AH11/#REF!</f>
        <v>#REF!</v>
      </c>
      <c r="AI171" s="277" t="e">
        <f>AI11/#REF!</f>
        <v>#REF!</v>
      </c>
      <c r="AJ171" s="276" t="e">
        <f>AJ11/#REF!</f>
        <v>#REF!</v>
      </c>
      <c r="AK171" s="379"/>
      <c r="AL171" s="151"/>
      <c r="AM171" s="277" t="e">
        <f>AM11/#REF!</f>
        <v>#REF!</v>
      </c>
      <c r="AN171" s="277" t="e">
        <f>AN11/#REF!</f>
        <v>#REF!</v>
      </c>
      <c r="AO171" s="277" t="e">
        <f>AO11/#REF!</f>
        <v>#REF!</v>
      </c>
    </row>
    <row r="172" spans="1:41" ht="15.75" thickBot="1">
      <c r="B172" s="76" t="s">
        <v>13</v>
      </c>
      <c r="C172" s="378"/>
      <c r="D172" s="380" t="str">
        <f>IFERROR(D13/#REF!,"")</f>
        <v/>
      </c>
      <c r="E172" s="380" t="str">
        <f>IFERROR(E13/#REF!,"")</f>
        <v/>
      </c>
      <c r="F172" s="380" t="str">
        <f>IFERROR(F13/#REF!,"")</f>
        <v/>
      </c>
      <c r="G172" s="380" t="str">
        <f>IFERROR(G13/#REF!,"")</f>
        <v/>
      </c>
      <c r="H172" s="380" t="str">
        <f>IFERROR(H13/#REF!,"")</f>
        <v/>
      </c>
      <c r="I172" s="380" t="str">
        <f>IFERROR(I13/#REF!,"")</f>
        <v/>
      </c>
      <c r="J172" s="380" t="str">
        <f>IFERROR(J13/#REF!,"")</f>
        <v/>
      </c>
      <c r="K172" s="380" t="str">
        <f>IFERROR(K13/#REF!,"")</f>
        <v/>
      </c>
      <c r="L172" s="380" t="str">
        <f>IFERROR(L13/#REF!,"")</f>
        <v/>
      </c>
      <c r="M172" s="380" t="str">
        <f>IFERROR(M13/#REF!,"")</f>
        <v/>
      </c>
      <c r="N172" s="380" t="str">
        <f>IFERROR(N13/#REF!,"")</f>
        <v/>
      </c>
      <c r="O172" s="380" t="str">
        <f>IFERROR(O13/#REF!,"")</f>
        <v/>
      </c>
      <c r="P172" s="380" t="str">
        <f>IFERROR(P13/#REF!,"")</f>
        <v/>
      </c>
      <c r="Q172" s="380" t="str">
        <f>IFERROR(Q13/#REF!,"")</f>
        <v/>
      </c>
      <c r="R172" s="380" t="str">
        <f>IFERROR(R13/#REF!,"")</f>
        <v/>
      </c>
      <c r="S172" s="380" t="str">
        <f>IFERROR(S13/#REF!,"")</f>
        <v/>
      </c>
      <c r="T172" s="380" t="str">
        <f>IFERROR(T13/#REF!,"")</f>
        <v/>
      </c>
      <c r="U172" s="380" t="str">
        <f>IFERROR(U13/#REF!,"")</f>
        <v/>
      </c>
      <c r="V172" s="380" t="str">
        <f>IFERROR(V13/#REF!,"")</f>
        <v/>
      </c>
      <c r="W172" s="380" t="str">
        <f>IFERROR(W13/#REF!,"")</f>
        <v/>
      </c>
      <c r="X172" s="380" t="str">
        <f>IFERROR(X13/#REF!,"")</f>
        <v/>
      </c>
      <c r="Y172" s="380" t="str">
        <f>IFERROR(Y13/#REF!,"")</f>
        <v/>
      </c>
      <c r="Z172" s="380" t="str">
        <f>IFERROR(Z13/#REF!,"")</f>
        <v/>
      </c>
      <c r="AA172" s="380" t="str">
        <f>IFERROR(AA13/#REF!,"")</f>
        <v/>
      </c>
      <c r="AB172" s="380" t="str">
        <f>IFERROR(AB13/#REF!,"")</f>
        <v/>
      </c>
      <c r="AC172" s="380" t="str">
        <f>IFERROR(AC13/#REF!,"")</f>
        <v/>
      </c>
      <c r="AD172" s="380" t="str">
        <f>IFERROR(AD13/#REF!,"")</f>
        <v/>
      </c>
      <c r="AE172" s="380" t="str">
        <f>IFERROR(AE13/#REF!,"")</f>
        <v/>
      </c>
      <c r="AF172" s="380" t="str">
        <f>IFERROR(AF13/#REF!,"")</f>
        <v/>
      </c>
      <c r="AG172" s="381" t="str">
        <f>IFERROR(AG13/#REF!,"")</f>
        <v/>
      </c>
      <c r="AH172" s="275" t="e">
        <f>AH13/#REF!</f>
        <v>#VALUE!</v>
      </c>
      <c r="AI172" s="277" t="e">
        <f>AI13/#REF!</f>
        <v>#VALUE!</v>
      </c>
      <c r="AJ172" s="276" t="e">
        <f>AJ13/#REF!</f>
        <v>#VALUE!</v>
      </c>
      <c r="AK172" s="379"/>
      <c r="AL172" s="151"/>
      <c r="AM172" s="277" t="e">
        <f>AM13/#REF!</f>
        <v>#VALUE!</v>
      </c>
      <c r="AN172" s="277" t="e">
        <f>AN13/#REF!</f>
        <v>#VALUE!</v>
      </c>
      <c r="AO172" s="277" t="e">
        <f>AO13/#REF!</f>
        <v>#VALUE!</v>
      </c>
    </row>
    <row r="173" spans="1:41" ht="15.75" thickBot="1">
      <c r="B173" s="287" t="s">
        <v>14</v>
      </c>
      <c r="C173" s="378"/>
      <c r="D173" s="380" t="str">
        <f>IFERROR(D14/#REF!,"")</f>
        <v/>
      </c>
      <c r="E173" s="380" t="str">
        <f>IFERROR(E14/#REF!,"")</f>
        <v/>
      </c>
      <c r="F173" s="380" t="str">
        <f>IFERROR(F14/#REF!,"")</f>
        <v/>
      </c>
      <c r="G173" s="380" t="str">
        <f>IFERROR(G14/#REF!,"")</f>
        <v/>
      </c>
      <c r="H173" s="380" t="str">
        <f>IFERROR(H14/#REF!,"")</f>
        <v/>
      </c>
      <c r="I173" s="380" t="str">
        <f>IFERROR(I14/#REF!,"")</f>
        <v/>
      </c>
      <c r="J173" s="380" t="str">
        <f>IFERROR(J14/#REF!,"")</f>
        <v/>
      </c>
      <c r="K173" s="380" t="str">
        <f>IFERROR(K14/#REF!,"")</f>
        <v/>
      </c>
      <c r="L173" s="380" t="str">
        <f>IFERROR(L14/#REF!,"")</f>
        <v/>
      </c>
      <c r="M173" s="380" t="str">
        <f>IFERROR(M14/#REF!,"")</f>
        <v/>
      </c>
      <c r="N173" s="380" t="str">
        <f>IFERROR(N14/#REF!,"")</f>
        <v/>
      </c>
      <c r="O173" s="380" t="str">
        <f>IFERROR(O14/#REF!,"")</f>
        <v/>
      </c>
      <c r="P173" s="380" t="str">
        <f>IFERROR(P14/#REF!,"")</f>
        <v/>
      </c>
      <c r="Q173" s="380" t="str">
        <f>IFERROR(Q14/#REF!,"")</f>
        <v/>
      </c>
      <c r="R173" s="380" t="str">
        <f>IFERROR(R14/#REF!,"")</f>
        <v/>
      </c>
      <c r="S173" s="380" t="str">
        <f>IFERROR(S14/#REF!,"")</f>
        <v/>
      </c>
      <c r="T173" s="380" t="str">
        <f>IFERROR(T14/#REF!,"")</f>
        <v/>
      </c>
      <c r="U173" s="380" t="str">
        <f>IFERROR(U14/#REF!,"")</f>
        <v/>
      </c>
      <c r="V173" s="380" t="str">
        <f>IFERROR(V14/#REF!,"")</f>
        <v/>
      </c>
      <c r="W173" s="380" t="str">
        <f>IFERROR(W14/#REF!,"")</f>
        <v/>
      </c>
      <c r="X173" s="380" t="str">
        <f>IFERROR(X14/#REF!,"")</f>
        <v/>
      </c>
      <c r="Y173" s="380" t="str">
        <f>IFERROR(Y14/#REF!,"")</f>
        <v/>
      </c>
      <c r="Z173" s="380" t="str">
        <f>IFERROR(Z14/#REF!,"")</f>
        <v/>
      </c>
      <c r="AA173" s="380" t="str">
        <f>IFERROR(AA14/#REF!,"")</f>
        <v/>
      </c>
      <c r="AB173" s="380" t="str">
        <f>IFERROR(AB14/#REF!,"")</f>
        <v/>
      </c>
      <c r="AC173" s="380" t="str">
        <f>IFERROR(AC14/#REF!,"")</f>
        <v/>
      </c>
      <c r="AD173" s="380" t="str">
        <f>IFERROR(AD14/#REF!,"")</f>
        <v/>
      </c>
      <c r="AE173" s="380" t="str">
        <f>IFERROR(AE14/#REF!,"")</f>
        <v/>
      </c>
      <c r="AF173" s="380" t="str">
        <f>IFERROR(AF14/#REF!,"")</f>
        <v/>
      </c>
      <c r="AG173" s="381" t="str">
        <f>IFERROR(AG14/#REF!,"")</f>
        <v/>
      </c>
      <c r="AH173" s="382" t="str">
        <f>$AG173</f>
        <v/>
      </c>
      <c r="AI173" s="383" t="str">
        <f>AH173</f>
        <v/>
      </c>
      <c r="AJ173" s="384" t="str">
        <f>AI173</f>
        <v/>
      </c>
      <c r="AM173" s="385" t="str">
        <f>$AG173</f>
        <v/>
      </c>
      <c r="AN173" s="386" t="str">
        <f>AM173</f>
        <v/>
      </c>
      <c r="AO173" s="387" t="str">
        <f>AN173</f>
        <v/>
      </c>
    </row>
    <row r="174" spans="1:41">
      <c r="B174" s="378" t="s">
        <v>157</v>
      </c>
      <c r="C174" s="378"/>
      <c r="D174" s="380" t="str">
        <f>IFERROR(D15/#REF!,"")</f>
        <v/>
      </c>
      <c r="E174" s="380" t="str">
        <f>IFERROR(E15/#REF!,"")</f>
        <v/>
      </c>
      <c r="F174" s="380" t="str">
        <f>IFERROR(F15/#REF!,"")</f>
        <v/>
      </c>
      <c r="G174" s="380" t="str">
        <f>IFERROR(G15/#REF!,"")</f>
        <v/>
      </c>
      <c r="H174" s="380" t="str">
        <f>IFERROR(H15/#REF!,"")</f>
        <v/>
      </c>
      <c r="I174" s="380" t="str">
        <f>IFERROR(I15/#REF!,"")</f>
        <v/>
      </c>
      <c r="J174" s="380" t="str">
        <f>IFERROR(J15/#REF!,"")</f>
        <v/>
      </c>
      <c r="K174" s="380" t="str">
        <f>IFERROR(K15/#REF!,"")</f>
        <v/>
      </c>
      <c r="L174" s="380" t="str">
        <f>IFERROR(L15/#REF!,"")</f>
        <v/>
      </c>
      <c r="M174" s="380" t="str">
        <f>IFERROR(M15/#REF!,"")</f>
        <v/>
      </c>
      <c r="N174" s="380" t="str">
        <f>IFERROR(N15/#REF!,"")</f>
        <v/>
      </c>
      <c r="O174" s="380" t="str">
        <f>IFERROR(O15/#REF!,"")</f>
        <v/>
      </c>
      <c r="P174" s="380" t="str">
        <f>IFERROR(P15/#REF!,"")</f>
        <v/>
      </c>
      <c r="Q174" s="380" t="str">
        <f>IFERROR(Q15/#REF!,"")</f>
        <v/>
      </c>
      <c r="R174" s="380" t="str">
        <f>IFERROR(R15/#REF!,"")</f>
        <v/>
      </c>
      <c r="S174" s="380" t="str">
        <f>IFERROR(S15/#REF!,"")</f>
        <v/>
      </c>
      <c r="T174" s="380" t="str">
        <f>IFERROR(T15/#REF!,"")</f>
        <v/>
      </c>
      <c r="U174" s="380" t="str">
        <f>IFERROR(U15/#REF!,"")</f>
        <v/>
      </c>
      <c r="V174" s="380" t="str">
        <f>IFERROR(V15/#REF!,"")</f>
        <v/>
      </c>
      <c r="W174" s="380" t="str">
        <f>IFERROR(W15/#REF!,"")</f>
        <v/>
      </c>
      <c r="X174" s="380" t="str">
        <f>IFERROR(X15/#REF!,"")</f>
        <v/>
      </c>
      <c r="Y174" s="380" t="str">
        <f>IFERROR(Y15/#REF!,"")</f>
        <v/>
      </c>
      <c r="Z174" s="380" t="str">
        <f>IFERROR(Z15/#REF!,"")</f>
        <v/>
      </c>
      <c r="AA174" s="380" t="str">
        <f>IFERROR(AA15/#REF!,"")</f>
        <v/>
      </c>
      <c r="AB174" s="380" t="str">
        <f>IFERROR(AB15/#REF!,"")</f>
        <v/>
      </c>
      <c r="AC174" s="380" t="str">
        <f>IFERROR(AC15/#REF!,"")</f>
        <v/>
      </c>
      <c r="AD174" s="380" t="str">
        <f>IFERROR(AD15/#REF!,"")</f>
        <v/>
      </c>
      <c r="AE174" s="380" t="str">
        <f>IFERROR(AE15/#REF!,"")</f>
        <v/>
      </c>
      <c r="AF174" s="380" t="str">
        <f>IFERROR(AF15/#REF!,"")</f>
        <v/>
      </c>
      <c r="AG174" s="381" t="str">
        <f>IFERROR(AG15/#REF!,"")</f>
        <v/>
      </c>
      <c r="AH174" s="275" t="e">
        <f>AH15/#REF!</f>
        <v>#VALUE!</v>
      </c>
      <c r="AI174" s="277" t="e">
        <f>AI15/#REF!</f>
        <v>#VALUE!</v>
      </c>
      <c r="AJ174" s="276" t="e">
        <f>AJ15/#REF!</f>
        <v>#VALUE!</v>
      </c>
      <c r="AK174" s="379"/>
      <c r="AL174" s="151"/>
      <c r="AM174" s="277" t="e">
        <f>AM15/#REF!</f>
        <v>#VALUE!</v>
      </c>
      <c r="AN174" s="277" t="e">
        <f>AN15/#REF!</f>
        <v>#VALUE!</v>
      </c>
      <c r="AO174" s="277" t="e">
        <f>AO15/#REF!</f>
        <v>#VALUE!</v>
      </c>
    </row>
    <row r="175" spans="1:41">
      <c r="B175" s="53" t="s">
        <v>165</v>
      </c>
      <c r="C175" s="378"/>
      <c r="D175" s="380" t="str">
        <f>IFERROR(D17/#REF!,"")</f>
        <v/>
      </c>
      <c r="E175" s="380" t="str">
        <f>IFERROR(E17/#REF!,"")</f>
        <v/>
      </c>
      <c r="F175" s="380" t="str">
        <f>IFERROR(F17/#REF!,"")</f>
        <v/>
      </c>
      <c r="G175" s="380" t="str">
        <f>IFERROR(G17/#REF!,"")</f>
        <v/>
      </c>
      <c r="H175" s="380" t="str">
        <f>IFERROR(H17/#REF!,"")</f>
        <v/>
      </c>
      <c r="I175" s="380" t="str">
        <f>IFERROR(I17/#REF!,"")</f>
        <v/>
      </c>
      <c r="J175" s="380" t="str">
        <f>IFERROR(J17/#REF!,"")</f>
        <v/>
      </c>
      <c r="K175" s="380" t="str">
        <f>IFERROR(K17/#REF!,"")</f>
        <v/>
      </c>
      <c r="L175" s="380" t="str">
        <f>IFERROR(L17/#REF!,"")</f>
        <v/>
      </c>
      <c r="M175" s="380" t="str">
        <f>IFERROR(M17/#REF!,"")</f>
        <v/>
      </c>
      <c r="N175" s="380" t="str">
        <f>IFERROR(N17/#REF!,"")</f>
        <v/>
      </c>
      <c r="O175" s="380" t="str">
        <f>IFERROR(O17/#REF!,"")</f>
        <v/>
      </c>
      <c r="P175" s="380" t="str">
        <f>IFERROR(P17/#REF!,"")</f>
        <v/>
      </c>
      <c r="Q175" s="380" t="str">
        <f>IFERROR(Q17/#REF!,"")</f>
        <v/>
      </c>
      <c r="R175" s="380" t="str">
        <f>IFERROR(R17/#REF!,"")</f>
        <v/>
      </c>
      <c r="S175" s="380" t="str">
        <f>IFERROR(S17/#REF!,"")</f>
        <v/>
      </c>
      <c r="T175" s="380" t="str">
        <f>IFERROR(T17/#REF!,"")</f>
        <v/>
      </c>
      <c r="U175" s="380" t="str">
        <f>IFERROR(U17/#REF!,"")</f>
        <v/>
      </c>
      <c r="V175" s="380" t="str">
        <f>IFERROR(V17/#REF!,"")</f>
        <v/>
      </c>
      <c r="W175" s="380" t="str">
        <f>IFERROR(W17/#REF!,"")</f>
        <v/>
      </c>
      <c r="X175" s="380" t="str">
        <f>IFERROR(X17/#REF!,"")</f>
        <v/>
      </c>
      <c r="Y175" s="380" t="str">
        <f>IFERROR(Y17/#REF!,"")</f>
        <v/>
      </c>
      <c r="Z175" s="380" t="str">
        <f>IFERROR(Z17/#REF!,"")</f>
        <v/>
      </c>
      <c r="AA175" s="380" t="str">
        <f>IFERROR(AA17/#REF!,"")</f>
        <v/>
      </c>
      <c r="AB175" s="380" t="str">
        <f>IFERROR(AB17/#REF!,"")</f>
        <v/>
      </c>
      <c r="AC175" s="380" t="str">
        <f>IFERROR(AC17/#REF!,"")</f>
        <v/>
      </c>
      <c r="AD175" s="380" t="str">
        <f>IFERROR(AD17/#REF!,"")</f>
        <v/>
      </c>
      <c r="AE175" s="380" t="str">
        <f>IFERROR(AE17/#REF!,"")</f>
        <v/>
      </c>
      <c r="AF175" s="380" t="str">
        <f>IFERROR(AF17/#REF!,"")</f>
        <v/>
      </c>
      <c r="AG175" s="381" t="str">
        <f>IFERROR(AG17/#REF!,"")</f>
        <v/>
      </c>
      <c r="AH175" s="275" t="e">
        <f>AH17/#REF!</f>
        <v>#REF!</v>
      </c>
      <c r="AI175" s="277" t="e">
        <f>AI17/#REF!</f>
        <v>#REF!</v>
      </c>
      <c r="AJ175" s="276" t="e">
        <f>AJ17/#REF!</f>
        <v>#REF!</v>
      </c>
      <c r="AK175" s="379"/>
      <c r="AL175" s="151"/>
      <c r="AM175" s="277" t="e">
        <f>AM17/#REF!</f>
        <v>#REF!</v>
      </c>
      <c r="AN175" s="277" t="e">
        <f>AN17/#REF!</f>
        <v>#REF!</v>
      </c>
      <c r="AO175" s="277" t="e">
        <f>AO17/#REF!</f>
        <v>#REF!</v>
      </c>
    </row>
    <row r="176" spans="1:41">
      <c r="B176" s="53"/>
      <c r="C176" s="378"/>
      <c r="D176" s="275"/>
      <c r="E176" s="275"/>
      <c r="F176" s="275"/>
      <c r="G176" s="275"/>
      <c r="H176" s="275"/>
      <c r="I176" s="275"/>
      <c r="J176" s="275"/>
      <c r="K176" s="275"/>
      <c r="L176" s="275"/>
      <c r="M176" s="275"/>
      <c r="N176" s="275"/>
      <c r="O176" s="275"/>
      <c r="P176" s="275"/>
      <c r="Q176" s="275"/>
      <c r="R176" s="275"/>
      <c r="S176" s="275"/>
      <c r="T176" s="275"/>
      <c r="U176" s="275"/>
      <c r="V176" s="275"/>
      <c r="W176" s="275"/>
      <c r="X176" s="275"/>
      <c r="Y176" s="275"/>
      <c r="Z176" s="275"/>
      <c r="AA176" s="275"/>
      <c r="AB176" s="275"/>
      <c r="AC176" s="275"/>
      <c r="AD176" s="275"/>
      <c r="AE176" s="275"/>
      <c r="AF176" s="275"/>
      <c r="AG176" s="276"/>
      <c r="AH176" s="275"/>
      <c r="AI176" s="277"/>
      <c r="AJ176" s="276"/>
      <c r="AK176" s="379"/>
      <c r="AL176" s="151"/>
      <c r="AM176" s="277"/>
      <c r="AN176" s="277"/>
      <c r="AO176" s="277"/>
    </row>
    <row r="177" spans="1:41">
      <c r="B177" s="43" t="s">
        <v>16</v>
      </c>
      <c r="C177" s="378"/>
      <c r="D177" s="380" t="str">
        <f>IFERROR(D19/#REF!,"")</f>
        <v/>
      </c>
      <c r="E177" s="380" t="str">
        <f>IFERROR(E19/#REF!,"")</f>
        <v/>
      </c>
      <c r="F177" s="380" t="str">
        <f>IFERROR(F19/#REF!,"")</f>
        <v/>
      </c>
      <c r="G177" s="380" t="str">
        <f>IFERROR(G19/#REF!,"")</f>
        <v/>
      </c>
      <c r="H177" s="380" t="str">
        <f>IFERROR(H19/#REF!,"")</f>
        <v/>
      </c>
      <c r="I177" s="380" t="str">
        <f>IFERROR(I19/#REF!,"")</f>
        <v/>
      </c>
      <c r="J177" s="380" t="str">
        <f>IFERROR(J19/#REF!,"")</f>
        <v/>
      </c>
      <c r="K177" s="380" t="str">
        <f>IFERROR(K19/#REF!,"")</f>
        <v/>
      </c>
      <c r="L177" s="380" t="str">
        <f>IFERROR(L19/#REF!,"")</f>
        <v/>
      </c>
      <c r="M177" s="380" t="str">
        <f>IFERROR(M19/#REF!,"")</f>
        <v/>
      </c>
      <c r="N177" s="380" t="str">
        <f>IFERROR(N19/#REF!,"")</f>
        <v/>
      </c>
      <c r="O177" s="380" t="str">
        <f>IFERROR(O19/#REF!,"")</f>
        <v/>
      </c>
      <c r="P177" s="380" t="str">
        <f>IFERROR(P19/#REF!,"")</f>
        <v/>
      </c>
      <c r="Q177" s="380" t="str">
        <f>IFERROR(Q19/#REF!,"")</f>
        <v/>
      </c>
      <c r="R177" s="380" t="str">
        <f>IFERROR(R19/#REF!,"")</f>
        <v/>
      </c>
      <c r="S177" s="380" t="str">
        <f>IFERROR(S19/#REF!,"")</f>
        <v/>
      </c>
      <c r="T177" s="380" t="str">
        <f>IFERROR(T19/#REF!,"")</f>
        <v/>
      </c>
      <c r="U177" s="380" t="str">
        <f>IFERROR(U19/#REF!,"")</f>
        <v/>
      </c>
      <c r="V177" s="380" t="str">
        <f>IFERROR(V19/#REF!,"")</f>
        <v/>
      </c>
      <c r="W177" s="380" t="str">
        <f>IFERROR(W19/#REF!,"")</f>
        <v/>
      </c>
      <c r="X177" s="380" t="str">
        <f>IFERROR(X19/#REF!,"")</f>
        <v/>
      </c>
      <c r="Y177" s="380" t="str">
        <f>IFERROR(Y19/#REF!,"")</f>
        <v/>
      </c>
      <c r="Z177" s="380" t="str">
        <f>IFERROR(Z19/#REF!,"")</f>
        <v/>
      </c>
      <c r="AA177" s="380" t="str">
        <f>IFERROR(AA19/#REF!,"")</f>
        <v/>
      </c>
      <c r="AB177" s="380" t="str">
        <f>IFERROR(AB19/#REF!,"")</f>
        <v/>
      </c>
      <c r="AC177" s="380" t="str">
        <f>IFERROR(AC19/#REF!,"")</f>
        <v/>
      </c>
      <c r="AD177" s="380" t="str">
        <f>IFERROR(AD19/#REF!,"")</f>
        <v/>
      </c>
      <c r="AE177" s="380" t="str">
        <f>IFERROR(AE19/#REF!,"")</f>
        <v/>
      </c>
      <c r="AF177" s="380" t="str">
        <f>IFERROR(AF19/#REF!,"")</f>
        <v/>
      </c>
      <c r="AG177" s="381" t="str">
        <f>IFERROR(AG19/#REF!,"")</f>
        <v/>
      </c>
      <c r="AH177" s="275" t="e">
        <f>AH19/#REF!</f>
        <v>#REF!</v>
      </c>
      <c r="AI177" s="277" t="e">
        <f>AI19/#REF!</f>
        <v>#REF!</v>
      </c>
      <c r="AJ177" s="276" t="e">
        <f>AJ19/#REF!</f>
        <v>#REF!</v>
      </c>
      <c r="AK177" s="379"/>
      <c r="AL177" s="151"/>
      <c r="AM177" s="277" t="e">
        <f>AM19/#REF!</f>
        <v>#REF!</v>
      </c>
      <c r="AN177" s="277" t="e">
        <f>AN19/#REF!</f>
        <v>#REF!</v>
      </c>
      <c r="AO177" s="277" t="e">
        <f>AO19/#REF!</f>
        <v>#REF!</v>
      </c>
    </row>
    <row r="178" spans="1:41" ht="15.75" thickBot="1">
      <c r="B178" s="43" t="s">
        <v>17</v>
      </c>
      <c r="C178" s="378"/>
      <c r="D178" s="380" t="str">
        <f>IFERROR(D20/#REF!,"")</f>
        <v/>
      </c>
      <c r="E178" s="380" t="str">
        <f>IFERROR(E20/#REF!,"")</f>
        <v/>
      </c>
      <c r="F178" s="380" t="str">
        <f>IFERROR(F20/#REF!,"")</f>
        <v/>
      </c>
      <c r="G178" s="380" t="str">
        <f>IFERROR(G20/#REF!,"")</f>
        <v/>
      </c>
      <c r="H178" s="380" t="str">
        <f>IFERROR(H20/#REF!,"")</f>
        <v/>
      </c>
      <c r="I178" s="380" t="str">
        <f>IFERROR(I20/#REF!,"")</f>
        <v/>
      </c>
      <c r="J178" s="380" t="str">
        <f>IFERROR(J20/#REF!,"")</f>
        <v/>
      </c>
      <c r="K178" s="380" t="str">
        <f>IFERROR(K20/#REF!,"")</f>
        <v/>
      </c>
      <c r="L178" s="380" t="str">
        <f>IFERROR(L20/#REF!,"")</f>
        <v/>
      </c>
      <c r="M178" s="380" t="str">
        <f>IFERROR(M20/#REF!,"")</f>
        <v/>
      </c>
      <c r="N178" s="380" t="str">
        <f>IFERROR(N20/#REF!,"")</f>
        <v/>
      </c>
      <c r="O178" s="380" t="str">
        <f>IFERROR(O20/#REF!,"")</f>
        <v/>
      </c>
      <c r="P178" s="380" t="str">
        <f>IFERROR(P20/#REF!,"")</f>
        <v/>
      </c>
      <c r="Q178" s="380" t="str">
        <f>IFERROR(Q20/#REF!,"")</f>
        <v/>
      </c>
      <c r="R178" s="380" t="str">
        <f>IFERROR(R20/#REF!,"")</f>
        <v/>
      </c>
      <c r="S178" s="380" t="str">
        <f>IFERROR(S20/#REF!,"")</f>
        <v/>
      </c>
      <c r="T178" s="380" t="str">
        <f>IFERROR(T20/#REF!,"")</f>
        <v/>
      </c>
      <c r="U178" s="380" t="str">
        <f>IFERROR(U20/#REF!,"")</f>
        <v/>
      </c>
      <c r="V178" s="380" t="str">
        <f>IFERROR(V20/#REF!,"")</f>
        <v/>
      </c>
      <c r="W178" s="380" t="str">
        <f>IFERROR(W20/#REF!,"")</f>
        <v/>
      </c>
      <c r="X178" s="380" t="str">
        <f>IFERROR(X20/#REF!,"")</f>
        <v/>
      </c>
      <c r="Y178" s="380" t="str">
        <f>IFERROR(Y20/#REF!,"")</f>
        <v/>
      </c>
      <c r="Z178" s="380" t="str">
        <f>IFERROR(Z20/#REF!,"")</f>
        <v/>
      </c>
      <c r="AA178" s="380" t="str">
        <f>IFERROR(AA20/#REF!,"")</f>
        <v/>
      </c>
      <c r="AB178" s="380" t="str">
        <f>IFERROR(AB20/#REF!,"")</f>
        <v/>
      </c>
      <c r="AC178" s="380" t="str">
        <f>IFERROR(AC20/#REF!,"")</f>
        <v/>
      </c>
      <c r="AD178" s="380" t="str">
        <f>IFERROR(AD20/#REF!,"")</f>
        <v/>
      </c>
      <c r="AE178" s="380" t="str">
        <f>IFERROR(AE20/#REF!,"")</f>
        <v/>
      </c>
      <c r="AF178" s="380" t="str">
        <f>IFERROR(AF20/#REF!,"")</f>
        <v/>
      </c>
      <c r="AG178" s="381" t="str">
        <f>IFERROR(AG20/#REF!,"")</f>
        <v/>
      </c>
      <c r="AH178" s="275" t="e">
        <f>AH20/#REF!</f>
        <v>#REF!</v>
      </c>
      <c r="AI178" s="277" t="e">
        <f>AI20/#REF!</f>
        <v>#REF!</v>
      </c>
      <c r="AJ178" s="276" t="e">
        <f>AJ20/#REF!</f>
        <v>#REF!</v>
      </c>
      <c r="AK178" s="379"/>
      <c r="AL178" s="151"/>
      <c r="AM178" s="277" t="e">
        <f>AM20/#REF!</f>
        <v>#REF!</v>
      </c>
      <c r="AN178" s="277" t="e">
        <f>AN20/#REF!</f>
        <v>#REF!</v>
      </c>
      <c r="AO178" s="277" t="e">
        <f>AO20/#REF!</f>
        <v>#REF!</v>
      </c>
    </row>
    <row r="179" spans="1:41" ht="15.95" customHeight="1" thickBot="1">
      <c r="B179" s="76" t="s">
        <v>139</v>
      </c>
      <c r="C179" s="82"/>
      <c r="D179" s="380" t="str">
        <f>IFERROR(D21/#REF!,"")</f>
        <v/>
      </c>
      <c r="E179" s="380" t="str">
        <f>IFERROR(E21/#REF!,"")</f>
        <v/>
      </c>
      <c r="F179" s="380" t="str">
        <f>IFERROR(F21/#REF!,"")</f>
        <v/>
      </c>
      <c r="G179" s="380" t="str">
        <f>IFERROR(G21/#REF!,"")</f>
        <v/>
      </c>
      <c r="H179" s="380" t="str">
        <f>IFERROR(H21/#REF!,"")</f>
        <v/>
      </c>
      <c r="I179" s="380" t="str">
        <f>IFERROR(I21/#REF!,"")</f>
        <v/>
      </c>
      <c r="J179" s="380" t="str">
        <f>IFERROR(J21/#REF!,"")</f>
        <v/>
      </c>
      <c r="K179" s="380" t="str">
        <f>IFERROR(K21/#REF!,"")</f>
        <v/>
      </c>
      <c r="L179" s="380" t="str">
        <f>IFERROR(L21/#REF!,"")</f>
        <v/>
      </c>
      <c r="M179" s="380" t="str">
        <f>IFERROR(M21/#REF!,"")</f>
        <v/>
      </c>
      <c r="N179" s="380" t="str">
        <f>IFERROR(N21/#REF!,"")</f>
        <v/>
      </c>
      <c r="O179" s="380" t="str">
        <f>IFERROR(O21/#REF!,"")</f>
        <v/>
      </c>
      <c r="P179" s="380" t="str">
        <f>IFERROR(P21/#REF!,"")</f>
        <v/>
      </c>
      <c r="Q179" s="380" t="str">
        <f>IFERROR(Q21/#REF!,"")</f>
        <v/>
      </c>
      <c r="R179" s="380" t="str">
        <f>IFERROR(R21/#REF!,"")</f>
        <v/>
      </c>
      <c r="S179" s="380" t="str">
        <f>IFERROR(S21/#REF!,"")</f>
        <v/>
      </c>
      <c r="T179" s="380" t="str">
        <f>IFERROR(T21/#REF!,"")</f>
        <v/>
      </c>
      <c r="U179" s="380" t="str">
        <f>IFERROR(U21/#REF!,"")</f>
        <v/>
      </c>
      <c r="V179" s="380" t="str">
        <f>IFERROR(V21/#REF!,"")</f>
        <v/>
      </c>
      <c r="W179" s="380" t="str">
        <f>IFERROR(W21/#REF!,"")</f>
        <v/>
      </c>
      <c r="X179" s="380" t="str">
        <f>IFERROR(X21/#REF!,"")</f>
        <v/>
      </c>
      <c r="Y179" s="380" t="str">
        <f>IFERROR(Y21/#REF!,"")</f>
        <v/>
      </c>
      <c r="Z179" s="380" t="str">
        <f>IFERROR(Z21/#REF!,"")</f>
        <v/>
      </c>
      <c r="AA179" s="380" t="str">
        <f>IFERROR(AA21/#REF!,"")</f>
        <v/>
      </c>
      <c r="AB179" s="380" t="str">
        <f>IFERROR(AB21/#REF!,"")</f>
        <v/>
      </c>
      <c r="AC179" s="380" t="str">
        <f>IFERROR(AC21/#REF!,"")</f>
        <v/>
      </c>
      <c r="AD179" s="380" t="str">
        <f>IFERROR(AD21/#REF!,"")</f>
        <v/>
      </c>
      <c r="AE179" s="380" t="str">
        <f>IFERROR(AE21/#REF!,"")</f>
        <v/>
      </c>
      <c r="AF179" s="380" t="str">
        <f>IFERROR(AF21/#REF!,"")</f>
        <v/>
      </c>
      <c r="AG179" s="381" t="str">
        <f>IFERROR(AG21/#REF!,"")</f>
        <v/>
      </c>
      <c r="AH179" s="382" t="str">
        <f>$AG179</f>
        <v/>
      </c>
      <c r="AI179" s="383" t="str">
        <f>AH179</f>
        <v/>
      </c>
      <c r="AJ179" s="384" t="str">
        <f>AI179</f>
        <v/>
      </c>
      <c r="AM179" s="385" t="str">
        <f>$AG179</f>
        <v/>
      </c>
      <c r="AN179" s="386" t="str">
        <f>AM179</f>
        <v/>
      </c>
      <c r="AO179" s="387" t="str">
        <f>AN179</f>
        <v/>
      </c>
    </row>
    <row r="180" spans="1:41" ht="15.75" thickBot="1">
      <c r="B180" s="82" t="s">
        <v>186</v>
      </c>
      <c r="C180" s="378"/>
      <c r="D180" s="380" t="str">
        <f>IFERROR(D22/#REF!,"")</f>
        <v/>
      </c>
      <c r="E180" s="380" t="str">
        <f>IFERROR(E22/#REF!,"")</f>
        <v/>
      </c>
      <c r="F180" s="380" t="str">
        <f>IFERROR(F22/#REF!,"")</f>
        <v/>
      </c>
      <c r="G180" s="380" t="str">
        <f>IFERROR(G22/#REF!,"")</f>
        <v/>
      </c>
      <c r="H180" s="380" t="str">
        <f>IFERROR(H22/#REF!,"")</f>
        <v/>
      </c>
      <c r="I180" s="380" t="str">
        <f>IFERROR(I22/#REF!,"")</f>
        <v/>
      </c>
      <c r="J180" s="380" t="str">
        <f>IFERROR(J22/#REF!,"")</f>
        <v/>
      </c>
      <c r="K180" s="380" t="str">
        <f>IFERROR(K22/#REF!,"")</f>
        <v/>
      </c>
      <c r="L180" s="380" t="str">
        <f>IFERROR(L22/#REF!,"")</f>
        <v/>
      </c>
      <c r="M180" s="380" t="str">
        <f>IFERROR(M22/#REF!,"")</f>
        <v/>
      </c>
      <c r="N180" s="380" t="str">
        <f>IFERROR(N22/#REF!,"")</f>
        <v/>
      </c>
      <c r="O180" s="380" t="str">
        <f>IFERROR(O22/#REF!,"")</f>
        <v/>
      </c>
      <c r="P180" s="380" t="str">
        <f>IFERROR(P22/#REF!,"")</f>
        <v/>
      </c>
      <c r="Q180" s="380" t="str">
        <f>IFERROR(Q22/#REF!,"")</f>
        <v/>
      </c>
      <c r="R180" s="380" t="str">
        <f>IFERROR(R22/#REF!,"")</f>
        <v/>
      </c>
      <c r="S180" s="380" t="str">
        <f>IFERROR(S22/#REF!,"")</f>
        <v/>
      </c>
      <c r="T180" s="380" t="str">
        <f>IFERROR(T22/#REF!,"")</f>
        <v/>
      </c>
      <c r="U180" s="380" t="str">
        <f>IFERROR(U22/#REF!,"")</f>
        <v/>
      </c>
      <c r="V180" s="380" t="str">
        <f>IFERROR(V22/#REF!,"")</f>
        <v/>
      </c>
      <c r="W180" s="380" t="str">
        <f>IFERROR(W22/#REF!,"")</f>
        <v/>
      </c>
      <c r="X180" s="380" t="str">
        <f>IFERROR(X22/#REF!,"")</f>
        <v/>
      </c>
      <c r="Y180" s="380" t="str">
        <f>IFERROR(Y22/#REF!,"")</f>
        <v/>
      </c>
      <c r="Z180" s="380" t="str">
        <f>IFERROR(Z22/#REF!,"")</f>
        <v/>
      </c>
      <c r="AA180" s="380" t="str">
        <f>IFERROR(AA22/#REF!,"")</f>
        <v/>
      </c>
      <c r="AB180" s="380" t="str">
        <f>IFERROR(AB22/#REF!,"")</f>
        <v/>
      </c>
      <c r="AC180" s="380" t="str">
        <f>IFERROR(AC22/#REF!,"")</f>
        <v/>
      </c>
      <c r="AD180" s="380" t="str">
        <f>IFERROR(AD22/#REF!,"")</f>
        <v/>
      </c>
      <c r="AE180" s="380" t="str">
        <f>IFERROR(AE22/#REF!,"")</f>
        <v/>
      </c>
      <c r="AF180" s="380" t="str">
        <f>IFERROR(AF22/#REF!,"")</f>
        <v/>
      </c>
      <c r="AG180" s="381" t="str">
        <f>IFERROR(AG22/#REF!,"")</f>
        <v/>
      </c>
      <c r="AH180" s="275" t="e">
        <f>AH22/#REF!</f>
        <v>#REF!</v>
      </c>
      <c r="AI180" s="277" t="e">
        <f>AI22/#REF!</f>
        <v>#REF!</v>
      </c>
      <c r="AJ180" s="276" t="e">
        <f>AJ22/#REF!</f>
        <v>#REF!</v>
      </c>
      <c r="AK180" s="379"/>
      <c r="AL180" s="151"/>
      <c r="AM180" s="277" t="e">
        <f>AM22/#REF!</f>
        <v>#REF!</v>
      </c>
      <c r="AN180" s="277" t="e">
        <f>AN22/#REF!</f>
        <v>#REF!</v>
      </c>
      <c r="AO180" s="277" t="e">
        <f>AO22/#REF!</f>
        <v>#REF!</v>
      </c>
    </row>
    <row r="181" spans="1:41" ht="15.95" customHeight="1" thickBot="1">
      <c r="B181" s="82" t="s">
        <v>39</v>
      </c>
      <c r="C181" s="82"/>
      <c r="D181" s="380" t="str">
        <f>IFERROR(D24/#REF!,"")</f>
        <v/>
      </c>
      <c r="E181" s="380" t="str">
        <f>IFERROR(E24/#REF!,"")</f>
        <v/>
      </c>
      <c r="F181" s="380" t="str">
        <f>IFERROR(F24/#REF!,"")</f>
        <v/>
      </c>
      <c r="G181" s="380" t="str">
        <f>IFERROR(G24/#REF!,"")</f>
        <v/>
      </c>
      <c r="H181" s="380" t="str">
        <f>IFERROR(H24/#REF!,"")</f>
        <v/>
      </c>
      <c r="I181" s="380" t="str">
        <f>IFERROR(I24/#REF!,"")</f>
        <v/>
      </c>
      <c r="J181" s="380" t="str">
        <f>IFERROR(J24/#REF!,"")</f>
        <v/>
      </c>
      <c r="K181" s="380" t="str">
        <f>IFERROR(K24/#REF!,"")</f>
        <v/>
      </c>
      <c r="L181" s="380" t="str">
        <f>IFERROR(L24/#REF!,"")</f>
        <v/>
      </c>
      <c r="M181" s="380" t="str">
        <f>IFERROR(M24/#REF!,"")</f>
        <v/>
      </c>
      <c r="N181" s="380" t="str">
        <f>IFERROR(N24/#REF!,"")</f>
        <v/>
      </c>
      <c r="O181" s="380" t="str">
        <f>IFERROR(O24/#REF!,"")</f>
        <v/>
      </c>
      <c r="P181" s="380" t="str">
        <f>IFERROR(P24/#REF!,"")</f>
        <v/>
      </c>
      <c r="Q181" s="380" t="str">
        <f>IFERROR(Q24/#REF!,"")</f>
        <v/>
      </c>
      <c r="R181" s="380" t="str">
        <f>IFERROR(R24/#REF!,"")</f>
        <v/>
      </c>
      <c r="S181" s="380" t="str">
        <f>IFERROR(S24/#REF!,"")</f>
        <v/>
      </c>
      <c r="T181" s="380" t="str">
        <f>IFERROR(T24/#REF!,"")</f>
        <v/>
      </c>
      <c r="U181" s="380" t="str">
        <f>IFERROR(U24/#REF!,"")</f>
        <v/>
      </c>
      <c r="V181" s="380" t="str">
        <f>IFERROR(V24/#REF!,"")</f>
        <v/>
      </c>
      <c r="W181" s="380" t="str">
        <f>IFERROR(W24/#REF!,"")</f>
        <v/>
      </c>
      <c r="X181" s="380" t="str">
        <f>IFERROR(X24/#REF!,"")</f>
        <v/>
      </c>
      <c r="Y181" s="380" t="str">
        <f>IFERROR(Y24/#REF!,"")</f>
        <v/>
      </c>
      <c r="Z181" s="380" t="str">
        <f>IFERROR(Z24/#REF!,"")</f>
        <v/>
      </c>
      <c r="AA181" s="380" t="str">
        <f>IFERROR(AA24/#REF!,"")</f>
        <v/>
      </c>
      <c r="AB181" s="380" t="str">
        <f>IFERROR(AB24/#REF!,"")</f>
        <v/>
      </c>
      <c r="AC181" s="380" t="str">
        <f>IFERROR(AC24/#REF!,"")</f>
        <v/>
      </c>
      <c r="AD181" s="380" t="str">
        <f>IFERROR(AD24/#REF!,"")</f>
        <v/>
      </c>
      <c r="AE181" s="380" t="str">
        <f>IFERROR(AE24/#REF!,"")</f>
        <v/>
      </c>
      <c r="AF181" s="380" t="str">
        <f>IFERROR(AF24/#REF!,"")</f>
        <v/>
      </c>
      <c r="AG181" s="381" t="str">
        <f>IFERROR(AG24/#REF!,"")</f>
        <v/>
      </c>
      <c r="AH181" s="382" t="str">
        <f>$AG181</f>
        <v/>
      </c>
      <c r="AI181" s="383" t="str">
        <f>AH181</f>
        <v/>
      </c>
      <c r="AJ181" s="384" t="str">
        <f>AI181</f>
        <v/>
      </c>
      <c r="AM181" s="385" t="str">
        <f>$AG181</f>
        <v/>
      </c>
      <c r="AN181" s="386" t="str">
        <f>AM181</f>
        <v/>
      </c>
      <c r="AO181" s="387" t="str">
        <f>AN181</f>
        <v/>
      </c>
    </row>
    <row r="182" spans="1:41">
      <c r="B182" s="89" t="s">
        <v>18</v>
      </c>
      <c r="C182" s="378"/>
      <c r="D182" s="380" t="str">
        <f>IFERROR(D26/#REF!,"")</f>
        <v/>
      </c>
      <c r="E182" s="380" t="str">
        <f>IFERROR(E26/#REF!,"")</f>
        <v/>
      </c>
      <c r="F182" s="380" t="str">
        <f>IFERROR(F26/#REF!,"")</f>
        <v/>
      </c>
      <c r="G182" s="380" t="str">
        <f>IFERROR(G26/#REF!,"")</f>
        <v/>
      </c>
      <c r="H182" s="380" t="str">
        <f>IFERROR(H26/#REF!,"")</f>
        <v/>
      </c>
      <c r="I182" s="380" t="str">
        <f>IFERROR(I26/#REF!,"")</f>
        <v/>
      </c>
      <c r="J182" s="380" t="str">
        <f>IFERROR(J26/#REF!,"")</f>
        <v/>
      </c>
      <c r="K182" s="380" t="str">
        <f>IFERROR(K26/#REF!,"")</f>
        <v/>
      </c>
      <c r="L182" s="380" t="str">
        <f>IFERROR(L26/#REF!,"")</f>
        <v/>
      </c>
      <c r="M182" s="380" t="str">
        <f>IFERROR(M26/#REF!,"")</f>
        <v/>
      </c>
      <c r="N182" s="380" t="str">
        <f>IFERROR(N26/#REF!,"")</f>
        <v/>
      </c>
      <c r="O182" s="380" t="str">
        <f>IFERROR(O26/#REF!,"")</f>
        <v/>
      </c>
      <c r="P182" s="380" t="str">
        <f>IFERROR(P26/#REF!,"")</f>
        <v/>
      </c>
      <c r="Q182" s="380" t="str">
        <f>IFERROR(Q26/#REF!,"")</f>
        <v/>
      </c>
      <c r="R182" s="380" t="str">
        <f>IFERROR(R26/#REF!,"")</f>
        <v/>
      </c>
      <c r="S182" s="380" t="str">
        <f>IFERROR(S26/#REF!,"")</f>
        <v/>
      </c>
      <c r="T182" s="380" t="str">
        <f>IFERROR(T26/#REF!,"")</f>
        <v/>
      </c>
      <c r="U182" s="380" t="str">
        <f>IFERROR(U26/#REF!,"")</f>
        <v/>
      </c>
      <c r="V182" s="380" t="str">
        <f>IFERROR(V26/#REF!,"")</f>
        <v/>
      </c>
      <c r="W182" s="380" t="str">
        <f>IFERROR(W26/#REF!,"")</f>
        <v/>
      </c>
      <c r="X182" s="380" t="str">
        <f>IFERROR(X26/#REF!,"")</f>
        <v/>
      </c>
      <c r="Y182" s="380" t="str">
        <f>IFERROR(Y26/#REF!,"")</f>
        <v/>
      </c>
      <c r="Z182" s="380" t="str">
        <f>IFERROR(Z26/#REF!,"")</f>
        <v/>
      </c>
      <c r="AA182" s="380" t="str">
        <f>IFERROR(AA26/#REF!,"")</f>
        <v/>
      </c>
      <c r="AB182" s="380" t="str">
        <f>IFERROR(AB26/#REF!,"")</f>
        <v/>
      </c>
      <c r="AC182" s="380" t="str">
        <f>IFERROR(AC26/#REF!,"")</f>
        <v/>
      </c>
      <c r="AD182" s="380" t="str">
        <f>IFERROR(AD26/#REF!,"")</f>
        <v/>
      </c>
      <c r="AE182" s="380" t="str">
        <f>IFERROR(AE26/#REF!,"")</f>
        <v/>
      </c>
      <c r="AF182" s="380" t="str">
        <f>IFERROR(AF26/#REF!,"")</f>
        <v/>
      </c>
      <c r="AG182" s="381" t="str">
        <f>IFERROR(AG26/#REF!,"")</f>
        <v/>
      </c>
      <c r="AH182" s="275" t="e">
        <f>AH26/#REF!</f>
        <v>#REF!</v>
      </c>
      <c r="AI182" s="277" t="e">
        <f>AI26/#REF!</f>
        <v>#REF!</v>
      </c>
      <c r="AJ182" s="276" t="e">
        <f>AJ26/#REF!</f>
        <v>#REF!</v>
      </c>
      <c r="AK182" s="379"/>
      <c r="AL182" s="151"/>
      <c r="AM182" s="277" t="e">
        <f>AM26/#REF!</f>
        <v>#REF!</v>
      </c>
      <c r="AN182" s="277" t="e">
        <f>AN26/#REF!</f>
        <v>#REF!</v>
      </c>
      <c r="AO182" s="277" t="e">
        <f>AO26/#REF!</f>
        <v>#REF!</v>
      </c>
    </row>
    <row r="183" spans="1:41">
      <c r="B183" s="43"/>
      <c r="C183" s="378"/>
      <c r="D183" s="275"/>
      <c r="E183" s="275"/>
      <c r="F183" s="275"/>
      <c r="G183" s="275"/>
      <c r="H183" s="275"/>
      <c r="I183" s="275"/>
      <c r="J183" s="275"/>
      <c r="K183" s="275"/>
      <c r="L183" s="275"/>
      <c r="M183" s="275"/>
      <c r="N183" s="275"/>
      <c r="O183" s="275"/>
      <c r="P183" s="275"/>
      <c r="Q183" s="275"/>
      <c r="R183" s="275"/>
      <c r="S183" s="275"/>
      <c r="T183" s="275"/>
      <c r="U183" s="275"/>
      <c r="V183" s="275"/>
      <c r="W183" s="275"/>
      <c r="X183" s="275"/>
      <c r="Y183" s="275"/>
      <c r="Z183" s="275"/>
      <c r="AA183" s="275"/>
      <c r="AB183" s="275"/>
      <c r="AC183" s="275"/>
      <c r="AD183" s="275"/>
      <c r="AE183" s="275"/>
      <c r="AF183" s="275"/>
      <c r="AG183" s="276"/>
      <c r="AH183" s="275"/>
      <c r="AI183" s="277"/>
      <c r="AJ183" s="276"/>
      <c r="AK183" s="379"/>
      <c r="AL183" s="151"/>
      <c r="AM183" s="277"/>
      <c r="AN183" s="277"/>
      <c r="AO183" s="277"/>
    </row>
    <row r="184" spans="1:41">
      <c r="B184" s="50" t="s">
        <v>19</v>
      </c>
      <c r="C184" s="378"/>
      <c r="D184" s="380" t="str">
        <f>IFERROR(D28/#REF!,"")</f>
        <v/>
      </c>
      <c r="E184" s="380" t="str">
        <f>IFERROR(E28/#REF!,"")</f>
        <v/>
      </c>
      <c r="F184" s="380" t="str">
        <f>IFERROR(F28/#REF!,"")</f>
        <v/>
      </c>
      <c r="G184" s="380" t="str">
        <f>IFERROR(G28/#REF!,"")</f>
        <v/>
      </c>
      <c r="H184" s="380" t="str">
        <f>IFERROR(H28/#REF!,"")</f>
        <v/>
      </c>
      <c r="I184" s="380" t="str">
        <f>IFERROR(I28/#REF!,"")</f>
        <v/>
      </c>
      <c r="J184" s="380" t="str">
        <f>IFERROR(J28/#REF!,"")</f>
        <v/>
      </c>
      <c r="K184" s="380" t="str">
        <f>IFERROR(K28/#REF!,"")</f>
        <v/>
      </c>
      <c r="L184" s="380" t="str">
        <f>IFERROR(L28/#REF!,"")</f>
        <v/>
      </c>
      <c r="M184" s="380" t="str">
        <f>IFERROR(M28/#REF!,"")</f>
        <v/>
      </c>
      <c r="N184" s="380" t="str">
        <f>IFERROR(N28/#REF!,"")</f>
        <v/>
      </c>
      <c r="O184" s="380" t="str">
        <f>IFERROR(O28/#REF!,"")</f>
        <v/>
      </c>
      <c r="P184" s="380" t="str">
        <f>IFERROR(P28/#REF!,"")</f>
        <v/>
      </c>
      <c r="Q184" s="380" t="str">
        <f>IFERROR(Q28/#REF!,"")</f>
        <v/>
      </c>
      <c r="R184" s="380" t="str">
        <f>IFERROR(R28/#REF!,"")</f>
        <v/>
      </c>
      <c r="S184" s="380" t="str">
        <f>IFERROR(S28/#REF!,"")</f>
        <v/>
      </c>
      <c r="T184" s="380" t="str">
        <f>IFERROR(T28/#REF!,"")</f>
        <v/>
      </c>
      <c r="U184" s="380" t="str">
        <f>IFERROR(U28/#REF!,"")</f>
        <v/>
      </c>
      <c r="V184" s="380" t="str">
        <f>IFERROR(V28/#REF!,"")</f>
        <v/>
      </c>
      <c r="W184" s="380" t="str">
        <f>IFERROR(W28/#REF!,"")</f>
        <v/>
      </c>
      <c r="X184" s="380" t="str">
        <f>IFERROR(X28/#REF!,"")</f>
        <v/>
      </c>
      <c r="Y184" s="380" t="str">
        <f>IFERROR(Y28/#REF!,"")</f>
        <v/>
      </c>
      <c r="Z184" s="380" t="str">
        <f>IFERROR(Z28/#REF!,"")</f>
        <v/>
      </c>
      <c r="AA184" s="380" t="str">
        <f>IFERROR(AA28/#REF!,"")</f>
        <v/>
      </c>
      <c r="AB184" s="380" t="str">
        <f>IFERROR(AB28/#REF!,"")</f>
        <v/>
      </c>
      <c r="AC184" s="380" t="str">
        <f>IFERROR(AC28/#REF!,"")</f>
        <v/>
      </c>
      <c r="AD184" s="380" t="str">
        <f>IFERROR(AD28/#REF!,"")</f>
        <v/>
      </c>
      <c r="AE184" s="380" t="str">
        <f>IFERROR(AE28/#REF!,"")</f>
        <v/>
      </c>
      <c r="AF184" s="380" t="str">
        <f>IFERROR(AF28/#REF!,"")</f>
        <v/>
      </c>
      <c r="AG184" s="381" t="str">
        <f>IFERROR(AG28/#REF!,"")</f>
        <v/>
      </c>
      <c r="AH184" s="275" t="e">
        <f>AH28/#REF!</f>
        <v>#REF!</v>
      </c>
      <c r="AI184" s="277" t="e">
        <f>AI28/#REF!</f>
        <v>#REF!</v>
      </c>
      <c r="AJ184" s="276" t="e">
        <f>AJ28/#REF!</f>
        <v>#REF!</v>
      </c>
      <c r="AK184" s="379"/>
      <c r="AL184" s="151"/>
      <c r="AM184" s="277" t="e">
        <f>AM28/#REF!</f>
        <v>#REF!</v>
      </c>
      <c r="AN184" s="277" t="e">
        <f>AN28/#REF!</f>
        <v>#REF!</v>
      </c>
      <c r="AO184" s="277" t="e">
        <f>AO28/#REF!</f>
        <v>#REF!</v>
      </c>
    </row>
    <row r="185" spans="1:41" s="172" customFormat="1">
      <c r="A185" s="388"/>
      <c r="B185" s="389" t="s">
        <v>143</v>
      </c>
      <c r="C185" s="390"/>
      <c r="D185" s="380" t="str">
        <f>IFERROR((D28-D20)/#REF!,"")</f>
        <v/>
      </c>
      <c r="E185" s="380" t="str">
        <f>IFERROR((E28-E20)/#REF!,"")</f>
        <v/>
      </c>
      <c r="F185" s="380" t="str">
        <f>IFERROR((F28-F20)/#REF!,"")</f>
        <v/>
      </c>
      <c r="G185" s="380" t="str">
        <f>IFERROR((G28-G20)/#REF!,"")</f>
        <v/>
      </c>
      <c r="H185" s="380" t="str">
        <f>IFERROR((H28-H20)/#REF!,"")</f>
        <v/>
      </c>
      <c r="I185" s="380" t="str">
        <f>IFERROR((I28-I20)/#REF!,"")</f>
        <v/>
      </c>
      <c r="J185" s="380" t="str">
        <f>IFERROR((J28-J20)/#REF!,"")</f>
        <v/>
      </c>
      <c r="K185" s="380" t="str">
        <f>IFERROR((K28-K20)/#REF!,"")</f>
        <v/>
      </c>
      <c r="L185" s="380" t="str">
        <f>IFERROR((L28-L20)/#REF!,"")</f>
        <v/>
      </c>
      <c r="M185" s="380" t="str">
        <f>IFERROR((M28-M20)/#REF!,"")</f>
        <v/>
      </c>
      <c r="N185" s="380" t="str">
        <f>IFERROR((N28-N20)/#REF!,"")</f>
        <v/>
      </c>
      <c r="O185" s="380" t="str">
        <f>IFERROR((O28-O20)/#REF!,"")</f>
        <v/>
      </c>
      <c r="P185" s="380" t="str">
        <f>IFERROR((P28-P20)/#REF!,"")</f>
        <v/>
      </c>
      <c r="Q185" s="380" t="str">
        <f>IFERROR((Q28-Q20)/#REF!,"")</f>
        <v/>
      </c>
      <c r="R185" s="380" t="str">
        <f>IFERROR((R28-R20)/#REF!,"")</f>
        <v/>
      </c>
      <c r="S185" s="380" t="str">
        <f>IFERROR((S28-S20)/#REF!,"")</f>
        <v/>
      </c>
      <c r="T185" s="380" t="str">
        <f>IFERROR((T28-T20)/#REF!,"")</f>
        <v/>
      </c>
      <c r="U185" s="380" t="str">
        <f>IFERROR((U28-U20)/#REF!,"")</f>
        <v/>
      </c>
      <c r="V185" s="380" t="str">
        <f>IFERROR((V28-V20)/#REF!,"")</f>
        <v/>
      </c>
      <c r="W185" s="380" t="str">
        <f>IFERROR((W28-W20)/#REF!,"")</f>
        <v/>
      </c>
      <c r="X185" s="380" t="str">
        <f>IFERROR((X28-X20)/#REF!,"")</f>
        <v/>
      </c>
      <c r="Y185" s="380" t="str">
        <f>IFERROR((Y28-Y20)/#REF!,"")</f>
        <v/>
      </c>
      <c r="Z185" s="380" t="str">
        <f>IFERROR((Z28-Z20)/#REF!,"")</f>
        <v/>
      </c>
      <c r="AA185" s="380" t="str">
        <f>IFERROR((AA28-AA20)/#REF!,"")</f>
        <v/>
      </c>
      <c r="AB185" s="380" t="str">
        <f>IFERROR((AB28-AB20)/#REF!,"")</f>
        <v/>
      </c>
      <c r="AC185" s="380" t="str">
        <f>IFERROR((AC28-AC20)/#REF!,"")</f>
        <v/>
      </c>
      <c r="AD185" s="380" t="str">
        <f>IFERROR((AD28-AD20)/#REF!,"")</f>
        <v/>
      </c>
      <c r="AE185" s="380" t="str">
        <f>IFERROR((AE28-AE20)/#REF!,"")</f>
        <v/>
      </c>
      <c r="AF185" s="380" t="str">
        <f>IFERROR((AF28-AF20)/#REF!,"")</f>
        <v/>
      </c>
      <c r="AG185" s="381" t="str">
        <f>IFERROR((AG28-AG20)/#REF!,"")</f>
        <v/>
      </c>
      <c r="AH185" s="391" t="e">
        <f>(AH28-AH20)/#REF!</f>
        <v>#REF!</v>
      </c>
      <c r="AI185" s="391" t="e">
        <f>(AI28-AI20)/#REF!</f>
        <v>#REF!</v>
      </c>
      <c r="AJ185" s="392" t="e">
        <f>(AJ28-AJ20)/#REF!</f>
        <v>#REF!</v>
      </c>
      <c r="AK185" s="393"/>
      <c r="AL185" s="394"/>
      <c r="AM185" s="391" t="e">
        <f>(AM28-AM20)/#REF!</f>
        <v>#REF!</v>
      </c>
      <c r="AN185" s="391" t="e">
        <f>(AN28-AN20)/#REF!</f>
        <v>#REF!</v>
      </c>
      <c r="AO185" s="391" t="e">
        <f>(AO28-AO20)/#REF!</f>
        <v>#REF!</v>
      </c>
    </row>
    <row r="186" spans="1:41">
      <c r="B186" s="43"/>
      <c r="C186" s="378"/>
      <c r="D186" s="275"/>
      <c r="E186" s="275"/>
      <c r="F186" s="275"/>
      <c r="G186" s="275"/>
      <c r="H186" s="275"/>
      <c r="I186" s="275"/>
      <c r="J186" s="275"/>
      <c r="K186" s="275"/>
      <c r="L186" s="275"/>
      <c r="M186" s="275"/>
      <c r="N186" s="275"/>
      <c r="O186" s="275"/>
      <c r="P186" s="275"/>
      <c r="Q186" s="275"/>
      <c r="R186" s="275"/>
      <c r="S186" s="275"/>
      <c r="T186" s="275"/>
      <c r="U186" s="275"/>
      <c r="V186" s="275"/>
      <c r="W186" s="275"/>
      <c r="X186" s="275"/>
      <c r="Y186" s="275"/>
      <c r="Z186" s="275"/>
      <c r="AA186" s="275"/>
      <c r="AB186" s="275"/>
      <c r="AC186" s="275"/>
      <c r="AD186" s="275"/>
      <c r="AE186" s="275"/>
      <c r="AF186" s="275"/>
      <c r="AG186" s="276"/>
      <c r="AH186" s="275"/>
      <c r="AI186" s="277"/>
      <c r="AJ186" s="276"/>
      <c r="AK186" s="379"/>
      <c r="AL186" s="151"/>
      <c r="AM186" s="277"/>
      <c r="AN186" s="277"/>
      <c r="AO186" s="277"/>
    </row>
    <row r="187" spans="1:41">
      <c r="B187" s="23" t="s">
        <v>20</v>
      </c>
      <c r="C187" s="378"/>
      <c r="D187" s="380" t="str">
        <f>IFERROR(D30/#REF!,"")</f>
        <v/>
      </c>
      <c r="E187" s="380" t="str">
        <f>IFERROR(E30/#REF!,"")</f>
        <v/>
      </c>
      <c r="F187" s="380" t="str">
        <f>IFERROR(F30/#REF!,"")</f>
        <v/>
      </c>
      <c r="G187" s="380" t="str">
        <f>IFERROR(G30/#REF!,"")</f>
        <v/>
      </c>
      <c r="H187" s="380" t="str">
        <f>IFERROR(H30/#REF!,"")</f>
        <v/>
      </c>
      <c r="I187" s="380" t="str">
        <f>IFERROR(I30/#REF!,"")</f>
        <v/>
      </c>
      <c r="J187" s="380" t="str">
        <f>IFERROR(J30/#REF!,"")</f>
        <v/>
      </c>
      <c r="K187" s="380" t="str">
        <f>IFERROR(K30/#REF!,"")</f>
        <v/>
      </c>
      <c r="L187" s="380" t="str">
        <f>IFERROR(L30/#REF!,"")</f>
        <v/>
      </c>
      <c r="M187" s="380" t="str">
        <f>IFERROR(M30/#REF!,"")</f>
        <v/>
      </c>
      <c r="N187" s="380" t="str">
        <f>IFERROR(N30/#REF!,"")</f>
        <v/>
      </c>
      <c r="O187" s="380" t="str">
        <f>IFERROR(O30/#REF!,"")</f>
        <v/>
      </c>
      <c r="P187" s="380" t="str">
        <f>IFERROR(P30/#REF!,"")</f>
        <v/>
      </c>
      <c r="Q187" s="380" t="str">
        <f>IFERROR(Q30/#REF!,"")</f>
        <v/>
      </c>
      <c r="R187" s="380" t="str">
        <f>IFERROR(R30/#REF!,"")</f>
        <v/>
      </c>
      <c r="S187" s="380" t="str">
        <f>IFERROR(S30/#REF!,"")</f>
        <v/>
      </c>
      <c r="T187" s="380" t="str">
        <f>IFERROR(T30/#REF!,"")</f>
        <v/>
      </c>
      <c r="U187" s="380" t="str">
        <f>IFERROR(U30/#REF!,"")</f>
        <v/>
      </c>
      <c r="V187" s="380" t="str">
        <f>IFERROR(V30/#REF!,"")</f>
        <v/>
      </c>
      <c r="W187" s="380" t="str">
        <f>IFERROR(W30/#REF!,"")</f>
        <v/>
      </c>
      <c r="X187" s="380" t="str">
        <f>IFERROR(X30/#REF!,"")</f>
        <v/>
      </c>
      <c r="Y187" s="380" t="str">
        <f>IFERROR(Y30/#REF!,"")</f>
        <v/>
      </c>
      <c r="Z187" s="380" t="str">
        <f>IFERROR(Z30/#REF!,"")</f>
        <v/>
      </c>
      <c r="AA187" s="380" t="str">
        <f>IFERROR(AA30/#REF!,"")</f>
        <v/>
      </c>
      <c r="AB187" s="380" t="str">
        <f>IFERROR(AB30/#REF!,"")</f>
        <v/>
      </c>
      <c r="AC187" s="380" t="str">
        <f>IFERROR(AC30/#REF!,"")</f>
        <v/>
      </c>
      <c r="AD187" s="380" t="str">
        <f>IFERROR(AD30/#REF!,"")</f>
        <v/>
      </c>
      <c r="AE187" s="380" t="str">
        <f>IFERROR(AE30/#REF!,"")</f>
        <v/>
      </c>
      <c r="AF187" s="380" t="str">
        <f>IFERROR(AF30/#REF!,"")</f>
        <v/>
      </c>
      <c r="AG187" s="381" t="str">
        <f>IFERROR(AG30/#REF!,"")</f>
        <v/>
      </c>
      <c r="AH187" s="275" t="e">
        <f>AH30/#REF!</f>
        <v>#REF!</v>
      </c>
      <c r="AI187" s="277" t="e">
        <f>AI30/#REF!</f>
        <v>#REF!</v>
      </c>
      <c r="AJ187" s="276" t="e">
        <f>AJ30/#REF!</f>
        <v>#REF!</v>
      </c>
      <c r="AK187" s="379"/>
      <c r="AL187" s="151"/>
      <c r="AM187" s="277" t="e">
        <f>AM30/#REF!</f>
        <v>#REF!</v>
      </c>
      <c r="AN187" s="277" t="e">
        <f>AN30/#REF!</f>
        <v>#REF!</v>
      </c>
      <c r="AO187" s="277" t="e">
        <f>AO30/#REF!</f>
        <v>#REF!</v>
      </c>
    </row>
    <row r="188" spans="1:41"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  <c r="AA188" s="69"/>
      <c r="AB188" s="69"/>
      <c r="AC188" s="69"/>
      <c r="AD188" s="69"/>
      <c r="AE188" s="69"/>
      <c r="AF188" s="69"/>
      <c r="AM188" s="32"/>
      <c r="AN188" s="32"/>
      <c r="AO188" s="32"/>
    </row>
    <row r="189" spans="1:41">
      <c r="B189" s="50" t="s">
        <v>21</v>
      </c>
      <c r="D189" s="380" t="str">
        <f>IFERROR(D32/#REF!,"")</f>
        <v/>
      </c>
      <c r="E189" s="380" t="str">
        <f>IFERROR(E32/#REF!,"")</f>
        <v/>
      </c>
      <c r="F189" s="380" t="str">
        <f>IFERROR(F32/#REF!,"")</f>
        <v/>
      </c>
      <c r="G189" s="380" t="str">
        <f>IFERROR(G32/#REF!,"")</f>
        <v/>
      </c>
      <c r="H189" s="380" t="str">
        <f>IFERROR(H32/#REF!,"")</f>
        <v/>
      </c>
      <c r="I189" s="380" t="str">
        <f>IFERROR(I32/#REF!,"")</f>
        <v/>
      </c>
      <c r="J189" s="380" t="str">
        <f>IFERROR(J32/#REF!,"")</f>
        <v/>
      </c>
      <c r="K189" s="380" t="str">
        <f>IFERROR(K32/#REF!,"")</f>
        <v/>
      </c>
      <c r="L189" s="380" t="str">
        <f>IFERROR(L32/#REF!,"")</f>
        <v/>
      </c>
      <c r="M189" s="380" t="str">
        <f>IFERROR(M32/#REF!,"")</f>
        <v/>
      </c>
      <c r="N189" s="380" t="str">
        <f>IFERROR(N32/#REF!,"")</f>
        <v/>
      </c>
      <c r="O189" s="380" t="str">
        <f>IFERROR(O32/#REF!,"")</f>
        <v/>
      </c>
      <c r="P189" s="380" t="str">
        <f>IFERROR(P32/#REF!,"")</f>
        <v/>
      </c>
      <c r="Q189" s="380" t="str">
        <f>IFERROR(Q32/#REF!,"")</f>
        <v/>
      </c>
      <c r="R189" s="380" t="str">
        <f>IFERROR(R32/#REF!,"")</f>
        <v/>
      </c>
      <c r="S189" s="380" t="str">
        <f>IFERROR(S32/#REF!,"")</f>
        <v/>
      </c>
      <c r="T189" s="380" t="str">
        <f>IFERROR(T32/#REF!,"")</f>
        <v/>
      </c>
      <c r="U189" s="380" t="str">
        <f>IFERROR(U32/#REF!,"")</f>
        <v/>
      </c>
      <c r="V189" s="380" t="str">
        <f>IFERROR(V32/#REF!,"")</f>
        <v/>
      </c>
      <c r="W189" s="380" t="str">
        <f>IFERROR(W32/#REF!,"")</f>
        <v/>
      </c>
      <c r="X189" s="380" t="str">
        <f>IFERROR(X32/#REF!,"")</f>
        <v/>
      </c>
      <c r="Y189" s="380" t="str">
        <f>IFERROR(Y32/#REF!,"")</f>
        <v/>
      </c>
      <c r="Z189" s="380" t="str">
        <f>IFERROR(Z32/#REF!,"")</f>
        <v/>
      </c>
      <c r="AA189" s="380" t="str">
        <f>IFERROR(AA32/#REF!,"")</f>
        <v/>
      </c>
      <c r="AB189" s="380" t="str">
        <f>IFERROR(AB32/#REF!,"")</f>
        <v/>
      </c>
      <c r="AC189" s="380" t="str">
        <f>IFERROR(AC32/#REF!,"")</f>
        <v/>
      </c>
      <c r="AD189" s="380" t="str">
        <f>IFERROR(AD32/#REF!,"")</f>
        <v/>
      </c>
      <c r="AE189" s="380" t="str">
        <f>IFERROR(AE32/#REF!,"")</f>
        <v/>
      </c>
      <c r="AF189" s="380" t="str">
        <f>IFERROR(AF32/#REF!,"")</f>
        <v/>
      </c>
      <c r="AG189" s="381" t="str">
        <f>IFERROR(AG32/#REF!,"")</f>
        <v/>
      </c>
      <c r="AH189" s="380" t="e">
        <f>AH44/#REF!</f>
        <v>#REF!</v>
      </c>
      <c r="AI189" s="380" t="e">
        <f>AI44/#REF!</f>
        <v>#REF!</v>
      </c>
      <c r="AJ189" s="381" t="e">
        <f>AJ44/#REF!</f>
        <v>#REF!</v>
      </c>
      <c r="AM189" s="380" t="e">
        <f>AM44/#REF!</f>
        <v>#REF!</v>
      </c>
      <c r="AN189" s="380" t="e">
        <f>AN44/#REF!</f>
        <v>#REF!</v>
      </c>
      <c r="AO189" s="380" t="e">
        <f>AO44/#REF!</f>
        <v>#REF!</v>
      </c>
    </row>
    <row r="190" spans="1:41">
      <c r="B190" s="378"/>
      <c r="C190" s="378"/>
      <c r="D190" s="151"/>
      <c r="E190" s="151"/>
      <c r="F190" s="151"/>
      <c r="G190" s="151"/>
      <c r="H190" s="151"/>
      <c r="I190" s="151"/>
      <c r="J190" s="151"/>
      <c r="K190" s="151"/>
      <c r="L190" s="151"/>
      <c r="M190" s="151"/>
      <c r="N190" s="151"/>
      <c r="O190" s="151"/>
      <c r="P190" s="151"/>
      <c r="Q190" s="151"/>
      <c r="R190" s="151"/>
      <c r="S190" s="151"/>
      <c r="T190" s="151"/>
      <c r="U190" s="151"/>
      <c r="V190" s="151"/>
      <c r="W190" s="151"/>
      <c r="X190" s="151"/>
      <c r="Y190" s="151"/>
      <c r="Z190" s="151"/>
      <c r="AA190" s="151"/>
      <c r="AB190" s="151"/>
      <c r="AC190" s="151"/>
      <c r="AD190" s="151"/>
      <c r="AE190" s="151"/>
      <c r="AF190" s="151"/>
      <c r="AG190" s="152"/>
      <c r="AH190" s="151"/>
      <c r="AI190" s="33"/>
      <c r="AJ190" s="152"/>
    </row>
    <row r="191" spans="1:41" s="154" customFormat="1">
      <c r="A191" s="153"/>
      <c r="D191" s="155"/>
      <c r="E191" s="155"/>
      <c r="F191" s="155"/>
      <c r="G191" s="155"/>
      <c r="H191" s="155"/>
      <c r="I191" s="155"/>
      <c r="J191" s="155"/>
      <c r="K191" s="155"/>
      <c r="L191" s="155"/>
      <c r="M191" s="155"/>
      <c r="N191" s="155"/>
      <c r="O191" s="155"/>
      <c r="P191" s="155"/>
      <c r="Q191" s="155"/>
      <c r="R191" s="155"/>
      <c r="S191" s="155"/>
      <c r="T191" s="155"/>
      <c r="U191" s="155"/>
      <c r="V191" s="155"/>
      <c r="W191" s="155"/>
      <c r="X191" s="155"/>
      <c r="Y191" s="155"/>
      <c r="Z191" s="155"/>
      <c r="AA191" s="155"/>
      <c r="AB191" s="155"/>
      <c r="AC191" s="155"/>
      <c r="AD191" s="155"/>
      <c r="AE191" s="155"/>
      <c r="AF191" s="155"/>
      <c r="AG191" s="156"/>
      <c r="AH191" s="157"/>
      <c r="AI191" s="158"/>
      <c r="AJ191" s="159"/>
      <c r="AK191" s="160"/>
    </row>
    <row r="192" spans="1:41" s="44" customFormat="1">
      <c r="A192" s="75"/>
      <c r="D192" s="261"/>
      <c r="E192" s="261"/>
      <c r="F192" s="261"/>
      <c r="G192" s="261"/>
      <c r="H192" s="261"/>
      <c r="I192" s="261"/>
      <c r="J192" s="261"/>
      <c r="K192" s="261"/>
      <c r="L192" s="261"/>
      <c r="M192" s="261"/>
      <c r="N192" s="261"/>
      <c r="O192" s="261"/>
      <c r="P192" s="261"/>
      <c r="Q192" s="261"/>
      <c r="R192" s="261"/>
      <c r="S192" s="261"/>
      <c r="T192" s="261"/>
      <c r="U192" s="261"/>
      <c r="V192" s="261"/>
      <c r="W192" s="261"/>
      <c r="X192" s="261"/>
      <c r="Y192" s="261"/>
      <c r="Z192" s="261"/>
      <c r="AA192" s="261"/>
      <c r="AB192" s="261"/>
      <c r="AC192" s="261"/>
      <c r="AD192" s="261"/>
      <c r="AE192" s="261"/>
      <c r="AF192" s="261"/>
      <c r="AG192" s="262"/>
      <c r="AH192" s="261"/>
      <c r="AI192" s="40"/>
      <c r="AJ192" s="262"/>
      <c r="AK192" s="217"/>
      <c r="AM192" s="40"/>
      <c r="AN192" s="40"/>
      <c r="AO192" s="40"/>
    </row>
    <row r="193" spans="1:41" ht="18.75">
      <c r="A193" s="28" t="s">
        <v>187</v>
      </c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  <c r="AA193" s="69"/>
      <c r="AB193" s="69"/>
      <c r="AC193" s="69"/>
      <c r="AD193" s="69"/>
      <c r="AE193" s="69"/>
      <c r="AF193" s="69"/>
    </row>
    <row r="194" spans="1:41" ht="18.75">
      <c r="A194" s="28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  <c r="AA194" s="69"/>
      <c r="AB194" s="69"/>
      <c r="AC194" s="69"/>
      <c r="AD194" s="69"/>
      <c r="AE194" s="69"/>
      <c r="AF194" s="69"/>
    </row>
    <row r="195" spans="1:41">
      <c r="B195" s="50" t="s">
        <v>71</v>
      </c>
      <c r="C195" s="50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  <c r="AA195" s="69"/>
      <c r="AB195" s="69"/>
      <c r="AC195" s="69"/>
      <c r="AD195" s="69"/>
      <c r="AE195" s="69"/>
      <c r="AF195" s="69"/>
    </row>
    <row r="196" spans="1:41" ht="15.95" customHeight="1">
      <c r="A196" s="41"/>
      <c r="B196" s="26" t="s">
        <v>72</v>
      </c>
      <c r="D196" s="55">
        <f t="shared" ref="D196:AG196" si="74">C200</f>
        <v>0</v>
      </c>
      <c r="E196" s="55" t="e">
        <f t="shared" si="74"/>
        <v>#REF!</v>
      </c>
      <c r="F196" s="55" t="e">
        <f t="shared" si="74"/>
        <v>#REF!</v>
      </c>
      <c r="G196" s="55" t="e">
        <f t="shared" si="74"/>
        <v>#REF!</v>
      </c>
      <c r="H196" s="55" t="e">
        <f t="shared" si="74"/>
        <v>#REF!</v>
      </c>
      <c r="I196" s="55" t="e">
        <f t="shared" si="74"/>
        <v>#REF!</v>
      </c>
      <c r="J196" s="55" t="e">
        <f t="shared" si="74"/>
        <v>#REF!</v>
      </c>
      <c r="K196" s="55" t="e">
        <f t="shared" si="74"/>
        <v>#REF!</v>
      </c>
      <c r="L196" s="55" t="e">
        <f t="shared" si="74"/>
        <v>#REF!</v>
      </c>
      <c r="M196" s="55" t="e">
        <f t="shared" si="74"/>
        <v>#REF!</v>
      </c>
      <c r="N196" s="55" t="e">
        <f t="shared" si="74"/>
        <v>#REF!</v>
      </c>
      <c r="O196" s="55" t="e">
        <f t="shared" si="74"/>
        <v>#REF!</v>
      </c>
      <c r="P196" s="55" t="e">
        <f t="shared" si="74"/>
        <v>#REF!</v>
      </c>
      <c r="Q196" s="55" t="e">
        <f t="shared" si="74"/>
        <v>#REF!</v>
      </c>
      <c r="R196" s="55" t="e">
        <f t="shared" si="74"/>
        <v>#REF!</v>
      </c>
      <c r="S196" s="55" t="e">
        <f t="shared" si="74"/>
        <v>#REF!</v>
      </c>
      <c r="T196" s="55" t="e">
        <f t="shared" si="74"/>
        <v>#REF!</v>
      </c>
      <c r="U196" s="55" t="e">
        <f t="shared" si="74"/>
        <v>#REF!</v>
      </c>
      <c r="V196" s="55" t="e">
        <f t="shared" si="74"/>
        <v>#REF!</v>
      </c>
      <c r="W196" s="55" t="e">
        <f t="shared" si="74"/>
        <v>#REF!</v>
      </c>
      <c r="X196" s="55" t="e">
        <f t="shared" si="74"/>
        <v>#REF!</v>
      </c>
      <c r="Y196" s="55" t="e">
        <f t="shared" si="74"/>
        <v>#REF!</v>
      </c>
      <c r="Z196" s="55" t="e">
        <f t="shared" si="74"/>
        <v>#REF!</v>
      </c>
      <c r="AA196" s="55" t="e">
        <f t="shared" si="74"/>
        <v>#REF!</v>
      </c>
      <c r="AB196" s="55" t="e">
        <f t="shared" si="74"/>
        <v>#REF!</v>
      </c>
      <c r="AC196" s="55" t="e">
        <f t="shared" si="74"/>
        <v>#REF!</v>
      </c>
      <c r="AD196" s="55" t="e">
        <f t="shared" si="74"/>
        <v>#REF!</v>
      </c>
      <c r="AE196" s="55" t="e">
        <f t="shared" si="74"/>
        <v>#REF!</v>
      </c>
      <c r="AF196" s="55" t="e">
        <f t="shared" si="74"/>
        <v>#REF!</v>
      </c>
      <c r="AG196" s="83" t="e">
        <f t="shared" si="74"/>
        <v>#REF!</v>
      </c>
      <c r="AH196" s="55" t="e">
        <f>$AG200</f>
        <v>#REF!</v>
      </c>
      <c r="AI196" s="55" t="e">
        <f>AH200</f>
        <v>#REF!</v>
      </c>
      <c r="AJ196" s="83" t="e">
        <f>AI200</f>
        <v>#REF!</v>
      </c>
      <c r="AK196" s="78" t="str">
        <f t="shared" ref="AK196:AK198" si="75">IFERROR(RATE(3,,AG196,-AJ196),"")</f>
        <v/>
      </c>
      <c r="AL196" s="79"/>
      <c r="AM196" s="55" t="e">
        <f>$AG200</f>
        <v>#REF!</v>
      </c>
      <c r="AN196" s="55" t="e">
        <f>AM200</f>
        <v>#REF!</v>
      </c>
      <c r="AO196" s="55" t="e">
        <f>AN200</f>
        <v>#REF!</v>
      </c>
    </row>
    <row r="197" spans="1:41">
      <c r="A197" s="35" t="e">
        <f>#REF!</f>
        <v>#REF!</v>
      </c>
      <c r="B197" s="395" t="s">
        <v>73</v>
      </c>
      <c r="C197" s="395"/>
      <c r="D197" s="2" t="e">
        <f>IF(D$3&lt;-#REF!,"",INDEX(#REF!,#REF!-D$3,$A197))</f>
        <v>#REF!</v>
      </c>
      <c r="E197" s="2" t="e">
        <f>IF(E$3&lt;-#REF!,"",INDEX(#REF!,#REF!-E$3,$A197))</f>
        <v>#REF!</v>
      </c>
      <c r="F197" s="2" t="e">
        <f>IF(F$3&lt;-#REF!,"",INDEX(#REF!,#REF!-F$3,$A197))</f>
        <v>#REF!</v>
      </c>
      <c r="G197" s="2" t="e">
        <f>IF(G$3&lt;-#REF!,"",INDEX(#REF!,#REF!-G$3,$A197))</f>
        <v>#REF!</v>
      </c>
      <c r="H197" s="2" t="e">
        <f>IF(H$3&lt;-#REF!,"",INDEX(#REF!,#REF!-H$3,$A197))</f>
        <v>#REF!</v>
      </c>
      <c r="I197" s="2" t="e">
        <f>IF(I$3&lt;-#REF!,"",INDEX(#REF!,#REF!-I$3,$A197))</f>
        <v>#REF!</v>
      </c>
      <c r="J197" s="2" t="e">
        <f>IF(J$3&lt;-#REF!,"",INDEX(#REF!,#REF!-J$3,$A197))</f>
        <v>#REF!</v>
      </c>
      <c r="K197" s="2" t="e">
        <f>IF(K$3&lt;-#REF!,"",INDEX(#REF!,#REF!-K$3,$A197))</f>
        <v>#REF!</v>
      </c>
      <c r="L197" s="2" t="e">
        <f>IF(L$3&lt;-#REF!,"",INDEX(#REF!,#REF!-L$3,$A197))</f>
        <v>#REF!</v>
      </c>
      <c r="M197" s="2" t="e">
        <f>IF(M$3&lt;-#REF!,"",INDEX(#REF!,#REF!-M$3,$A197))</f>
        <v>#REF!</v>
      </c>
      <c r="N197" s="2" t="e">
        <f>IF(N$3&lt;-#REF!,"",INDEX(#REF!,#REF!-N$3,$A197))</f>
        <v>#REF!</v>
      </c>
      <c r="O197" s="2" t="e">
        <f>IF(O$3&lt;-#REF!,"",INDEX(#REF!,#REF!-O$3,$A197))</f>
        <v>#REF!</v>
      </c>
      <c r="P197" s="2" t="e">
        <f>IF(P$3&lt;-#REF!,"",INDEX(#REF!,#REF!-P$3,$A197))</f>
        <v>#REF!</v>
      </c>
      <c r="Q197" s="2" t="e">
        <f>IF(Q$3&lt;-#REF!,"",INDEX(#REF!,#REF!-Q$3,$A197))</f>
        <v>#REF!</v>
      </c>
      <c r="R197" s="2" t="e">
        <f>IF(R$3&lt;-#REF!,"",INDEX(#REF!,#REF!-R$3,$A197))</f>
        <v>#REF!</v>
      </c>
      <c r="S197" s="2" t="e">
        <f>IF(S$3&lt;-#REF!,"",INDEX(#REF!,#REF!-S$3,$A197))</f>
        <v>#REF!</v>
      </c>
      <c r="T197" s="2" t="e">
        <f>IF(T$3&lt;-#REF!,"",INDEX(#REF!,#REF!-T$3,$A197))</f>
        <v>#REF!</v>
      </c>
      <c r="U197" s="2" t="e">
        <f>IF(U$3&lt;-#REF!,"",INDEX(#REF!,#REF!-U$3,$A197))</f>
        <v>#REF!</v>
      </c>
      <c r="V197" s="2" t="e">
        <f>IF(V$3&lt;-#REF!,"",INDEX(#REF!,#REF!-V$3,$A197))</f>
        <v>#REF!</v>
      </c>
      <c r="W197" s="2" t="e">
        <f>IF(W$3&lt;-#REF!,"",INDEX(#REF!,#REF!-W$3,$A197))</f>
        <v>#REF!</v>
      </c>
      <c r="X197" s="2" t="e">
        <f>IF(X$3&lt;-#REF!,"",INDEX(#REF!,#REF!-X$3,$A197))</f>
        <v>#REF!</v>
      </c>
      <c r="Y197" s="2" t="e">
        <f>IF(Y$3&lt;-#REF!,"",INDEX(#REF!,#REF!-Y$3,$A197))</f>
        <v>#REF!</v>
      </c>
      <c r="Z197" s="2" t="e">
        <f>IF(Z$3&lt;-#REF!,"",INDEX(#REF!,#REF!-Z$3,$A197))</f>
        <v>#REF!</v>
      </c>
      <c r="AA197" s="2" t="e">
        <f>IF(AA$3&lt;-#REF!,"",INDEX(#REF!,#REF!-AA$3,$A197))</f>
        <v>#REF!</v>
      </c>
      <c r="AB197" s="2" t="e">
        <f>IF(AB$3&lt;-#REF!,"",INDEX(#REF!,#REF!-AB$3,$A197))</f>
        <v>#REF!</v>
      </c>
      <c r="AC197" s="2" t="e">
        <f>IF(AC$3&lt;-#REF!,"",INDEX(#REF!,#REF!-AC$3,$A197))</f>
        <v>#REF!</v>
      </c>
      <c r="AD197" s="2" t="e">
        <f>IF(AD$3&lt;-#REF!,"",INDEX(#REF!,#REF!-AD$3,$A197))</f>
        <v>#REF!</v>
      </c>
      <c r="AE197" s="2" t="e">
        <f>IF(AE$3&lt;-#REF!,"",INDEX(#REF!,#REF!-AE$3,$A197))</f>
        <v>#REF!</v>
      </c>
      <c r="AF197" s="2" t="e">
        <f>IF(AF$3&lt;-#REF!,"",INDEX(#REF!,#REF!-AF$3,$A197))</f>
        <v>#REF!</v>
      </c>
      <c r="AG197" s="4" t="e">
        <f>IF(AG$3&lt;-#REF!,"",INDEX(#REF!,#REF!-AG$3,$A197))</f>
        <v>#REF!</v>
      </c>
      <c r="AH197" s="55" t="e">
        <f>AH196*AH202</f>
        <v>#REF!</v>
      </c>
      <c r="AI197" s="55" t="e">
        <f>AI196*AI202</f>
        <v>#REF!</v>
      </c>
      <c r="AJ197" s="83" t="e">
        <f>AJ196*AJ202</f>
        <v>#REF!</v>
      </c>
      <c r="AK197" s="78" t="str">
        <f t="shared" si="75"/>
        <v/>
      </c>
      <c r="AL197" s="79"/>
      <c r="AM197" s="55" t="e">
        <f>AM196*AM202</f>
        <v>#REF!</v>
      </c>
      <c r="AN197" s="55" t="e">
        <f>AN196*AN202</f>
        <v>#REF!</v>
      </c>
      <c r="AO197" s="55" t="e">
        <f>AO196*AO202</f>
        <v>#REF!</v>
      </c>
    </row>
    <row r="198" spans="1:41" ht="15.75" thickBot="1">
      <c r="A198" s="35" t="e">
        <f>#REF!</f>
        <v>#REF!</v>
      </c>
      <c r="B198" s="396" t="s">
        <v>74</v>
      </c>
      <c r="C198" s="395"/>
      <c r="D198" s="2" t="e">
        <f>IF(D$3&lt;-#REF!,"",-INDEX(#REF!,#REF!-D$3,$A198))</f>
        <v>#REF!</v>
      </c>
      <c r="E198" s="2" t="e">
        <f>IF(E$3&lt;-#REF!,"",-INDEX(#REF!,#REF!-E$3,$A198))</f>
        <v>#REF!</v>
      </c>
      <c r="F198" s="2" t="e">
        <f>IF(F$3&lt;-#REF!,"",-INDEX(#REF!,#REF!-F$3,$A198))</f>
        <v>#REF!</v>
      </c>
      <c r="G198" s="2" t="e">
        <f>IF(G$3&lt;-#REF!,"",-INDEX(#REF!,#REF!-G$3,$A198))</f>
        <v>#REF!</v>
      </c>
      <c r="H198" s="2" t="e">
        <f>IF(H$3&lt;-#REF!,"",-INDEX(#REF!,#REF!-H$3,$A198))</f>
        <v>#REF!</v>
      </c>
      <c r="I198" s="2" t="e">
        <f>IF(I$3&lt;-#REF!,"",-INDEX(#REF!,#REF!-I$3,$A198))</f>
        <v>#REF!</v>
      </c>
      <c r="J198" s="2" t="e">
        <f>IF(J$3&lt;-#REF!,"",-INDEX(#REF!,#REF!-J$3,$A198))</f>
        <v>#REF!</v>
      </c>
      <c r="K198" s="2" t="e">
        <f>IF(K$3&lt;-#REF!,"",-INDEX(#REF!,#REF!-K$3,$A198))</f>
        <v>#REF!</v>
      </c>
      <c r="L198" s="2" t="e">
        <f>IF(L$3&lt;-#REF!,"",-INDEX(#REF!,#REF!-L$3,$A198))</f>
        <v>#REF!</v>
      </c>
      <c r="M198" s="2" t="e">
        <f>IF(M$3&lt;-#REF!,"",-INDEX(#REF!,#REF!-M$3,$A198))</f>
        <v>#REF!</v>
      </c>
      <c r="N198" s="2" t="e">
        <f>IF(N$3&lt;-#REF!,"",-INDEX(#REF!,#REF!-N$3,$A198))</f>
        <v>#REF!</v>
      </c>
      <c r="O198" s="2" t="e">
        <f>IF(O$3&lt;-#REF!,"",-INDEX(#REF!,#REF!-O$3,$A198))</f>
        <v>#REF!</v>
      </c>
      <c r="P198" s="2" t="e">
        <f>IF(P$3&lt;-#REF!,"",-INDEX(#REF!,#REF!-P$3,$A198))</f>
        <v>#REF!</v>
      </c>
      <c r="Q198" s="2" t="e">
        <f>IF(Q$3&lt;-#REF!,"",-INDEX(#REF!,#REF!-Q$3,$A198))</f>
        <v>#REF!</v>
      </c>
      <c r="R198" s="2" t="e">
        <f>IF(R$3&lt;-#REF!,"",-INDEX(#REF!,#REF!-R$3,$A198))</f>
        <v>#REF!</v>
      </c>
      <c r="S198" s="2" t="e">
        <f>IF(S$3&lt;-#REF!,"",-INDEX(#REF!,#REF!-S$3,$A198))</f>
        <v>#REF!</v>
      </c>
      <c r="T198" s="2" t="e">
        <f>IF(T$3&lt;-#REF!,"",-INDEX(#REF!,#REF!-T$3,$A198))</f>
        <v>#REF!</v>
      </c>
      <c r="U198" s="2" t="e">
        <f>IF(U$3&lt;-#REF!,"",-INDEX(#REF!,#REF!-U$3,$A198))</f>
        <v>#REF!</v>
      </c>
      <c r="V198" s="2" t="e">
        <f>IF(V$3&lt;-#REF!,"",-INDEX(#REF!,#REF!-V$3,$A198))</f>
        <v>#REF!</v>
      </c>
      <c r="W198" s="2" t="e">
        <f>IF(W$3&lt;-#REF!,"",-INDEX(#REF!,#REF!-W$3,$A198))</f>
        <v>#REF!</v>
      </c>
      <c r="X198" s="2" t="e">
        <f>IF(X$3&lt;-#REF!,"",-INDEX(#REF!,#REF!-X$3,$A198))</f>
        <v>#REF!</v>
      </c>
      <c r="Y198" s="2" t="e">
        <f>IF(Y$3&lt;-#REF!,"",-INDEX(#REF!,#REF!-Y$3,$A198))</f>
        <v>#REF!</v>
      </c>
      <c r="Z198" s="2" t="e">
        <f>IF(Z$3&lt;-#REF!,"",-INDEX(#REF!,#REF!-Z$3,$A198))</f>
        <v>#REF!</v>
      </c>
      <c r="AA198" s="2" t="e">
        <f>IF(AA$3&lt;-#REF!,"",-INDEX(#REF!,#REF!-AA$3,$A198))</f>
        <v>#REF!</v>
      </c>
      <c r="AB198" s="2" t="e">
        <f>IF(AB$3&lt;-#REF!,"",-INDEX(#REF!,#REF!-AB$3,$A198))</f>
        <v>#REF!</v>
      </c>
      <c r="AC198" s="2" t="e">
        <f>IF(AC$3&lt;-#REF!,"",-INDEX(#REF!,#REF!-AC$3,$A198))</f>
        <v>#REF!</v>
      </c>
      <c r="AD198" s="2" t="e">
        <f>IF(AD$3&lt;-#REF!,"",-INDEX(#REF!,#REF!-AD$3,$A198))</f>
        <v>#REF!</v>
      </c>
      <c r="AE198" s="2" t="e">
        <f>IF(AE$3&lt;-#REF!,"",-INDEX(#REF!,#REF!-AE$3,$A198))</f>
        <v>#REF!</v>
      </c>
      <c r="AF198" s="2" t="e">
        <f>IF(AF$3&lt;-#REF!,"",-INDEX(#REF!,#REF!-AF$3,$A198))</f>
        <v>#REF!</v>
      </c>
      <c r="AG198" s="4" t="e">
        <f>IF(AG$3&lt;-#REF!,"",-INDEX(#REF!,#REF!-AG$3,$A198))</f>
        <v>#REF!</v>
      </c>
      <c r="AH198" s="55" t="e">
        <f>AH203*#REF!</f>
        <v>#VALUE!</v>
      </c>
      <c r="AI198" s="55" t="e">
        <f>AI203*#REF!</f>
        <v>#VALUE!</v>
      </c>
      <c r="AJ198" s="83" t="e">
        <f>AJ203*#REF!</f>
        <v>#VALUE!</v>
      </c>
      <c r="AK198" s="78" t="str">
        <f t="shared" si="75"/>
        <v/>
      </c>
      <c r="AL198" s="79"/>
      <c r="AM198" s="55" t="e">
        <f>AM203*#REF!</f>
        <v>#VALUE!</v>
      </c>
      <c r="AN198" s="55" t="e">
        <f>AN203*#REF!</f>
        <v>#VALUE!</v>
      </c>
      <c r="AO198" s="55" t="e">
        <f>AO203*#REF!</f>
        <v>#VALUE!</v>
      </c>
    </row>
    <row r="199" spans="1:41" ht="15.75" thickBot="1">
      <c r="A199" s="35"/>
      <c r="B199" s="395" t="s">
        <v>75</v>
      </c>
      <c r="C199" s="395"/>
      <c r="D199" s="55" t="str">
        <f t="shared" ref="D199:AG199" si="76">IFERROR(-(D200-D196+D197-D198),"")</f>
        <v/>
      </c>
      <c r="E199" s="55" t="str">
        <f t="shared" si="76"/>
        <v/>
      </c>
      <c r="F199" s="55" t="str">
        <f t="shared" si="76"/>
        <v/>
      </c>
      <c r="G199" s="55" t="str">
        <f t="shared" si="76"/>
        <v/>
      </c>
      <c r="H199" s="55" t="str">
        <f t="shared" si="76"/>
        <v/>
      </c>
      <c r="I199" s="55" t="str">
        <f t="shared" si="76"/>
        <v/>
      </c>
      <c r="J199" s="55" t="str">
        <f t="shared" si="76"/>
        <v/>
      </c>
      <c r="K199" s="55" t="str">
        <f t="shared" si="76"/>
        <v/>
      </c>
      <c r="L199" s="55" t="str">
        <f t="shared" si="76"/>
        <v/>
      </c>
      <c r="M199" s="55" t="str">
        <f t="shared" si="76"/>
        <v/>
      </c>
      <c r="N199" s="55" t="str">
        <f t="shared" si="76"/>
        <v/>
      </c>
      <c r="O199" s="55" t="str">
        <f t="shared" si="76"/>
        <v/>
      </c>
      <c r="P199" s="55" t="str">
        <f t="shared" si="76"/>
        <v/>
      </c>
      <c r="Q199" s="55" t="str">
        <f t="shared" si="76"/>
        <v/>
      </c>
      <c r="R199" s="55" t="str">
        <f t="shared" si="76"/>
        <v/>
      </c>
      <c r="S199" s="55" t="str">
        <f t="shared" si="76"/>
        <v/>
      </c>
      <c r="T199" s="55" t="str">
        <f t="shared" si="76"/>
        <v/>
      </c>
      <c r="U199" s="55" t="str">
        <f t="shared" si="76"/>
        <v/>
      </c>
      <c r="V199" s="55" t="str">
        <f t="shared" si="76"/>
        <v/>
      </c>
      <c r="W199" s="55" t="str">
        <f t="shared" si="76"/>
        <v/>
      </c>
      <c r="X199" s="55" t="str">
        <f t="shared" si="76"/>
        <v/>
      </c>
      <c r="Y199" s="55" t="str">
        <f t="shared" si="76"/>
        <v/>
      </c>
      <c r="Z199" s="55" t="str">
        <f t="shared" si="76"/>
        <v/>
      </c>
      <c r="AA199" s="55" t="str">
        <f t="shared" si="76"/>
        <v/>
      </c>
      <c r="AB199" s="55" t="str">
        <f t="shared" si="76"/>
        <v/>
      </c>
      <c r="AC199" s="55" t="str">
        <f t="shared" si="76"/>
        <v/>
      </c>
      <c r="AD199" s="55" t="str">
        <f t="shared" si="76"/>
        <v/>
      </c>
      <c r="AE199" s="55" t="str">
        <f t="shared" si="76"/>
        <v/>
      </c>
      <c r="AF199" s="55" t="str">
        <f t="shared" si="76"/>
        <v/>
      </c>
      <c r="AG199" s="83" t="str">
        <f t="shared" si="76"/>
        <v/>
      </c>
      <c r="AH199" s="397"/>
      <c r="AI199" s="119"/>
      <c r="AJ199" s="398"/>
      <c r="AK199" s="399"/>
      <c r="AL199" s="79"/>
      <c r="AM199" s="122"/>
      <c r="AN199" s="122"/>
      <c r="AO199" s="122"/>
    </row>
    <row r="200" spans="1:41">
      <c r="A200" s="41"/>
      <c r="B200" s="395" t="s">
        <v>76</v>
      </c>
      <c r="C200" s="395"/>
      <c r="D200" s="55" t="e">
        <f t="shared" ref="D200:AG200" si="77">D19</f>
        <v>#REF!</v>
      </c>
      <c r="E200" s="55" t="e">
        <f t="shared" si="77"/>
        <v>#REF!</v>
      </c>
      <c r="F200" s="55" t="e">
        <f t="shared" si="77"/>
        <v>#REF!</v>
      </c>
      <c r="G200" s="55" t="e">
        <f t="shared" si="77"/>
        <v>#REF!</v>
      </c>
      <c r="H200" s="55" t="e">
        <f t="shared" si="77"/>
        <v>#REF!</v>
      </c>
      <c r="I200" s="55" t="e">
        <f t="shared" si="77"/>
        <v>#REF!</v>
      </c>
      <c r="J200" s="55" t="e">
        <f t="shared" si="77"/>
        <v>#REF!</v>
      </c>
      <c r="K200" s="55" t="e">
        <f t="shared" si="77"/>
        <v>#REF!</v>
      </c>
      <c r="L200" s="55" t="e">
        <f t="shared" si="77"/>
        <v>#REF!</v>
      </c>
      <c r="M200" s="55" t="e">
        <f t="shared" si="77"/>
        <v>#REF!</v>
      </c>
      <c r="N200" s="55" t="e">
        <f t="shared" si="77"/>
        <v>#REF!</v>
      </c>
      <c r="O200" s="55" t="e">
        <f t="shared" si="77"/>
        <v>#REF!</v>
      </c>
      <c r="P200" s="55" t="e">
        <f t="shared" si="77"/>
        <v>#REF!</v>
      </c>
      <c r="Q200" s="55" t="e">
        <f t="shared" si="77"/>
        <v>#REF!</v>
      </c>
      <c r="R200" s="55" t="e">
        <f t="shared" si="77"/>
        <v>#REF!</v>
      </c>
      <c r="S200" s="55" t="e">
        <f t="shared" si="77"/>
        <v>#REF!</v>
      </c>
      <c r="T200" s="55" t="e">
        <f t="shared" si="77"/>
        <v>#REF!</v>
      </c>
      <c r="U200" s="55" t="e">
        <f t="shared" si="77"/>
        <v>#REF!</v>
      </c>
      <c r="V200" s="55" t="e">
        <f t="shared" si="77"/>
        <v>#REF!</v>
      </c>
      <c r="W200" s="55" t="e">
        <f t="shared" si="77"/>
        <v>#REF!</v>
      </c>
      <c r="X200" s="55" t="e">
        <f t="shared" si="77"/>
        <v>#REF!</v>
      </c>
      <c r="Y200" s="55" t="e">
        <f t="shared" si="77"/>
        <v>#REF!</v>
      </c>
      <c r="Z200" s="55" t="e">
        <f t="shared" si="77"/>
        <v>#REF!</v>
      </c>
      <c r="AA200" s="55" t="e">
        <f t="shared" si="77"/>
        <v>#REF!</v>
      </c>
      <c r="AB200" s="55" t="e">
        <f t="shared" si="77"/>
        <v>#REF!</v>
      </c>
      <c r="AC200" s="55" t="e">
        <f t="shared" si="77"/>
        <v>#REF!</v>
      </c>
      <c r="AD200" s="55" t="e">
        <f t="shared" si="77"/>
        <v>#REF!</v>
      </c>
      <c r="AE200" s="55" t="e">
        <f t="shared" si="77"/>
        <v>#REF!</v>
      </c>
      <c r="AF200" s="55" t="e">
        <f t="shared" si="77"/>
        <v>#REF!</v>
      </c>
      <c r="AG200" s="83" t="e">
        <f t="shared" si="77"/>
        <v>#REF!</v>
      </c>
      <c r="AH200" s="55" t="e">
        <f>AH196-AH197+AH198</f>
        <v>#REF!</v>
      </c>
      <c r="AI200" s="34" t="e">
        <f>AI196-AI197+AI198</f>
        <v>#REF!</v>
      </c>
      <c r="AJ200" s="83" t="e">
        <f>AJ196-AJ197+AJ198</f>
        <v>#REF!</v>
      </c>
      <c r="AK200" s="78" t="str">
        <f t="shared" ref="AK200" si="78">IFERROR(RATE(3,,AG200,-AJ200),"")</f>
        <v/>
      </c>
      <c r="AL200" s="79"/>
      <c r="AM200" s="34" t="e">
        <f>AM196-AM197+AM198</f>
        <v>#REF!</v>
      </c>
      <c r="AN200" s="34" t="e">
        <f>AN196-AN197+AN198</f>
        <v>#REF!</v>
      </c>
      <c r="AO200" s="34" t="e">
        <f>AO196-AO197+AO198</f>
        <v>#REF!</v>
      </c>
    </row>
    <row r="201" spans="1:41" s="44" customFormat="1" ht="15.95" customHeight="1" thickBot="1">
      <c r="A201" s="41"/>
      <c r="D201" s="400"/>
      <c r="E201" s="400"/>
      <c r="F201" s="400"/>
      <c r="G201" s="400"/>
      <c r="H201" s="400"/>
      <c r="I201" s="400"/>
      <c r="J201" s="400"/>
      <c r="K201" s="400"/>
      <c r="L201" s="400"/>
      <c r="M201" s="400"/>
      <c r="N201" s="400"/>
      <c r="O201" s="400"/>
      <c r="P201" s="400"/>
      <c r="Q201" s="400"/>
      <c r="R201" s="400"/>
      <c r="S201" s="400"/>
      <c r="T201" s="400"/>
      <c r="U201" s="400"/>
      <c r="V201" s="400"/>
      <c r="W201" s="400"/>
      <c r="X201" s="400"/>
      <c r="Y201" s="400"/>
      <c r="Z201" s="400"/>
      <c r="AA201" s="400"/>
      <c r="AB201" s="400"/>
      <c r="AC201" s="400"/>
      <c r="AD201" s="400"/>
      <c r="AE201" s="400"/>
      <c r="AF201" s="400"/>
      <c r="AG201" s="401"/>
      <c r="AH201" s="400"/>
      <c r="AI201" s="402"/>
      <c r="AJ201" s="401"/>
      <c r="AK201" s="217"/>
      <c r="AM201" s="403"/>
      <c r="AN201" s="403"/>
      <c r="AO201" s="403"/>
    </row>
    <row r="202" spans="1:41" s="44" customFormat="1" ht="15.75" thickBot="1">
      <c r="A202" s="35"/>
      <c r="B202" s="75" t="s">
        <v>77</v>
      </c>
      <c r="C202" s="75"/>
      <c r="D202" s="208" t="str">
        <f t="shared" ref="D202:AG202" si="79">IFERROR(D197/D196,"")</f>
        <v/>
      </c>
      <c r="E202" s="208" t="str">
        <f t="shared" si="79"/>
        <v/>
      </c>
      <c r="F202" s="208" t="str">
        <f t="shared" si="79"/>
        <v/>
      </c>
      <c r="G202" s="208" t="str">
        <f t="shared" si="79"/>
        <v/>
      </c>
      <c r="H202" s="208" t="str">
        <f t="shared" si="79"/>
        <v/>
      </c>
      <c r="I202" s="208" t="str">
        <f t="shared" si="79"/>
        <v/>
      </c>
      <c r="J202" s="208" t="str">
        <f t="shared" si="79"/>
        <v/>
      </c>
      <c r="K202" s="208" t="str">
        <f t="shared" si="79"/>
        <v/>
      </c>
      <c r="L202" s="208" t="str">
        <f t="shared" si="79"/>
        <v/>
      </c>
      <c r="M202" s="208" t="str">
        <f t="shared" si="79"/>
        <v/>
      </c>
      <c r="N202" s="208" t="str">
        <f t="shared" si="79"/>
        <v/>
      </c>
      <c r="O202" s="208" t="str">
        <f t="shared" si="79"/>
        <v/>
      </c>
      <c r="P202" s="208" t="str">
        <f t="shared" si="79"/>
        <v/>
      </c>
      <c r="Q202" s="208" t="str">
        <f t="shared" si="79"/>
        <v/>
      </c>
      <c r="R202" s="208" t="str">
        <f t="shared" si="79"/>
        <v/>
      </c>
      <c r="S202" s="208" t="str">
        <f t="shared" si="79"/>
        <v/>
      </c>
      <c r="T202" s="208" t="str">
        <f t="shared" si="79"/>
        <v/>
      </c>
      <c r="U202" s="208" t="str">
        <f t="shared" si="79"/>
        <v/>
      </c>
      <c r="V202" s="208" t="str">
        <f t="shared" si="79"/>
        <v/>
      </c>
      <c r="W202" s="208" t="str">
        <f t="shared" si="79"/>
        <v/>
      </c>
      <c r="X202" s="208" t="str">
        <f t="shared" si="79"/>
        <v/>
      </c>
      <c r="Y202" s="208" t="str">
        <f t="shared" si="79"/>
        <v/>
      </c>
      <c r="Z202" s="208" t="str">
        <f t="shared" si="79"/>
        <v/>
      </c>
      <c r="AA202" s="208" t="str">
        <f t="shared" si="79"/>
        <v/>
      </c>
      <c r="AB202" s="208" t="str">
        <f t="shared" si="79"/>
        <v/>
      </c>
      <c r="AC202" s="208" t="str">
        <f t="shared" si="79"/>
        <v/>
      </c>
      <c r="AD202" s="208" t="str">
        <f t="shared" si="79"/>
        <v/>
      </c>
      <c r="AE202" s="208" t="str">
        <f t="shared" si="79"/>
        <v/>
      </c>
      <c r="AF202" s="208" t="str">
        <f t="shared" si="79"/>
        <v/>
      </c>
      <c r="AG202" s="209" t="str">
        <f t="shared" si="79"/>
        <v/>
      </c>
      <c r="AH202" s="404" t="str">
        <f>$AG202</f>
        <v/>
      </c>
      <c r="AI202" s="405" t="str">
        <f>AH202</f>
        <v/>
      </c>
      <c r="AJ202" s="406" t="str">
        <f>AI202</f>
        <v/>
      </c>
      <c r="AK202" s="217"/>
      <c r="AM202" s="407" t="str">
        <f>$AG202</f>
        <v/>
      </c>
      <c r="AN202" s="408" t="str">
        <f>AM202</f>
        <v/>
      </c>
      <c r="AO202" s="409" t="str">
        <f>AN202</f>
        <v/>
      </c>
    </row>
    <row r="203" spans="1:41" s="44" customFormat="1" ht="15.75" thickBot="1">
      <c r="A203" s="35"/>
      <c r="B203" s="44" t="s">
        <v>188</v>
      </c>
      <c r="D203" s="208" t="str">
        <f>IFERROR(D198/#REF!,"")</f>
        <v/>
      </c>
      <c r="E203" s="208" t="str">
        <f>IFERROR(E198/#REF!,"")</f>
        <v/>
      </c>
      <c r="F203" s="208" t="str">
        <f>IFERROR(F198/#REF!,"")</f>
        <v/>
      </c>
      <c r="G203" s="208" t="str">
        <f>IFERROR(G198/#REF!,"")</f>
        <v/>
      </c>
      <c r="H203" s="208" t="str">
        <f>IFERROR(H198/#REF!,"")</f>
        <v/>
      </c>
      <c r="I203" s="208" t="str">
        <f>IFERROR(I198/#REF!,"")</f>
        <v/>
      </c>
      <c r="J203" s="208" t="str">
        <f>IFERROR(J198/#REF!,"")</f>
        <v/>
      </c>
      <c r="K203" s="208" t="str">
        <f>IFERROR(K198/#REF!,"")</f>
        <v/>
      </c>
      <c r="L203" s="208" t="str">
        <f>IFERROR(L198/#REF!,"")</f>
        <v/>
      </c>
      <c r="M203" s="208" t="str">
        <f>IFERROR(M198/#REF!,"")</f>
        <v/>
      </c>
      <c r="N203" s="208" t="str">
        <f>IFERROR(N198/#REF!,"")</f>
        <v/>
      </c>
      <c r="O203" s="208" t="str">
        <f>IFERROR(O198/#REF!,"")</f>
        <v/>
      </c>
      <c r="P203" s="208" t="str">
        <f>IFERROR(P198/#REF!,"")</f>
        <v/>
      </c>
      <c r="Q203" s="208" t="str">
        <f>IFERROR(Q198/#REF!,"")</f>
        <v/>
      </c>
      <c r="R203" s="208" t="str">
        <f>IFERROR(R198/#REF!,"")</f>
        <v/>
      </c>
      <c r="S203" s="208" t="str">
        <f>IFERROR(S198/#REF!,"")</f>
        <v/>
      </c>
      <c r="T203" s="208" t="str">
        <f>IFERROR(T198/#REF!,"")</f>
        <v/>
      </c>
      <c r="U203" s="208" t="str">
        <f>IFERROR(U198/#REF!,"")</f>
        <v/>
      </c>
      <c r="V203" s="208" t="str">
        <f>IFERROR(V198/#REF!,"")</f>
        <v/>
      </c>
      <c r="W203" s="208" t="str">
        <f>IFERROR(W198/#REF!,"")</f>
        <v/>
      </c>
      <c r="X203" s="208" t="str">
        <f>IFERROR(X198/#REF!,"")</f>
        <v/>
      </c>
      <c r="Y203" s="208" t="str">
        <f>IFERROR(Y198/#REF!,"")</f>
        <v/>
      </c>
      <c r="Z203" s="208" t="str">
        <f>IFERROR(Z198/#REF!,"")</f>
        <v/>
      </c>
      <c r="AA203" s="208" t="str">
        <f>IFERROR(AA198/#REF!,"")</f>
        <v/>
      </c>
      <c r="AB203" s="208" t="str">
        <f>IFERROR(AB198/#REF!,"")</f>
        <v/>
      </c>
      <c r="AC203" s="208" t="str">
        <f>IFERROR(AC198/#REF!,"")</f>
        <v/>
      </c>
      <c r="AD203" s="208" t="str">
        <f>IFERROR(AD198/#REF!,"")</f>
        <v/>
      </c>
      <c r="AE203" s="208" t="str">
        <f>IFERROR(AE198/#REF!,"")</f>
        <v/>
      </c>
      <c r="AF203" s="208" t="str">
        <f>IFERROR(AF198/#REF!,"")</f>
        <v/>
      </c>
      <c r="AG203" s="209" t="str">
        <f>IFERROR(AG198/#REF!,"")</f>
        <v/>
      </c>
      <c r="AH203" s="410" t="str">
        <f>$AG203</f>
        <v/>
      </c>
      <c r="AI203" s="411" t="str">
        <f>AH203</f>
        <v/>
      </c>
      <c r="AJ203" s="412" t="str">
        <f>AI203</f>
        <v/>
      </c>
      <c r="AK203" s="217"/>
      <c r="AM203" s="413" t="str">
        <f>$AG203</f>
        <v/>
      </c>
      <c r="AN203" s="414" t="str">
        <f>AM203</f>
        <v/>
      </c>
      <c r="AO203" s="415" t="str">
        <f>AN203</f>
        <v/>
      </c>
    </row>
    <row r="204" spans="1:41" s="44" customFormat="1">
      <c r="A204" s="35"/>
      <c r="B204" s="44" t="s">
        <v>78</v>
      </c>
      <c r="D204" s="261" t="str">
        <f>IFERROR(D200/#REF!,"")</f>
        <v/>
      </c>
      <c r="E204" s="261" t="str">
        <f>IFERROR(E200/#REF!,"")</f>
        <v/>
      </c>
      <c r="F204" s="261" t="str">
        <f>IFERROR(F200/#REF!,"")</f>
        <v/>
      </c>
      <c r="G204" s="261" t="str">
        <f>IFERROR(G200/#REF!,"")</f>
        <v/>
      </c>
      <c r="H204" s="261" t="str">
        <f>IFERROR(H200/#REF!,"")</f>
        <v/>
      </c>
      <c r="I204" s="261" t="str">
        <f>IFERROR(I200/#REF!,"")</f>
        <v/>
      </c>
      <c r="J204" s="261" t="str">
        <f>IFERROR(J200/#REF!,"")</f>
        <v/>
      </c>
      <c r="K204" s="261" t="str">
        <f>IFERROR(K200/#REF!,"")</f>
        <v/>
      </c>
      <c r="L204" s="261" t="str">
        <f>IFERROR(L200/#REF!,"")</f>
        <v/>
      </c>
      <c r="M204" s="261" t="str">
        <f>IFERROR(M200/#REF!,"")</f>
        <v/>
      </c>
      <c r="N204" s="261" t="str">
        <f>IFERROR(N200/#REF!,"")</f>
        <v/>
      </c>
      <c r="O204" s="261" t="str">
        <f>IFERROR(O200/#REF!,"")</f>
        <v/>
      </c>
      <c r="P204" s="261" t="str">
        <f>IFERROR(P200/#REF!,"")</f>
        <v/>
      </c>
      <c r="Q204" s="261" t="str">
        <f>IFERROR(Q200/#REF!,"")</f>
        <v/>
      </c>
      <c r="R204" s="261" t="str">
        <f>IFERROR(R200/#REF!,"")</f>
        <v/>
      </c>
      <c r="S204" s="261" t="str">
        <f>IFERROR(S200/#REF!,"")</f>
        <v/>
      </c>
      <c r="T204" s="261" t="str">
        <f>IFERROR(T200/#REF!,"")</f>
        <v/>
      </c>
      <c r="U204" s="261" t="str">
        <f>IFERROR(U200/#REF!,"")</f>
        <v/>
      </c>
      <c r="V204" s="261" t="str">
        <f>IFERROR(V200/#REF!,"")</f>
        <v/>
      </c>
      <c r="W204" s="261" t="str">
        <f>IFERROR(W200/#REF!,"")</f>
        <v/>
      </c>
      <c r="X204" s="261" t="str">
        <f>IFERROR(X200/#REF!,"")</f>
        <v/>
      </c>
      <c r="Y204" s="261" t="str">
        <f>IFERROR(Y200/#REF!,"")</f>
        <v/>
      </c>
      <c r="Z204" s="261" t="str">
        <f>IFERROR(Z200/#REF!,"")</f>
        <v/>
      </c>
      <c r="AA204" s="261" t="str">
        <f>IFERROR(AA200/#REF!,"")</f>
        <v/>
      </c>
      <c r="AB204" s="261" t="str">
        <f>IFERROR(AB200/#REF!,"")</f>
        <v/>
      </c>
      <c r="AC204" s="261" t="str">
        <f>IFERROR(AC200/#REF!,"")</f>
        <v/>
      </c>
      <c r="AD204" s="261" t="str">
        <f>IFERROR(AD200/#REF!,"")</f>
        <v/>
      </c>
      <c r="AE204" s="261" t="str">
        <f>IFERROR(AE200/#REF!,"")</f>
        <v/>
      </c>
      <c r="AF204" s="261" t="str">
        <f>IFERROR(AF200/#REF!,"")</f>
        <v/>
      </c>
      <c r="AG204" s="262" t="str">
        <f>IFERROR(AG200/#REF!,"")</f>
        <v/>
      </c>
      <c r="AH204" s="261" t="str">
        <f>IFERROR(AH200/#REF!,"")</f>
        <v/>
      </c>
      <c r="AI204" s="40" t="str">
        <f>IFERROR(AI200/#REF!,"")</f>
        <v/>
      </c>
      <c r="AJ204" s="262" t="str">
        <f>IFERROR(AJ200/#REF!,"")</f>
        <v/>
      </c>
      <c r="AK204" s="217"/>
      <c r="AM204" s="40" t="str">
        <f>IFERROR(AM200/#REF!,"")</f>
        <v/>
      </c>
      <c r="AN204" s="40" t="str">
        <f>IFERROR(AN200/#REF!,"")</f>
        <v/>
      </c>
      <c r="AO204" s="40" t="str">
        <f>IFERROR(AO200/#REF!,"")</f>
        <v/>
      </c>
    </row>
    <row r="205" spans="1:41">
      <c r="A205" s="41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</row>
    <row r="206" spans="1:41">
      <c r="A206" s="41"/>
      <c r="B206" s="50" t="s">
        <v>17</v>
      </c>
      <c r="C206" s="50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</row>
    <row r="207" spans="1:41" ht="15.95" customHeight="1">
      <c r="A207" s="41"/>
      <c r="B207" s="26" t="s">
        <v>79</v>
      </c>
      <c r="D207" s="45">
        <f t="shared" ref="D207:AG207" si="80">C211</f>
        <v>0</v>
      </c>
      <c r="E207" s="45" t="e">
        <f t="shared" si="80"/>
        <v>#REF!</v>
      </c>
      <c r="F207" s="45" t="e">
        <f t="shared" si="80"/>
        <v>#REF!</v>
      </c>
      <c r="G207" s="45" t="e">
        <f t="shared" si="80"/>
        <v>#REF!</v>
      </c>
      <c r="H207" s="45" t="e">
        <f t="shared" si="80"/>
        <v>#REF!</v>
      </c>
      <c r="I207" s="45" t="e">
        <f t="shared" si="80"/>
        <v>#REF!</v>
      </c>
      <c r="J207" s="45" t="e">
        <f t="shared" si="80"/>
        <v>#REF!</v>
      </c>
      <c r="K207" s="45" t="e">
        <f t="shared" si="80"/>
        <v>#REF!</v>
      </c>
      <c r="L207" s="45" t="e">
        <f t="shared" si="80"/>
        <v>#REF!</v>
      </c>
      <c r="M207" s="45" t="e">
        <f t="shared" si="80"/>
        <v>#REF!</v>
      </c>
      <c r="N207" s="45" t="e">
        <f t="shared" si="80"/>
        <v>#REF!</v>
      </c>
      <c r="O207" s="45" t="e">
        <f t="shared" si="80"/>
        <v>#REF!</v>
      </c>
      <c r="P207" s="45" t="e">
        <f t="shared" si="80"/>
        <v>#REF!</v>
      </c>
      <c r="Q207" s="45" t="e">
        <f t="shared" si="80"/>
        <v>#REF!</v>
      </c>
      <c r="R207" s="45" t="e">
        <f t="shared" si="80"/>
        <v>#REF!</v>
      </c>
      <c r="S207" s="45" t="e">
        <f t="shared" si="80"/>
        <v>#REF!</v>
      </c>
      <c r="T207" s="45" t="e">
        <f t="shared" si="80"/>
        <v>#REF!</v>
      </c>
      <c r="U207" s="45" t="e">
        <f t="shared" si="80"/>
        <v>#REF!</v>
      </c>
      <c r="V207" s="45" t="e">
        <f t="shared" si="80"/>
        <v>#REF!</v>
      </c>
      <c r="W207" s="45" t="e">
        <f t="shared" si="80"/>
        <v>#REF!</v>
      </c>
      <c r="X207" s="45" t="e">
        <f t="shared" si="80"/>
        <v>#REF!</v>
      </c>
      <c r="Y207" s="45" t="e">
        <f t="shared" si="80"/>
        <v>#REF!</v>
      </c>
      <c r="Z207" s="45" t="e">
        <f t="shared" si="80"/>
        <v>#REF!</v>
      </c>
      <c r="AA207" s="45" t="e">
        <f t="shared" si="80"/>
        <v>#REF!</v>
      </c>
      <c r="AB207" s="45" t="e">
        <f t="shared" si="80"/>
        <v>#REF!</v>
      </c>
      <c r="AC207" s="45" t="e">
        <f t="shared" si="80"/>
        <v>#REF!</v>
      </c>
      <c r="AD207" s="45" t="e">
        <f t="shared" si="80"/>
        <v>#REF!</v>
      </c>
      <c r="AE207" s="45" t="e">
        <f t="shared" si="80"/>
        <v>#REF!</v>
      </c>
      <c r="AF207" s="45" t="e">
        <f t="shared" si="80"/>
        <v>#REF!</v>
      </c>
      <c r="AG207" s="77" t="e">
        <f t="shared" si="80"/>
        <v>#REF!</v>
      </c>
      <c r="AH207" s="45" t="e">
        <f>$AG211</f>
        <v>#REF!</v>
      </c>
      <c r="AI207" s="36" t="e">
        <f>AH211</f>
        <v>#REF!</v>
      </c>
      <c r="AJ207" s="77" t="e">
        <f>AI211</f>
        <v>#REF!</v>
      </c>
      <c r="AM207" s="34" t="e">
        <f>$AG211</f>
        <v>#REF!</v>
      </c>
      <c r="AN207" s="34" t="e">
        <f>AM211</f>
        <v>#REF!</v>
      </c>
      <c r="AO207" s="34" t="e">
        <f>AN211</f>
        <v>#REF!</v>
      </c>
    </row>
    <row r="208" spans="1:41" ht="15.95" customHeight="1">
      <c r="A208" s="41"/>
      <c r="B208" s="395" t="s">
        <v>80</v>
      </c>
      <c r="C208" s="395"/>
      <c r="D208" s="416" t="e">
        <f>#REF!</f>
        <v>#REF!</v>
      </c>
      <c r="E208" s="416" t="e">
        <f>#REF!</f>
        <v>#REF!</v>
      </c>
      <c r="F208" s="416" t="e">
        <f>#REF!</f>
        <v>#REF!</v>
      </c>
      <c r="G208" s="416" t="e">
        <f>#REF!</f>
        <v>#REF!</v>
      </c>
      <c r="H208" s="416" t="e">
        <f>#REF!</f>
        <v>#REF!</v>
      </c>
      <c r="I208" s="416" t="e">
        <f>#REF!</f>
        <v>#REF!</v>
      </c>
      <c r="J208" s="416" t="e">
        <f>#REF!</f>
        <v>#REF!</v>
      </c>
      <c r="K208" s="416" t="e">
        <f>#REF!</f>
        <v>#REF!</v>
      </c>
      <c r="L208" s="416" t="e">
        <f>#REF!</f>
        <v>#REF!</v>
      </c>
      <c r="M208" s="416" t="e">
        <f>#REF!</f>
        <v>#REF!</v>
      </c>
      <c r="N208" s="416" t="e">
        <f>#REF!</f>
        <v>#REF!</v>
      </c>
      <c r="O208" s="416" t="e">
        <f>#REF!</f>
        <v>#REF!</v>
      </c>
      <c r="P208" s="416" t="e">
        <f>#REF!</f>
        <v>#REF!</v>
      </c>
      <c r="Q208" s="416" t="e">
        <f>#REF!</f>
        <v>#REF!</v>
      </c>
      <c r="R208" s="416" t="e">
        <f>#REF!</f>
        <v>#REF!</v>
      </c>
      <c r="S208" s="416" t="e">
        <f>#REF!</f>
        <v>#REF!</v>
      </c>
      <c r="T208" s="416" t="e">
        <f>#REF!</f>
        <v>#REF!</v>
      </c>
      <c r="U208" s="416" t="e">
        <f>#REF!</f>
        <v>#REF!</v>
      </c>
      <c r="V208" s="416" t="e">
        <f>#REF!</f>
        <v>#REF!</v>
      </c>
      <c r="W208" s="416" t="e">
        <f>#REF!</f>
        <v>#REF!</v>
      </c>
      <c r="X208" s="416" t="e">
        <f>#REF!</f>
        <v>#REF!</v>
      </c>
      <c r="Y208" s="416" t="e">
        <f>#REF!</f>
        <v>#REF!</v>
      </c>
      <c r="Z208" s="416" t="e">
        <f>#REF!</f>
        <v>#REF!</v>
      </c>
      <c r="AA208" s="416" t="e">
        <f>#REF!</f>
        <v>#REF!</v>
      </c>
      <c r="AB208" s="416" t="e">
        <f>#REF!</f>
        <v>#REF!</v>
      </c>
      <c r="AC208" s="416" t="e">
        <f>#REF!</f>
        <v>#REF!</v>
      </c>
      <c r="AD208" s="416" t="e">
        <f>#REF!</f>
        <v>#REF!</v>
      </c>
      <c r="AE208" s="416" t="e">
        <f>#REF!</f>
        <v>#REF!</v>
      </c>
      <c r="AF208" s="416" t="e">
        <f>#REF!</f>
        <v>#REF!</v>
      </c>
      <c r="AG208" s="417" t="e">
        <f>#REF!</f>
        <v>#REF!</v>
      </c>
      <c r="AH208" s="55" t="e">
        <f>AH212*AH207</f>
        <v>#REF!</v>
      </c>
      <c r="AI208" s="55" t="e">
        <f>AI212*AI207</f>
        <v>#REF!</v>
      </c>
      <c r="AJ208" s="83" t="e">
        <f>AJ212*AJ207</f>
        <v>#REF!</v>
      </c>
      <c r="AK208" s="418"/>
      <c r="AL208" s="419"/>
      <c r="AM208" s="55" t="e">
        <f>AM212*AM207</f>
        <v>#REF!</v>
      </c>
      <c r="AN208" s="55" t="e">
        <f>AN212*AN207</f>
        <v>#REF!</v>
      </c>
      <c r="AO208" s="55" t="e">
        <f>AO212*AO207</f>
        <v>#REF!</v>
      </c>
    </row>
    <row r="209" spans="1:41" ht="15.95" customHeight="1">
      <c r="A209" s="35" t="e">
        <f>#REF!</f>
        <v>#REF!</v>
      </c>
      <c r="B209" s="396" t="s">
        <v>81</v>
      </c>
      <c r="C209" s="420"/>
      <c r="D209" s="2" t="e">
        <f>IF(D$3&lt;-#REF!,"",INDEX(#REF!,#REF!-D$3,$A209))</f>
        <v>#REF!</v>
      </c>
      <c r="E209" s="2" t="e">
        <f>IF(E$3&lt;-#REF!,"",INDEX(#REF!,#REF!-E$3,$A209))</f>
        <v>#REF!</v>
      </c>
      <c r="F209" s="2" t="e">
        <f>IF(F$3&lt;-#REF!,"",INDEX(#REF!,#REF!-F$3,$A209))</f>
        <v>#REF!</v>
      </c>
      <c r="G209" s="2" t="e">
        <f>IF(G$3&lt;-#REF!,"",INDEX(#REF!,#REF!-G$3,$A209))</f>
        <v>#REF!</v>
      </c>
      <c r="H209" s="2" t="e">
        <f>IF(H$3&lt;-#REF!,"",INDEX(#REF!,#REF!-H$3,$A209))</f>
        <v>#REF!</v>
      </c>
      <c r="I209" s="2" t="e">
        <f>IF(I$3&lt;-#REF!,"",INDEX(#REF!,#REF!-I$3,$A209))</f>
        <v>#REF!</v>
      </c>
      <c r="J209" s="2" t="e">
        <f>IF(J$3&lt;-#REF!,"",INDEX(#REF!,#REF!-J$3,$A209))</f>
        <v>#REF!</v>
      </c>
      <c r="K209" s="2" t="e">
        <f>IF(K$3&lt;-#REF!,"",INDEX(#REF!,#REF!-K$3,$A209))</f>
        <v>#REF!</v>
      </c>
      <c r="L209" s="2" t="e">
        <f>IF(L$3&lt;-#REF!,"",INDEX(#REF!,#REF!-L$3,$A209))</f>
        <v>#REF!</v>
      </c>
      <c r="M209" s="2" t="e">
        <f>IF(M$3&lt;-#REF!,"",INDEX(#REF!,#REF!-M$3,$A209))</f>
        <v>#REF!</v>
      </c>
      <c r="N209" s="2" t="e">
        <f>IF(N$3&lt;-#REF!,"",INDEX(#REF!,#REF!-N$3,$A209))</f>
        <v>#REF!</v>
      </c>
      <c r="O209" s="2" t="e">
        <f>IF(O$3&lt;-#REF!,"",INDEX(#REF!,#REF!-O$3,$A209))</f>
        <v>#REF!</v>
      </c>
      <c r="P209" s="2" t="e">
        <f>IF(P$3&lt;-#REF!,"",INDEX(#REF!,#REF!-P$3,$A209))</f>
        <v>#REF!</v>
      </c>
      <c r="Q209" s="2" t="e">
        <f>IF(Q$3&lt;-#REF!,"",INDEX(#REF!,#REF!-Q$3,$A209))</f>
        <v>#REF!</v>
      </c>
      <c r="R209" s="2" t="e">
        <f>IF(R$3&lt;-#REF!,"",INDEX(#REF!,#REF!-R$3,$A209))</f>
        <v>#REF!</v>
      </c>
      <c r="S209" s="2" t="e">
        <f>IF(S$3&lt;-#REF!,"",INDEX(#REF!,#REF!-S$3,$A209))</f>
        <v>#REF!</v>
      </c>
      <c r="T209" s="2" t="e">
        <f>IF(T$3&lt;-#REF!,"",INDEX(#REF!,#REF!-T$3,$A209))</f>
        <v>#REF!</v>
      </c>
      <c r="U209" s="2" t="e">
        <f>IF(U$3&lt;-#REF!,"",INDEX(#REF!,#REF!-U$3,$A209))</f>
        <v>#REF!</v>
      </c>
      <c r="V209" s="2" t="e">
        <f>IF(V$3&lt;-#REF!,"",INDEX(#REF!,#REF!-V$3,$A209))</f>
        <v>#REF!</v>
      </c>
      <c r="W209" s="2" t="e">
        <f>IF(W$3&lt;-#REF!,"",INDEX(#REF!,#REF!-W$3,$A209))</f>
        <v>#REF!</v>
      </c>
      <c r="X209" s="2" t="e">
        <f>IF(X$3&lt;-#REF!,"",INDEX(#REF!,#REF!-X$3,$A209))</f>
        <v>#REF!</v>
      </c>
      <c r="Y209" s="2" t="e">
        <f>IF(Y$3&lt;-#REF!,"",INDEX(#REF!,#REF!-Y$3,$A209))</f>
        <v>#REF!</v>
      </c>
      <c r="Z209" s="2" t="e">
        <f>IF(Z$3&lt;-#REF!,"",INDEX(#REF!,#REF!-Z$3,$A209))</f>
        <v>#REF!</v>
      </c>
      <c r="AA209" s="2" t="e">
        <f>IF(AA$3&lt;-#REF!,"",INDEX(#REF!,#REF!-AA$3,$A209))</f>
        <v>#REF!</v>
      </c>
      <c r="AB209" s="2" t="e">
        <f>IF(AB$3&lt;-#REF!,"",INDEX(#REF!,#REF!-AB$3,$A209))</f>
        <v>#REF!</v>
      </c>
      <c r="AC209" s="2" t="e">
        <f>IF(AC$3&lt;-#REF!,"",INDEX(#REF!,#REF!-AC$3,$A209))</f>
        <v>#REF!</v>
      </c>
      <c r="AD209" s="2" t="e">
        <f>IF(AD$3&lt;-#REF!,"",INDEX(#REF!,#REF!-AD$3,$A209))</f>
        <v>#REF!</v>
      </c>
      <c r="AE209" s="2" t="e">
        <f>IF(AE$3&lt;-#REF!,"",INDEX(#REF!,#REF!-AE$3,$A209))</f>
        <v>#REF!</v>
      </c>
      <c r="AF209" s="2" t="e">
        <f>IF(AF$3&lt;-#REF!,"",INDEX(#REF!,#REF!-AF$3,$A209))</f>
        <v>#REF!</v>
      </c>
      <c r="AG209" s="4" t="e">
        <f>IF(AG$3&lt;-#REF!,"",INDEX(#REF!,#REF!-AG$3,$A209))</f>
        <v>#REF!</v>
      </c>
      <c r="AH209" s="55" t="e">
        <f>AH213*#REF!</f>
        <v>#VALUE!</v>
      </c>
      <c r="AI209" s="55" t="e">
        <f>AI213*#REF!</f>
        <v>#VALUE!</v>
      </c>
      <c r="AJ209" s="83" t="e">
        <f>AJ213*#REF!</f>
        <v>#VALUE!</v>
      </c>
      <c r="AK209" s="421"/>
      <c r="AL209" s="422"/>
      <c r="AM209" s="55" t="e">
        <f>AM213*#REF!</f>
        <v>#VALUE!</v>
      </c>
      <c r="AN209" s="55" t="e">
        <f>AN213*#REF!</f>
        <v>#VALUE!</v>
      </c>
      <c r="AO209" s="55" t="e">
        <f>AO213*#REF!</f>
        <v>#VALUE!</v>
      </c>
    </row>
    <row r="210" spans="1:41" ht="15.95" customHeight="1">
      <c r="A210" s="35"/>
      <c r="B210" s="396" t="s">
        <v>82</v>
      </c>
      <c r="C210" s="423"/>
      <c r="D210" s="45" t="str">
        <f t="shared" ref="D210:AG210" si="81">IFERROR(-(D211-D207+D208-D209),"")</f>
        <v/>
      </c>
      <c r="E210" s="45" t="str">
        <f t="shared" si="81"/>
        <v/>
      </c>
      <c r="F210" s="45" t="str">
        <f t="shared" si="81"/>
        <v/>
      </c>
      <c r="G210" s="45" t="str">
        <f t="shared" si="81"/>
        <v/>
      </c>
      <c r="H210" s="45" t="str">
        <f t="shared" si="81"/>
        <v/>
      </c>
      <c r="I210" s="45" t="str">
        <f t="shared" si="81"/>
        <v/>
      </c>
      <c r="J210" s="45" t="str">
        <f t="shared" si="81"/>
        <v/>
      </c>
      <c r="K210" s="45" t="str">
        <f t="shared" si="81"/>
        <v/>
      </c>
      <c r="L210" s="45" t="str">
        <f t="shared" si="81"/>
        <v/>
      </c>
      <c r="M210" s="45" t="str">
        <f t="shared" si="81"/>
        <v/>
      </c>
      <c r="N210" s="45" t="str">
        <f t="shared" si="81"/>
        <v/>
      </c>
      <c r="O210" s="45" t="str">
        <f t="shared" si="81"/>
        <v/>
      </c>
      <c r="P210" s="45" t="str">
        <f t="shared" si="81"/>
        <v/>
      </c>
      <c r="Q210" s="45" t="str">
        <f t="shared" si="81"/>
        <v/>
      </c>
      <c r="R210" s="45" t="str">
        <f t="shared" si="81"/>
        <v/>
      </c>
      <c r="S210" s="45" t="str">
        <f t="shared" si="81"/>
        <v/>
      </c>
      <c r="T210" s="45" t="str">
        <f t="shared" si="81"/>
        <v/>
      </c>
      <c r="U210" s="45" t="str">
        <f t="shared" si="81"/>
        <v/>
      </c>
      <c r="V210" s="45" t="str">
        <f t="shared" si="81"/>
        <v/>
      </c>
      <c r="W210" s="45" t="str">
        <f t="shared" si="81"/>
        <v/>
      </c>
      <c r="X210" s="45" t="str">
        <f t="shared" si="81"/>
        <v/>
      </c>
      <c r="Y210" s="45" t="str">
        <f t="shared" si="81"/>
        <v/>
      </c>
      <c r="Z210" s="45" t="str">
        <f t="shared" si="81"/>
        <v/>
      </c>
      <c r="AA210" s="45" t="str">
        <f t="shared" si="81"/>
        <v/>
      </c>
      <c r="AB210" s="45" t="str">
        <f t="shared" si="81"/>
        <v/>
      </c>
      <c r="AC210" s="45" t="str">
        <f t="shared" si="81"/>
        <v/>
      </c>
      <c r="AD210" s="45" t="str">
        <f t="shared" si="81"/>
        <v/>
      </c>
      <c r="AE210" s="45" t="str">
        <f t="shared" si="81"/>
        <v/>
      </c>
      <c r="AF210" s="45" t="str">
        <f t="shared" si="81"/>
        <v/>
      </c>
      <c r="AG210" s="77" t="str">
        <f t="shared" si="81"/>
        <v/>
      </c>
      <c r="AH210" s="424"/>
      <c r="AI210" s="424"/>
      <c r="AJ210" s="225"/>
      <c r="AK210" s="421"/>
      <c r="AL210" s="422"/>
      <c r="AM210" s="55"/>
      <c r="AN210" s="55"/>
      <c r="AO210" s="55"/>
    </row>
    <row r="211" spans="1:41" ht="15.95" customHeight="1" thickBot="1">
      <c r="B211" s="395" t="s">
        <v>83</v>
      </c>
      <c r="C211" s="395"/>
      <c r="D211" s="416" t="e">
        <f t="shared" ref="D211:AG211" si="82">D20</f>
        <v>#REF!</v>
      </c>
      <c r="E211" s="416" t="e">
        <f t="shared" si="82"/>
        <v>#REF!</v>
      </c>
      <c r="F211" s="416" t="e">
        <f t="shared" si="82"/>
        <v>#REF!</v>
      </c>
      <c r="G211" s="416" t="e">
        <f t="shared" si="82"/>
        <v>#REF!</v>
      </c>
      <c r="H211" s="416" t="e">
        <f t="shared" si="82"/>
        <v>#REF!</v>
      </c>
      <c r="I211" s="416" t="e">
        <f t="shared" si="82"/>
        <v>#REF!</v>
      </c>
      <c r="J211" s="416" t="e">
        <f t="shared" si="82"/>
        <v>#REF!</v>
      </c>
      <c r="K211" s="416" t="e">
        <f t="shared" si="82"/>
        <v>#REF!</v>
      </c>
      <c r="L211" s="416" t="e">
        <f t="shared" si="82"/>
        <v>#REF!</v>
      </c>
      <c r="M211" s="416" t="e">
        <f t="shared" si="82"/>
        <v>#REF!</v>
      </c>
      <c r="N211" s="416" t="e">
        <f t="shared" si="82"/>
        <v>#REF!</v>
      </c>
      <c r="O211" s="416" t="e">
        <f t="shared" si="82"/>
        <v>#REF!</v>
      </c>
      <c r="P211" s="416" t="e">
        <f t="shared" si="82"/>
        <v>#REF!</v>
      </c>
      <c r="Q211" s="416" t="e">
        <f t="shared" si="82"/>
        <v>#REF!</v>
      </c>
      <c r="R211" s="416" t="e">
        <f t="shared" si="82"/>
        <v>#REF!</v>
      </c>
      <c r="S211" s="416" t="e">
        <f t="shared" si="82"/>
        <v>#REF!</v>
      </c>
      <c r="T211" s="416" t="e">
        <f t="shared" si="82"/>
        <v>#REF!</v>
      </c>
      <c r="U211" s="416" t="e">
        <f t="shared" si="82"/>
        <v>#REF!</v>
      </c>
      <c r="V211" s="416" t="e">
        <f t="shared" si="82"/>
        <v>#REF!</v>
      </c>
      <c r="W211" s="416" t="e">
        <f t="shared" si="82"/>
        <v>#REF!</v>
      </c>
      <c r="X211" s="416" t="e">
        <f t="shared" si="82"/>
        <v>#REF!</v>
      </c>
      <c r="Y211" s="416" t="e">
        <f t="shared" si="82"/>
        <v>#REF!</v>
      </c>
      <c r="Z211" s="416" t="e">
        <f t="shared" si="82"/>
        <v>#REF!</v>
      </c>
      <c r="AA211" s="416" t="e">
        <f t="shared" si="82"/>
        <v>#REF!</v>
      </c>
      <c r="AB211" s="416" t="e">
        <f t="shared" si="82"/>
        <v>#REF!</v>
      </c>
      <c r="AC211" s="416" t="e">
        <f t="shared" si="82"/>
        <v>#REF!</v>
      </c>
      <c r="AD211" s="416" t="e">
        <f t="shared" si="82"/>
        <v>#REF!</v>
      </c>
      <c r="AE211" s="416" t="e">
        <f t="shared" si="82"/>
        <v>#REF!</v>
      </c>
      <c r="AF211" s="416" t="e">
        <f t="shared" si="82"/>
        <v>#REF!</v>
      </c>
      <c r="AG211" s="417" t="e">
        <f t="shared" si="82"/>
        <v>#REF!</v>
      </c>
      <c r="AH211" s="80" t="e">
        <f>AH207-AH208+AH209-AH210</f>
        <v>#REF!</v>
      </c>
      <c r="AI211" s="425" t="e">
        <f>AI207-AI208+AI209-AI210</f>
        <v>#REF!</v>
      </c>
      <c r="AJ211" s="81" t="e">
        <f>AJ207-AJ208+AJ209-AJ210</f>
        <v>#REF!</v>
      </c>
      <c r="AM211" s="34" t="e">
        <f>AM207-AM208+AM209</f>
        <v>#REF!</v>
      </c>
      <c r="AN211" s="34" t="e">
        <f>AN207-AN208+AN209</f>
        <v>#REF!</v>
      </c>
      <c r="AO211" s="34" t="e">
        <f>AO207-AO208+AO209</f>
        <v>#REF!</v>
      </c>
    </row>
    <row r="212" spans="1:41" s="44" customFormat="1" ht="15.95" customHeight="1" thickBot="1">
      <c r="A212" s="75"/>
      <c r="B212" s="426" t="s">
        <v>84</v>
      </c>
      <c r="C212" s="426"/>
      <c r="D212" s="261" t="str">
        <f t="shared" ref="D212:AF212" si="83">IFERROR(D208/D207,"")</f>
        <v/>
      </c>
      <c r="E212" s="261" t="str">
        <f t="shared" si="83"/>
        <v/>
      </c>
      <c r="F212" s="261" t="str">
        <f t="shared" si="83"/>
        <v/>
      </c>
      <c r="G212" s="261" t="str">
        <f t="shared" si="83"/>
        <v/>
      </c>
      <c r="H212" s="261" t="str">
        <f t="shared" si="83"/>
        <v/>
      </c>
      <c r="I212" s="261" t="str">
        <f t="shared" si="83"/>
        <v/>
      </c>
      <c r="J212" s="261" t="str">
        <f t="shared" si="83"/>
        <v/>
      </c>
      <c r="K212" s="261" t="str">
        <f t="shared" si="83"/>
        <v/>
      </c>
      <c r="L212" s="261" t="str">
        <f t="shared" si="83"/>
        <v/>
      </c>
      <c r="M212" s="261" t="str">
        <f t="shared" si="83"/>
        <v/>
      </c>
      <c r="N212" s="261" t="str">
        <f t="shared" si="83"/>
        <v/>
      </c>
      <c r="O212" s="261" t="str">
        <f t="shared" si="83"/>
        <v/>
      </c>
      <c r="P212" s="261" t="str">
        <f t="shared" si="83"/>
        <v/>
      </c>
      <c r="Q212" s="261" t="str">
        <f t="shared" si="83"/>
        <v/>
      </c>
      <c r="R212" s="261" t="str">
        <f t="shared" si="83"/>
        <v/>
      </c>
      <c r="S212" s="261" t="str">
        <f t="shared" si="83"/>
        <v/>
      </c>
      <c r="T212" s="261" t="str">
        <f t="shared" si="83"/>
        <v/>
      </c>
      <c r="U212" s="261" t="str">
        <f t="shared" si="83"/>
        <v/>
      </c>
      <c r="V212" s="261" t="str">
        <f t="shared" si="83"/>
        <v/>
      </c>
      <c r="W212" s="261" t="str">
        <f t="shared" si="83"/>
        <v/>
      </c>
      <c r="X212" s="261" t="str">
        <f t="shared" si="83"/>
        <v/>
      </c>
      <c r="Y212" s="261" t="str">
        <f t="shared" si="83"/>
        <v/>
      </c>
      <c r="Z212" s="261" t="str">
        <f t="shared" si="83"/>
        <v/>
      </c>
      <c r="AA212" s="261" t="str">
        <f t="shared" si="83"/>
        <v/>
      </c>
      <c r="AB212" s="261" t="str">
        <f t="shared" si="83"/>
        <v/>
      </c>
      <c r="AC212" s="261" t="str">
        <f t="shared" si="83"/>
        <v/>
      </c>
      <c r="AD212" s="261" t="str">
        <f t="shared" si="83"/>
        <v/>
      </c>
      <c r="AE212" s="261" t="str">
        <f t="shared" si="83"/>
        <v/>
      </c>
      <c r="AF212" s="261" t="str">
        <f t="shared" si="83"/>
        <v/>
      </c>
      <c r="AG212" s="262">
        <f>IFERROR(AG208/AG207,0)</f>
        <v>0</v>
      </c>
      <c r="AH212" s="404">
        <f>$AG212</f>
        <v>0</v>
      </c>
      <c r="AI212" s="405">
        <f>AH212</f>
        <v>0</v>
      </c>
      <c r="AJ212" s="406">
        <f>AI212</f>
        <v>0</v>
      </c>
      <c r="AK212" s="217"/>
      <c r="AM212" s="407">
        <f>$AG212</f>
        <v>0</v>
      </c>
      <c r="AN212" s="408">
        <f>AM212</f>
        <v>0</v>
      </c>
      <c r="AO212" s="409">
        <f>AN212</f>
        <v>0</v>
      </c>
    </row>
    <row r="213" spans="1:41" s="44" customFormat="1" ht="15.95" customHeight="1" thickBot="1">
      <c r="A213" s="75"/>
      <c r="B213" s="427" t="s">
        <v>189</v>
      </c>
      <c r="C213" s="427"/>
      <c r="D213" s="261" t="str">
        <f>IFERROR(D209/#REF!,"")</f>
        <v/>
      </c>
      <c r="E213" s="261" t="str">
        <f>IFERROR(E209/#REF!,"")</f>
        <v/>
      </c>
      <c r="F213" s="261" t="str">
        <f>IFERROR(F209/#REF!,"")</f>
        <v/>
      </c>
      <c r="G213" s="261" t="str">
        <f>IFERROR(G209/#REF!,"")</f>
        <v/>
      </c>
      <c r="H213" s="261" t="str">
        <f>IFERROR(H209/#REF!,"")</f>
        <v/>
      </c>
      <c r="I213" s="261" t="str">
        <f>IFERROR(I209/#REF!,"")</f>
        <v/>
      </c>
      <c r="J213" s="261" t="str">
        <f>IFERROR(J209/#REF!,"")</f>
        <v/>
      </c>
      <c r="K213" s="261" t="str">
        <f>IFERROR(K209/#REF!,"")</f>
        <v/>
      </c>
      <c r="L213" s="261" t="str">
        <f>IFERROR(L209/#REF!,"")</f>
        <v/>
      </c>
      <c r="M213" s="261" t="str">
        <f>IFERROR(M209/#REF!,"")</f>
        <v/>
      </c>
      <c r="N213" s="261" t="str">
        <f>IFERROR(N209/#REF!,"")</f>
        <v/>
      </c>
      <c r="O213" s="261" t="str">
        <f>IFERROR(O209/#REF!,"")</f>
        <v/>
      </c>
      <c r="P213" s="261" t="str">
        <f>IFERROR(P209/#REF!,"")</f>
        <v/>
      </c>
      <c r="Q213" s="261" t="str">
        <f>IFERROR(Q209/#REF!,"")</f>
        <v/>
      </c>
      <c r="R213" s="261" t="str">
        <f>IFERROR(R209/#REF!,"")</f>
        <v/>
      </c>
      <c r="S213" s="261" t="str">
        <f>IFERROR(S209/#REF!,"")</f>
        <v/>
      </c>
      <c r="T213" s="261" t="str">
        <f>IFERROR(T209/#REF!,"")</f>
        <v/>
      </c>
      <c r="U213" s="261" t="str">
        <f>IFERROR(U209/#REF!,"")</f>
        <v/>
      </c>
      <c r="V213" s="261" t="str">
        <f>IFERROR(V209/#REF!,"")</f>
        <v/>
      </c>
      <c r="W213" s="261" t="str">
        <f>IFERROR(W209/#REF!,"")</f>
        <v/>
      </c>
      <c r="X213" s="261" t="str">
        <f>IFERROR(X209/#REF!,"")</f>
        <v/>
      </c>
      <c r="Y213" s="261" t="str">
        <f>IFERROR(Y209/#REF!,"")</f>
        <v/>
      </c>
      <c r="Z213" s="261" t="str">
        <f>IFERROR(Z209/#REF!,"")</f>
        <v/>
      </c>
      <c r="AA213" s="261" t="str">
        <f>IFERROR(AA209/#REF!,"")</f>
        <v/>
      </c>
      <c r="AB213" s="261" t="str">
        <f>IFERROR(AB209/#REF!,"")</f>
        <v/>
      </c>
      <c r="AC213" s="261" t="str">
        <f>IFERROR(AC209/#REF!,"")</f>
        <v/>
      </c>
      <c r="AD213" s="261" t="str">
        <f>IFERROR(AD209/#REF!,"")</f>
        <v/>
      </c>
      <c r="AE213" s="261" t="str">
        <f>IFERROR(AE209/#REF!,"")</f>
        <v/>
      </c>
      <c r="AF213" s="261" t="str">
        <f>IFERROR(AF209/#REF!,"")</f>
        <v/>
      </c>
      <c r="AG213" s="262" t="str">
        <f>IFERROR(AG209/#REF!,"")</f>
        <v/>
      </c>
      <c r="AH213" s="428" t="str">
        <f>$AG213</f>
        <v/>
      </c>
      <c r="AI213" s="411" t="str">
        <f>AH213</f>
        <v/>
      </c>
      <c r="AJ213" s="412" t="str">
        <f>AI213</f>
        <v/>
      </c>
      <c r="AK213" s="217"/>
      <c r="AM213" s="413" t="str">
        <f>$AG213</f>
        <v/>
      </c>
      <c r="AN213" s="414" t="str">
        <f>AM213</f>
        <v/>
      </c>
      <c r="AO213" s="415" t="str">
        <f>AN213</f>
        <v/>
      </c>
    </row>
    <row r="214" spans="1:41" s="44" customFormat="1" ht="15.95" customHeight="1">
      <c r="A214" s="75"/>
      <c r="B214" s="427" t="s">
        <v>190</v>
      </c>
      <c r="C214" s="427"/>
      <c r="D214" s="261" t="str">
        <f>IFERROR((D209-D210)/#REF!,"")</f>
        <v/>
      </c>
      <c r="E214" s="261" t="str">
        <f>IFERROR((E209-E210)/#REF!,"")</f>
        <v/>
      </c>
      <c r="F214" s="261" t="str">
        <f>IFERROR((F209-F210)/#REF!,"")</f>
        <v/>
      </c>
      <c r="G214" s="261" t="str">
        <f>IFERROR((G209-G210)/#REF!,"")</f>
        <v/>
      </c>
      <c r="H214" s="261" t="str">
        <f>IFERROR((H209-H210)/#REF!,"")</f>
        <v/>
      </c>
      <c r="I214" s="261" t="str">
        <f>IFERROR((I209-I210)/#REF!,"")</f>
        <v/>
      </c>
      <c r="J214" s="261" t="str">
        <f>IFERROR((J209-J210)/#REF!,"")</f>
        <v/>
      </c>
      <c r="K214" s="261" t="str">
        <f>IFERROR((K209-K210)/#REF!,"")</f>
        <v/>
      </c>
      <c r="L214" s="261" t="str">
        <f>IFERROR((L209-L210)/#REF!,"")</f>
        <v/>
      </c>
      <c r="M214" s="261" t="str">
        <f>IFERROR((M209-M210)/#REF!,"")</f>
        <v/>
      </c>
      <c r="N214" s="261" t="str">
        <f>IFERROR((N209-N210)/#REF!,"")</f>
        <v/>
      </c>
      <c r="O214" s="261" t="str">
        <f>IFERROR((O209-O210)/#REF!,"")</f>
        <v/>
      </c>
      <c r="P214" s="261" t="str">
        <f>IFERROR((P209-P210)/#REF!,"")</f>
        <v/>
      </c>
      <c r="Q214" s="261" t="str">
        <f>IFERROR((Q209-Q210)/#REF!,"")</f>
        <v/>
      </c>
      <c r="R214" s="261" t="str">
        <f>IFERROR((R209-R210)/#REF!,"")</f>
        <v/>
      </c>
      <c r="S214" s="261" t="str">
        <f>IFERROR((S209-S210)/#REF!,"")</f>
        <v/>
      </c>
      <c r="T214" s="261" t="str">
        <f>IFERROR((T209-T210)/#REF!,"")</f>
        <v/>
      </c>
      <c r="U214" s="261" t="str">
        <f>IFERROR((U209-U210)/#REF!,"")</f>
        <v/>
      </c>
      <c r="V214" s="261" t="str">
        <f>IFERROR((V209-V210)/#REF!,"")</f>
        <v/>
      </c>
      <c r="W214" s="261" t="str">
        <f>IFERROR((W209-W210)/#REF!,"")</f>
        <v/>
      </c>
      <c r="X214" s="261" t="str">
        <f>IFERROR((X209-X210)/#REF!,"")</f>
        <v/>
      </c>
      <c r="Y214" s="261" t="str">
        <f>IFERROR((Y209-Y210)/#REF!,"")</f>
        <v/>
      </c>
      <c r="Z214" s="261" t="str">
        <f>IFERROR((Z209-Z210)/#REF!,"")</f>
        <v/>
      </c>
      <c r="AA214" s="261" t="str">
        <f>IFERROR((AA209-AA210)/#REF!,"")</f>
        <v/>
      </c>
      <c r="AB214" s="261" t="str">
        <f>IFERROR((AB209-AB210)/#REF!,"")</f>
        <v/>
      </c>
      <c r="AC214" s="261" t="str">
        <f>IFERROR((AC209-AC210)/#REF!,"")</f>
        <v/>
      </c>
      <c r="AD214" s="261" t="str">
        <f>IFERROR((AD209-AD210)/#REF!,"")</f>
        <v/>
      </c>
      <c r="AE214" s="261" t="str">
        <f>IFERROR((AE209-AE210)/#REF!,"")</f>
        <v/>
      </c>
      <c r="AF214" s="261" t="str">
        <f>IFERROR((AF209-AF210)/#REF!,"")</f>
        <v/>
      </c>
      <c r="AG214" s="262" t="str">
        <f>IFERROR((AG209-AG210)/#REF!,"")</f>
        <v/>
      </c>
      <c r="AH214" s="261" t="e">
        <f>(AH209-AH210)/#REF!</f>
        <v>#VALUE!</v>
      </c>
      <c r="AI214" s="261" t="e">
        <f>(AI209-AI210)/#REF!</f>
        <v>#VALUE!</v>
      </c>
      <c r="AJ214" s="262" t="e">
        <f>(AJ209-AJ210)/#REF!</f>
        <v>#VALUE!</v>
      </c>
      <c r="AK214" s="217"/>
      <c r="AM214" s="261" t="e">
        <f>(AM209-AM210)/#REF!</f>
        <v>#VALUE!</v>
      </c>
      <c r="AN214" s="261" t="e">
        <f>(AN209-AN210)/#REF!</f>
        <v>#VALUE!</v>
      </c>
      <c r="AO214" s="261" t="e">
        <f>(AO209-AO210)/#REF!</f>
        <v>#VALUE!</v>
      </c>
    </row>
    <row r="215" spans="1:41" s="44" customFormat="1" ht="15.95" customHeight="1">
      <c r="A215" s="75"/>
      <c r="B215" s="427"/>
      <c r="C215" s="427"/>
      <c r="D215" s="261"/>
      <c r="E215" s="261"/>
      <c r="F215" s="261"/>
      <c r="G215" s="261"/>
      <c r="H215" s="261"/>
      <c r="I215" s="261"/>
      <c r="J215" s="261"/>
      <c r="K215" s="261"/>
      <c r="L215" s="261"/>
      <c r="M215" s="261"/>
      <c r="N215" s="261"/>
      <c r="O215" s="261"/>
      <c r="P215" s="261"/>
      <c r="Q215" s="261"/>
      <c r="R215" s="261"/>
      <c r="S215" s="261"/>
      <c r="T215" s="261"/>
      <c r="U215" s="261"/>
      <c r="V215" s="261"/>
      <c r="W215" s="261"/>
      <c r="X215" s="261"/>
      <c r="Y215" s="261"/>
      <c r="Z215" s="261"/>
      <c r="AA215" s="261"/>
      <c r="AB215" s="261"/>
      <c r="AC215" s="261"/>
      <c r="AD215" s="261"/>
      <c r="AE215" s="261"/>
      <c r="AF215" s="261"/>
      <c r="AG215" s="262"/>
      <c r="AH215" s="261"/>
      <c r="AI215" s="261"/>
      <c r="AJ215" s="262"/>
      <c r="AK215" s="217"/>
      <c r="AM215" s="261"/>
      <c r="AN215" s="261"/>
      <c r="AO215" s="261"/>
    </row>
    <row r="216" spans="1:41">
      <c r="B216" s="50" t="s">
        <v>26</v>
      </c>
      <c r="C216" s="50"/>
      <c r="D216" s="151"/>
      <c r="E216" s="151"/>
      <c r="F216" s="151"/>
      <c r="G216" s="151"/>
      <c r="H216" s="151"/>
      <c r="I216" s="151"/>
      <c r="J216" s="151"/>
      <c r="K216" s="151"/>
      <c r="L216" s="151"/>
      <c r="M216" s="151"/>
      <c r="N216" s="151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51"/>
      <c r="AC216" s="151"/>
      <c r="AD216" s="151"/>
      <c r="AE216" s="151"/>
      <c r="AF216" s="151"/>
      <c r="AG216" s="152"/>
      <c r="AH216" s="151"/>
      <c r="AI216" s="33"/>
      <c r="AJ216" s="152"/>
    </row>
    <row r="217" spans="1:41">
      <c r="B217" s="23" t="s">
        <v>7</v>
      </c>
      <c r="C217" s="23"/>
      <c r="D217" s="45" t="e">
        <f>#REF!</f>
        <v>#REF!</v>
      </c>
      <c r="E217" s="45" t="e">
        <f>#REF!</f>
        <v>#REF!</v>
      </c>
      <c r="F217" s="45" t="e">
        <f>#REF!</f>
        <v>#REF!</v>
      </c>
      <c r="G217" s="45" t="e">
        <f>#REF!</f>
        <v>#REF!</v>
      </c>
      <c r="H217" s="45" t="e">
        <f>#REF!</f>
        <v>#REF!</v>
      </c>
      <c r="I217" s="45" t="e">
        <f>#REF!</f>
        <v>#REF!</v>
      </c>
      <c r="J217" s="45" t="e">
        <f>#REF!</f>
        <v>#REF!</v>
      </c>
      <c r="K217" s="45" t="e">
        <f>#REF!</f>
        <v>#REF!</v>
      </c>
      <c r="L217" s="45" t="e">
        <f>#REF!</f>
        <v>#REF!</v>
      </c>
      <c r="M217" s="45" t="e">
        <f>#REF!</f>
        <v>#REF!</v>
      </c>
      <c r="N217" s="45" t="e">
        <f>#REF!</f>
        <v>#REF!</v>
      </c>
      <c r="O217" s="45" t="e">
        <f>#REF!</f>
        <v>#REF!</v>
      </c>
      <c r="P217" s="45" t="e">
        <f>#REF!</f>
        <v>#REF!</v>
      </c>
      <c r="Q217" s="45" t="e">
        <f>#REF!</f>
        <v>#REF!</v>
      </c>
      <c r="R217" s="45" t="e">
        <f>#REF!</f>
        <v>#REF!</v>
      </c>
      <c r="S217" s="45" t="e">
        <f>#REF!</f>
        <v>#REF!</v>
      </c>
      <c r="T217" s="45" t="e">
        <f>#REF!</f>
        <v>#REF!</v>
      </c>
      <c r="U217" s="45" t="e">
        <f>#REF!</f>
        <v>#REF!</v>
      </c>
      <c r="V217" s="45" t="e">
        <f>#REF!</f>
        <v>#REF!</v>
      </c>
      <c r="W217" s="45" t="e">
        <f>#REF!</f>
        <v>#REF!</v>
      </c>
      <c r="X217" s="45" t="e">
        <f>#REF!</f>
        <v>#REF!</v>
      </c>
      <c r="Y217" s="45" t="e">
        <f>#REF!</f>
        <v>#REF!</v>
      </c>
      <c r="Z217" s="45" t="e">
        <f>#REF!</f>
        <v>#REF!</v>
      </c>
      <c r="AA217" s="45" t="e">
        <f>#REF!</f>
        <v>#REF!</v>
      </c>
      <c r="AB217" s="45" t="e">
        <f>#REF!</f>
        <v>#REF!</v>
      </c>
      <c r="AC217" s="45" t="e">
        <f>#REF!</f>
        <v>#REF!</v>
      </c>
      <c r="AD217" s="45" t="e">
        <f>#REF!</f>
        <v>#REF!</v>
      </c>
      <c r="AE217" s="45" t="e">
        <f>#REF!</f>
        <v>#REF!</v>
      </c>
      <c r="AF217" s="45" t="e">
        <f>#REF!</f>
        <v>#REF!</v>
      </c>
      <c r="AG217" s="77" t="e">
        <f>#REF!</f>
        <v>#REF!</v>
      </c>
      <c r="AH217" s="45" t="e">
        <f>$AG217*(1+AH219)+$AG221/2+AH221/2</f>
        <v>#REF!</v>
      </c>
      <c r="AI217" s="36" t="e">
        <f>AH217*(1+AI219)+AH221/2+$AI221/2</f>
        <v>#REF!</v>
      </c>
      <c r="AJ217" s="77" t="e">
        <f>AI217*(1+AJ219)+AI221/2+AJ221/2</f>
        <v>#REF!</v>
      </c>
      <c r="AM217" s="34" t="e">
        <f>$AG217*(1+AM219)+$AG221/2+AM221/2</f>
        <v>#REF!</v>
      </c>
      <c r="AN217" s="34" t="e">
        <f>AM217*(1+AN219)+AM221/2+$AI221/2</f>
        <v>#REF!</v>
      </c>
      <c r="AO217" s="34" t="e">
        <f>AN217*(1+AO219)+AN221/2+AO221/2</f>
        <v>#REF!</v>
      </c>
    </row>
    <row r="218" spans="1:41" s="40" customFormat="1" ht="15.75" thickBot="1">
      <c r="A218" s="429"/>
      <c r="B218" s="40" t="s">
        <v>85</v>
      </c>
      <c r="D218" s="261" t="str">
        <f t="shared" ref="D218:AG218" si="84">IFERROR(D217/C217-1,"")</f>
        <v/>
      </c>
      <c r="E218" s="261" t="str">
        <f t="shared" si="84"/>
        <v/>
      </c>
      <c r="F218" s="261" t="str">
        <f t="shared" si="84"/>
        <v/>
      </c>
      <c r="G218" s="261" t="str">
        <f t="shared" si="84"/>
        <v/>
      </c>
      <c r="H218" s="261" t="str">
        <f t="shared" si="84"/>
        <v/>
      </c>
      <c r="I218" s="261" t="str">
        <f t="shared" si="84"/>
        <v/>
      </c>
      <c r="J218" s="261" t="str">
        <f t="shared" si="84"/>
        <v/>
      </c>
      <c r="K218" s="261" t="str">
        <f t="shared" si="84"/>
        <v/>
      </c>
      <c r="L218" s="261" t="str">
        <f t="shared" si="84"/>
        <v/>
      </c>
      <c r="M218" s="261" t="str">
        <f t="shared" si="84"/>
        <v/>
      </c>
      <c r="N218" s="261" t="str">
        <f t="shared" si="84"/>
        <v/>
      </c>
      <c r="O218" s="261" t="str">
        <f t="shared" si="84"/>
        <v/>
      </c>
      <c r="P218" s="261" t="str">
        <f t="shared" si="84"/>
        <v/>
      </c>
      <c r="Q218" s="261" t="str">
        <f t="shared" si="84"/>
        <v/>
      </c>
      <c r="R218" s="261" t="str">
        <f t="shared" si="84"/>
        <v/>
      </c>
      <c r="S218" s="261" t="str">
        <f t="shared" si="84"/>
        <v/>
      </c>
      <c r="T218" s="261" t="str">
        <f t="shared" si="84"/>
        <v/>
      </c>
      <c r="U218" s="261" t="str">
        <f t="shared" si="84"/>
        <v/>
      </c>
      <c r="V218" s="261" t="str">
        <f t="shared" si="84"/>
        <v/>
      </c>
      <c r="W218" s="261" t="str">
        <f t="shared" si="84"/>
        <v/>
      </c>
      <c r="X218" s="261" t="str">
        <f t="shared" si="84"/>
        <v/>
      </c>
      <c r="Y218" s="261" t="str">
        <f t="shared" si="84"/>
        <v/>
      </c>
      <c r="Z218" s="261" t="str">
        <f t="shared" si="84"/>
        <v/>
      </c>
      <c r="AA218" s="261" t="str">
        <f t="shared" si="84"/>
        <v/>
      </c>
      <c r="AB218" s="261" t="str">
        <f t="shared" si="84"/>
        <v/>
      </c>
      <c r="AC218" s="261" t="str">
        <f t="shared" si="84"/>
        <v/>
      </c>
      <c r="AD218" s="261" t="str">
        <f t="shared" si="84"/>
        <v/>
      </c>
      <c r="AE218" s="261" t="str">
        <f t="shared" si="84"/>
        <v/>
      </c>
      <c r="AF218" s="261" t="str">
        <f t="shared" si="84"/>
        <v/>
      </c>
      <c r="AG218" s="262" t="str">
        <f t="shared" si="84"/>
        <v/>
      </c>
      <c r="AH218" s="261" t="e">
        <f>AH217/$AG217-1</f>
        <v>#REF!</v>
      </c>
      <c r="AI218" s="40" t="e">
        <f>AI217/AH217-1</f>
        <v>#REF!</v>
      </c>
      <c r="AJ218" s="262" t="e">
        <f>AJ217/AI217-1</f>
        <v>#REF!</v>
      </c>
      <c r="AK218" s="192"/>
      <c r="AM218" s="40" t="e">
        <f>AM217/$AG217-1</f>
        <v>#REF!</v>
      </c>
      <c r="AN218" s="40" t="e">
        <f>AN217/AM217-1</f>
        <v>#REF!</v>
      </c>
      <c r="AO218" s="40" t="e">
        <f>AO217/AN217-1</f>
        <v>#REF!</v>
      </c>
    </row>
    <row r="219" spans="1:41" s="40" customFormat="1" ht="15.75" thickBot="1">
      <c r="A219" s="429"/>
      <c r="B219" s="40" t="s">
        <v>86</v>
      </c>
      <c r="D219" s="261" t="str">
        <f t="shared" ref="D219:AG219" si="85">IF(AND(D218&gt;0,D218&lt;3%),D218,"")</f>
        <v/>
      </c>
      <c r="E219" s="261" t="str">
        <f t="shared" si="85"/>
        <v/>
      </c>
      <c r="F219" s="261" t="str">
        <f t="shared" si="85"/>
        <v/>
      </c>
      <c r="G219" s="261" t="str">
        <f t="shared" si="85"/>
        <v/>
      </c>
      <c r="H219" s="261" t="str">
        <f t="shared" si="85"/>
        <v/>
      </c>
      <c r="I219" s="261" t="str">
        <f t="shared" si="85"/>
        <v/>
      </c>
      <c r="J219" s="261" t="str">
        <f t="shared" si="85"/>
        <v/>
      </c>
      <c r="K219" s="261" t="str">
        <f t="shared" si="85"/>
        <v/>
      </c>
      <c r="L219" s="261" t="str">
        <f t="shared" si="85"/>
        <v/>
      </c>
      <c r="M219" s="261" t="str">
        <f t="shared" si="85"/>
        <v/>
      </c>
      <c r="N219" s="261" t="str">
        <f t="shared" si="85"/>
        <v/>
      </c>
      <c r="O219" s="261" t="str">
        <f t="shared" si="85"/>
        <v/>
      </c>
      <c r="P219" s="261" t="str">
        <f t="shared" si="85"/>
        <v/>
      </c>
      <c r="Q219" s="261" t="str">
        <f t="shared" si="85"/>
        <v/>
      </c>
      <c r="R219" s="261" t="str">
        <f t="shared" si="85"/>
        <v/>
      </c>
      <c r="S219" s="261" t="str">
        <f t="shared" si="85"/>
        <v/>
      </c>
      <c r="T219" s="261" t="str">
        <f t="shared" si="85"/>
        <v/>
      </c>
      <c r="U219" s="261" t="str">
        <f t="shared" si="85"/>
        <v/>
      </c>
      <c r="V219" s="261" t="str">
        <f t="shared" si="85"/>
        <v/>
      </c>
      <c r="W219" s="261" t="str">
        <f t="shared" si="85"/>
        <v/>
      </c>
      <c r="X219" s="261" t="str">
        <f t="shared" si="85"/>
        <v/>
      </c>
      <c r="Y219" s="261" t="str">
        <f t="shared" si="85"/>
        <v/>
      </c>
      <c r="Z219" s="261" t="str">
        <f t="shared" si="85"/>
        <v/>
      </c>
      <c r="AA219" s="261" t="str">
        <f t="shared" si="85"/>
        <v/>
      </c>
      <c r="AB219" s="261" t="str">
        <f t="shared" si="85"/>
        <v/>
      </c>
      <c r="AC219" s="261" t="str">
        <f t="shared" si="85"/>
        <v/>
      </c>
      <c r="AD219" s="261" t="str">
        <f t="shared" si="85"/>
        <v/>
      </c>
      <c r="AE219" s="261" t="str">
        <f t="shared" si="85"/>
        <v/>
      </c>
      <c r="AF219" s="261" t="str">
        <f t="shared" si="85"/>
        <v/>
      </c>
      <c r="AG219" s="262" t="str">
        <f t="shared" si="85"/>
        <v/>
      </c>
      <c r="AH219" s="404">
        <f>IFERROR(AVERAGE($AE219:$AG219),0)</f>
        <v>0</v>
      </c>
      <c r="AI219" s="405">
        <f>AH219</f>
        <v>0</v>
      </c>
      <c r="AJ219" s="406">
        <f>AI219</f>
        <v>0</v>
      </c>
      <c r="AK219" s="192"/>
      <c r="AM219" s="407">
        <f>IFERROR(AVERAGE($AE219:$AG219),0)</f>
        <v>0</v>
      </c>
      <c r="AN219" s="408">
        <f>AM219</f>
        <v>0</v>
      </c>
      <c r="AO219" s="409">
        <f>AN219</f>
        <v>0</v>
      </c>
    </row>
    <row r="220" spans="1:41" ht="15.75" thickBot="1">
      <c r="B220" s="50"/>
      <c r="C220" s="50"/>
      <c r="D220" s="151"/>
      <c r="E220" s="151"/>
      <c r="F220" s="151"/>
      <c r="G220" s="151"/>
      <c r="H220" s="151"/>
      <c r="I220" s="151"/>
      <c r="J220" s="151"/>
      <c r="K220" s="151"/>
      <c r="L220" s="151"/>
      <c r="M220" s="151"/>
      <c r="N220" s="151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51"/>
      <c r="AC220" s="151"/>
      <c r="AD220" s="151"/>
      <c r="AE220" s="151"/>
      <c r="AF220" s="151"/>
      <c r="AG220" s="152"/>
      <c r="AH220" s="151"/>
      <c r="AI220" s="33"/>
      <c r="AJ220" s="152"/>
    </row>
    <row r="221" spans="1:41" ht="15.75" thickBot="1">
      <c r="B221" s="287" t="s">
        <v>87</v>
      </c>
      <c r="C221" s="287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83"/>
      <c r="AH221" s="118">
        <v>0</v>
      </c>
      <c r="AI221" s="119">
        <v>0</v>
      </c>
      <c r="AJ221" s="120">
        <v>0</v>
      </c>
      <c r="AM221" s="121"/>
      <c r="AN221" s="122">
        <v>0</v>
      </c>
      <c r="AO221" s="123">
        <v>0</v>
      </c>
    </row>
    <row r="222" spans="1:41" ht="15.75" thickBot="1">
      <c r="B222" s="76" t="s">
        <v>88</v>
      </c>
      <c r="C222" s="76"/>
      <c r="D222" s="151"/>
      <c r="E222" s="151"/>
      <c r="F222" s="151"/>
      <c r="G222" s="151"/>
      <c r="H222" s="151"/>
      <c r="I222" s="151"/>
      <c r="J222" s="151"/>
      <c r="K222" s="151"/>
      <c r="L222" s="151"/>
      <c r="M222" s="151"/>
      <c r="N222" s="151"/>
      <c r="O222" s="151"/>
      <c r="P222" s="151"/>
      <c r="Q222" s="151"/>
      <c r="R222" s="151"/>
      <c r="S222" s="151"/>
      <c r="T222" s="151"/>
      <c r="U222" s="151"/>
      <c r="V222" s="151"/>
      <c r="W222" s="151"/>
      <c r="X222" s="151"/>
      <c r="Y222" s="151"/>
      <c r="Z222" s="151"/>
      <c r="AA222" s="151"/>
      <c r="AB222" s="151"/>
      <c r="AC222" s="151"/>
      <c r="AD222" s="151"/>
      <c r="AE222" s="151"/>
      <c r="AF222" s="151"/>
      <c r="AG222" s="152"/>
      <c r="AH222" s="430"/>
      <c r="AI222" s="431">
        <f>AH222</f>
        <v>0</v>
      </c>
      <c r="AJ222" s="432">
        <f>AI222</f>
        <v>0</v>
      </c>
      <c r="AM222" s="433"/>
      <c r="AN222" s="431">
        <f>AM222</f>
        <v>0</v>
      </c>
      <c r="AO222" s="431">
        <f>AN222</f>
        <v>0</v>
      </c>
    </row>
    <row r="223" spans="1:41">
      <c r="B223" s="287" t="s">
        <v>89</v>
      </c>
      <c r="C223" s="287"/>
      <c r="D223" s="55" t="str">
        <f>IFERROR('Cash Flow Statement'!D40,"")</f>
        <v/>
      </c>
      <c r="E223" s="55" t="str">
        <f>IFERROR('Cash Flow Statement'!E40,"")</f>
        <v/>
      </c>
      <c r="F223" s="55" t="str">
        <f>IFERROR('Cash Flow Statement'!F40,"")</f>
        <v/>
      </c>
      <c r="G223" s="55" t="str">
        <f>IFERROR('Cash Flow Statement'!G40,"")</f>
        <v/>
      </c>
      <c r="H223" s="55" t="str">
        <f>IFERROR('Cash Flow Statement'!H40,"")</f>
        <v/>
      </c>
      <c r="I223" s="55" t="str">
        <f>IFERROR('Cash Flow Statement'!I40,"")</f>
        <v/>
      </c>
      <c r="J223" s="55" t="str">
        <f>IFERROR('Cash Flow Statement'!J40,"")</f>
        <v/>
      </c>
      <c r="K223" s="55" t="str">
        <f>IFERROR('Cash Flow Statement'!K40,"")</f>
        <v/>
      </c>
      <c r="L223" s="55" t="str">
        <f>IFERROR('Cash Flow Statement'!L40,"")</f>
        <v/>
      </c>
      <c r="M223" s="55" t="str">
        <f>IFERROR('Cash Flow Statement'!M40,"")</f>
        <v/>
      </c>
      <c r="N223" s="55" t="str">
        <f>IFERROR('Cash Flow Statement'!N40,"")</f>
        <v/>
      </c>
      <c r="O223" s="55" t="str">
        <f>IFERROR('Cash Flow Statement'!O40,"")</f>
        <v/>
      </c>
      <c r="P223" s="55" t="str">
        <f>IFERROR('Cash Flow Statement'!P40,"")</f>
        <v/>
      </c>
      <c r="Q223" s="55" t="str">
        <f>IFERROR('Cash Flow Statement'!Q40,"")</f>
        <v/>
      </c>
      <c r="R223" s="55" t="str">
        <f>IFERROR('Cash Flow Statement'!R40,"")</f>
        <v/>
      </c>
      <c r="S223" s="55" t="str">
        <f>IFERROR('Cash Flow Statement'!S40,"")</f>
        <v/>
      </c>
      <c r="T223" s="55" t="str">
        <f>IFERROR('Cash Flow Statement'!T40,"")</f>
        <v/>
      </c>
      <c r="U223" s="55" t="str">
        <f>IFERROR('Cash Flow Statement'!U40,"")</f>
        <v/>
      </c>
      <c r="V223" s="55" t="str">
        <f>IFERROR('Cash Flow Statement'!V40,"")</f>
        <v/>
      </c>
      <c r="W223" s="55" t="str">
        <f>IFERROR('Cash Flow Statement'!W40,"")</f>
        <v/>
      </c>
      <c r="X223" s="55" t="str">
        <f>IFERROR('Cash Flow Statement'!X40,"")</f>
        <v/>
      </c>
      <c r="Y223" s="55" t="str">
        <f>IFERROR('Cash Flow Statement'!Y40,"")</f>
        <v/>
      </c>
      <c r="Z223" s="55" t="str">
        <f>IFERROR('Cash Flow Statement'!Z40,"")</f>
        <v/>
      </c>
      <c r="AA223" s="55" t="str">
        <f>IFERROR('Cash Flow Statement'!AA40,"")</f>
        <v/>
      </c>
      <c r="AB223" s="55" t="str">
        <f>IFERROR('Cash Flow Statement'!AB40,"")</f>
        <v/>
      </c>
      <c r="AC223" s="55" t="str">
        <f>IFERROR('Cash Flow Statement'!AC40,"")</f>
        <v/>
      </c>
      <c r="AD223" s="55" t="str">
        <f>IFERROR('Cash Flow Statement'!AD40,"")</f>
        <v/>
      </c>
      <c r="AE223" s="55" t="str">
        <f>IFERROR('Cash Flow Statement'!AE40,"")</f>
        <v/>
      </c>
      <c r="AF223" s="55" t="str">
        <f>IFERROR('Cash Flow Statement'!AF40,"")</f>
        <v/>
      </c>
      <c r="AG223" s="83" t="str">
        <f>IFERROR('Cash Flow Statement'!AG40,"")</f>
        <v/>
      </c>
      <c r="AH223" s="55">
        <f>AH222*AH221</f>
        <v>0</v>
      </c>
      <c r="AI223" s="34">
        <f>AI222*AI221</f>
        <v>0</v>
      </c>
      <c r="AJ223" s="83">
        <f>AJ222*AJ221</f>
        <v>0</v>
      </c>
      <c r="AM223" s="34">
        <f>AM222*AM221</f>
        <v>0</v>
      </c>
      <c r="AN223" s="34">
        <f>AN222*AN221</f>
        <v>0</v>
      </c>
      <c r="AO223" s="34">
        <f>AO222*AO221</f>
        <v>0</v>
      </c>
    </row>
    <row r="224" spans="1:41">
      <c r="B224" s="31" t="s">
        <v>90</v>
      </c>
      <c r="C224" s="31"/>
      <c r="D224" s="151"/>
      <c r="E224" s="151"/>
      <c r="F224" s="151"/>
      <c r="G224" s="151"/>
      <c r="H224" s="151"/>
      <c r="I224" s="151"/>
      <c r="J224" s="151"/>
      <c r="K224" s="151"/>
      <c r="L224" s="151"/>
      <c r="M224" s="151"/>
      <c r="N224" s="151"/>
      <c r="O224" s="151"/>
      <c r="P224" s="151"/>
      <c r="Q224" s="151"/>
      <c r="R224" s="151"/>
      <c r="S224" s="151"/>
      <c r="T224" s="151"/>
      <c r="U224" s="151"/>
      <c r="V224" s="151"/>
      <c r="W224" s="151"/>
      <c r="X224" s="151"/>
      <c r="Y224" s="151"/>
      <c r="Z224" s="151"/>
      <c r="AA224" s="151"/>
      <c r="AB224" s="151"/>
      <c r="AC224" s="151"/>
      <c r="AD224" s="151"/>
      <c r="AE224" s="151"/>
      <c r="AF224" s="151"/>
      <c r="AG224" s="152"/>
      <c r="AH224" s="26"/>
      <c r="AI224" s="26"/>
      <c r="AJ224" s="434"/>
      <c r="AM224" s="26"/>
      <c r="AN224" s="26"/>
      <c r="AO224" s="26"/>
    </row>
    <row r="225" spans="1:41">
      <c r="B225" s="50"/>
      <c r="C225" s="50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  <c r="AA225" s="69"/>
      <c r="AB225" s="69"/>
      <c r="AC225" s="69"/>
      <c r="AD225" s="69"/>
      <c r="AE225" s="69"/>
      <c r="AF225" s="69"/>
    </row>
    <row r="226" spans="1:41">
      <c r="B226" s="26" t="s">
        <v>91</v>
      </c>
      <c r="D226" s="55">
        <f t="shared" ref="D226:AG226" si="86">IFERROR(C230,"")</f>
        <v>0</v>
      </c>
      <c r="E226" s="55" t="str">
        <f t="shared" si="86"/>
        <v/>
      </c>
      <c r="F226" s="55" t="str">
        <f t="shared" si="86"/>
        <v/>
      </c>
      <c r="G226" s="55" t="str">
        <f t="shared" si="86"/>
        <v/>
      </c>
      <c r="H226" s="55" t="str">
        <f t="shared" si="86"/>
        <v/>
      </c>
      <c r="I226" s="55" t="str">
        <f t="shared" si="86"/>
        <v/>
      </c>
      <c r="J226" s="55" t="str">
        <f t="shared" si="86"/>
        <v/>
      </c>
      <c r="K226" s="55" t="str">
        <f t="shared" si="86"/>
        <v/>
      </c>
      <c r="L226" s="55" t="str">
        <f t="shared" si="86"/>
        <v/>
      </c>
      <c r="M226" s="55" t="str">
        <f t="shared" si="86"/>
        <v/>
      </c>
      <c r="N226" s="55" t="str">
        <f t="shared" si="86"/>
        <v/>
      </c>
      <c r="O226" s="55" t="str">
        <f t="shared" si="86"/>
        <v/>
      </c>
      <c r="P226" s="55" t="str">
        <f t="shared" si="86"/>
        <v/>
      </c>
      <c r="Q226" s="55" t="str">
        <f t="shared" si="86"/>
        <v/>
      </c>
      <c r="R226" s="55" t="str">
        <f t="shared" si="86"/>
        <v/>
      </c>
      <c r="S226" s="55" t="str">
        <f t="shared" si="86"/>
        <v/>
      </c>
      <c r="T226" s="55" t="str">
        <f t="shared" si="86"/>
        <v/>
      </c>
      <c r="U226" s="55" t="str">
        <f t="shared" si="86"/>
        <v/>
      </c>
      <c r="V226" s="55" t="str">
        <f t="shared" si="86"/>
        <v/>
      </c>
      <c r="W226" s="55" t="str">
        <f t="shared" si="86"/>
        <v/>
      </c>
      <c r="X226" s="55" t="str">
        <f t="shared" si="86"/>
        <v/>
      </c>
      <c r="Y226" s="55" t="str">
        <f t="shared" si="86"/>
        <v/>
      </c>
      <c r="Z226" s="55" t="str">
        <f t="shared" si="86"/>
        <v/>
      </c>
      <c r="AA226" s="55" t="str">
        <f t="shared" si="86"/>
        <v/>
      </c>
      <c r="AB226" s="55" t="str">
        <f t="shared" si="86"/>
        <v/>
      </c>
      <c r="AC226" s="55" t="str">
        <f t="shared" si="86"/>
        <v/>
      </c>
      <c r="AD226" s="55" t="str">
        <f t="shared" si="86"/>
        <v/>
      </c>
      <c r="AE226" s="55" t="str">
        <f t="shared" si="86"/>
        <v/>
      </c>
      <c r="AF226" s="55" t="str">
        <f t="shared" si="86"/>
        <v/>
      </c>
      <c r="AG226" s="83" t="str">
        <f t="shared" si="86"/>
        <v/>
      </c>
      <c r="AH226" s="55" t="str">
        <f>$AG230</f>
        <v/>
      </c>
      <c r="AI226" s="34" t="e">
        <f>AH230</f>
        <v>#VALUE!</v>
      </c>
      <c r="AJ226" s="83" t="e">
        <f>AI230</f>
        <v>#VALUE!</v>
      </c>
      <c r="AM226" s="34" t="str">
        <f>$AG230</f>
        <v/>
      </c>
      <c r="AN226" s="34" t="e">
        <f>AM230</f>
        <v>#VALUE!</v>
      </c>
      <c r="AO226" s="34" t="e">
        <f>AN230</f>
        <v>#VALUE!</v>
      </c>
    </row>
    <row r="227" spans="1:41">
      <c r="B227" s="395" t="s">
        <v>92</v>
      </c>
      <c r="C227" s="395"/>
      <c r="D227" s="278" t="e">
        <f>#REF!</f>
        <v>#REF!</v>
      </c>
      <c r="E227" s="278" t="e">
        <f>#REF!</f>
        <v>#REF!</v>
      </c>
      <c r="F227" s="278" t="e">
        <f>#REF!</f>
        <v>#REF!</v>
      </c>
      <c r="G227" s="278" t="e">
        <f>#REF!</f>
        <v>#REF!</v>
      </c>
      <c r="H227" s="278" t="e">
        <f>#REF!</f>
        <v>#REF!</v>
      </c>
      <c r="I227" s="278" t="e">
        <f>#REF!</f>
        <v>#REF!</v>
      </c>
      <c r="J227" s="278" t="e">
        <f>#REF!</f>
        <v>#REF!</v>
      </c>
      <c r="K227" s="278" t="e">
        <f>#REF!</f>
        <v>#REF!</v>
      </c>
      <c r="L227" s="278" t="e">
        <f>#REF!</f>
        <v>#REF!</v>
      </c>
      <c r="M227" s="278" t="e">
        <f>#REF!</f>
        <v>#REF!</v>
      </c>
      <c r="N227" s="278" t="e">
        <f>#REF!</f>
        <v>#REF!</v>
      </c>
      <c r="O227" s="278" t="e">
        <f>#REF!</f>
        <v>#REF!</v>
      </c>
      <c r="P227" s="278" t="e">
        <f>#REF!</f>
        <v>#REF!</v>
      </c>
      <c r="Q227" s="278" t="e">
        <f>#REF!</f>
        <v>#REF!</v>
      </c>
      <c r="R227" s="278" t="e">
        <f>#REF!</f>
        <v>#REF!</v>
      </c>
      <c r="S227" s="278" t="e">
        <f>#REF!</f>
        <v>#REF!</v>
      </c>
      <c r="T227" s="278" t="e">
        <f>#REF!</f>
        <v>#REF!</v>
      </c>
      <c r="U227" s="278" t="e">
        <f>#REF!</f>
        <v>#REF!</v>
      </c>
      <c r="V227" s="278" t="e">
        <f>#REF!</f>
        <v>#REF!</v>
      </c>
      <c r="W227" s="278" t="e">
        <f>#REF!</f>
        <v>#REF!</v>
      </c>
      <c r="X227" s="278" t="e">
        <f>#REF!</f>
        <v>#REF!</v>
      </c>
      <c r="Y227" s="278" t="e">
        <f>#REF!</f>
        <v>#REF!</v>
      </c>
      <c r="Z227" s="278" t="e">
        <f>#REF!</f>
        <v>#REF!</v>
      </c>
      <c r="AA227" s="278" t="e">
        <f>#REF!</f>
        <v>#REF!</v>
      </c>
      <c r="AB227" s="278" t="e">
        <f>#REF!</f>
        <v>#REF!</v>
      </c>
      <c r="AC227" s="278" t="e">
        <f>#REF!</f>
        <v>#REF!</v>
      </c>
      <c r="AD227" s="278" t="e">
        <f>#REF!</f>
        <v>#REF!</v>
      </c>
      <c r="AE227" s="278" t="e">
        <f>#REF!</f>
        <v>#REF!</v>
      </c>
      <c r="AF227" s="278" t="e">
        <f>#REF!</f>
        <v>#REF!</v>
      </c>
      <c r="AG227" s="279" t="e">
        <f>#REF!</f>
        <v>#REF!</v>
      </c>
      <c r="AH227" s="278" t="e">
        <f>#REF!</f>
        <v>#REF!</v>
      </c>
      <c r="AI227" s="280" t="e">
        <f>#REF!</f>
        <v>#REF!</v>
      </c>
      <c r="AJ227" s="279" t="e">
        <f>#REF!</f>
        <v>#REF!</v>
      </c>
      <c r="AM227" s="280" t="e">
        <f>#REF!</f>
        <v>#REF!</v>
      </c>
      <c r="AN227" s="280" t="e">
        <f>#REF!</f>
        <v>#REF!</v>
      </c>
      <c r="AO227" s="280" t="e">
        <f>#REF!</f>
        <v>#REF!</v>
      </c>
    </row>
    <row r="228" spans="1:41">
      <c r="B228" s="23" t="s">
        <v>93</v>
      </c>
      <c r="C228" s="23"/>
      <c r="D228" s="278" t="e">
        <f>#REF!</f>
        <v>#REF!</v>
      </c>
      <c r="E228" s="278" t="e">
        <f>#REF!</f>
        <v>#REF!</v>
      </c>
      <c r="F228" s="278" t="e">
        <f>#REF!</f>
        <v>#REF!</v>
      </c>
      <c r="G228" s="278" t="e">
        <f>#REF!</f>
        <v>#REF!</v>
      </c>
      <c r="H228" s="278" t="e">
        <f>#REF!</f>
        <v>#REF!</v>
      </c>
      <c r="I228" s="278" t="e">
        <f>#REF!</f>
        <v>#REF!</v>
      </c>
      <c r="J228" s="278" t="e">
        <f>#REF!</f>
        <v>#REF!</v>
      </c>
      <c r="K228" s="278" t="e">
        <f>#REF!</f>
        <v>#REF!</v>
      </c>
      <c r="L228" s="278" t="e">
        <f>#REF!</f>
        <v>#REF!</v>
      </c>
      <c r="M228" s="278" t="e">
        <f>#REF!</f>
        <v>#REF!</v>
      </c>
      <c r="N228" s="278" t="e">
        <f>#REF!</f>
        <v>#REF!</v>
      </c>
      <c r="O228" s="278" t="e">
        <f>#REF!</f>
        <v>#REF!</v>
      </c>
      <c r="P228" s="278" t="e">
        <f>#REF!</f>
        <v>#REF!</v>
      </c>
      <c r="Q228" s="278" t="e">
        <f>#REF!</f>
        <v>#REF!</v>
      </c>
      <c r="R228" s="278" t="e">
        <f>#REF!</f>
        <v>#REF!</v>
      </c>
      <c r="S228" s="278" t="e">
        <f>#REF!</f>
        <v>#REF!</v>
      </c>
      <c r="T228" s="278" t="e">
        <f>#REF!</f>
        <v>#REF!</v>
      </c>
      <c r="U228" s="278" t="e">
        <f>#REF!</f>
        <v>#REF!</v>
      </c>
      <c r="V228" s="278" t="e">
        <f>#REF!</f>
        <v>#REF!</v>
      </c>
      <c r="W228" s="278" t="e">
        <f>#REF!</f>
        <v>#REF!</v>
      </c>
      <c r="X228" s="278" t="e">
        <f>#REF!</f>
        <v>#REF!</v>
      </c>
      <c r="Y228" s="278" t="e">
        <f>#REF!</f>
        <v>#REF!</v>
      </c>
      <c r="Z228" s="278" t="e">
        <f>#REF!</f>
        <v>#REF!</v>
      </c>
      <c r="AA228" s="278" t="e">
        <f>#REF!</f>
        <v>#REF!</v>
      </c>
      <c r="AB228" s="278" t="e">
        <f>#REF!</f>
        <v>#REF!</v>
      </c>
      <c r="AC228" s="278" t="e">
        <f>#REF!</f>
        <v>#REF!</v>
      </c>
      <c r="AD228" s="278" t="e">
        <f>#REF!</f>
        <v>#REF!</v>
      </c>
      <c r="AE228" s="278" t="e">
        <f>#REF!</f>
        <v>#REF!</v>
      </c>
      <c r="AF228" s="278" t="e">
        <f>#REF!</f>
        <v>#REF!</v>
      </c>
      <c r="AG228" s="279" t="e">
        <f>#REF!</f>
        <v>#REF!</v>
      </c>
      <c r="AH228" s="278" t="e">
        <f>#REF!</f>
        <v>#REF!</v>
      </c>
      <c r="AI228" s="280" t="e">
        <f>#REF!</f>
        <v>#REF!</v>
      </c>
      <c r="AJ228" s="279" t="e">
        <f>#REF!</f>
        <v>#REF!</v>
      </c>
      <c r="AM228" s="280" t="e">
        <f>#REF!</f>
        <v>#REF!</v>
      </c>
      <c r="AN228" s="280" t="e">
        <f>#REF!</f>
        <v>#REF!</v>
      </c>
      <c r="AO228" s="280" t="e">
        <f>#REF!</f>
        <v>#REF!</v>
      </c>
    </row>
    <row r="229" spans="1:41">
      <c r="A229" s="75"/>
      <c r="B229" s="395" t="s">
        <v>94</v>
      </c>
      <c r="C229" s="395"/>
      <c r="D229" s="55" t="str">
        <f t="shared" ref="D229:AG229" si="87">IFERROR(D230-D226-D227+D228,"")</f>
        <v/>
      </c>
      <c r="E229" s="55" t="str">
        <f t="shared" si="87"/>
        <v/>
      </c>
      <c r="F229" s="55" t="str">
        <f t="shared" si="87"/>
        <v/>
      </c>
      <c r="G229" s="55" t="str">
        <f t="shared" si="87"/>
        <v/>
      </c>
      <c r="H229" s="55" t="str">
        <f t="shared" si="87"/>
        <v/>
      </c>
      <c r="I229" s="55" t="str">
        <f t="shared" si="87"/>
        <v/>
      </c>
      <c r="J229" s="55" t="str">
        <f t="shared" si="87"/>
        <v/>
      </c>
      <c r="K229" s="55" t="str">
        <f t="shared" si="87"/>
        <v/>
      </c>
      <c r="L229" s="55" t="str">
        <f t="shared" si="87"/>
        <v/>
      </c>
      <c r="M229" s="55" t="str">
        <f t="shared" si="87"/>
        <v/>
      </c>
      <c r="N229" s="55" t="str">
        <f t="shared" si="87"/>
        <v/>
      </c>
      <c r="O229" s="55" t="str">
        <f t="shared" si="87"/>
        <v/>
      </c>
      <c r="P229" s="55" t="str">
        <f t="shared" si="87"/>
        <v/>
      </c>
      <c r="Q229" s="55" t="str">
        <f t="shared" si="87"/>
        <v/>
      </c>
      <c r="R229" s="55" t="str">
        <f t="shared" si="87"/>
        <v/>
      </c>
      <c r="S229" s="55" t="str">
        <f t="shared" si="87"/>
        <v/>
      </c>
      <c r="T229" s="55" t="str">
        <f t="shared" si="87"/>
        <v/>
      </c>
      <c r="U229" s="55" t="str">
        <f t="shared" si="87"/>
        <v/>
      </c>
      <c r="V229" s="55" t="str">
        <f t="shared" si="87"/>
        <v/>
      </c>
      <c r="W229" s="55" t="str">
        <f t="shared" si="87"/>
        <v/>
      </c>
      <c r="X229" s="55" t="str">
        <f t="shared" si="87"/>
        <v/>
      </c>
      <c r="Y229" s="55" t="str">
        <f t="shared" si="87"/>
        <v/>
      </c>
      <c r="Z229" s="55" t="str">
        <f t="shared" si="87"/>
        <v/>
      </c>
      <c r="AA229" s="55" t="str">
        <f t="shared" si="87"/>
        <v/>
      </c>
      <c r="AB229" s="55" t="str">
        <f t="shared" si="87"/>
        <v/>
      </c>
      <c r="AC229" s="55" t="str">
        <f t="shared" si="87"/>
        <v/>
      </c>
      <c r="AD229" s="55" t="str">
        <f t="shared" si="87"/>
        <v/>
      </c>
      <c r="AE229" s="55" t="str">
        <f t="shared" si="87"/>
        <v/>
      </c>
      <c r="AF229" s="55" t="str">
        <f t="shared" si="87"/>
        <v/>
      </c>
      <c r="AG229" s="83" t="str">
        <f t="shared" si="87"/>
        <v/>
      </c>
      <c r="AH229" s="278">
        <f>'Balance Sheet'!AH223</f>
        <v>0</v>
      </c>
      <c r="AI229" s="280">
        <f>'Balance Sheet'!AI223</f>
        <v>0</v>
      </c>
      <c r="AJ229" s="279">
        <f>'Balance Sheet'!AJ223</f>
        <v>0</v>
      </c>
      <c r="AM229" s="280">
        <f>'Balance Sheet'!AM223</f>
        <v>0</v>
      </c>
      <c r="AN229" s="280">
        <f>'Balance Sheet'!AN223</f>
        <v>0</v>
      </c>
      <c r="AO229" s="280">
        <f>'Balance Sheet'!AO223</f>
        <v>0</v>
      </c>
    </row>
    <row r="230" spans="1:41">
      <c r="B230" s="395" t="s">
        <v>95</v>
      </c>
      <c r="C230" s="395"/>
      <c r="D230" s="278" t="str">
        <f t="shared" ref="D230:AG230" si="88">D41</f>
        <v/>
      </c>
      <c r="E230" s="278" t="str">
        <f t="shared" si="88"/>
        <v/>
      </c>
      <c r="F230" s="278" t="str">
        <f t="shared" si="88"/>
        <v/>
      </c>
      <c r="G230" s="278" t="str">
        <f t="shared" si="88"/>
        <v/>
      </c>
      <c r="H230" s="278" t="str">
        <f t="shared" si="88"/>
        <v/>
      </c>
      <c r="I230" s="278" t="str">
        <f t="shared" si="88"/>
        <v/>
      </c>
      <c r="J230" s="278" t="str">
        <f t="shared" si="88"/>
        <v/>
      </c>
      <c r="K230" s="278" t="str">
        <f t="shared" si="88"/>
        <v/>
      </c>
      <c r="L230" s="278" t="str">
        <f t="shared" si="88"/>
        <v/>
      </c>
      <c r="M230" s="278" t="str">
        <f t="shared" si="88"/>
        <v/>
      </c>
      <c r="N230" s="278" t="str">
        <f t="shared" si="88"/>
        <v/>
      </c>
      <c r="O230" s="278" t="str">
        <f t="shared" si="88"/>
        <v/>
      </c>
      <c r="P230" s="278" t="str">
        <f t="shared" si="88"/>
        <v/>
      </c>
      <c r="Q230" s="278" t="str">
        <f t="shared" si="88"/>
        <v/>
      </c>
      <c r="R230" s="278" t="str">
        <f t="shared" si="88"/>
        <v/>
      </c>
      <c r="S230" s="278" t="str">
        <f t="shared" si="88"/>
        <v/>
      </c>
      <c r="T230" s="278" t="str">
        <f t="shared" si="88"/>
        <v/>
      </c>
      <c r="U230" s="278" t="str">
        <f t="shared" si="88"/>
        <v/>
      </c>
      <c r="V230" s="278" t="str">
        <f t="shared" si="88"/>
        <v/>
      </c>
      <c r="W230" s="278" t="str">
        <f t="shared" si="88"/>
        <v/>
      </c>
      <c r="X230" s="278" t="str">
        <f t="shared" si="88"/>
        <v/>
      </c>
      <c r="Y230" s="278" t="str">
        <f t="shared" si="88"/>
        <v/>
      </c>
      <c r="Z230" s="278" t="str">
        <f t="shared" si="88"/>
        <v/>
      </c>
      <c r="AA230" s="278" t="str">
        <f t="shared" si="88"/>
        <v/>
      </c>
      <c r="AB230" s="278" t="str">
        <f t="shared" si="88"/>
        <v/>
      </c>
      <c r="AC230" s="278" t="str">
        <f t="shared" si="88"/>
        <v/>
      </c>
      <c r="AD230" s="278" t="str">
        <f t="shared" si="88"/>
        <v/>
      </c>
      <c r="AE230" s="278" t="str">
        <f t="shared" si="88"/>
        <v/>
      </c>
      <c r="AF230" s="278" t="str">
        <f t="shared" si="88"/>
        <v/>
      </c>
      <c r="AG230" s="279" t="str">
        <f t="shared" si="88"/>
        <v/>
      </c>
      <c r="AH230" s="278" t="e">
        <f>AH226+AH227-AH228+AH229</f>
        <v>#VALUE!</v>
      </c>
      <c r="AI230" s="280" t="e">
        <f>AI226+AI227-AI228+AI229</f>
        <v>#VALUE!</v>
      </c>
      <c r="AJ230" s="279" t="e">
        <f>AJ226+AJ227-AJ228+AJ229</f>
        <v>#VALUE!</v>
      </c>
      <c r="AM230" s="280" t="e">
        <f>AM226+AM227-AM228+AM229</f>
        <v>#VALUE!</v>
      </c>
      <c r="AN230" s="280" t="e">
        <f>AN226+AN227-AN228+AN229</f>
        <v>#VALUE!</v>
      </c>
      <c r="AO230" s="280" t="e">
        <f>AO226+AO227-AO228+AO229</f>
        <v>#VALUE!</v>
      </c>
    </row>
    <row r="231" spans="1:41">
      <c r="B231" s="31"/>
      <c r="C231" s="31"/>
    </row>
    <row r="232" spans="1:41">
      <c r="B232" s="23"/>
      <c r="C232" s="23"/>
      <c r="AC232" s="49"/>
    </row>
    <row r="233" spans="1:41">
      <c r="AC233" s="33"/>
      <c r="AD233" s="33"/>
      <c r="AE233" s="26"/>
      <c r="AF233" s="33"/>
      <c r="AG233" s="152"/>
      <c r="AH233" s="151"/>
      <c r="AI233" s="33"/>
      <c r="AJ233" s="152"/>
    </row>
    <row r="234" spans="1:41">
      <c r="AC234" s="435"/>
      <c r="AD234" s="435"/>
      <c r="AE234" s="26"/>
      <c r="AF234" s="435"/>
      <c r="AG234" s="436"/>
      <c r="AH234" s="151"/>
      <c r="AI234" s="33"/>
      <c r="AJ234" s="152"/>
    </row>
    <row r="235" spans="1:41">
      <c r="AC235" s="32"/>
    </row>
    <row r="236" spans="1:41">
      <c r="AC236" s="32"/>
    </row>
    <row r="237" spans="1:41" ht="15.75"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32"/>
      <c r="AD237" s="18"/>
    </row>
    <row r="238" spans="1:41" ht="15.75"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32"/>
      <c r="AD238" s="18"/>
    </row>
    <row r="239" spans="1:41">
      <c r="A239" s="75"/>
    </row>
    <row r="240" spans="1:41">
      <c r="AD240" s="46"/>
    </row>
    <row r="241" spans="2:30">
      <c r="B241" s="395"/>
      <c r="C241" s="395"/>
      <c r="AC241" s="32"/>
    </row>
    <row r="242" spans="2:30"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32"/>
    </row>
    <row r="243" spans="2:30">
      <c r="AC243" s="32"/>
      <c r="AD243" s="46"/>
    </row>
    <row r="244" spans="2:30" ht="15.75">
      <c r="AC244" s="32"/>
      <c r="AD244" s="18"/>
    </row>
    <row r="245" spans="2:30"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32"/>
    </row>
    <row r="246" spans="2:30" ht="15.75"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33"/>
    </row>
    <row r="248" spans="2:30"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</row>
    <row r="253" spans="2:30"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</row>
    <row r="255" spans="2:30">
      <c r="B255" s="150"/>
      <c r="C255" s="150"/>
      <c r="D255" s="150"/>
      <c r="E255" s="150"/>
      <c r="F255" s="150"/>
      <c r="G255" s="150"/>
      <c r="H255" s="150"/>
      <c r="I255" s="150"/>
      <c r="J255" s="150"/>
      <c r="K255" s="150"/>
      <c r="L255" s="150"/>
      <c r="M255" s="150"/>
      <c r="N255" s="150"/>
      <c r="O255" s="150"/>
      <c r="P255" s="150"/>
      <c r="Q255" s="150"/>
      <c r="R255" s="150"/>
      <c r="S255" s="150"/>
      <c r="T255" s="150"/>
      <c r="U255" s="150"/>
      <c r="V255" s="150"/>
      <c r="W255" s="150"/>
      <c r="X255" s="150"/>
      <c r="Y255" s="150"/>
      <c r="Z255" s="150"/>
      <c r="AA255" s="150"/>
      <c r="AB255" s="150"/>
      <c r="AC255" s="150"/>
      <c r="AD255" s="150"/>
    </row>
    <row r="256" spans="2:30">
      <c r="B256" s="150"/>
      <c r="C256" s="150"/>
      <c r="D256" s="150"/>
      <c r="E256" s="150"/>
      <c r="F256" s="150"/>
      <c r="G256" s="150"/>
      <c r="H256" s="150"/>
      <c r="I256" s="150"/>
      <c r="J256" s="150"/>
      <c r="K256" s="150"/>
      <c r="L256" s="150"/>
      <c r="M256" s="150"/>
      <c r="N256" s="150"/>
      <c r="O256" s="150"/>
      <c r="P256" s="150"/>
      <c r="Q256" s="150"/>
      <c r="R256" s="150"/>
      <c r="S256" s="150"/>
      <c r="T256" s="150"/>
      <c r="U256" s="150"/>
      <c r="V256" s="150"/>
      <c r="W256" s="150"/>
      <c r="X256" s="150"/>
      <c r="Y256" s="150"/>
      <c r="Z256" s="150"/>
      <c r="AA256" s="150"/>
      <c r="AB256" s="150"/>
      <c r="AC256" s="150"/>
      <c r="AD256" s="150"/>
    </row>
    <row r="257" spans="2:30">
      <c r="B257" s="150"/>
      <c r="C257" s="150"/>
      <c r="D257" s="150"/>
      <c r="E257" s="150"/>
      <c r="F257" s="150"/>
      <c r="G257" s="150"/>
      <c r="H257" s="150"/>
      <c r="I257" s="150"/>
      <c r="J257" s="150"/>
      <c r="K257" s="150"/>
      <c r="L257" s="150"/>
      <c r="M257" s="150"/>
      <c r="N257" s="150"/>
      <c r="O257" s="150"/>
      <c r="P257" s="150"/>
      <c r="Q257" s="150"/>
      <c r="R257" s="150"/>
      <c r="S257" s="150"/>
      <c r="T257" s="150"/>
      <c r="U257" s="150"/>
      <c r="V257" s="150"/>
      <c r="W257" s="150"/>
      <c r="X257" s="150"/>
      <c r="Y257" s="150"/>
      <c r="Z257" s="150"/>
      <c r="AA257" s="150"/>
      <c r="AB257" s="150"/>
      <c r="AC257" s="150"/>
      <c r="AD257" s="150"/>
    </row>
    <row r="258" spans="2:30">
      <c r="B258" s="150"/>
      <c r="C258" s="150"/>
      <c r="D258" s="150"/>
      <c r="E258" s="150"/>
      <c r="F258" s="150"/>
      <c r="G258" s="150"/>
      <c r="H258" s="150"/>
      <c r="I258" s="150"/>
      <c r="J258" s="150"/>
      <c r="K258" s="150"/>
      <c r="L258" s="150"/>
      <c r="M258" s="150"/>
      <c r="N258" s="150"/>
      <c r="O258" s="150"/>
      <c r="P258" s="150"/>
      <c r="Q258" s="150"/>
      <c r="R258" s="150"/>
      <c r="S258" s="150"/>
      <c r="T258" s="150"/>
      <c r="U258" s="150"/>
      <c r="V258" s="150"/>
      <c r="W258" s="150"/>
      <c r="X258" s="150"/>
      <c r="Y258" s="150"/>
      <c r="Z258" s="150"/>
      <c r="AA258" s="150"/>
      <c r="AB258" s="150"/>
      <c r="AC258" s="150"/>
      <c r="AD258" s="150"/>
    </row>
    <row r="259" spans="2:30">
      <c r="B259" s="150"/>
      <c r="C259" s="150"/>
      <c r="D259" s="150"/>
      <c r="E259" s="150"/>
      <c r="F259" s="150"/>
      <c r="G259" s="150"/>
      <c r="H259" s="150"/>
      <c r="I259" s="150"/>
      <c r="J259" s="150"/>
      <c r="K259" s="150"/>
      <c r="L259" s="150"/>
      <c r="M259" s="150"/>
      <c r="N259" s="150"/>
      <c r="O259" s="150"/>
      <c r="P259" s="150"/>
      <c r="Q259" s="150"/>
      <c r="R259" s="150"/>
      <c r="S259" s="150"/>
      <c r="T259" s="150"/>
      <c r="U259" s="150"/>
      <c r="V259" s="150"/>
      <c r="W259" s="150"/>
      <c r="X259" s="150"/>
      <c r="Y259" s="150"/>
      <c r="Z259" s="150"/>
      <c r="AA259" s="150"/>
      <c r="AB259" s="150"/>
      <c r="AC259" s="150"/>
      <c r="AD259" s="150"/>
    </row>
    <row r="260" spans="2:30">
      <c r="B260" s="150"/>
      <c r="C260" s="150"/>
      <c r="D260" s="150"/>
      <c r="E260" s="150"/>
      <c r="F260" s="150"/>
      <c r="G260" s="150"/>
      <c r="H260" s="150"/>
      <c r="I260" s="150"/>
      <c r="J260" s="150"/>
      <c r="K260" s="150"/>
      <c r="L260" s="150"/>
      <c r="M260" s="150"/>
      <c r="N260" s="150"/>
      <c r="O260" s="150"/>
      <c r="P260" s="150"/>
      <c r="Q260" s="150"/>
      <c r="R260" s="150"/>
      <c r="S260" s="150"/>
      <c r="T260" s="150"/>
      <c r="U260" s="150"/>
      <c r="V260" s="150"/>
      <c r="W260" s="150"/>
      <c r="X260" s="150"/>
      <c r="Y260" s="150"/>
      <c r="Z260" s="150"/>
      <c r="AA260" s="150"/>
      <c r="AB260" s="150"/>
      <c r="AC260" s="150"/>
      <c r="AD260" s="150"/>
    </row>
    <row r="261" spans="2:30">
      <c r="B261" s="150"/>
      <c r="C261" s="150"/>
      <c r="D261" s="150"/>
      <c r="E261" s="150"/>
      <c r="F261" s="150"/>
      <c r="G261" s="150"/>
      <c r="H261" s="150"/>
      <c r="I261" s="150"/>
      <c r="J261" s="150"/>
      <c r="K261" s="150"/>
      <c r="L261" s="150"/>
      <c r="M261" s="150"/>
      <c r="N261" s="150"/>
      <c r="O261" s="150"/>
      <c r="P261" s="150"/>
      <c r="Q261" s="150"/>
      <c r="R261" s="150"/>
      <c r="S261" s="150"/>
      <c r="T261" s="150"/>
      <c r="U261" s="150"/>
      <c r="V261" s="150"/>
      <c r="W261" s="150"/>
      <c r="X261" s="150"/>
      <c r="Y261" s="150"/>
      <c r="Z261" s="150"/>
      <c r="AA261" s="150"/>
      <c r="AB261" s="150"/>
      <c r="AC261" s="150"/>
      <c r="AD261" s="150"/>
    </row>
    <row r="262" spans="2:30">
      <c r="B262" s="213"/>
      <c r="C262" s="213"/>
      <c r="D262" s="213"/>
      <c r="E262" s="213"/>
      <c r="F262" s="213"/>
      <c r="G262" s="213"/>
      <c r="H262" s="213"/>
      <c r="I262" s="213"/>
      <c r="J262" s="213"/>
      <c r="K262" s="213"/>
      <c r="L262" s="213"/>
      <c r="M262" s="213"/>
      <c r="N262" s="213"/>
      <c r="O262" s="213"/>
      <c r="P262" s="213"/>
      <c r="Q262" s="213"/>
      <c r="R262" s="213"/>
      <c r="S262" s="213"/>
      <c r="T262" s="213"/>
      <c r="U262" s="213"/>
      <c r="V262" s="213"/>
      <c r="W262" s="213"/>
      <c r="X262" s="213"/>
      <c r="Y262" s="213"/>
      <c r="Z262" s="213"/>
      <c r="AA262" s="213"/>
      <c r="AB262" s="213"/>
      <c r="AC262" s="213"/>
      <c r="AD262" s="213"/>
    </row>
    <row r="263" spans="2:30">
      <c r="B263" s="213"/>
      <c r="C263" s="213"/>
      <c r="D263" s="213"/>
      <c r="E263" s="213"/>
      <c r="F263" s="213"/>
      <c r="G263" s="213"/>
      <c r="H263" s="213"/>
      <c r="I263" s="213"/>
      <c r="J263" s="213"/>
      <c r="K263" s="213"/>
      <c r="L263" s="213"/>
      <c r="M263" s="213"/>
      <c r="N263" s="213"/>
      <c r="O263" s="213"/>
      <c r="P263" s="213"/>
      <c r="Q263" s="213"/>
      <c r="R263" s="213"/>
      <c r="S263" s="213"/>
      <c r="T263" s="213"/>
      <c r="U263" s="213"/>
      <c r="V263" s="213"/>
      <c r="W263" s="213"/>
      <c r="X263" s="213"/>
      <c r="Y263" s="213"/>
      <c r="Z263" s="213"/>
      <c r="AA263" s="213"/>
      <c r="AB263" s="213"/>
      <c r="AC263" s="213"/>
      <c r="AD263" s="213"/>
    </row>
    <row r="264" spans="2:30">
      <c r="B264" s="213"/>
      <c r="C264" s="213"/>
      <c r="D264" s="213"/>
      <c r="E264" s="213"/>
      <c r="F264" s="213"/>
      <c r="G264" s="213"/>
      <c r="H264" s="213"/>
      <c r="I264" s="213"/>
      <c r="J264" s="213"/>
      <c r="K264" s="213"/>
      <c r="L264" s="213"/>
      <c r="M264" s="213"/>
      <c r="N264" s="213"/>
      <c r="O264" s="213"/>
      <c r="P264" s="213"/>
      <c r="Q264" s="213"/>
      <c r="R264" s="213"/>
      <c r="S264" s="213"/>
      <c r="T264" s="213"/>
      <c r="U264" s="213"/>
      <c r="V264" s="213"/>
      <c r="W264" s="213"/>
      <c r="X264" s="213"/>
      <c r="Y264" s="213"/>
      <c r="Z264" s="213"/>
      <c r="AA264" s="213"/>
      <c r="AB264" s="213"/>
      <c r="AC264" s="213"/>
      <c r="AD264" s="213"/>
    </row>
    <row r="265" spans="2:30">
      <c r="B265" s="437"/>
      <c r="C265" s="437"/>
      <c r="D265" s="437"/>
      <c r="E265" s="437"/>
      <c r="F265" s="437"/>
      <c r="G265" s="437"/>
      <c r="H265" s="437"/>
      <c r="I265" s="437"/>
      <c r="J265" s="437"/>
      <c r="K265" s="437"/>
      <c r="L265" s="437"/>
      <c r="M265" s="437"/>
      <c r="N265" s="437"/>
      <c r="O265" s="437"/>
      <c r="P265" s="437"/>
      <c r="Q265" s="437"/>
      <c r="R265" s="437"/>
      <c r="S265" s="437"/>
      <c r="T265" s="437"/>
      <c r="U265" s="437"/>
      <c r="V265" s="437"/>
      <c r="W265" s="437"/>
      <c r="X265" s="437"/>
      <c r="Y265" s="437"/>
      <c r="Z265" s="437"/>
      <c r="AA265" s="437"/>
      <c r="AB265" s="437"/>
      <c r="AC265" s="437"/>
      <c r="AD265" s="437"/>
    </row>
    <row r="266" spans="2:30">
      <c r="B266" s="437"/>
      <c r="C266" s="437"/>
      <c r="D266" s="437"/>
      <c r="E266" s="437"/>
      <c r="F266" s="437"/>
      <c r="G266" s="437"/>
      <c r="H266" s="437"/>
      <c r="I266" s="437"/>
      <c r="J266" s="437"/>
      <c r="K266" s="437"/>
      <c r="L266" s="437"/>
      <c r="M266" s="437"/>
      <c r="N266" s="437"/>
      <c r="O266" s="437"/>
      <c r="P266" s="437"/>
      <c r="Q266" s="437"/>
      <c r="R266" s="437"/>
      <c r="S266" s="437"/>
      <c r="T266" s="437"/>
      <c r="U266" s="437"/>
      <c r="V266" s="437"/>
      <c r="W266" s="437"/>
      <c r="X266" s="437"/>
      <c r="Y266" s="437"/>
      <c r="Z266" s="437"/>
      <c r="AA266" s="437"/>
      <c r="AB266" s="437"/>
      <c r="AC266" s="437"/>
      <c r="AD266" s="437"/>
    </row>
    <row r="267" spans="2:30">
      <c r="B267" s="213"/>
      <c r="C267" s="213"/>
      <c r="D267" s="213"/>
      <c r="E267" s="213"/>
      <c r="F267" s="213"/>
      <c r="G267" s="213"/>
      <c r="H267" s="213"/>
      <c r="I267" s="213"/>
      <c r="J267" s="213"/>
      <c r="K267" s="213"/>
      <c r="L267" s="213"/>
      <c r="M267" s="213"/>
      <c r="N267" s="213"/>
      <c r="O267" s="213"/>
      <c r="P267" s="213"/>
      <c r="Q267" s="213"/>
      <c r="R267" s="213"/>
      <c r="S267" s="213"/>
      <c r="T267" s="213"/>
      <c r="U267" s="213"/>
      <c r="V267" s="213"/>
      <c r="W267" s="213"/>
      <c r="X267" s="213"/>
      <c r="Y267" s="213"/>
      <c r="Z267" s="213"/>
      <c r="AA267" s="213"/>
      <c r="AB267" s="213"/>
      <c r="AC267" s="213"/>
      <c r="AD267" s="213"/>
    </row>
    <row r="268" spans="2:30">
      <c r="B268" s="213"/>
      <c r="C268" s="213"/>
      <c r="D268" s="213"/>
      <c r="E268" s="213"/>
      <c r="F268" s="213"/>
      <c r="G268" s="213"/>
      <c r="H268" s="213"/>
      <c r="I268" s="213"/>
      <c r="J268" s="213"/>
      <c r="K268" s="213"/>
      <c r="L268" s="213"/>
      <c r="M268" s="213"/>
      <c r="N268" s="213"/>
      <c r="O268" s="213"/>
      <c r="P268" s="213"/>
      <c r="Q268" s="213"/>
      <c r="R268" s="213"/>
      <c r="S268" s="213"/>
      <c r="T268" s="213"/>
      <c r="U268" s="213"/>
      <c r="V268" s="213"/>
      <c r="W268" s="213"/>
      <c r="X268" s="213"/>
      <c r="Y268" s="213"/>
      <c r="Z268" s="213"/>
      <c r="AA268" s="213"/>
      <c r="AB268" s="213"/>
      <c r="AC268" s="213"/>
      <c r="AD268" s="213"/>
    </row>
    <row r="271" spans="2:30">
      <c r="B271" s="395"/>
      <c r="C271" s="395"/>
      <c r="D271" s="395"/>
      <c r="E271" s="395"/>
      <c r="F271" s="395"/>
      <c r="G271" s="395"/>
      <c r="H271" s="395"/>
      <c r="I271" s="395"/>
      <c r="J271" s="395"/>
      <c r="K271" s="395"/>
      <c r="L271" s="395"/>
      <c r="M271" s="395"/>
      <c r="N271" s="395"/>
      <c r="O271" s="395"/>
      <c r="P271" s="395"/>
      <c r="Q271" s="395"/>
      <c r="R271" s="395"/>
      <c r="S271" s="395"/>
      <c r="T271" s="395"/>
      <c r="U271" s="395"/>
      <c r="V271" s="395"/>
      <c r="W271" s="395"/>
      <c r="X271" s="395"/>
      <c r="Y271" s="395"/>
      <c r="Z271" s="395"/>
      <c r="AA271" s="395"/>
      <c r="AB271" s="395"/>
      <c r="AC271" s="395"/>
      <c r="AD271" s="395"/>
    </row>
    <row r="272" spans="2:30">
      <c r="B272" s="395"/>
      <c r="C272" s="395"/>
      <c r="D272" s="395"/>
      <c r="E272" s="395"/>
      <c r="F272" s="395"/>
      <c r="G272" s="395"/>
      <c r="H272" s="395"/>
      <c r="I272" s="395"/>
      <c r="J272" s="395"/>
      <c r="K272" s="395"/>
      <c r="L272" s="395"/>
      <c r="M272" s="395"/>
      <c r="N272" s="395"/>
      <c r="O272" s="395"/>
      <c r="P272" s="395"/>
      <c r="Q272" s="395"/>
      <c r="R272" s="395"/>
      <c r="S272" s="395"/>
      <c r="T272" s="395"/>
      <c r="U272" s="395"/>
      <c r="V272" s="395"/>
      <c r="W272" s="395"/>
      <c r="X272" s="395"/>
      <c r="Y272" s="395"/>
      <c r="Z272" s="395"/>
      <c r="AA272" s="395"/>
      <c r="AB272" s="395"/>
      <c r="AC272" s="395"/>
      <c r="AD272" s="395"/>
    </row>
    <row r="273" spans="2:30">
      <c r="B273" s="395"/>
      <c r="C273" s="395"/>
      <c r="D273" s="395"/>
      <c r="E273" s="395"/>
      <c r="F273" s="395"/>
      <c r="G273" s="395"/>
      <c r="H273" s="395"/>
      <c r="I273" s="395"/>
      <c r="J273" s="395"/>
      <c r="K273" s="395"/>
      <c r="L273" s="395"/>
      <c r="M273" s="395"/>
      <c r="N273" s="395"/>
      <c r="O273" s="395"/>
      <c r="P273" s="395"/>
      <c r="Q273" s="395"/>
      <c r="R273" s="395"/>
      <c r="S273" s="395"/>
      <c r="T273" s="395"/>
      <c r="U273" s="395"/>
      <c r="V273" s="395"/>
      <c r="W273" s="395"/>
      <c r="X273" s="395"/>
      <c r="Y273" s="395"/>
      <c r="Z273" s="395"/>
      <c r="AA273" s="395"/>
      <c r="AB273" s="395"/>
      <c r="AC273" s="395"/>
      <c r="AD273" s="395"/>
    </row>
    <row r="278" spans="2:30">
      <c r="B278" s="395"/>
      <c r="C278" s="395"/>
      <c r="D278" s="395"/>
      <c r="E278" s="395"/>
      <c r="F278" s="395"/>
      <c r="G278" s="395"/>
      <c r="H278" s="395"/>
      <c r="I278" s="395"/>
      <c r="J278" s="395"/>
      <c r="K278" s="395"/>
      <c r="L278" s="395"/>
      <c r="M278" s="395"/>
      <c r="N278" s="395"/>
      <c r="O278" s="395"/>
      <c r="P278" s="395"/>
      <c r="Q278" s="395"/>
      <c r="R278" s="395"/>
      <c r="S278" s="395"/>
      <c r="T278" s="395"/>
      <c r="U278" s="395"/>
      <c r="V278" s="395"/>
      <c r="W278" s="395"/>
      <c r="X278" s="395"/>
      <c r="Y278" s="395"/>
      <c r="Z278" s="395"/>
      <c r="AA278" s="395"/>
      <c r="AB278" s="395"/>
      <c r="AC278" s="395"/>
      <c r="AD278" s="395"/>
    </row>
    <row r="279" spans="2:30">
      <c r="B279" s="395"/>
      <c r="C279" s="395"/>
      <c r="D279" s="395"/>
      <c r="E279" s="395"/>
      <c r="F279" s="395"/>
      <c r="G279" s="395"/>
      <c r="H279" s="395"/>
      <c r="I279" s="395"/>
      <c r="J279" s="395"/>
      <c r="K279" s="395"/>
      <c r="L279" s="395"/>
      <c r="M279" s="395"/>
      <c r="N279" s="395"/>
      <c r="O279" s="395"/>
      <c r="P279" s="395"/>
      <c r="Q279" s="395"/>
      <c r="R279" s="395"/>
      <c r="S279" s="395"/>
      <c r="T279" s="395"/>
      <c r="U279" s="395"/>
      <c r="V279" s="395"/>
      <c r="W279" s="395"/>
      <c r="X279" s="395"/>
      <c r="Y279" s="395"/>
      <c r="Z279" s="395"/>
      <c r="AA279" s="395"/>
      <c r="AB279" s="395"/>
      <c r="AC279" s="395"/>
      <c r="AD279" s="395"/>
    </row>
    <row r="280" spans="2:30">
      <c r="B280" s="395"/>
      <c r="C280" s="395"/>
      <c r="D280" s="395"/>
      <c r="E280" s="395"/>
      <c r="F280" s="395"/>
      <c r="G280" s="395"/>
      <c r="H280" s="395"/>
      <c r="I280" s="395"/>
      <c r="J280" s="395"/>
      <c r="K280" s="395"/>
      <c r="L280" s="395"/>
      <c r="M280" s="395"/>
      <c r="N280" s="395"/>
      <c r="O280" s="395"/>
      <c r="P280" s="395"/>
      <c r="Q280" s="395"/>
      <c r="R280" s="395"/>
      <c r="S280" s="395"/>
      <c r="T280" s="395"/>
      <c r="U280" s="395"/>
      <c r="V280" s="395"/>
      <c r="W280" s="395"/>
      <c r="X280" s="395"/>
      <c r="Y280" s="395"/>
      <c r="Z280" s="395"/>
      <c r="AA280" s="395"/>
      <c r="AB280" s="395"/>
      <c r="AC280" s="395"/>
      <c r="AD280" s="395"/>
    </row>
    <row r="281" spans="2:30">
      <c r="B281" s="395"/>
      <c r="C281" s="395"/>
      <c r="D281" s="395"/>
      <c r="E281" s="395"/>
      <c r="F281" s="395"/>
      <c r="G281" s="395"/>
      <c r="H281" s="395"/>
      <c r="I281" s="395"/>
      <c r="J281" s="395"/>
      <c r="K281" s="395"/>
      <c r="L281" s="395"/>
      <c r="M281" s="395"/>
      <c r="N281" s="395"/>
      <c r="O281" s="395"/>
      <c r="P281" s="395"/>
      <c r="Q281" s="395"/>
      <c r="R281" s="395"/>
      <c r="S281" s="395"/>
      <c r="T281" s="395"/>
      <c r="U281" s="395"/>
      <c r="V281" s="395"/>
      <c r="W281" s="395"/>
      <c r="X281" s="395"/>
      <c r="Y281" s="395"/>
      <c r="Z281" s="395"/>
      <c r="AA281" s="395"/>
      <c r="AB281" s="395"/>
      <c r="AC281" s="395"/>
      <c r="AD281" s="395"/>
    </row>
    <row r="283" spans="2:30">
      <c r="B283" s="395"/>
      <c r="C283" s="395"/>
      <c r="D283" s="395"/>
      <c r="E283" s="395"/>
      <c r="F283" s="395"/>
      <c r="G283" s="395"/>
      <c r="H283" s="395"/>
      <c r="I283" s="395"/>
      <c r="J283" s="395"/>
      <c r="K283" s="395"/>
      <c r="L283" s="395"/>
      <c r="M283" s="395"/>
      <c r="N283" s="395"/>
      <c r="O283" s="395"/>
      <c r="P283" s="395"/>
      <c r="Q283" s="395"/>
      <c r="R283" s="395"/>
      <c r="S283" s="395"/>
      <c r="T283" s="395"/>
      <c r="U283" s="395"/>
      <c r="V283" s="395"/>
      <c r="W283" s="395"/>
      <c r="X283" s="395"/>
      <c r="Y283" s="395"/>
      <c r="Z283" s="395"/>
      <c r="AA283" s="395"/>
      <c r="AB283" s="395"/>
      <c r="AC283" s="395"/>
      <c r="AD283" s="395"/>
    </row>
    <row r="284" spans="2:30">
      <c r="B284" s="395"/>
      <c r="C284" s="395"/>
      <c r="D284" s="395"/>
      <c r="E284" s="395"/>
      <c r="F284" s="395"/>
      <c r="G284" s="395"/>
      <c r="H284" s="395"/>
      <c r="I284" s="395"/>
      <c r="J284" s="395"/>
      <c r="K284" s="395"/>
      <c r="L284" s="395"/>
      <c r="M284" s="395"/>
      <c r="N284" s="395"/>
      <c r="O284" s="395"/>
      <c r="P284" s="395"/>
      <c r="Q284" s="395"/>
      <c r="R284" s="395"/>
      <c r="S284" s="395"/>
      <c r="T284" s="395"/>
      <c r="U284" s="395"/>
      <c r="V284" s="395"/>
      <c r="W284" s="395"/>
      <c r="X284" s="395"/>
      <c r="Y284" s="395"/>
      <c r="Z284" s="395"/>
      <c r="AA284" s="395"/>
      <c r="AB284" s="395"/>
      <c r="AC284" s="395"/>
      <c r="AD284" s="395"/>
    </row>
    <row r="285" spans="2:30">
      <c r="B285" s="395"/>
      <c r="C285" s="395"/>
      <c r="D285" s="395"/>
      <c r="E285" s="395"/>
      <c r="F285" s="395"/>
      <c r="G285" s="395"/>
      <c r="H285" s="395"/>
      <c r="I285" s="395"/>
      <c r="J285" s="395"/>
      <c r="K285" s="395"/>
      <c r="L285" s="395"/>
      <c r="M285" s="395"/>
      <c r="N285" s="395"/>
      <c r="O285" s="395"/>
      <c r="P285" s="395"/>
      <c r="Q285" s="395"/>
      <c r="R285" s="395"/>
      <c r="S285" s="395"/>
      <c r="T285" s="395"/>
      <c r="U285" s="395"/>
      <c r="V285" s="395"/>
      <c r="W285" s="395"/>
      <c r="X285" s="395"/>
      <c r="Y285" s="395"/>
      <c r="Z285" s="395"/>
      <c r="AA285" s="395"/>
      <c r="AB285" s="395"/>
      <c r="AC285" s="395"/>
      <c r="AD285" s="395"/>
    </row>
    <row r="286" spans="2:30">
      <c r="B286" s="395"/>
      <c r="C286" s="395"/>
      <c r="D286" s="395"/>
      <c r="E286" s="395"/>
      <c r="F286" s="395"/>
      <c r="G286" s="395"/>
      <c r="H286" s="395"/>
      <c r="I286" s="395"/>
      <c r="J286" s="395"/>
      <c r="K286" s="395"/>
      <c r="L286" s="395"/>
      <c r="M286" s="395"/>
      <c r="N286" s="395"/>
      <c r="O286" s="395"/>
      <c r="P286" s="395"/>
      <c r="Q286" s="395"/>
      <c r="R286" s="395"/>
      <c r="S286" s="395"/>
      <c r="T286" s="395"/>
      <c r="U286" s="395"/>
      <c r="V286" s="395"/>
      <c r="W286" s="395"/>
      <c r="X286" s="395"/>
      <c r="Y286" s="395"/>
      <c r="Z286" s="395"/>
      <c r="AA286" s="395"/>
      <c r="AB286" s="395"/>
      <c r="AC286" s="395"/>
      <c r="AD286" s="395"/>
    </row>
    <row r="288" spans="2:30"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</row>
    <row r="289" spans="2:30">
      <c r="B289" s="396"/>
      <c r="C289" s="396"/>
      <c r="D289" s="396"/>
      <c r="E289" s="396"/>
      <c r="F289" s="396"/>
      <c r="G289" s="396"/>
      <c r="H289" s="396"/>
      <c r="I289" s="396"/>
      <c r="J289" s="396"/>
      <c r="K289" s="396"/>
      <c r="L289" s="396"/>
      <c r="M289" s="396"/>
      <c r="N289" s="396"/>
      <c r="O289" s="396"/>
      <c r="P289" s="396"/>
      <c r="Q289" s="396"/>
      <c r="R289" s="396"/>
      <c r="S289" s="396"/>
      <c r="T289" s="396"/>
      <c r="U289" s="396"/>
      <c r="V289" s="396"/>
      <c r="W289" s="396"/>
      <c r="X289" s="396"/>
      <c r="Y289" s="396"/>
      <c r="Z289" s="396"/>
      <c r="AA289" s="396"/>
      <c r="AB289" s="396"/>
      <c r="AC289" s="396"/>
      <c r="AD289" s="396"/>
    </row>
    <row r="290" spans="2:30">
      <c r="B290" s="396"/>
      <c r="C290" s="396"/>
      <c r="D290" s="396"/>
      <c r="E290" s="396"/>
      <c r="F290" s="396"/>
      <c r="G290" s="396"/>
      <c r="H290" s="396"/>
      <c r="I290" s="396"/>
      <c r="J290" s="396"/>
      <c r="K290" s="396"/>
      <c r="L290" s="396"/>
      <c r="M290" s="396"/>
      <c r="N290" s="396"/>
      <c r="O290" s="396"/>
      <c r="P290" s="396"/>
      <c r="Q290" s="396"/>
      <c r="R290" s="396"/>
      <c r="S290" s="396"/>
      <c r="T290" s="396"/>
      <c r="U290" s="396"/>
      <c r="V290" s="396"/>
      <c r="W290" s="396"/>
      <c r="X290" s="396"/>
      <c r="Y290" s="396"/>
      <c r="Z290" s="396"/>
      <c r="AA290" s="396"/>
      <c r="AB290" s="396"/>
      <c r="AC290" s="396"/>
      <c r="AD290" s="396"/>
    </row>
    <row r="291" spans="2:30">
      <c r="B291" s="396"/>
      <c r="C291" s="396"/>
      <c r="D291" s="396"/>
      <c r="E291" s="396"/>
      <c r="F291" s="396"/>
      <c r="G291" s="396"/>
      <c r="H291" s="396"/>
      <c r="I291" s="396"/>
      <c r="J291" s="396"/>
      <c r="K291" s="396"/>
      <c r="L291" s="396"/>
      <c r="M291" s="396"/>
      <c r="N291" s="396"/>
      <c r="O291" s="396"/>
      <c r="P291" s="396"/>
      <c r="Q291" s="396"/>
      <c r="R291" s="396"/>
      <c r="S291" s="396"/>
      <c r="T291" s="396"/>
      <c r="U291" s="396"/>
      <c r="V291" s="396"/>
      <c r="W291" s="396"/>
      <c r="X291" s="396"/>
      <c r="Y291" s="396"/>
      <c r="Z291" s="396"/>
      <c r="AA291" s="396"/>
      <c r="AB291" s="396"/>
      <c r="AC291" s="396"/>
      <c r="AD291" s="396"/>
    </row>
    <row r="292" spans="2:30">
      <c r="B292" s="396"/>
      <c r="C292" s="396"/>
      <c r="D292" s="396"/>
      <c r="E292" s="396"/>
      <c r="F292" s="396"/>
      <c r="G292" s="396"/>
      <c r="H292" s="396"/>
      <c r="I292" s="396"/>
      <c r="J292" s="396"/>
      <c r="K292" s="396"/>
      <c r="L292" s="396"/>
      <c r="M292" s="396"/>
      <c r="N292" s="396"/>
      <c r="O292" s="396"/>
      <c r="P292" s="396"/>
      <c r="Q292" s="396"/>
      <c r="R292" s="396"/>
      <c r="S292" s="396"/>
      <c r="T292" s="396"/>
      <c r="U292" s="396"/>
      <c r="V292" s="396"/>
      <c r="W292" s="396"/>
      <c r="X292" s="396"/>
      <c r="Y292" s="396"/>
      <c r="Z292" s="396"/>
      <c r="AA292" s="396"/>
      <c r="AB292" s="396"/>
      <c r="AC292" s="396"/>
      <c r="AD292" s="396"/>
    </row>
    <row r="293" spans="2:30">
      <c r="B293" s="396"/>
      <c r="C293" s="396"/>
      <c r="D293" s="396"/>
      <c r="E293" s="396"/>
      <c r="F293" s="396"/>
      <c r="G293" s="396"/>
      <c r="H293" s="396"/>
      <c r="I293" s="396"/>
      <c r="J293" s="396"/>
      <c r="K293" s="396"/>
      <c r="L293" s="396"/>
      <c r="M293" s="396"/>
      <c r="N293" s="396"/>
      <c r="O293" s="396"/>
      <c r="P293" s="396"/>
      <c r="Q293" s="396"/>
      <c r="R293" s="396"/>
      <c r="S293" s="396"/>
      <c r="T293" s="396"/>
      <c r="U293" s="396"/>
      <c r="V293" s="396"/>
      <c r="W293" s="396"/>
      <c r="X293" s="396"/>
      <c r="Y293" s="396"/>
      <c r="Z293" s="396"/>
      <c r="AA293" s="396"/>
      <c r="AB293" s="396"/>
      <c r="AC293" s="396"/>
      <c r="AD293" s="396"/>
    </row>
  </sheetData>
  <mergeCells count="2">
    <mergeCell ref="AH1:AJ1"/>
    <mergeCell ref="AM1:AO1"/>
  </mergeCells>
  <conditionalFormatting sqref="AM221:AO221 AM219:AO219 AM222 AM10:AO10 AM14:AO14 AM202:AO203 AM209:AO210 AM35:AO36 AM39:AO40 AM21:AO21 AM24:AO24 AM212:AO213 AM92:AO94 AM215:AO215 AM170:AO170 AM173:AO173 AM179:AO179 AM181:AO181">
    <cfRule type="cellIs" dxfId="6" priority="4" operator="notEqual">
      <formula>#REF!</formula>
    </cfRule>
  </conditionalFormatting>
  <conditionalFormatting sqref="AM199:AO199">
    <cfRule type="cellIs" dxfId="5" priority="3" operator="notEqual">
      <formula>#REF!</formula>
    </cfRule>
  </conditionalFormatting>
  <conditionalFormatting sqref="AM214:AO214">
    <cfRule type="cellIs" dxfId="4" priority="2" operator="notEqual">
      <formula>#REF!</formula>
    </cfRule>
  </conditionalFormatting>
  <conditionalFormatting sqref="AH35:AJ36 AH39:AJ40 AH69:AJ69 AH92:AJ94 AH135:AJ135 AH170:AJ170 AH173:AJ173 AH179:AJ179">
    <cfRule type="expression" dxfId="3" priority="1">
      <formula>AH35&lt;&gt;AM35</formula>
    </cfRule>
  </conditionalFormatting>
  <hyperlinks>
    <hyperlink ref="B130" location="Glossary_Net_Trade_Working_Capital" display="Net Trade Working Capital" xr:uid="{2332E4D9-D9D3-BD42-ABB5-6A10D757DF81}"/>
    <hyperlink ref="B143" location="Glossary_Net_Trade_Working_Capital" display="Net Trade Working Capital" xr:uid="{C0A24079-EF1E-7948-9E4E-E4724EF00543}"/>
  </hyperlinks>
  <pageMargins left="0.7" right="0.7" top="0.75" bottom="0.75" header="0.3" footer="0.3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44F58-E8A4-EC40-B60D-8B6550773A4E}">
  <sheetPr published="0">
    <tabColor rgb="FFFF0000"/>
  </sheetPr>
  <dimension ref="A1:BQ147"/>
  <sheetViews>
    <sheetView zoomScaleNormal="100" workbookViewId="0">
      <pane xSplit="3" ySplit="3" topLeftCell="AG4" activePane="bottomRight" state="frozen"/>
      <selection activeCell="C5" sqref="C5:E5"/>
      <selection pane="topRight" activeCell="C5" sqref="C5:E5"/>
      <selection pane="bottomLeft" activeCell="C5" sqref="C5:E5"/>
      <selection pane="bottomRight" activeCell="C5" sqref="C5:E5"/>
    </sheetView>
  </sheetViews>
  <sheetFormatPr defaultColWidth="10.875" defaultRowHeight="15" outlineLevelCol="1"/>
  <cols>
    <col min="1" max="1" width="5.875" style="293" customWidth="1"/>
    <col min="2" max="2" width="13.5" style="52" customWidth="1"/>
    <col min="3" max="3" width="47.625" style="52" customWidth="1"/>
    <col min="4" max="28" width="13.375" style="295" customWidth="1" outlineLevel="1"/>
    <col min="29" max="30" width="13.125" style="52" customWidth="1"/>
    <col min="31" max="31" width="13.125" style="295" customWidth="1"/>
    <col min="32" max="36" width="13.375" style="295" customWidth="1"/>
    <col min="37" max="37" width="13.375" style="297" customWidth="1"/>
    <col min="38" max="39" width="12.375" style="295" customWidth="1"/>
    <col min="40" max="42" width="13.375" style="297" customWidth="1"/>
    <col min="43" max="16384" width="10.875" style="52"/>
  </cols>
  <sheetData>
    <row r="1" spans="1:60" ht="23.25">
      <c r="B1" s="24" t="s">
        <v>134</v>
      </c>
      <c r="C1" s="25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  <c r="Q1" s="438"/>
      <c r="R1" s="438"/>
      <c r="S1" s="438"/>
      <c r="T1" s="438"/>
      <c r="U1" s="438"/>
      <c r="V1" s="438"/>
      <c r="W1" s="438"/>
      <c r="X1" s="438"/>
      <c r="Y1" s="438"/>
      <c r="Z1" s="438"/>
      <c r="AA1" s="438"/>
      <c r="AB1" s="438"/>
      <c r="AC1" s="16" t="s">
        <v>0</v>
      </c>
      <c r="AE1" s="297"/>
      <c r="AF1" s="438"/>
      <c r="AG1" s="438"/>
      <c r="AH1" s="766" t="e">
        <f>#REF!</f>
        <v>#REF!</v>
      </c>
      <c r="AI1" s="766"/>
      <c r="AJ1" s="766"/>
      <c r="AK1" s="439"/>
      <c r="AL1" s="440"/>
      <c r="AM1" s="440"/>
      <c r="AN1" s="767" t="e">
        <f>#REF!</f>
        <v>#REF!</v>
      </c>
      <c r="AO1" s="767"/>
      <c r="AP1" s="767"/>
      <c r="BG1" s="67"/>
      <c r="BH1" s="67"/>
    </row>
    <row r="2" spans="1:60" ht="21">
      <c r="B2" s="62" t="e">
        <f>#REF!</f>
        <v>#REF!</v>
      </c>
      <c r="C2" s="63" t="e">
        <f>#REF!</f>
        <v>#REF!</v>
      </c>
      <c r="D2" s="441" t="e">
        <f>#REF!</f>
        <v>#REF!</v>
      </c>
      <c r="E2" s="441" t="e">
        <f>#REF!</f>
        <v>#REF!</v>
      </c>
      <c r="F2" s="441" t="e">
        <f>#REF!</f>
        <v>#REF!</v>
      </c>
      <c r="G2" s="441" t="e">
        <f>#REF!</f>
        <v>#REF!</v>
      </c>
      <c r="H2" s="441" t="e">
        <f>#REF!</f>
        <v>#REF!</v>
      </c>
      <c r="I2" s="441" t="e">
        <f>#REF!</f>
        <v>#REF!</v>
      </c>
      <c r="J2" s="441" t="e">
        <f>#REF!</f>
        <v>#REF!</v>
      </c>
      <c r="K2" s="441" t="e">
        <f>#REF!</f>
        <v>#REF!</v>
      </c>
      <c r="L2" s="441" t="e">
        <f>#REF!</f>
        <v>#REF!</v>
      </c>
      <c r="M2" s="441" t="e">
        <f>#REF!</f>
        <v>#REF!</v>
      </c>
      <c r="N2" s="441" t="e">
        <f>#REF!</f>
        <v>#REF!</v>
      </c>
      <c r="O2" s="441" t="e">
        <f>#REF!</f>
        <v>#REF!</v>
      </c>
      <c r="P2" s="441" t="e">
        <f>#REF!</f>
        <v>#REF!</v>
      </c>
      <c r="Q2" s="441" t="e">
        <f>#REF!</f>
        <v>#REF!</v>
      </c>
      <c r="R2" s="441" t="e">
        <f>#REF!</f>
        <v>#REF!</v>
      </c>
      <c r="S2" s="441" t="e">
        <f>#REF!</f>
        <v>#REF!</v>
      </c>
      <c r="T2" s="441" t="e">
        <f>#REF!</f>
        <v>#REF!</v>
      </c>
      <c r="U2" s="441" t="e">
        <f>#REF!</f>
        <v>#REF!</v>
      </c>
      <c r="V2" s="441" t="e">
        <f>#REF!</f>
        <v>#REF!</v>
      </c>
      <c r="W2" s="441" t="e">
        <f>#REF!</f>
        <v>#REF!</v>
      </c>
      <c r="X2" s="441" t="e">
        <f>#REF!</f>
        <v>#REF!</v>
      </c>
      <c r="Y2" s="441" t="e">
        <f>#REF!</f>
        <v>#REF!</v>
      </c>
      <c r="Z2" s="441" t="e">
        <f>#REF!</f>
        <v>#REF!</v>
      </c>
      <c r="AA2" s="441" t="e">
        <f>#REF!</f>
        <v>#REF!</v>
      </c>
      <c r="AB2" s="441" t="e">
        <f>#REF!</f>
        <v>#REF!</v>
      </c>
      <c r="AC2" s="441" t="e">
        <f>#REF!</f>
        <v>#REF!</v>
      </c>
      <c r="AD2" s="441" t="e">
        <f>#REF!</f>
        <v>#REF!</v>
      </c>
      <c r="AE2" s="441" t="e">
        <f>#REF!</f>
        <v>#REF!</v>
      </c>
      <c r="AF2" s="441" t="e">
        <f>#REF!</f>
        <v>#REF!</v>
      </c>
      <c r="AG2" s="441" t="e">
        <f>#REF!</f>
        <v>#REF!</v>
      </c>
      <c r="AH2" s="65" t="e">
        <f>$AG2+1&amp;"E"</f>
        <v>#REF!</v>
      </c>
      <c r="AI2" s="65" t="e">
        <f>$AG2+2&amp;"E"</f>
        <v>#REF!</v>
      </c>
      <c r="AJ2" s="65" t="e">
        <f>$AG2+3&amp;"E"</f>
        <v>#REF!</v>
      </c>
      <c r="AK2" s="1" t="e">
        <f>"3 Year CAGR "&amp;AD2&amp;"A-"&amp;AG2&amp;"A"</f>
        <v>#REF!</v>
      </c>
      <c r="AL2" s="1" t="e">
        <f>"3 Year CAGR "&amp;AG2&amp;"A-"&amp;AJ2</f>
        <v>#REF!</v>
      </c>
      <c r="AM2" s="67"/>
      <c r="AN2" s="65" t="e">
        <f>$AG2+1&amp;"E"</f>
        <v>#REF!</v>
      </c>
      <c r="AO2" s="65" t="e">
        <f>$AG2+2&amp;"E"</f>
        <v>#REF!</v>
      </c>
      <c r="AP2" s="65" t="e">
        <f>$AG2+3&amp;"E"</f>
        <v>#REF!</v>
      </c>
      <c r="BG2" s="67"/>
      <c r="BH2" s="67"/>
    </row>
    <row r="3" spans="1:60" ht="18.75">
      <c r="A3" s="442" t="s">
        <v>96</v>
      </c>
      <c r="D3" s="443">
        <v>-29</v>
      </c>
      <c r="E3" s="443">
        <v>-28</v>
      </c>
      <c r="F3" s="443">
        <v>-27</v>
      </c>
      <c r="G3" s="443">
        <v>-26</v>
      </c>
      <c r="H3" s="443">
        <v>-25</v>
      </c>
      <c r="I3" s="443">
        <v>-24</v>
      </c>
      <c r="J3" s="443">
        <v>-23</v>
      </c>
      <c r="K3" s="443">
        <v>-22</v>
      </c>
      <c r="L3" s="443">
        <v>-21</v>
      </c>
      <c r="M3" s="443">
        <v>-20</v>
      </c>
      <c r="N3" s="443">
        <v>-19</v>
      </c>
      <c r="O3" s="443">
        <v>-18</v>
      </c>
      <c r="P3" s="443">
        <v>-17</v>
      </c>
      <c r="Q3" s="443">
        <v>-16</v>
      </c>
      <c r="R3" s="443">
        <v>-15</v>
      </c>
      <c r="S3" s="443">
        <v>-14</v>
      </c>
      <c r="T3" s="443">
        <v>-13</v>
      </c>
      <c r="U3" s="443">
        <v>-12</v>
      </c>
      <c r="V3" s="443">
        <v>-11</v>
      </c>
      <c r="W3" s="443">
        <v>-10</v>
      </c>
      <c r="X3" s="443">
        <v>-9</v>
      </c>
      <c r="Y3" s="443">
        <v>-8</v>
      </c>
      <c r="Z3" s="443">
        <v>-7</v>
      </c>
      <c r="AA3" s="443">
        <v>-6</v>
      </c>
      <c r="AB3" s="443">
        <v>-5</v>
      </c>
      <c r="AC3" s="443">
        <v>-4</v>
      </c>
      <c r="AD3" s="443">
        <v>-3</v>
      </c>
      <c r="AE3" s="443">
        <v>-2</v>
      </c>
      <c r="AF3" s="443">
        <v>-1</v>
      </c>
      <c r="AG3" s="443">
        <v>0</v>
      </c>
      <c r="AH3" s="297"/>
      <c r="AI3" s="297"/>
      <c r="AJ3" s="297"/>
      <c r="AL3" s="297"/>
      <c r="AM3" s="297"/>
    </row>
    <row r="4" spans="1:60">
      <c r="A4" s="31" t="s">
        <v>135</v>
      </c>
      <c r="D4" s="22" t="e">
        <f>IF(D$3&lt;-#REF!+1,0,1)</f>
        <v>#REF!</v>
      </c>
      <c r="E4" s="22" t="e">
        <f>IF(E$3&lt;-#REF!+1,0,1)</f>
        <v>#REF!</v>
      </c>
      <c r="F4" s="22" t="e">
        <f>IF(F$3&lt;-#REF!+1,0,1)</f>
        <v>#REF!</v>
      </c>
      <c r="G4" s="22" t="e">
        <f>IF(G$3&lt;-#REF!+1,0,1)</f>
        <v>#REF!</v>
      </c>
      <c r="H4" s="22" t="e">
        <f>IF(H$3&lt;-#REF!+1,0,1)</f>
        <v>#REF!</v>
      </c>
      <c r="I4" s="22" t="e">
        <f>IF(I$3&lt;-#REF!+1,0,1)</f>
        <v>#REF!</v>
      </c>
      <c r="J4" s="22" t="e">
        <f>IF(J$3&lt;-#REF!+1,0,1)</f>
        <v>#REF!</v>
      </c>
      <c r="K4" s="22" t="e">
        <f>IF(K$3&lt;-#REF!+1,0,1)</f>
        <v>#REF!</v>
      </c>
      <c r="L4" s="22" t="e">
        <f>IF(L$3&lt;-#REF!+1,0,1)</f>
        <v>#REF!</v>
      </c>
      <c r="M4" s="22" t="e">
        <f>IF(M$3&lt;-#REF!+1,0,1)</f>
        <v>#REF!</v>
      </c>
      <c r="N4" s="22" t="e">
        <f>IF(N$3&lt;-#REF!+1,0,1)</f>
        <v>#REF!</v>
      </c>
      <c r="O4" s="22" t="e">
        <f>IF(O$3&lt;-#REF!+1,0,1)</f>
        <v>#REF!</v>
      </c>
      <c r="P4" s="22" t="e">
        <f>IF(P$3&lt;-#REF!+1,0,1)</f>
        <v>#REF!</v>
      </c>
      <c r="Q4" s="22" t="e">
        <f>IF(Q$3&lt;-#REF!+1,0,1)</f>
        <v>#REF!</v>
      </c>
      <c r="R4" s="22" t="e">
        <f>IF(R$3&lt;-#REF!+1,0,1)</f>
        <v>#REF!</v>
      </c>
      <c r="S4" s="22" t="e">
        <f>IF(S$3&lt;-#REF!+1,0,1)</f>
        <v>#REF!</v>
      </c>
      <c r="T4" s="22" t="e">
        <f>IF(T$3&lt;-#REF!+1,0,1)</f>
        <v>#REF!</v>
      </c>
      <c r="U4" s="22" t="e">
        <f>IF(U$3&lt;-#REF!+1,0,1)</f>
        <v>#REF!</v>
      </c>
      <c r="V4" s="22" t="e">
        <f>IF(V$3&lt;-#REF!+1,0,1)</f>
        <v>#REF!</v>
      </c>
      <c r="W4" s="22" t="e">
        <f>IF(W$3&lt;-#REF!+1,0,1)</f>
        <v>#REF!</v>
      </c>
      <c r="X4" s="22" t="e">
        <f>IF(X$3&lt;-#REF!+1,0,1)</f>
        <v>#REF!</v>
      </c>
      <c r="Y4" s="22" t="e">
        <f>IF(Y$3&lt;-#REF!+1,0,1)</f>
        <v>#REF!</v>
      </c>
      <c r="Z4" s="22" t="e">
        <f>IF(Z$3&lt;-#REF!+1,0,1)</f>
        <v>#REF!</v>
      </c>
      <c r="AA4" s="22" t="e">
        <f>IF(AA$3&lt;-#REF!+1,0,1)</f>
        <v>#REF!</v>
      </c>
      <c r="AB4" s="22" t="e">
        <f>IF(AB$3&lt;-#REF!+1,0,1)</f>
        <v>#REF!</v>
      </c>
      <c r="AC4" s="22" t="e">
        <f>IF(AC$3&lt;-#REF!+1,0,1)</f>
        <v>#REF!</v>
      </c>
      <c r="AD4" s="22" t="e">
        <f>IF(AD$3&lt;-#REF!+1,0,1)</f>
        <v>#REF!</v>
      </c>
      <c r="AE4" s="22" t="e">
        <f>IF(AE$3&lt;-#REF!+1,0,1)</f>
        <v>#REF!</v>
      </c>
      <c r="AF4" s="22" t="e">
        <f>IF(AF$3&lt;-#REF!+1,0,1)</f>
        <v>#REF!</v>
      </c>
      <c r="AG4" s="22" t="e">
        <f>IF(AG$3&lt;-#REF!+1,0,1)</f>
        <v>#REF!</v>
      </c>
      <c r="AH4" s="444"/>
      <c r="AI4" s="314"/>
      <c r="AJ4" s="314"/>
      <c r="AK4" s="314"/>
      <c r="AL4" s="297"/>
      <c r="AM4" s="297"/>
      <c r="AN4" s="445"/>
      <c r="AO4" s="314"/>
      <c r="AP4" s="314"/>
    </row>
    <row r="5" spans="1:60">
      <c r="D5" s="312"/>
      <c r="E5" s="312"/>
      <c r="F5" s="312"/>
      <c r="G5" s="312"/>
      <c r="H5" s="312"/>
      <c r="I5" s="312"/>
      <c r="J5" s="312"/>
      <c r="K5" s="312"/>
      <c r="L5" s="312"/>
      <c r="M5" s="312"/>
      <c r="N5" s="312"/>
      <c r="O5" s="312"/>
      <c r="P5" s="312"/>
      <c r="Q5" s="312"/>
      <c r="R5" s="312"/>
      <c r="S5" s="312"/>
      <c r="T5" s="312"/>
      <c r="U5" s="312"/>
      <c r="V5" s="312"/>
      <c r="W5" s="312"/>
      <c r="X5" s="312"/>
      <c r="Y5" s="312"/>
      <c r="Z5" s="312"/>
      <c r="AA5" s="312"/>
      <c r="AB5" s="312"/>
      <c r="AC5" s="312"/>
      <c r="AD5" s="312"/>
      <c r="AE5" s="312"/>
      <c r="AF5" s="312"/>
      <c r="AG5" s="312"/>
      <c r="AH5" s="446"/>
      <c r="AI5" s="312"/>
      <c r="AJ5" s="312"/>
      <c r="AK5" s="314"/>
      <c r="AN5" s="445"/>
      <c r="AO5" s="314"/>
      <c r="AP5" s="314"/>
    </row>
    <row r="6" spans="1:60">
      <c r="B6" s="349" t="s">
        <v>3</v>
      </c>
      <c r="C6" s="349"/>
      <c r="D6" s="447" t="e">
        <f>IF(D4=1,#REF!,"")</f>
        <v>#REF!</v>
      </c>
      <c r="E6" s="447" t="e">
        <f>IF(E4=1,#REF!,"")</f>
        <v>#REF!</v>
      </c>
      <c r="F6" s="447" t="e">
        <f>IF(F4=1,#REF!,"")</f>
        <v>#REF!</v>
      </c>
      <c r="G6" s="447" t="e">
        <f>IF(G4=1,#REF!,"")</f>
        <v>#REF!</v>
      </c>
      <c r="H6" s="447" t="e">
        <f>IF(H4=1,#REF!,"")</f>
        <v>#REF!</v>
      </c>
      <c r="I6" s="447" t="e">
        <f>IF(I4=1,#REF!,"")</f>
        <v>#REF!</v>
      </c>
      <c r="J6" s="447" t="e">
        <f>IF(J4=1,#REF!,"")</f>
        <v>#REF!</v>
      </c>
      <c r="K6" s="447" t="e">
        <f>IF(K4=1,#REF!,"")</f>
        <v>#REF!</v>
      </c>
      <c r="L6" s="447" t="e">
        <f>IF(L4=1,#REF!,"")</f>
        <v>#REF!</v>
      </c>
      <c r="M6" s="447" t="e">
        <f>IF(M4=1,#REF!,"")</f>
        <v>#REF!</v>
      </c>
      <c r="N6" s="447" t="e">
        <f>IF(N4=1,#REF!,"")</f>
        <v>#REF!</v>
      </c>
      <c r="O6" s="447" t="e">
        <f>IF(O4=1,#REF!,"")</f>
        <v>#REF!</v>
      </c>
      <c r="P6" s="447" t="e">
        <f>IF(P4=1,#REF!,"")</f>
        <v>#REF!</v>
      </c>
      <c r="Q6" s="447" t="e">
        <f>IF(Q4=1,#REF!,"")</f>
        <v>#REF!</v>
      </c>
      <c r="R6" s="447" t="e">
        <f>IF(R4=1,#REF!,"")</f>
        <v>#REF!</v>
      </c>
      <c r="S6" s="447" t="e">
        <f>IF(S4=1,#REF!,"")</f>
        <v>#REF!</v>
      </c>
      <c r="T6" s="447" t="e">
        <f>IF(T4=1,#REF!,"")</f>
        <v>#REF!</v>
      </c>
      <c r="U6" s="447" t="e">
        <f>IF(U4=1,#REF!,"")</f>
        <v>#REF!</v>
      </c>
      <c r="V6" s="447" t="e">
        <f>IF(V4=1,#REF!,"")</f>
        <v>#REF!</v>
      </c>
      <c r="W6" s="447" t="e">
        <f>IF(W4=1,#REF!,"")</f>
        <v>#REF!</v>
      </c>
      <c r="X6" s="447" t="e">
        <f>IF(X4=1,#REF!,"")</f>
        <v>#REF!</v>
      </c>
      <c r="Y6" s="447" t="e">
        <f>IF(Y4=1,#REF!,"")</f>
        <v>#REF!</v>
      </c>
      <c r="Z6" s="447" t="e">
        <f>IF(Z4=1,#REF!,"")</f>
        <v>#REF!</v>
      </c>
      <c r="AA6" s="447" t="e">
        <f>IF(AA4=1,#REF!,"")</f>
        <v>#REF!</v>
      </c>
      <c r="AB6" s="447" t="e">
        <f>IF(AB4=1,#REF!,"")</f>
        <v>#REF!</v>
      </c>
      <c r="AC6" s="447" t="e">
        <f>IF(AC4=1,#REF!,"")</f>
        <v>#REF!</v>
      </c>
      <c r="AD6" s="447" t="e">
        <f>IF(AD4=1,#REF!,"")</f>
        <v>#REF!</v>
      </c>
      <c r="AE6" s="447" t="e">
        <f>IF(AE4=1,#REF!,"")</f>
        <v>#REF!</v>
      </c>
      <c r="AF6" s="447" t="e">
        <f>IF(AF4=1,#REF!,"")</f>
        <v>#REF!</v>
      </c>
      <c r="AG6" s="447" t="e">
        <f>IF(AG4=1,#REF!,"")</f>
        <v>#REF!</v>
      </c>
      <c r="AH6" s="447" t="e">
        <f>#REF!</f>
        <v>#REF!</v>
      </c>
      <c r="AI6" s="447" t="e">
        <f>#REF!</f>
        <v>#REF!</v>
      </c>
      <c r="AJ6" s="447" t="e">
        <f>#REF!</f>
        <v>#REF!</v>
      </c>
      <c r="AK6" s="448" t="str">
        <f t="shared" ref="AK6:AK7" si="0">IFERROR(RATE(3,,AD6,-AG6),"")</f>
        <v/>
      </c>
      <c r="AL6" s="448" t="str">
        <f>IFERROR(RATE(3,,AG6,-AJ6),"")</f>
        <v/>
      </c>
      <c r="AM6" s="449"/>
      <c r="AN6" s="447" t="e">
        <f>#REF!</f>
        <v>#REF!</v>
      </c>
      <c r="AO6" s="447" t="e">
        <f>#REF!</f>
        <v>#REF!</v>
      </c>
      <c r="AP6" s="447" t="e">
        <f>#REF!</f>
        <v>#REF!</v>
      </c>
    </row>
    <row r="7" spans="1:60" s="293" customFormat="1">
      <c r="B7" s="349" t="s">
        <v>97</v>
      </c>
      <c r="C7" s="349"/>
      <c r="D7" s="450" t="e">
        <f>IF(D4=1,-#REF!,"")</f>
        <v>#REF!</v>
      </c>
      <c r="E7" s="450" t="e">
        <f>IF(E4=1,-#REF!,"")</f>
        <v>#REF!</v>
      </c>
      <c r="F7" s="450" t="e">
        <f>IF(F4=1,-#REF!,"")</f>
        <v>#REF!</v>
      </c>
      <c r="G7" s="450" t="e">
        <f>IF(G4=1,-#REF!,"")</f>
        <v>#REF!</v>
      </c>
      <c r="H7" s="450" t="e">
        <f>IF(H4=1,-#REF!,"")</f>
        <v>#REF!</v>
      </c>
      <c r="I7" s="450" t="e">
        <f>IF(I4=1,-#REF!,"")</f>
        <v>#REF!</v>
      </c>
      <c r="J7" s="450" t="e">
        <f>IF(J4=1,-#REF!,"")</f>
        <v>#REF!</v>
      </c>
      <c r="K7" s="450" t="e">
        <f>IF(K4=1,-#REF!,"")</f>
        <v>#REF!</v>
      </c>
      <c r="L7" s="450" t="e">
        <f>IF(L4=1,-#REF!,"")</f>
        <v>#REF!</v>
      </c>
      <c r="M7" s="450" t="e">
        <f>IF(M4=1,-#REF!,"")</f>
        <v>#REF!</v>
      </c>
      <c r="N7" s="450" t="e">
        <f>IF(N4=1,-#REF!,"")</f>
        <v>#REF!</v>
      </c>
      <c r="O7" s="450" t="e">
        <f>IF(O4=1,-#REF!,"")</f>
        <v>#REF!</v>
      </c>
      <c r="P7" s="450" t="e">
        <f>IF(P4=1,-#REF!,"")</f>
        <v>#REF!</v>
      </c>
      <c r="Q7" s="450" t="e">
        <f>IF(Q4=1,-#REF!,"")</f>
        <v>#REF!</v>
      </c>
      <c r="R7" s="450" t="e">
        <f>IF(R4=1,-#REF!,"")</f>
        <v>#REF!</v>
      </c>
      <c r="S7" s="450" t="e">
        <f>IF(S4=1,-#REF!,"")</f>
        <v>#REF!</v>
      </c>
      <c r="T7" s="450" t="e">
        <f>IF(T4=1,-#REF!,"")</f>
        <v>#REF!</v>
      </c>
      <c r="U7" s="450" t="e">
        <f>IF(U4=1,-#REF!,"")</f>
        <v>#REF!</v>
      </c>
      <c r="V7" s="450" t="e">
        <f>IF(V4=1,-#REF!,"")</f>
        <v>#REF!</v>
      </c>
      <c r="W7" s="450" t="e">
        <f>IF(W4=1,-#REF!,"")</f>
        <v>#REF!</v>
      </c>
      <c r="X7" s="450" t="e">
        <f>IF(X4=1,-#REF!,"")</f>
        <v>#REF!</v>
      </c>
      <c r="Y7" s="450" t="e">
        <f>IF(Y4=1,-#REF!,"")</f>
        <v>#REF!</v>
      </c>
      <c r="Z7" s="450" t="e">
        <f>IF(Z4=1,-#REF!,"")</f>
        <v>#REF!</v>
      </c>
      <c r="AA7" s="450" t="e">
        <f>IF(AA4=1,-#REF!,"")</f>
        <v>#REF!</v>
      </c>
      <c r="AB7" s="450" t="e">
        <f>IF(AB4=1,-#REF!,"")</f>
        <v>#REF!</v>
      </c>
      <c r="AC7" s="450" t="e">
        <f>IF(AC4=1,-#REF!,"")</f>
        <v>#REF!</v>
      </c>
      <c r="AD7" s="450" t="e">
        <f>IF(AD4=1,-#REF!,"")</f>
        <v>#REF!</v>
      </c>
      <c r="AE7" s="450" t="e">
        <f>IF(AE4=1,-#REF!,"")</f>
        <v>#REF!</v>
      </c>
      <c r="AF7" s="450" t="e">
        <f>IF(AF4=1,-#REF!,"")</f>
        <v>#REF!</v>
      </c>
      <c r="AG7" s="450" t="e">
        <f>IF(AG4=1,-#REF!,"")</f>
        <v>#REF!</v>
      </c>
      <c r="AH7" s="450" t="e">
        <f>-#REF!</f>
        <v>#REF!</v>
      </c>
      <c r="AI7" s="450" t="e">
        <f>-#REF!</f>
        <v>#REF!</v>
      </c>
      <c r="AJ7" s="450" t="e">
        <f>-#REF!</f>
        <v>#REF!</v>
      </c>
      <c r="AK7" s="448" t="str">
        <f t="shared" si="0"/>
        <v/>
      </c>
      <c r="AL7" s="448" t="str">
        <f>IFERROR(RATE(3,,AG7,-AJ7),"")</f>
        <v/>
      </c>
      <c r="AM7" s="449"/>
      <c r="AN7" s="450" t="e">
        <f>-#REF!</f>
        <v>#REF!</v>
      </c>
      <c r="AO7" s="450" t="e">
        <f>-#REF!</f>
        <v>#REF!</v>
      </c>
      <c r="AP7" s="450" t="e">
        <f>-#REF!</f>
        <v>#REF!</v>
      </c>
    </row>
    <row r="8" spans="1:60" s="293" customFormat="1">
      <c r="B8" s="349"/>
      <c r="C8" s="349"/>
      <c r="D8" s="450"/>
      <c r="E8" s="450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/>
      <c r="Q8" s="450"/>
      <c r="R8" s="450"/>
      <c r="S8" s="450"/>
      <c r="T8" s="450"/>
      <c r="U8" s="450"/>
      <c r="V8" s="450"/>
      <c r="W8" s="450"/>
      <c r="X8" s="450"/>
      <c r="Y8" s="450"/>
      <c r="Z8" s="450"/>
      <c r="AA8" s="450"/>
      <c r="AB8" s="450"/>
      <c r="AC8" s="450"/>
      <c r="AD8" s="450"/>
      <c r="AE8" s="450"/>
      <c r="AF8" s="450"/>
      <c r="AG8" s="450"/>
      <c r="AH8" s="450"/>
      <c r="AI8" s="450"/>
      <c r="AJ8" s="450"/>
      <c r="AK8" s="450"/>
      <c r="AL8" s="448"/>
      <c r="AM8" s="449"/>
      <c r="AN8" s="450"/>
      <c r="AO8" s="450"/>
      <c r="AP8" s="450"/>
    </row>
    <row r="9" spans="1:60" s="303" customFormat="1" ht="12">
      <c r="A9" s="316"/>
      <c r="B9" s="357" t="s">
        <v>5</v>
      </c>
      <c r="C9" s="451"/>
      <c r="D9" s="452" t="e">
        <f>IF(D4=0,"",'Balance Sheet'!D197)</f>
        <v>#REF!</v>
      </c>
      <c r="E9" s="452" t="e">
        <f>IF(E4=0,"",'Balance Sheet'!E197)</f>
        <v>#REF!</v>
      </c>
      <c r="F9" s="452" t="e">
        <f>IF(F4=0,"",'Balance Sheet'!F197)</f>
        <v>#REF!</v>
      </c>
      <c r="G9" s="452" t="e">
        <f>IF(G4=0,"",'Balance Sheet'!G197)</f>
        <v>#REF!</v>
      </c>
      <c r="H9" s="452" t="e">
        <f>IF(H4=0,"",'Balance Sheet'!H197)</f>
        <v>#REF!</v>
      </c>
      <c r="I9" s="452" t="e">
        <f>IF(I4=0,"",'Balance Sheet'!I197)</f>
        <v>#REF!</v>
      </c>
      <c r="J9" s="452" t="e">
        <f>IF(J4=0,"",'Balance Sheet'!J197)</f>
        <v>#REF!</v>
      </c>
      <c r="K9" s="452" t="e">
        <f>IF(K4=0,"",'Balance Sheet'!K197)</f>
        <v>#REF!</v>
      </c>
      <c r="L9" s="452" t="e">
        <f>IF(L4=0,"",'Balance Sheet'!L197)</f>
        <v>#REF!</v>
      </c>
      <c r="M9" s="452" t="e">
        <f>IF(M4=0,"",'Balance Sheet'!M197)</f>
        <v>#REF!</v>
      </c>
      <c r="N9" s="452" t="e">
        <f>IF(N4=0,"",'Balance Sheet'!N197)</f>
        <v>#REF!</v>
      </c>
      <c r="O9" s="452" t="e">
        <f>IF(O4=0,"",'Balance Sheet'!O197)</f>
        <v>#REF!</v>
      </c>
      <c r="P9" s="452" t="e">
        <f>IF(P4=0,"",'Balance Sheet'!P197)</f>
        <v>#REF!</v>
      </c>
      <c r="Q9" s="452" t="e">
        <f>IF(Q4=0,"",'Balance Sheet'!Q197)</f>
        <v>#REF!</v>
      </c>
      <c r="R9" s="452" t="e">
        <f>IF(R4=0,"",'Balance Sheet'!R197)</f>
        <v>#REF!</v>
      </c>
      <c r="S9" s="452" t="e">
        <f>IF(S4=0,"",'Balance Sheet'!S197)</f>
        <v>#REF!</v>
      </c>
      <c r="T9" s="452" t="e">
        <f>IF(T4=0,"",'Balance Sheet'!T197)</f>
        <v>#REF!</v>
      </c>
      <c r="U9" s="452" t="e">
        <f>IF(U4=0,"",'Balance Sheet'!U197)</f>
        <v>#REF!</v>
      </c>
      <c r="V9" s="452" t="e">
        <f>IF(V4=0,"",'Balance Sheet'!V197)</f>
        <v>#REF!</v>
      </c>
      <c r="W9" s="452" t="e">
        <f>IF(W4=0,"",'Balance Sheet'!W197)</f>
        <v>#REF!</v>
      </c>
      <c r="X9" s="452" t="e">
        <f>IF(X4=0,"",'Balance Sheet'!X197)</f>
        <v>#REF!</v>
      </c>
      <c r="Y9" s="452" t="e">
        <f>IF(Y4=0,"",'Balance Sheet'!Y197)</f>
        <v>#REF!</v>
      </c>
      <c r="Z9" s="452" t="e">
        <f>IF(Z4=0,"",'Balance Sheet'!Z197)</f>
        <v>#REF!</v>
      </c>
      <c r="AA9" s="452" t="e">
        <f>IF(AA4=0,"",'Balance Sheet'!AA197)</f>
        <v>#REF!</v>
      </c>
      <c r="AB9" s="452" t="e">
        <f>IF(AB4=0,"",'Balance Sheet'!AB197)</f>
        <v>#REF!</v>
      </c>
      <c r="AC9" s="452" t="e">
        <f>IF(AC4=0,"",'Balance Sheet'!AC197)</f>
        <v>#REF!</v>
      </c>
      <c r="AD9" s="452" t="e">
        <f>IF(AD4=0,"",'Balance Sheet'!AD197)</f>
        <v>#REF!</v>
      </c>
      <c r="AE9" s="452" t="e">
        <f>IF(AE4=0,"",'Balance Sheet'!AE197)</f>
        <v>#REF!</v>
      </c>
      <c r="AF9" s="452" t="e">
        <f>IF(AF4=0,"",'Balance Sheet'!AF197)</f>
        <v>#REF!</v>
      </c>
      <c r="AG9" s="452" t="e">
        <f>IF(AG4=0,"",'Balance Sheet'!AG197)</f>
        <v>#REF!</v>
      </c>
      <c r="AH9" s="452" t="e">
        <f>'Balance Sheet'!AH197</f>
        <v>#REF!</v>
      </c>
      <c r="AI9" s="452" t="e">
        <f>'Balance Sheet'!AI197</f>
        <v>#REF!</v>
      </c>
      <c r="AJ9" s="452" t="e">
        <f>'Balance Sheet'!AJ197</f>
        <v>#REF!</v>
      </c>
      <c r="AK9" s="453" t="str">
        <f t="shared" ref="AK9:AK13" si="1">IFERROR(RATE(3,,AD9,-AG9),"")</f>
        <v/>
      </c>
      <c r="AL9" s="453" t="str">
        <f>IFERROR(RATE(3,,AG9,-AJ9),"")</f>
        <v/>
      </c>
      <c r="AM9" s="454"/>
      <c r="AN9" s="452" t="e">
        <f>'Balance Sheet'!AM197</f>
        <v>#REF!</v>
      </c>
      <c r="AO9" s="452" t="e">
        <f>'Balance Sheet'!AN197</f>
        <v>#REF!</v>
      </c>
      <c r="AP9" s="452" t="e">
        <f>'Balance Sheet'!AO197</f>
        <v>#REF!</v>
      </c>
    </row>
    <row r="10" spans="1:60" s="316" customFormat="1" ht="12">
      <c r="B10" s="455" t="s">
        <v>6</v>
      </c>
      <c r="C10" s="456"/>
      <c r="D10" s="452" t="e">
        <f>IF(D4=1,'Balance Sheet'!D208,"")</f>
        <v>#REF!</v>
      </c>
      <c r="E10" s="452" t="e">
        <f>IF(E4=1,'Balance Sheet'!E208,"")</f>
        <v>#REF!</v>
      </c>
      <c r="F10" s="452" t="e">
        <f>IF(F4=1,'Balance Sheet'!F208,"")</f>
        <v>#REF!</v>
      </c>
      <c r="G10" s="452" t="e">
        <f>IF(G4=1,'Balance Sheet'!G208,"")</f>
        <v>#REF!</v>
      </c>
      <c r="H10" s="452" t="e">
        <f>IF(H4=1,'Balance Sheet'!H208,"")</f>
        <v>#REF!</v>
      </c>
      <c r="I10" s="452" t="e">
        <f>IF(I4=1,'Balance Sheet'!I208,"")</f>
        <v>#REF!</v>
      </c>
      <c r="J10" s="452" t="e">
        <f>IF(J4=1,'Balance Sheet'!J208,"")</f>
        <v>#REF!</v>
      </c>
      <c r="K10" s="452" t="e">
        <f>IF(K4=1,'Balance Sheet'!K208,"")</f>
        <v>#REF!</v>
      </c>
      <c r="L10" s="452" t="e">
        <f>IF(L4=1,'Balance Sheet'!L208,"")</f>
        <v>#REF!</v>
      </c>
      <c r="M10" s="452" t="e">
        <f>IF(M4=1,'Balance Sheet'!M208,"")</f>
        <v>#REF!</v>
      </c>
      <c r="N10" s="452" t="e">
        <f>IF(N4=1,'Balance Sheet'!N208,"")</f>
        <v>#REF!</v>
      </c>
      <c r="O10" s="452" t="e">
        <f>IF(O4=1,'Balance Sheet'!O208,"")</f>
        <v>#REF!</v>
      </c>
      <c r="P10" s="452" t="e">
        <f>IF(P4=1,'Balance Sheet'!P208,"")</f>
        <v>#REF!</v>
      </c>
      <c r="Q10" s="452" t="e">
        <f>IF(Q4=1,'Balance Sheet'!Q208,"")</f>
        <v>#REF!</v>
      </c>
      <c r="R10" s="452" t="e">
        <f>IF(R4=1,'Balance Sheet'!R208,"")</f>
        <v>#REF!</v>
      </c>
      <c r="S10" s="452" t="e">
        <f>IF(S4=1,'Balance Sheet'!S208,"")</f>
        <v>#REF!</v>
      </c>
      <c r="T10" s="452" t="e">
        <f>IF(T4=1,'Balance Sheet'!T208,"")</f>
        <v>#REF!</v>
      </c>
      <c r="U10" s="452" t="e">
        <f>IF(U4=1,'Balance Sheet'!U208,"")</f>
        <v>#REF!</v>
      </c>
      <c r="V10" s="452" t="e">
        <f>IF(V4=1,'Balance Sheet'!V208,"")</f>
        <v>#REF!</v>
      </c>
      <c r="W10" s="452" t="e">
        <f>IF(W4=1,'Balance Sheet'!W208,"")</f>
        <v>#REF!</v>
      </c>
      <c r="X10" s="452" t="e">
        <f>IF(X4=1,'Balance Sheet'!X208,"")</f>
        <v>#REF!</v>
      </c>
      <c r="Y10" s="452" t="e">
        <f>IF(Y4=1,'Balance Sheet'!Y208,"")</f>
        <v>#REF!</v>
      </c>
      <c r="Z10" s="452" t="e">
        <f>IF(Z4=1,'Balance Sheet'!Z208,"")</f>
        <v>#REF!</v>
      </c>
      <c r="AA10" s="452" t="e">
        <f>IF(AA4=1,'Balance Sheet'!AA208,"")</f>
        <v>#REF!</v>
      </c>
      <c r="AB10" s="452" t="e">
        <f>IF(AB4=1,'Balance Sheet'!AB208,"")</f>
        <v>#REF!</v>
      </c>
      <c r="AC10" s="452" t="e">
        <f>IF(AC4=1,'Balance Sheet'!AC208,"")</f>
        <v>#REF!</v>
      </c>
      <c r="AD10" s="452" t="e">
        <f>IF(AD4=1,'Balance Sheet'!AD208,"")</f>
        <v>#REF!</v>
      </c>
      <c r="AE10" s="452" t="e">
        <f>IF(AE4=1,'Balance Sheet'!AE208,"")</f>
        <v>#REF!</v>
      </c>
      <c r="AF10" s="452" t="e">
        <f>IF(AF4=1,'Balance Sheet'!AF208,"")</f>
        <v>#REF!</v>
      </c>
      <c r="AG10" s="452" t="e">
        <f>IF(AG4=1,'Balance Sheet'!AG208,"")</f>
        <v>#REF!</v>
      </c>
      <c r="AH10" s="452" t="e">
        <f>'Balance Sheet'!AH208</f>
        <v>#REF!</v>
      </c>
      <c r="AI10" s="452" t="e">
        <f>'Balance Sheet'!AI208</f>
        <v>#REF!</v>
      </c>
      <c r="AJ10" s="452" t="e">
        <f>'Balance Sheet'!AJ208</f>
        <v>#REF!</v>
      </c>
      <c r="AK10" s="453" t="str">
        <f t="shared" si="1"/>
        <v/>
      </c>
      <c r="AL10" s="453" t="str">
        <f>IFERROR(RATE(3,,AG10,-AJ10),"")</f>
        <v/>
      </c>
      <c r="AM10" s="454"/>
      <c r="AN10" s="452" t="e">
        <f>'Balance Sheet'!AM208</f>
        <v>#REF!</v>
      </c>
      <c r="AO10" s="452" t="e">
        <f>'Balance Sheet'!AN208</f>
        <v>#REF!</v>
      </c>
      <c r="AP10" s="452" t="e">
        <f>'Balance Sheet'!AO208</f>
        <v>#REF!</v>
      </c>
    </row>
    <row r="11" spans="1:60" s="316" customFormat="1" ht="12.75" thickBot="1">
      <c r="B11" s="451" t="s">
        <v>155</v>
      </c>
      <c r="C11" s="368"/>
      <c r="D11" s="457" t="str">
        <f t="shared" ref="D11:AF11" si="2">IFERROR(D10+D9,"")</f>
        <v/>
      </c>
      <c r="E11" s="457" t="str">
        <f t="shared" si="2"/>
        <v/>
      </c>
      <c r="F11" s="457" t="str">
        <f t="shared" si="2"/>
        <v/>
      </c>
      <c r="G11" s="457" t="str">
        <f t="shared" si="2"/>
        <v/>
      </c>
      <c r="H11" s="457" t="str">
        <f t="shared" si="2"/>
        <v/>
      </c>
      <c r="I11" s="457" t="str">
        <f t="shared" si="2"/>
        <v/>
      </c>
      <c r="J11" s="457" t="str">
        <f t="shared" si="2"/>
        <v/>
      </c>
      <c r="K11" s="457" t="str">
        <f t="shared" si="2"/>
        <v/>
      </c>
      <c r="L11" s="457" t="str">
        <f t="shared" si="2"/>
        <v/>
      </c>
      <c r="M11" s="457" t="str">
        <f t="shared" si="2"/>
        <v/>
      </c>
      <c r="N11" s="457" t="str">
        <f t="shared" si="2"/>
        <v/>
      </c>
      <c r="O11" s="457" t="str">
        <f t="shared" si="2"/>
        <v/>
      </c>
      <c r="P11" s="457" t="str">
        <f t="shared" si="2"/>
        <v/>
      </c>
      <c r="Q11" s="457" t="str">
        <f t="shared" si="2"/>
        <v/>
      </c>
      <c r="R11" s="457" t="str">
        <f t="shared" si="2"/>
        <v/>
      </c>
      <c r="S11" s="457" t="str">
        <f t="shared" si="2"/>
        <v/>
      </c>
      <c r="T11" s="457" t="str">
        <f t="shared" si="2"/>
        <v/>
      </c>
      <c r="U11" s="457" t="str">
        <f t="shared" si="2"/>
        <v/>
      </c>
      <c r="V11" s="457" t="str">
        <f t="shared" si="2"/>
        <v/>
      </c>
      <c r="W11" s="457" t="str">
        <f t="shared" si="2"/>
        <v/>
      </c>
      <c r="X11" s="457" t="str">
        <f t="shared" si="2"/>
        <v/>
      </c>
      <c r="Y11" s="457" t="str">
        <f t="shared" si="2"/>
        <v/>
      </c>
      <c r="Z11" s="457" t="str">
        <f t="shared" si="2"/>
        <v/>
      </c>
      <c r="AA11" s="457" t="str">
        <f t="shared" si="2"/>
        <v/>
      </c>
      <c r="AB11" s="457" t="str">
        <f t="shared" si="2"/>
        <v/>
      </c>
      <c r="AC11" s="457" t="str">
        <f t="shared" si="2"/>
        <v/>
      </c>
      <c r="AD11" s="457" t="str">
        <f t="shared" si="2"/>
        <v/>
      </c>
      <c r="AE11" s="457" t="str">
        <f t="shared" si="2"/>
        <v/>
      </c>
      <c r="AF11" s="457" t="str">
        <f t="shared" si="2"/>
        <v/>
      </c>
      <c r="AG11" s="457" t="str">
        <f>IFERROR(AG10+AG9,"")</f>
        <v/>
      </c>
      <c r="AH11" s="457" t="e">
        <f>AH10+AH9</f>
        <v>#REF!</v>
      </c>
      <c r="AI11" s="457" t="e">
        <f>AI10+AI9</f>
        <v>#REF!</v>
      </c>
      <c r="AJ11" s="457" t="e">
        <f>AJ10+AJ9</f>
        <v>#REF!</v>
      </c>
      <c r="AK11" s="453" t="str">
        <f t="shared" si="1"/>
        <v/>
      </c>
      <c r="AL11" s="453" t="str">
        <f>IFERROR(RATE(3,,AG11,-AJ11),"")</f>
        <v/>
      </c>
      <c r="AM11" s="454"/>
      <c r="AN11" s="457" t="e">
        <f>AN10+AN9</f>
        <v>#REF!</v>
      </c>
      <c r="AO11" s="457" t="e">
        <f>AO10+AO9</f>
        <v>#REF!</v>
      </c>
      <c r="AP11" s="457" t="e">
        <f>AP10+AP9</f>
        <v>#REF!</v>
      </c>
    </row>
    <row r="12" spans="1:60" s="465" customFormat="1" ht="12.75" thickBot="1">
      <c r="A12" s="458" t="e">
        <f>#REF!</f>
        <v>#REF!</v>
      </c>
      <c r="B12" s="459" t="s">
        <v>162</v>
      </c>
      <c r="C12" s="460"/>
      <c r="D12" s="461" t="e">
        <f>IF(D4=0,"",INDEX(#REF!,#REF!-D$3,$A12))</f>
        <v>#REF!</v>
      </c>
      <c r="E12" s="461" t="e">
        <f>IF(E4=0,"",INDEX(#REF!,#REF!-E$3,$A12))</f>
        <v>#REF!</v>
      </c>
      <c r="F12" s="461" t="e">
        <f>IF(F4=0,"",INDEX(#REF!,#REF!-F$3,$A12))</f>
        <v>#REF!</v>
      </c>
      <c r="G12" s="461" t="e">
        <f>IF(G4=0,"",INDEX(#REF!,#REF!-G$3,$A12))</f>
        <v>#REF!</v>
      </c>
      <c r="H12" s="461" t="e">
        <f>IF(H4=0,"",INDEX(#REF!,#REF!-H$3,$A12))</f>
        <v>#REF!</v>
      </c>
      <c r="I12" s="461" t="e">
        <f>IF(I4=0,"",INDEX(#REF!,#REF!-I$3,$A12))</f>
        <v>#REF!</v>
      </c>
      <c r="J12" s="461" t="e">
        <f>IF(J4=0,"",INDEX(#REF!,#REF!-J$3,$A12))</f>
        <v>#REF!</v>
      </c>
      <c r="K12" s="461" t="e">
        <f>IF(K4=0,"",INDEX(#REF!,#REF!-K$3,$A12))</f>
        <v>#REF!</v>
      </c>
      <c r="L12" s="461" t="e">
        <f>IF(L4=0,"",INDEX(#REF!,#REF!-L$3,$A12))</f>
        <v>#REF!</v>
      </c>
      <c r="M12" s="461" t="e">
        <f>IF(M4=0,"",INDEX(#REF!,#REF!-M$3,$A12))</f>
        <v>#REF!</v>
      </c>
      <c r="N12" s="461" t="e">
        <f>IF(N4=0,"",INDEX(#REF!,#REF!-N$3,$A12))</f>
        <v>#REF!</v>
      </c>
      <c r="O12" s="461" t="e">
        <f>IF(O4=0,"",INDEX(#REF!,#REF!-O$3,$A12))</f>
        <v>#REF!</v>
      </c>
      <c r="P12" s="461" t="e">
        <f>IF(P4=0,"",INDEX(#REF!,#REF!-P$3,$A12))</f>
        <v>#REF!</v>
      </c>
      <c r="Q12" s="461" t="e">
        <f>IF(Q4=0,"",INDEX(#REF!,#REF!-Q$3,$A12))</f>
        <v>#REF!</v>
      </c>
      <c r="R12" s="461" t="e">
        <f>IF(R4=0,"",INDEX(#REF!,#REF!-R$3,$A12))</f>
        <v>#REF!</v>
      </c>
      <c r="S12" s="461" t="e">
        <f>IF(S4=0,"",INDEX(#REF!,#REF!-S$3,$A12))</f>
        <v>#REF!</v>
      </c>
      <c r="T12" s="461" t="e">
        <f>IF(T4=0,"",INDEX(#REF!,#REF!-T$3,$A12))</f>
        <v>#REF!</v>
      </c>
      <c r="U12" s="461" t="e">
        <f>IF(U4=0,"",INDEX(#REF!,#REF!-U$3,$A12))</f>
        <v>#REF!</v>
      </c>
      <c r="V12" s="461" t="e">
        <f>IF(V4=0,"",INDEX(#REF!,#REF!-V$3,$A12))</f>
        <v>#REF!</v>
      </c>
      <c r="W12" s="461" t="e">
        <f>IF(W4=0,"",INDEX(#REF!,#REF!-W$3,$A12))</f>
        <v>#REF!</v>
      </c>
      <c r="X12" s="461" t="e">
        <f>IF(X4=0,"",INDEX(#REF!,#REF!-X$3,$A12))</f>
        <v>#REF!</v>
      </c>
      <c r="Y12" s="461" t="e">
        <f>IF(Y4=0,"",INDEX(#REF!,#REF!-Y$3,$A12))</f>
        <v>#REF!</v>
      </c>
      <c r="Z12" s="461" t="e">
        <f>IF(Z4=0,"",INDEX(#REF!,#REF!-Z$3,$A12))</f>
        <v>#REF!</v>
      </c>
      <c r="AA12" s="461" t="e">
        <f>IF(AA4=0,"",INDEX(#REF!,#REF!-AA$3,$A12))</f>
        <v>#REF!</v>
      </c>
      <c r="AB12" s="461" t="e">
        <f>IF(AB4=0,"",INDEX(#REF!,#REF!-AB$3,$A12))</f>
        <v>#REF!</v>
      </c>
      <c r="AC12" s="461" t="e">
        <f>IF(AC4=0,"",INDEX(#REF!,#REF!-AC$3,$A12))</f>
        <v>#REF!</v>
      </c>
      <c r="AD12" s="461" t="e">
        <f>IF(AD4=0,"",INDEX(#REF!,#REF!-AD$3,$A12))</f>
        <v>#REF!</v>
      </c>
      <c r="AE12" s="461" t="e">
        <f>IF(AE4=0,"",INDEX(#REF!,#REF!-AE$3,$A12))</f>
        <v>#REF!</v>
      </c>
      <c r="AF12" s="461" t="e">
        <f>IF(AF4=0,"",INDEX(#REF!,#REF!-AF$3,$A12))</f>
        <v>#REF!</v>
      </c>
      <c r="AG12" s="461" t="e">
        <f>IF(AG4=0,"",INDEX(#REF!,#REF!-AG$3,$A12))</f>
        <v>#REF!</v>
      </c>
      <c r="AH12" s="462" t="e">
        <f>AG12</f>
        <v>#REF!</v>
      </c>
      <c r="AI12" s="462" t="e">
        <f>AH12</f>
        <v>#REF!</v>
      </c>
      <c r="AJ12" s="462" t="e">
        <f>AI12</f>
        <v>#REF!</v>
      </c>
      <c r="AK12" s="463" t="str">
        <f t="shared" si="1"/>
        <v/>
      </c>
      <c r="AL12" s="463" t="str">
        <f>IFERROR(RATE(3,,AG12,-AJ12),"")</f>
        <v/>
      </c>
      <c r="AM12" s="464"/>
      <c r="AN12" s="462" t="e">
        <f>AG12</f>
        <v>#REF!</v>
      </c>
      <c r="AO12" s="462" t="e">
        <f>AN12</f>
        <v>#REF!</v>
      </c>
      <c r="AP12" s="462" t="e">
        <f>AO12</f>
        <v>#REF!</v>
      </c>
    </row>
    <row r="13" spans="1:60" s="293" customFormat="1">
      <c r="A13" s="51"/>
      <c r="B13" s="349" t="s">
        <v>191</v>
      </c>
      <c r="C13" s="349"/>
      <c r="D13" s="466" t="e">
        <f t="shared" ref="D13" si="3">IF(D4=0,"",SUM(D11:D12))</f>
        <v>#REF!</v>
      </c>
      <c r="E13" s="466" t="e">
        <f t="shared" ref="E13:AF13" si="4">IF(E4=0,"",SUM(E11:E12))</f>
        <v>#REF!</v>
      </c>
      <c r="F13" s="466" t="e">
        <f t="shared" si="4"/>
        <v>#REF!</v>
      </c>
      <c r="G13" s="466" t="e">
        <f t="shared" si="4"/>
        <v>#REF!</v>
      </c>
      <c r="H13" s="466" t="e">
        <f t="shared" si="4"/>
        <v>#REF!</v>
      </c>
      <c r="I13" s="466" t="e">
        <f t="shared" si="4"/>
        <v>#REF!</v>
      </c>
      <c r="J13" s="466" t="e">
        <f t="shared" si="4"/>
        <v>#REF!</v>
      </c>
      <c r="K13" s="466" t="e">
        <f t="shared" si="4"/>
        <v>#REF!</v>
      </c>
      <c r="L13" s="466" t="e">
        <f t="shared" si="4"/>
        <v>#REF!</v>
      </c>
      <c r="M13" s="466" t="e">
        <f t="shared" si="4"/>
        <v>#REF!</v>
      </c>
      <c r="N13" s="466" t="e">
        <f t="shared" si="4"/>
        <v>#REF!</v>
      </c>
      <c r="O13" s="466" t="e">
        <f t="shared" si="4"/>
        <v>#REF!</v>
      </c>
      <c r="P13" s="466" t="e">
        <f t="shared" si="4"/>
        <v>#REF!</v>
      </c>
      <c r="Q13" s="466" t="e">
        <f t="shared" si="4"/>
        <v>#REF!</v>
      </c>
      <c r="R13" s="466" t="e">
        <f t="shared" si="4"/>
        <v>#REF!</v>
      </c>
      <c r="S13" s="466" t="e">
        <f t="shared" si="4"/>
        <v>#REF!</v>
      </c>
      <c r="T13" s="466" t="e">
        <f t="shared" si="4"/>
        <v>#REF!</v>
      </c>
      <c r="U13" s="466" t="e">
        <f t="shared" si="4"/>
        <v>#REF!</v>
      </c>
      <c r="V13" s="466" t="e">
        <f t="shared" si="4"/>
        <v>#REF!</v>
      </c>
      <c r="W13" s="466" t="e">
        <f t="shared" si="4"/>
        <v>#REF!</v>
      </c>
      <c r="X13" s="466" t="e">
        <f t="shared" si="4"/>
        <v>#REF!</v>
      </c>
      <c r="Y13" s="466" t="e">
        <f t="shared" si="4"/>
        <v>#REF!</v>
      </c>
      <c r="Z13" s="466" t="e">
        <f t="shared" si="4"/>
        <v>#REF!</v>
      </c>
      <c r="AA13" s="466" t="e">
        <f t="shared" si="4"/>
        <v>#REF!</v>
      </c>
      <c r="AB13" s="466" t="e">
        <f t="shared" si="4"/>
        <v>#REF!</v>
      </c>
      <c r="AC13" s="466" t="e">
        <f t="shared" si="4"/>
        <v>#REF!</v>
      </c>
      <c r="AD13" s="466" t="e">
        <f t="shared" si="4"/>
        <v>#REF!</v>
      </c>
      <c r="AE13" s="466" t="e">
        <f t="shared" si="4"/>
        <v>#REF!</v>
      </c>
      <c r="AF13" s="466" t="e">
        <f t="shared" si="4"/>
        <v>#REF!</v>
      </c>
      <c r="AG13" s="466" t="e">
        <f>IF(AG4=0,"",SUM(AG11:AG12))</f>
        <v>#REF!</v>
      </c>
      <c r="AH13" s="466" t="e">
        <f>SUM(AH11:AH12)</f>
        <v>#REF!</v>
      </c>
      <c r="AI13" s="466" t="e">
        <f>SUM(AI11:AI12)</f>
        <v>#REF!</v>
      </c>
      <c r="AJ13" s="466" t="e">
        <f>SUM(AJ11:AJ12)</f>
        <v>#REF!</v>
      </c>
      <c r="AK13" s="463" t="str">
        <f t="shared" si="1"/>
        <v/>
      </c>
      <c r="AL13" s="463" t="str">
        <f>IFERROR(RATE(3,,AG13,-AJ13),"")</f>
        <v/>
      </c>
      <c r="AM13" s="449"/>
      <c r="AN13" s="466" t="e">
        <f>SUM(AN11:AN12)</f>
        <v>#REF!</v>
      </c>
      <c r="AO13" s="466" t="e">
        <f>SUM(AO11:AO12)</f>
        <v>#REF!</v>
      </c>
      <c r="AP13" s="466" t="e">
        <f>SUM(AP11:AP12)</f>
        <v>#REF!</v>
      </c>
    </row>
    <row r="14" spans="1:60" s="293" customFormat="1">
      <c r="A14" s="51"/>
      <c r="B14" s="349"/>
      <c r="C14" s="349"/>
      <c r="D14" s="466"/>
      <c r="E14" s="466"/>
      <c r="F14" s="466"/>
      <c r="G14" s="466"/>
      <c r="H14" s="466"/>
      <c r="I14" s="466"/>
      <c r="J14" s="466"/>
      <c r="K14" s="466"/>
      <c r="L14" s="466"/>
      <c r="M14" s="466"/>
      <c r="N14" s="466"/>
      <c r="O14" s="466"/>
      <c r="P14" s="466"/>
      <c r="Q14" s="466"/>
      <c r="R14" s="466"/>
      <c r="S14" s="466"/>
      <c r="T14" s="466"/>
      <c r="U14" s="466"/>
      <c r="V14" s="466"/>
      <c r="W14" s="466"/>
      <c r="X14" s="466"/>
      <c r="Y14" s="466"/>
      <c r="Z14" s="466"/>
      <c r="AA14" s="466"/>
      <c r="AB14" s="466"/>
      <c r="AC14" s="466"/>
      <c r="AD14" s="466"/>
      <c r="AE14" s="466"/>
      <c r="AF14" s="466"/>
      <c r="AG14" s="466"/>
      <c r="AH14" s="466"/>
      <c r="AI14" s="466"/>
      <c r="AJ14" s="466"/>
      <c r="AK14" s="448"/>
      <c r="AL14" s="448"/>
      <c r="AM14" s="449"/>
      <c r="AN14" s="466"/>
      <c r="AO14" s="466"/>
      <c r="AP14" s="466"/>
    </row>
    <row r="15" spans="1:60" s="348" customFormat="1">
      <c r="A15" s="467"/>
      <c r="B15" s="350" t="s">
        <v>147</v>
      </c>
      <c r="C15" s="350"/>
      <c r="D15" s="468" t="str">
        <f t="shared" ref="D15:AG15" si="5">IFERROR(D13+D7+D6,"")</f>
        <v/>
      </c>
      <c r="E15" s="468" t="str">
        <f t="shared" si="5"/>
        <v/>
      </c>
      <c r="F15" s="468" t="str">
        <f t="shared" si="5"/>
        <v/>
      </c>
      <c r="G15" s="468" t="str">
        <f t="shared" si="5"/>
        <v/>
      </c>
      <c r="H15" s="468" t="str">
        <f t="shared" si="5"/>
        <v/>
      </c>
      <c r="I15" s="468" t="str">
        <f t="shared" si="5"/>
        <v/>
      </c>
      <c r="J15" s="468" t="str">
        <f t="shared" si="5"/>
        <v/>
      </c>
      <c r="K15" s="468" t="str">
        <f t="shared" si="5"/>
        <v/>
      </c>
      <c r="L15" s="468" t="str">
        <f t="shared" si="5"/>
        <v/>
      </c>
      <c r="M15" s="468" t="str">
        <f t="shared" si="5"/>
        <v/>
      </c>
      <c r="N15" s="468" t="str">
        <f t="shared" si="5"/>
        <v/>
      </c>
      <c r="O15" s="468" t="str">
        <f t="shared" si="5"/>
        <v/>
      </c>
      <c r="P15" s="468" t="str">
        <f t="shared" si="5"/>
        <v/>
      </c>
      <c r="Q15" s="468" t="str">
        <f t="shared" si="5"/>
        <v/>
      </c>
      <c r="R15" s="468" t="str">
        <f t="shared" si="5"/>
        <v/>
      </c>
      <c r="S15" s="468" t="str">
        <f t="shared" si="5"/>
        <v/>
      </c>
      <c r="T15" s="468" t="str">
        <f t="shared" si="5"/>
        <v/>
      </c>
      <c r="U15" s="468" t="str">
        <f t="shared" si="5"/>
        <v/>
      </c>
      <c r="V15" s="468" t="str">
        <f t="shared" si="5"/>
        <v/>
      </c>
      <c r="W15" s="468" t="str">
        <f t="shared" si="5"/>
        <v/>
      </c>
      <c r="X15" s="468" t="str">
        <f t="shared" si="5"/>
        <v/>
      </c>
      <c r="Y15" s="468" t="str">
        <f t="shared" si="5"/>
        <v/>
      </c>
      <c r="Z15" s="468" t="str">
        <f t="shared" si="5"/>
        <v/>
      </c>
      <c r="AA15" s="468" t="str">
        <f t="shared" si="5"/>
        <v/>
      </c>
      <c r="AB15" s="468" t="str">
        <f t="shared" si="5"/>
        <v/>
      </c>
      <c r="AC15" s="468" t="str">
        <f t="shared" si="5"/>
        <v/>
      </c>
      <c r="AD15" s="468" t="str">
        <f t="shared" si="5"/>
        <v/>
      </c>
      <c r="AE15" s="468" t="str">
        <f t="shared" si="5"/>
        <v/>
      </c>
      <c r="AF15" s="468" t="str">
        <f t="shared" si="5"/>
        <v/>
      </c>
      <c r="AG15" s="468" t="str">
        <f t="shared" si="5"/>
        <v/>
      </c>
      <c r="AH15" s="468" t="e">
        <f>AH13+AH7+AH6</f>
        <v>#REF!</v>
      </c>
      <c r="AI15" s="468" t="e">
        <f>AI13+AI7+AI6</f>
        <v>#REF!</v>
      </c>
      <c r="AJ15" s="468" t="e">
        <f>AJ13+AJ7+AJ6</f>
        <v>#REF!</v>
      </c>
      <c r="AK15" s="469" t="str">
        <f t="shared" ref="AK15" si="6">IFERROR(RATE(3,,AD15,-AG15),"")</f>
        <v/>
      </c>
      <c r="AL15" s="469" t="str">
        <f>IFERROR(RATE(3,,AG15,-AJ15),"")</f>
        <v/>
      </c>
      <c r="AM15" s="470"/>
      <c r="AN15" s="468" t="e">
        <f>AN13+AN7+AN6</f>
        <v>#REF!</v>
      </c>
      <c r="AO15" s="468" t="e">
        <f>AO13+AO7+AO6</f>
        <v>#REF!</v>
      </c>
      <c r="AP15" s="468" t="e">
        <f>AP13+AP7+AP6</f>
        <v>#REF!</v>
      </c>
    </row>
    <row r="16" spans="1:60" s="293" customFormat="1">
      <c r="A16" s="51"/>
      <c r="B16" s="349"/>
      <c r="C16" s="349"/>
      <c r="D16" s="466"/>
      <c r="E16" s="466"/>
      <c r="F16" s="466"/>
      <c r="G16" s="466"/>
      <c r="H16" s="466"/>
      <c r="I16" s="466"/>
      <c r="J16" s="466"/>
      <c r="K16" s="466"/>
      <c r="L16" s="466"/>
      <c r="M16" s="466"/>
      <c r="N16" s="466"/>
      <c r="O16" s="466"/>
      <c r="P16" s="466"/>
      <c r="Q16" s="466"/>
      <c r="R16" s="466"/>
      <c r="S16" s="466"/>
      <c r="T16" s="466"/>
      <c r="U16" s="466"/>
      <c r="V16" s="466"/>
      <c r="W16" s="466"/>
      <c r="X16" s="466"/>
      <c r="Y16" s="466"/>
      <c r="Z16" s="466"/>
      <c r="AA16" s="466"/>
      <c r="AB16" s="466"/>
      <c r="AC16" s="466"/>
      <c r="AD16" s="466"/>
      <c r="AE16" s="466"/>
      <c r="AF16" s="466"/>
      <c r="AG16" s="466"/>
      <c r="AH16" s="55"/>
      <c r="AI16" s="55"/>
      <c r="AJ16" s="55"/>
      <c r="AK16" s="448"/>
      <c r="AL16" s="448"/>
      <c r="AM16" s="449"/>
      <c r="AN16" s="55"/>
      <c r="AO16" s="55"/>
      <c r="AP16" s="55"/>
    </row>
    <row r="17" spans="1:42" s="303" customFormat="1" ht="12">
      <c r="A17" s="471"/>
      <c r="B17" s="456" t="s">
        <v>192</v>
      </c>
      <c r="C17" s="472"/>
      <c r="D17" s="304" t="str">
        <f>IFERROR(-('Balance Sheet'!D17-'Balance Sheet'!C17),"")</f>
        <v/>
      </c>
      <c r="E17" s="304" t="str">
        <f>IFERROR(-('Balance Sheet'!E17-'Balance Sheet'!D17),"")</f>
        <v/>
      </c>
      <c r="F17" s="304" t="str">
        <f>IFERROR(-('Balance Sheet'!F17-'Balance Sheet'!E17),"")</f>
        <v/>
      </c>
      <c r="G17" s="304" t="str">
        <f>IFERROR(-('Balance Sheet'!G17-'Balance Sheet'!F17),"")</f>
        <v/>
      </c>
      <c r="H17" s="304" t="str">
        <f>IFERROR(-('Balance Sheet'!H17-'Balance Sheet'!G17),"")</f>
        <v/>
      </c>
      <c r="I17" s="304" t="str">
        <f>IFERROR(-('Balance Sheet'!I17-'Balance Sheet'!H17),"")</f>
        <v/>
      </c>
      <c r="J17" s="304" t="str">
        <f>IFERROR(-('Balance Sheet'!J17-'Balance Sheet'!I17),"")</f>
        <v/>
      </c>
      <c r="K17" s="304" t="str">
        <f>IFERROR(-('Balance Sheet'!K17-'Balance Sheet'!J17),"")</f>
        <v/>
      </c>
      <c r="L17" s="304" t="str">
        <f>IFERROR(-('Balance Sheet'!L17-'Balance Sheet'!K17),"")</f>
        <v/>
      </c>
      <c r="M17" s="304" t="str">
        <f>IFERROR(-('Balance Sheet'!M17-'Balance Sheet'!L17),"")</f>
        <v/>
      </c>
      <c r="N17" s="304" t="str">
        <f>IFERROR(-('Balance Sheet'!N17-'Balance Sheet'!M17),"")</f>
        <v/>
      </c>
      <c r="O17" s="304" t="str">
        <f>IFERROR(-('Balance Sheet'!O17-'Balance Sheet'!N17),"")</f>
        <v/>
      </c>
      <c r="P17" s="304" t="str">
        <f>IFERROR(-('Balance Sheet'!P17-'Balance Sheet'!O17),"")</f>
        <v/>
      </c>
      <c r="Q17" s="304" t="str">
        <f>IFERROR(-('Balance Sheet'!Q17-'Balance Sheet'!P17),"")</f>
        <v/>
      </c>
      <c r="R17" s="304" t="str">
        <f>IFERROR(-('Balance Sheet'!R17-'Balance Sheet'!Q17),"")</f>
        <v/>
      </c>
      <c r="S17" s="304" t="str">
        <f>IFERROR(-('Balance Sheet'!S17-'Balance Sheet'!R17),"")</f>
        <v/>
      </c>
      <c r="T17" s="304" t="str">
        <f>IFERROR(-('Balance Sheet'!T17-'Balance Sheet'!S17),"")</f>
        <v/>
      </c>
      <c r="U17" s="304" t="str">
        <f>IFERROR(-('Balance Sheet'!U17-'Balance Sheet'!T17),"")</f>
        <v/>
      </c>
      <c r="V17" s="304" t="str">
        <f>IFERROR(-('Balance Sheet'!V17-'Balance Sheet'!U17),"")</f>
        <v/>
      </c>
      <c r="W17" s="304" t="str">
        <f>IFERROR(-('Balance Sheet'!W17-'Balance Sheet'!V17),"")</f>
        <v/>
      </c>
      <c r="X17" s="304" t="str">
        <f>IFERROR(-('Balance Sheet'!X17-'Balance Sheet'!W17),"")</f>
        <v/>
      </c>
      <c r="Y17" s="304" t="str">
        <f>IFERROR(-('Balance Sheet'!Y17-'Balance Sheet'!X17),"")</f>
        <v/>
      </c>
      <c r="Z17" s="304" t="str">
        <f>IFERROR(-('Balance Sheet'!Z17-'Balance Sheet'!Y17),"")</f>
        <v/>
      </c>
      <c r="AA17" s="304" t="str">
        <f>IFERROR(-('Balance Sheet'!AA17-'Balance Sheet'!Z17),"")</f>
        <v/>
      </c>
      <c r="AB17" s="304" t="str">
        <f>IFERROR(-('Balance Sheet'!AB17-'Balance Sheet'!AA17),"")</f>
        <v/>
      </c>
      <c r="AC17" s="304" t="str">
        <f>IFERROR(-('Balance Sheet'!AC17-'Balance Sheet'!AB17),"")</f>
        <v/>
      </c>
      <c r="AD17" s="304" t="str">
        <f>IFERROR(-('Balance Sheet'!AD17-'Balance Sheet'!AC17),"")</f>
        <v/>
      </c>
      <c r="AE17" s="304" t="str">
        <f>IFERROR(-('Balance Sheet'!AE17-'Balance Sheet'!AD17),"")</f>
        <v/>
      </c>
      <c r="AF17" s="304" t="str">
        <f>IFERROR(-('Balance Sheet'!AF17-'Balance Sheet'!AE17),"")</f>
        <v/>
      </c>
      <c r="AG17" s="304" t="str">
        <f>IFERROR(-('Balance Sheet'!AG17-'Balance Sheet'!AF17),"")</f>
        <v/>
      </c>
      <c r="AH17" s="304" t="e">
        <f>-('Balance Sheet'!AH17-'Balance Sheet'!AG17)</f>
        <v>#REF!</v>
      </c>
      <c r="AI17" s="304" t="e">
        <f>-('Balance Sheet'!AI17-'Balance Sheet'!AH17)</f>
        <v>#REF!</v>
      </c>
      <c r="AJ17" s="304" t="e">
        <f>-('Balance Sheet'!AJ17-'Balance Sheet'!AI17)</f>
        <v>#REF!</v>
      </c>
      <c r="AK17" s="453" t="str">
        <f t="shared" ref="AK17:AK21" si="7">IFERROR(RATE(3,,AD17,-AG17),"")</f>
        <v/>
      </c>
      <c r="AL17" s="453" t="str">
        <f>IFERROR(RATE(3,,AG17,-AJ17),"")</f>
        <v/>
      </c>
      <c r="AM17" s="473"/>
      <c r="AN17" s="304" t="e">
        <f>-('Balance Sheet'!AM17-'Balance Sheet'!AG17)</f>
        <v>#REF!</v>
      </c>
      <c r="AO17" s="304" t="e">
        <f>-( 'Balance Sheet'!AN17 - 'Balance Sheet'!AM17)</f>
        <v>#REF!</v>
      </c>
      <c r="AP17" s="304" t="e">
        <f>-( 'Balance Sheet'!AO17 - 'Balance Sheet'!AN17)</f>
        <v>#REF!</v>
      </c>
    </row>
    <row r="18" spans="1:42" s="316" customFormat="1" ht="12">
      <c r="A18" s="471"/>
      <c r="B18" s="456" t="s">
        <v>193</v>
      </c>
      <c r="D18" s="474" t="str">
        <f>IFERROR(IF(D4=0,"",-('Balance Sheet'!D22-'Balance Sheet'!C22+D27)),"")</f>
        <v/>
      </c>
      <c r="E18" s="474" t="str">
        <f>IFERROR(IF(E4=0,"",-('Balance Sheet'!E22-'Balance Sheet'!D22+E27)),"")</f>
        <v/>
      </c>
      <c r="F18" s="474" t="str">
        <f>IFERROR(IF(F4=0,"",-('Balance Sheet'!F22-'Balance Sheet'!E22+F27)),"")</f>
        <v/>
      </c>
      <c r="G18" s="474" t="str">
        <f>IFERROR(IF(G4=0,"",-('Balance Sheet'!G22-'Balance Sheet'!F22+G27)),"")</f>
        <v/>
      </c>
      <c r="H18" s="474" t="str">
        <f>IFERROR(IF(H4=0,"",-('Balance Sheet'!H22-'Balance Sheet'!G22+H27)),"")</f>
        <v/>
      </c>
      <c r="I18" s="474" t="str">
        <f>IFERROR(IF(I4=0,"",-('Balance Sheet'!I22-'Balance Sheet'!H22+I27)),"")</f>
        <v/>
      </c>
      <c r="J18" s="474" t="str">
        <f>IFERROR(IF(J4=0,"",-('Balance Sheet'!J22-'Balance Sheet'!I22+J27)),"")</f>
        <v/>
      </c>
      <c r="K18" s="474" t="str">
        <f>IFERROR(IF(K4=0,"",-('Balance Sheet'!K22-'Balance Sheet'!J22+K27)),"")</f>
        <v/>
      </c>
      <c r="L18" s="474" t="str">
        <f>IFERROR(IF(L4=0,"",-('Balance Sheet'!L22-'Balance Sheet'!K22+L27)),"")</f>
        <v/>
      </c>
      <c r="M18" s="474" t="str">
        <f>IFERROR(IF(M4=0,"",-('Balance Sheet'!M22-'Balance Sheet'!L22+M27)),"")</f>
        <v/>
      </c>
      <c r="N18" s="474" t="str">
        <f>IFERROR(IF(N4=0,"",-('Balance Sheet'!N22-'Balance Sheet'!M22+N27)),"")</f>
        <v/>
      </c>
      <c r="O18" s="474" t="str">
        <f>IFERROR(IF(O4=0,"",-('Balance Sheet'!O22-'Balance Sheet'!N22+O27)),"")</f>
        <v/>
      </c>
      <c r="P18" s="474" t="str">
        <f>IFERROR(IF(P4=0,"",-('Balance Sheet'!P22-'Balance Sheet'!O22+P27)),"")</f>
        <v/>
      </c>
      <c r="Q18" s="474" t="str">
        <f>IFERROR(IF(Q4=0,"",-('Balance Sheet'!Q22-'Balance Sheet'!P22+Q27)),"")</f>
        <v/>
      </c>
      <c r="R18" s="474" t="str">
        <f>IFERROR(IF(R4=0,"",-('Balance Sheet'!R22-'Balance Sheet'!Q22+R27)),"")</f>
        <v/>
      </c>
      <c r="S18" s="474" t="str">
        <f>IFERROR(IF(S4=0,"",-('Balance Sheet'!S22-'Balance Sheet'!R22+S27)),"")</f>
        <v/>
      </c>
      <c r="T18" s="474" t="str">
        <f>IFERROR(IF(T4=0,"",-('Balance Sheet'!T22-'Balance Sheet'!S22+T27)),"")</f>
        <v/>
      </c>
      <c r="U18" s="474" t="str">
        <f>IFERROR(IF(U4=0,"",-('Balance Sheet'!U22-'Balance Sheet'!T22+U27)),"")</f>
        <v/>
      </c>
      <c r="V18" s="474" t="str">
        <f>IFERROR(IF(V4=0,"",-('Balance Sheet'!V22-'Balance Sheet'!U22+V27)),"")</f>
        <v/>
      </c>
      <c r="W18" s="474" t="str">
        <f>IFERROR(IF(W4=0,"",-('Balance Sheet'!W22-'Balance Sheet'!V22+W27)),"")</f>
        <v/>
      </c>
      <c r="X18" s="474" t="str">
        <f>IFERROR(IF(X4=0,"",-('Balance Sheet'!X22-'Balance Sheet'!W22+X27)),"")</f>
        <v/>
      </c>
      <c r="Y18" s="474" t="str">
        <f>IFERROR(IF(Y4=0,"",-('Balance Sheet'!Y22-'Balance Sheet'!X22+Y27)),"")</f>
        <v/>
      </c>
      <c r="Z18" s="474" t="str">
        <f>IFERROR(IF(Z4=0,"",-('Balance Sheet'!Z22-'Balance Sheet'!Y22+Z27)),"")</f>
        <v/>
      </c>
      <c r="AA18" s="474" t="str">
        <f>IFERROR(IF(AA4=0,"",-('Balance Sheet'!AA22-'Balance Sheet'!Z22+AA27)),"")</f>
        <v/>
      </c>
      <c r="AB18" s="474" t="str">
        <f>IFERROR(IF(AB4=0,"",-('Balance Sheet'!AB22-'Balance Sheet'!AA22+AB27)),"")</f>
        <v/>
      </c>
      <c r="AC18" s="474" t="str">
        <f>IFERROR(IF(AC4=0,"",-('Balance Sheet'!AC22-'Balance Sheet'!AB22+AC27)),"")</f>
        <v/>
      </c>
      <c r="AD18" s="474" t="str">
        <f>IFERROR(IF(AD4=0,"",-('Balance Sheet'!AD22-'Balance Sheet'!AC22+AD27)),"")</f>
        <v/>
      </c>
      <c r="AE18" s="474" t="str">
        <f>IFERROR(IF(AE4=0,"",-('Balance Sheet'!AE22-'Balance Sheet'!AD22+AE27)),"")</f>
        <v/>
      </c>
      <c r="AF18" s="474" t="str">
        <f>IFERROR(IF(AF4=0,"",-('Balance Sheet'!AF22-'Balance Sheet'!AE22+AF27)),"")</f>
        <v/>
      </c>
      <c r="AG18" s="474" t="str">
        <f>IFERROR(IF(AG4=0,"",-('Balance Sheet'!AG22-'Balance Sheet'!AF22+AG27)),"")</f>
        <v/>
      </c>
      <c r="AH18" s="474" t="e">
        <f>-('Balance Sheet'!AH22-'Balance Sheet'!AG22+AH27)</f>
        <v>#REF!</v>
      </c>
      <c r="AI18" s="474" t="e">
        <f>-('Balance Sheet'!AI22-'Balance Sheet'!AH22+AI27)</f>
        <v>#REF!</v>
      </c>
      <c r="AJ18" s="474" t="e">
        <f>-('Balance Sheet'!AJ22-'Balance Sheet'!AI22+AJ27)</f>
        <v>#REF!</v>
      </c>
      <c r="AK18" s="453" t="str">
        <f t="shared" si="7"/>
        <v/>
      </c>
      <c r="AL18" s="453" t="str">
        <f>IFERROR(RATE(3,,AG18,-AJ18),"")</f>
        <v/>
      </c>
      <c r="AM18" s="475"/>
      <c r="AN18" s="474" t="e">
        <f>-('Balance Sheet'!AM22-'Balance Sheet'!AG22+AN27)</f>
        <v>#REF!</v>
      </c>
      <c r="AO18" s="474" t="e">
        <f>-('Balance Sheet'!AN22-'Balance Sheet'!AM22+AO27)</f>
        <v>#REF!</v>
      </c>
      <c r="AP18" s="474" t="e">
        <f>-('Balance Sheet'!AO22-'Balance Sheet'!AN22+AP27)</f>
        <v>#REF!</v>
      </c>
    </row>
    <row r="19" spans="1:42" s="316" customFormat="1" ht="12">
      <c r="A19" s="471"/>
      <c r="B19" s="456" t="s">
        <v>194</v>
      </c>
      <c r="C19" s="472"/>
      <c r="D19" s="474" t="str">
        <f>IFERROR(IF(D4=0,"", 'Balance Sheet'!D24 - 'Balance Sheet'!C24),"")</f>
        <v/>
      </c>
      <c r="E19" s="474" t="str">
        <f>IFERROR(IF(E4=0,"", 'Balance Sheet'!E24 - 'Balance Sheet'!D24),"")</f>
        <v/>
      </c>
      <c r="F19" s="474" t="str">
        <f>IFERROR(IF(F4=0,"", 'Balance Sheet'!F24 - 'Balance Sheet'!E24),"")</f>
        <v/>
      </c>
      <c r="G19" s="474" t="str">
        <f>IFERROR(IF(G4=0,"", 'Balance Sheet'!G24 - 'Balance Sheet'!F24),"")</f>
        <v/>
      </c>
      <c r="H19" s="474" t="str">
        <f>IFERROR(IF(H4=0,"", 'Balance Sheet'!H24 - 'Balance Sheet'!G24),"")</f>
        <v/>
      </c>
      <c r="I19" s="474" t="str">
        <f>IFERROR(IF(I4=0,"", 'Balance Sheet'!I24 - 'Balance Sheet'!H24),"")</f>
        <v/>
      </c>
      <c r="J19" s="474" t="str">
        <f>IFERROR(IF(J4=0,"", 'Balance Sheet'!J24 - 'Balance Sheet'!I24),"")</f>
        <v/>
      </c>
      <c r="K19" s="474" t="str">
        <f>IFERROR(IF(K4=0,"", 'Balance Sheet'!K24 - 'Balance Sheet'!J24),"")</f>
        <v/>
      </c>
      <c r="L19" s="474" t="str">
        <f>IFERROR(IF(L4=0,"", 'Balance Sheet'!L24 - 'Balance Sheet'!K24),"")</f>
        <v/>
      </c>
      <c r="M19" s="474" t="str">
        <f>IFERROR(IF(M4=0,"", 'Balance Sheet'!M24 - 'Balance Sheet'!L24),"")</f>
        <v/>
      </c>
      <c r="N19" s="474" t="str">
        <f>IFERROR(IF(N4=0,"", 'Balance Sheet'!N24 - 'Balance Sheet'!M24),"")</f>
        <v/>
      </c>
      <c r="O19" s="474" t="str">
        <f>IFERROR(IF(O4=0,"", 'Balance Sheet'!O24 - 'Balance Sheet'!N24),"")</f>
        <v/>
      </c>
      <c r="P19" s="474" t="str">
        <f>IFERROR(IF(P4=0,"", 'Balance Sheet'!P24 - 'Balance Sheet'!O24),"")</f>
        <v/>
      </c>
      <c r="Q19" s="474" t="str">
        <f>IFERROR(IF(Q4=0,"", 'Balance Sheet'!Q24 - 'Balance Sheet'!P24),"")</f>
        <v/>
      </c>
      <c r="R19" s="474" t="str">
        <f>IFERROR(IF(R4=0,"", 'Balance Sheet'!R24 - 'Balance Sheet'!Q24),"")</f>
        <v/>
      </c>
      <c r="S19" s="474" t="str">
        <f>IFERROR(IF(S4=0,"", 'Balance Sheet'!S24 - 'Balance Sheet'!R24),"")</f>
        <v/>
      </c>
      <c r="T19" s="474" t="str">
        <f>IFERROR(IF(T4=0,"", 'Balance Sheet'!T24 - 'Balance Sheet'!S24),"")</f>
        <v/>
      </c>
      <c r="U19" s="474" t="str">
        <f>IFERROR(IF(U4=0,"", 'Balance Sheet'!U24 - 'Balance Sheet'!T24),"")</f>
        <v/>
      </c>
      <c r="V19" s="474" t="str">
        <f>IFERROR(IF(V4=0,"", 'Balance Sheet'!V24 - 'Balance Sheet'!U24),"")</f>
        <v/>
      </c>
      <c r="W19" s="474" t="str">
        <f>IFERROR(IF(W4=0,"", 'Balance Sheet'!W24 - 'Balance Sheet'!V24),"")</f>
        <v/>
      </c>
      <c r="X19" s="474" t="str">
        <f>IFERROR(IF(X4=0,"", 'Balance Sheet'!X24 - 'Balance Sheet'!W24),"")</f>
        <v/>
      </c>
      <c r="Y19" s="474" t="str">
        <f>IFERROR(IF(Y4=0,"", 'Balance Sheet'!Y24 - 'Balance Sheet'!X24),"")</f>
        <v/>
      </c>
      <c r="Z19" s="474" t="str">
        <f>IFERROR(IF(Z4=0,"", 'Balance Sheet'!Z24 - 'Balance Sheet'!Y24),"")</f>
        <v/>
      </c>
      <c r="AA19" s="474" t="str">
        <f>IFERROR(IF(AA4=0,"", 'Balance Sheet'!AA24 - 'Balance Sheet'!Z24),"")</f>
        <v/>
      </c>
      <c r="AB19" s="474" t="str">
        <f>IFERROR(IF(AB4=0,"", 'Balance Sheet'!AB24 - 'Balance Sheet'!AA24),"")</f>
        <v/>
      </c>
      <c r="AC19" s="474" t="str">
        <f>IFERROR(IF(AC4=0,"", 'Balance Sheet'!AC24 - 'Balance Sheet'!AB24),"")</f>
        <v/>
      </c>
      <c r="AD19" s="474" t="str">
        <f>IFERROR(IF(AD4=0,"", 'Balance Sheet'!AD24 - 'Balance Sheet'!AC24),"")</f>
        <v/>
      </c>
      <c r="AE19" s="474" t="str">
        <f>IFERROR(IF(AE4=0,"", 'Balance Sheet'!AE24 - 'Balance Sheet'!AD24),"")</f>
        <v/>
      </c>
      <c r="AF19" s="474" t="str">
        <f>IFERROR(IF(AF4=0,"", 'Balance Sheet'!AF24 - 'Balance Sheet'!AE24),"")</f>
        <v/>
      </c>
      <c r="AG19" s="474" t="str">
        <f>IFERROR(IF(AG4=0,"", 'Balance Sheet'!AG24 - 'Balance Sheet'!AF24),"")</f>
        <v/>
      </c>
      <c r="AH19" s="474" t="e">
        <f xml:space="preserve"> 'Balance Sheet'!AH24 - 'Balance Sheet'!AG24</f>
        <v>#REF!</v>
      </c>
      <c r="AI19" s="474" t="e">
        <f xml:space="preserve"> 'Balance Sheet'!AI24 - 'Balance Sheet'!AH24</f>
        <v>#REF!</v>
      </c>
      <c r="AJ19" s="474" t="e">
        <f xml:space="preserve"> 'Balance Sheet'!AJ24 - 'Balance Sheet'!AI24</f>
        <v>#REF!</v>
      </c>
      <c r="AK19" s="476" t="str">
        <f t="shared" si="7"/>
        <v/>
      </c>
      <c r="AL19" s="476" t="str">
        <f>IFERROR(RATE(3,,AG19,-AJ19),"")</f>
        <v/>
      </c>
      <c r="AM19" s="475"/>
      <c r="AN19" s="474" t="e">
        <f xml:space="preserve"> 'Balance Sheet'!AM24 - 'Balance Sheet'!$AG24</f>
        <v>#REF!</v>
      </c>
      <c r="AO19" s="474" t="e">
        <f xml:space="preserve"> 'Balance Sheet'!AN24 - 'Balance Sheet'!AM24</f>
        <v>#REF!</v>
      </c>
      <c r="AP19" s="474" t="e">
        <f xml:space="preserve"> 'Balance Sheet'!AO24 - 'Balance Sheet'!AN24</f>
        <v>#REF!</v>
      </c>
    </row>
    <row r="20" spans="1:42" s="316" customFormat="1" ht="12">
      <c r="A20" s="471" t="e">
        <f>#REF!</f>
        <v>#REF!</v>
      </c>
      <c r="B20" s="456" t="s">
        <v>195</v>
      </c>
      <c r="C20" s="472"/>
      <c r="D20" s="461" t="str">
        <f>IFERROR((IF(D4=0,"",INDEX(#REF!,#REF!-D$3,$A20)))-D15-SUM(D17:D19)-D23,"")</f>
        <v/>
      </c>
      <c r="E20" s="461" t="str">
        <f>IFERROR((IF(E4=0,"",INDEX(#REF!,#REF!-E$3,$A20)))-E15-SUM(E17:E19)-E23,"")</f>
        <v/>
      </c>
      <c r="F20" s="461" t="str">
        <f>IFERROR((IF(F4=0,"",INDEX(#REF!,#REF!-F$3,$A20)))-F15-SUM(F17:F19)-F23,"")</f>
        <v/>
      </c>
      <c r="G20" s="461" t="str">
        <f>IFERROR((IF(G4=0,"",INDEX(#REF!,#REF!-G$3,$A20)))-G15-SUM(G17:G19)-G23,"")</f>
        <v/>
      </c>
      <c r="H20" s="461" t="str">
        <f>IFERROR((IF(H4=0,"",INDEX(#REF!,#REF!-H$3,$A20)))-H15-SUM(H17:H19)-H23,"")</f>
        <v/>
      </c>
      <c r="I20" s="461" t="str">
        <f>IFERROR((IF(I4=0,"",INDEX(#REF!,#REF!-I$3,$A20)))-I15-SUM(I17:I19)-I23,"")</f>
        <v/>
      </c>
      <c r="J20" s="461" t="str">
        <f>IFERROR((IF(J4=0,"",INDEX(#REF!,#REF!-J$3,$A20)))-J15-SUM(J17:J19)-J23,"")</f>
        <v/>
      </c>
      <c r="K20" s="461" t="str">
        <f>IFERROR((IF(K4=0,"",INDEX(#REF!,#REF!-K$3,$A20)))-K15-SUM(K17:K19)-K23,"")</f>
        <v/>
      </c>
      <c r="L20" s="461" t="str">
        <f>IFERROR((IF(L4=0,"",INDEX(#REF!,#REF!-L$3,$A20)))-L15-SUM(L17:L19)-L23,"")</f>
        <v/>
      </c>
      <c r="M20" s="461" t="str">
        <f>IFERROR((IF(M4=0,"",INDEX(#REF!,#REF!-M$3,$A20)))-M15-SUM(M17:M19)-M23,"")</f>
        <v/>
      </c>
      <c r="N20" s="461" t="str">
        <f>IFERROR((IF(N4=0,"",INDEX(#REF!,#REF!-N$3,$A20)))-N15-SUM(N17:N19)-N23,"")</f>
        <v/>
      </c>
      <c r="O20" s="461" t="str">
        <f>IFERROR((IF(O4=0,"",INDEX(#REF!,#REF!-O$3,$A20)))-O15-SUM(O17:O19)-O23,"")</f>
        <v/>
      </c>
      <c r="P20" s="461" t="str">
        <f>IFERROR((IF(P4=0,"",INDEX(#REF!,#REF!-P$3,$A20)))-P15-SUM(P17:P19)-P23,"")</f>
        <v/>
      </c>
      <c r="Q20" s="461" t="str">
        <f>IFERROR((IF(Q4=0,"",INDEX(#REF!,#REF!-Q$3,$A20)))-Q15-SUM(Q17:Q19)-Q23,"")</f>
        <v/>
      </c>
      <c r="R20" s="461" t="str">
        <f>IFERROR((IF(R4=0,"",INDEX(#REF!,#REF!-R$3,$A20)))-R15-SUM(R17:R19)-R23,"")</f>
        <v/>
      </c>
      <c r="S20" s="461" t="str">
        <f>IFERROR((IF(S4=0,"",INDEX(#REF!,#REF!-S$3,$A20)))-S15-SUM(S17:S19)-S23,"")</f>
        <v/>
      </c>
      <c r="T20" s="461" t="str">
        <f>IFERROR((IF(T4=0,"",INDEX(#REF!,#REF!-T$3,$A20)))-T15-SUM(T17:T19)-T23,"")</f>
        <v/>
      </c>
      <c r="U20" s="461" t="str">
        <f>IFERROR((IF(U4=0,"",INDEX(#REF!,#REF!-U$3,$A20)))-U15-SUM(U17:U19)-U23,"")</f>
        <v/>
      </c>
      <c r="V20" s="461" t="str">
        <f>IFERROR((IF(V4=0,"",INDEX(#REF!,#REF!-V$3,$A20)))-V15-SUM(V17:V19)-V23,"")</f>
        <v/>
      </c>
      <c r="W20" s="461" t="str">
        <f>IFERROR((IF(W4=0,"",INDEX(#REF!,#REF!-W$3,$A20)))-W15-SUM(W17:W19)-W23,"")</f>
        <v/>
      </c>
      <c r="X20" s="461" t="str">
        <f>IFERROR((IF(X4=0,"",INDEX(#REF!,#REF!-X$3,$A20)))-X15-SUM(X17:X19)-X23,"")</f>
        <v/>
      </c>
      <c r="Y20" s="461" t="str">
        <f>IFERROR((IF(Y4=0,"",INDEX(#REF!,#REF!-Y$3,$A20)))-Y15-SUM(Y17:Y19)-Y23,"")</f>
        <v/>
      </c>
      <c r="Z20" s="461" t="str">
        <f>IFERROR((IF(Z4=0,"",INDEX(#REF!,#REF!-Z$3,$A20)))-Z15-SUM(Z17:Z19)-Z23,"")</f>
        <v/>
      </c>
      <c r="AA20" s="461" t="str">
        <f>IFERROR((IF(AA4=0,"",INDEX(#REF!,#REF!-AA$3,$A20)))-AA15-SUM(AA17:AA19)-AA23,"")</f>
        <v/>
      </c>
      <c r="AB20" s="461" t="str">
        <f>IFERROR((IF(AB4=0,"",INDEX(#REF!,#REF!-AB$3,$A20)))-AB15-SUM(AB17:AB19)-AB23,"")</f>
        <v/>
      </c>
      <c r="AC20" s="461" t="str">
        <f>IFERROR((IF(AC4=0,"",INDEX(#REF!,#REF!-AC$3,$A20)))-AC15-SUM(AC17:AC19)-AC23,"")</f>
        <v/>
      </c>
      <c r="AD20" s="461" t="str">
        <f>IFERROR((IF(AD4=0,"",INDEX(#REF!,#REF!-AD$3,$A20)))-AD15-SUM(AD17:AD19)-AD23,"")</f>
        <v/>
      </c>
      <c r="AE20" s="461" t="str">
        <f>IFERROR((IF(AE4=0,"",INDEX(#REF!,#REF!-AE$3,$A20)))-AE15-SUM(AE17:AE19)-AE23,"")</f>
        <v/>
      </c>
      <c r="AF20" s="461" t="str">
        <f>IFERROR((IF(AF4=0,"",INDEX(#REF!,#REF!-AF$3,$A20)))-AF15-SUM(AF17:AF19)-AF23,"")</f>
        <v/>
      </c>
      <c r="AG20" s="461" t="str">
        <f>IFERROR((IF(AG4=0,"",INDEX(#REF!,#REF!-AG$3,$A20)))-AG15-SUM(AG17:AG19)-AG23,"")</f>
        <v/>
      </c>
      <c r="AH20" s="461"/>
      <c r="AI20" s="461"/>
      <c r="AJ20" s="461"/>
      <c r="AK20" s="476" t="str">
        <f t="shared" si="7"/>
        <v/>
      </c>
      <c r="AL20" s="476" t="str">
        <f>IFERROR(RATE(3,,AG20,-AJ20),"")</f>
        <v/>
      </c>
      <c r="AM20" s="475"/>
      <c r="AN20" s="474"/>
      <c r="AO20" s="474"/>
      <c r="AP20" s="474"/>
    </row>
    <row r="21" spans="1:42" s="348" customFormat="1">
      <c r="A21" s="477"/>
      <c r="B21" s="478" t="s">
        <v>196</v>
      </c>
      <c r="C21" s="478"/>
      <c r="D21" s="468" t="e">
        <f t="shared" ref="D21" si="8">IF(D4=0,"",SUM(D17:D20))</f>
        <v>#REF!</v>
      </c>
      <c r="E21" s="468" t="e">
        <f t="shared" ref="E21:AF21" si="9">IF(E4=0,"",SUM(E17:E20))</f>
        <v>#REF!</v>
      </c>
      <c r="F21" s="468" t="e">
        <f t="shared" si="9"/>
        <v>#REF!</v>
      </c>
      <c r="G21" s="468" t="e">
        <f t="shared" si="9"/>
        <v>#REF!</v>
      </c>
      <c r="H21" s="468" t="e">
        <f t="shared" si="9"/>
        <v>#REF!</v>
      </c>
      <c r="I21" s="468" t="e">
        <f t="shared" si="9"/>
        <v>#REF!</v>
      </c>
      <c r="J21" s="468" t="e">
        <f t="shared" si="9"/>
        <v>#REF!</v>
      </c>
      <c r="K21" s="468" t="e">
        <f t="shared" si="9"/>
        <v>#REF!</v>
      </c>
      <c r="L21" s="468" t="e">
        <f t="shared" si="9"/>
        <v>#REF!</v>
      </c>
      <c r="M21" s="468" t="e">
        <f t="shared" si="9"/>
        <v>#REF!</v>
      </c>
      <c r="N21" s="468" t="e">
        <f t="shared" si="9"/>
        <v>#REF!</v>
      </c>
      <c r="O21" s="468" t="e">
        <f t="shared" si="9"/>
        <v>#REF!</v>
      </c>
      <c r="P21" s="468" t="e">
        <f t="shared" si="9"/>
        <v>#REF!</v>
      </c>
      <c r="Q21" s="468" t="e">
        <f t="shared" si="9"/>
        <v>#REF!</v>
      </c>
      <c r="R21" s="468" t="e">
        <f t="shared" si="9"/>
        <v>#REF!</v>
      </c>
      <c r="S21" s="468" t="e">
        <f t="shared" si="9"/>
        <v>#REF!</v>
      </c>
      <c r="T21" s="468" t="e">
        <f t="shared" si="9"/>
        <v>#REF!</v>
      </c>
      <c r="U21" s="468" t="e">
        <f t="shared" si="9"/>
        <v>#REF!</v>
      </c>
      <c r="V21" s="468" t="e">
        <f t="shared" si="9"/>
        <v>#REF!</v>
      </c>
      <c r="W21" s="468" t="e">
        <f t="shared" si="9"/>
        <v>#REF!</v>
      </c>
      <c r="X21" s="468" t="e">
        <f t="shared" si="9"/>
        <v>#REF!</v>
      </c>
      <c r="Y21" s="468" t="e">
        <f t="shared" si="9"/>
        <v>#REF!</v>
      </c>
      <c r="Z21" s="468" t="e">
        <f t="shared" si="9"/>
        <v>#REF!</v>
      </c>
      <c r="AA21" s="468" t="e">
        <f t="shared" si="9"/>
        <v>#REF!</v>
      </c>
      <c r="AB21" s="468" t="e">
        <f t="shared" si="9"/>
        <v>#REF!</v>
      </c>
      <c r="AC21" s="468" t="e">
        <f t="shared" si="9"/>
        <v>#REF!</v>
      </c>
      <c r="AD21" s="468" t="e">
        <f t="shared" si="9"/>
        <v>#REF!</v>
      </c>
      <c r="AE21" s="468" t="e">
        <f t="shared" si="9"/>
        <v>#REF!</v>
      </c>
      <c r="AF21" s="468" t="e">
        <f t="shared" si="9"/>
        <v>#REF!</v>
      </c>
      <c r="AG21" s="468" t="e">
        <f>IF(AG4=0,"",SUM(AG17:AG20))</f>
        <v>#REF!</v>
      </c>
      <c r="AH21" s="468" t="e">
        <f>IF(AH$3&lt;-#REF!,"",SUM(AH17:AH20))</f>
        <v>#REF!</v>
      </c>
      <c r="AI21" s="468" t="e">
        <f>IF(AI$3&lt;-#REF!,"",SUM(AI17:AI20))</f>
        <v>#REF!</v>
      </c>
      <c r="AJ21" s="468" t="e">
        <f>IF(AJ$3&lt;-#REF!,"",SUM(AJ17:AJ20))</f>
        <v>#REF!</v>
      </c>
      <c r="AK21" s="469" t="str">
        <f t="shared" si="7"/>
        <v/>
      </c>
      <c r="AL21" s="469" t="str">
        <f>IFERROR(RATE(3,,AG21,-AJ21),"")</f>
        <v/>
      </c>
      <c r="AM21" s="479"/>
      <c r="AN21" s="468" t="e">
        <f>IF(AN$3&lt;-#REF!,"",SUM(AN17:AN20))</f>
        <v>#REF!</v>
      </c>
      <c r="AO21" s="468" t="e">
        <f>IF(AO$3&lt;-#REF!,"",SUM(AO17:AO20))</f>
        <v>#REF!</v>
      </c>
      <c r="AP21" s="468" t="e">
        <f>IF(AP$3&lt;-#REF!,"",SUM(AP17:AP20))</f>
        <v>#REF!</v>
      </c>
    </row>
    <row r="22" spans="1:42" s="293" customFormat="1" ht="15.75">
      <c r="A22" s="480"/>
      <c r="B22" s="481"/>
      <c r="C22" s="482"/>
      <c r="D22" s="466"/>
      <c r="E22" s="466"/>
      <c r="F22" s="466"/>
      <c r="G22" s="466"/>
      <c r="H22" s="466"/>
      <c r="I22" s="466"/>
      <c r="J22" s="466"/>
      <c r="K22" s="466"/>
      <c r="L22" s="466"/>
      <c r="M22" s="466"/>
      <c r="N22" s="466"/>
      <c r="O22" s="466"/>
      <c r="P22" s="466"/>
      <c r="Q22" s="466"/>
      <c r="R22" s="466"/>
      <c r="S22" s="466"/>
      <c r="T22" s="466"/>
      <c r="U22" s="466"/>
      <c r="V22" s="466"/>
      <c r="W22" s="466"/>
      <c r="X22" s="466"/>
      <c r="Y22" s="466"/>
      <c r="Z22" s="466"/>
      <c r="AA22" s="466"/>
      <c r="AB22" s="466"/>
      <c r="AC22" s="466"/>
      <c r="AD22" s="466"/>
      <c r="AE22" s="466"/>
      <c r="AF22" s="466"/>
      <c r="AG22" s="466"/>
      <c r="AH22" s="466"/>
      <c r="AI22" s="466"/>
      <c r="AJ22" s="466"/>
      <c r="AK22" s="483"/>
      <c r="AL22" s="483"/>
      <c r="AM22" s="484"/>
      <c r="AN22" s="466"/>
      <c r="AO22" s="466"/>
      <c r="AP22" s="466"/>
    </row>
    <row r="23" spans="1:42" s="293" customFormat="1">
      <c r="A23" s="485"/>
      <c r="B23" s="482" t="s">
        <v>197</v>
      </c>
      <c r="C23" s="482"/>
      <c r="D23" s="466" t="str">
        <f>IFERROR('Balance Sheet'!D7-'Balance Sheet'!C7,"")</f>
        <v/>
      </c>
      <c r="E23" s="466" t="str">
        <f>IFERROR('Balance Sheet'!E7-'Balance Sheet'!D7,"")</f>
        <v/>
      </c>
      <c r="F23" s="466" t="str">
        <f>IFERROR('Balance Sheet'!F7-'Balance Sheet'!E7,"")</f>
        <v/>
      </c>
      <c r="G23" s="466" t="str">
        <f>IFERROR('Balance Sheet'!G7-'Balance Sheet'!F7,"")</f>
        <v/>
      </c>
      <c r="H23" s="466" t="str">
        <f>IFERROR('Balance Sheet'!H7-'Balance Sheet'!G7,"")</f>
        <v/>
      </c>
      <c r="I23" s="466" t="str">
        <f>IFERROR('Balance Sheet'!I7-'Balance Sheet'!H7,"")</f>
        <v/>
      </c>
      <c r="J23" s="466" t="str">
        <f>IFERROR('Balance Sheet'!J7-'Balance Sheet'!I7,"")</f>
        <v/>
      </c>
      <c r="K23" s="466" t="str">
        <f>IFERROR('Balance Sheet'!K7-'Balance Sheet'!J7,"")</f>
        <v/>
      </c>
      <c r="L23" s="466" t="str">
        <f>IFERROR('Balance Sheet'!L7-'Balance Sheet'!K7,"")</f>
        <v/>
      </c>
      <c r="M23" s="466" t="str">
        <f>IFERROR('Balance Sheet'!M7-'Balance Sheet'!L7,"")</f>
        <v/>
      </c>
      <c r="N23" s="466" t="str">
        <f>IFERROR('Balance Sheet'!N7-'Balance Sheet'!M7,"")</f>
        <v/>
      </c>
      <c r="O23" s="466" t="str">
        <f>IFERROR('Balance Sheet'!O7-'Balance Sheet'!N7,"")</f>
        <v/>
      </c>
      <c r="P23" s="466" t="str">
        <f>IFERROR('Balance Sheet'!P7-'Balance Sheet'!O7,"")</f>
        <v/>
      </c>
      <c r="Q23" s="466" t="str">
        <f>IFERROR('Balance Sheet'!Q7-'Balance Sheet'!P7,"")</f>
        <v/>
      </c>
      <c r="R23" s="466" t="str">
        <f>IFERROR('Balance Sheet'!R7-'Balance Sheet'!Q7,"")</f>
        <v/>
      </c>
      <c r="S23" s="466" t="str">
        <f>IFERROR('Balance Sheet'!S7-'Balance Sheet'!R7,"")</f>
        <v/>
      </c>
      <c r="T23" s="466" t="str">
        <f>IFERROR('Balance Sheet'!T7-'Balance Sheet'!S7,"")</f>
        <v/>
      </c>
      <c r="U23" s="466" t="str">
        <f>IFERROR('Balance Sheet'!U7-'Balance Sheet'!T7,"")</f>
        <v/>
      </c>
      <c r="V23" s="466" t="str">
        <f>IFERROR('Balance Sheet'!V7-'Balance Sheet'!U7,"")</f>
        <v/>
      </c>
      <c r="W23" s="466" t="str">
        <f>IFERROR('Balance Sheet'!W7-'Balance Sheet'!V7,"")</f>
        <v/>
      </c>
      <c r="X23" s="466" t="str">
        <f>IFERROR('Balance Sheet'!X7-'Balance Sheet'!W7,"")</f>
        <v/>
      </c>
      <c r="Y23" s="466" t="str">
        <f>IFERROR('Balance Sheet'!Y7-'Balance Sheet'!X7,"")</f>
        <v/>
      </c>
      <c r="Z23" s="466" t="str">
        <f>IFERROR('Balance Sheet'!Z7-'Balance Sheet'!Y7,"")</f>
        <v/>
      </c>
      <c r="AA23" s="466" t="str">
        <f>IFERROR('Balance Sheet'!AA7-'Balance Sheet'!Z7,"")</f>
        <v/>
      </c>
      <c r="AB23" s="466" t="str">
        <f>IFERROR('Balance Sheet'!AB7-'Balance Sheet'!AA7,"")</f>
        <v/>
      </c>
      <c r="AC23" s="466" t="str">
        <f>IFERROR('Balance Sheet'!AC7-'Balance Sheet'!AB7,"")</f>
        <v/>
      </c>
      <c r="AD23" s="466" t="str">
        <f>IFERROR('Balance Sheet'!AD7-'Balance Sheet'!AC7,"")</f>
        <v/>
      </c>
      <c r="AE23" s="466" t="str">
        <f>IFERROR('Balance Sheet'!AE7-'Balance Sheet'!AD7,"")</f>
        <v/>
      </c>
      <c r="AF23" s="466" t="str">
        <f>IFERROR('Balance Sheet'!AF7-'Balance Sheet'!AE7,"")</f>
        <v/>
      </c>
      <c r="AG23" s="466" t="str">
        <f>IFERROR('Balance Sheet'!AG7-'Balance Sheet'!AF7,"")</f>
        <v/>
      </c>
      <c r="AH23" s="466" t="str">
        <f>IFERROR('Balance Sheet'!AH7-'Balance Sheet'!AG7,"")</f>
        <v/>
      </c>
      <c r="AI23" s="466" t="str">
        <f>IFERROR('Balance Sheet'!AI7-'Balance Sheet'!AH7,"")</f>
        <v/>
      </c>
      <c r="AJ23" s="466" t="str">
        <f>IFERROR('Balance Sheet'!AJ7-'Balance Sheet'!AI7,"")</f>
        <v/>
      </c>
      <c r="AK23" s="483"/>
      <c r="AL23" s="483"/>
      <c r="AM23" s="484"/>
      <c r="AN23" s="466" t="str">
        <f>IFERROR('Balance Sheet'!AM7-'Balance Sheet'!AG7,"")</f>
        <v/>
      </c>
      <c r="AO23" s="466" t="str">
        <f>IFERROR('Balance Sheet'!AN7-'Balance Sheet'!AM7,"")</f>
        <v/>
      </c>
      <c r="AP23" s="466" t="str">
        <f>IFERROR('Balance Sheet'!AO7-'Balance Sheet'!AN7,"")</f>
        <v/>
      </c>
    </row>
    <row r="24" spans="1:42" s="490" customFormat="1">
      <c r="A24" s="477"/>
      <c r="B24" s="486" t="s">
        <v>106</v>
      </c>
      <c r="C24" s="486"/>
      <c r="D24" s="487" t="e">
        <f t="shared" ref="D24:AF24" si="10">IF(D4=0,"",SUM(D15,D21,D23))</f>
        <v>#REF!</v>
      </c>
      <c r="E24" s="487" t="e">
        <f t="shared" si="10"/>
        <v>#REF!</v>
      </c>
      <c r="F24" s="487" t="e">
        <f t="shared" si="10"/>
        <v>#REF!</v>
      </c>
      <c r="G24" s="487" t="e">
        <f t="shared" si="10"/>
        <v>#REF!</v>
      </c>
      <c r="H24" s="487" t="e">
        <f t="shared" si="10"/>
        <v>#REF!</v>
      </c>
      <c r="I24" s="487" t="e">
        <f t="shared" si="10"/>
        <v>#REF!</v>
      </c>
      <c r="J24" s="487" t="e">
        <f t="shared" si="10"/>
        <v>#REF!</v>
      </c>
      <c r="K24" s="487" t="e">
        <f t="shared" si="10"/>
        <v>#REF!</v>
      </c>
      <c r="L24" s="487" t="e">
        <f t="shared" si="10"/>
        <v>#REF!</v>
      </c>
      <c r="M24" s="487" t="e">
        <f t="shared" si="10"/>
        <v>#REF!</v>
      </c>
      <c r="N24" s="487" t="e">
        <f t="shared" si="10"/>
        <v>#REF!</v>
      </c>
      <c r="O24" s="487" t="e">
        <f t="shared" si="10"/>
        <v>#REF!</v>
      </c>
      <c r="P24" s="487" t="e">
        <f t="shared" si="10"/>
        <v>#REF!</v>
      </c>
      <c r="Q24" s="487" t="e">
        <f t="shared" si="10"/>
        <v>#REF!</v>
      </c>
      <c r="R24" s="487" t="e">
        <f t="shared" si="10"/>
        <v>#REF!</v>
      </c>
      <c r="S24" s="487" t="e">
        <f t="shared" si="10"/>
        <v>#REF!</v>
      </c>
      <c r="T24" s="487" t="e">
        <f t="shared" si="10"/>
        <v>#REF!</v>
      </c>
      <c r="U24" s="487" t="e">
        <f t="shared" si="10"/>
        <v>#REF!</v>
      </c>
      <c r="V24" s="487" t="e">
        <f t="shared" si="10"/>
        <v>#REF!</v>
      </c>
      <c r="W24" s="487" t="e">
        <f t="shared" si="10"/>
        <v>#REF!</v>
      </c>
      <c r="X24" s="487" t="e">
        <f t="shared" si="10"/>
        <v>#REF!</v>
      </c>
      <c r="Y24" s="487" t="e">
        <f t="shared" si="10"/>
        <v>#REF!</v>
      </c>
      <c r="Z24" s="487" t="e">
        <f t="shared" si="10"/>
        <v>#REF!</v>
      </c>
      <c r="AA24" s="487" t="e">
        <f t="shared" si="10"/>
        <v>#REF!</v>
      </c>
      <c r="AB24" s="487" t="e">
        <f t="shared" si="10"/>
        <v>#REF!</v>
      </c>
      <c r="AC24" s="487" t="e">
        <f t="shared" si="10"/>
        <v>#REF!</v>
      </c>
      <c r="AD24" s="487" t="e">
        <f t="shared" si="10"/>
        <v>#REF!</v>
      </c>
      <c r="AE24" s="487" t="e">
        <f t="shared" si="10"/>
        <v>#REF!</v>
      </c>
      <c r="AF24" s="487" t="e">
        <f t="shared" si="10"/>
        <v>#REF!</v>
      </c>
      <c r="AG24" s="487" t="e">
        <f>IF(AG4=0,"",SUM(AG15,AG21,AG23))</f>
        <v>#REF!</v>
      </c>
      <c r="AH24" s="487" t="e">
        <f>IF(AH$3&lt;-#REF!,"",SUM(AH15,AH21,AH23))</f>
        <v>#REF!</v>
      </c>
      <c r="AI24" s="487" t="e">
        <f>IF(AI$3&lt;-#REF!,"",SUM(AI15,AI21,AI23))</f>
        <v>#REF!</v>
      </c>
      <c r="AJ24" s="487" t="e">
        <f>IF(AJ$3&lt;-#REF!,"",SUM(AJ15,AJ21,AJ23))</f>
        <v>#REF!</v>
      </c>
      <c r="AK24" s="488" t="str">
        <f t="shared" ref="AK24" si="11">IFERROR(RATE(3,,AD24,-AG24),"")</f>
        <v/>
      </c>
      <c r="AL24" s="488" t="str">
        <f>IFERROR(RATE(3,,AG24,-AJ24),"")</f>
        <v/>
      </c>
      <c r="AM24" s="489"/>
      <c r="AN24" s="487" t="e">
        <f>SUM(AN15,AN21,AN23)</f>
        <v>#REF!</v>
      </c>
      <c r="AO24" s="487" t="e">
        <f>SUM(AO15,AO21,AO23)</f>
        <v>#REF!</v>
      </c>
      <c r="AP24" s="487" t="e">
        <f>SUM(AP15,AP21,AP23)</f>
        <v>#REF!</v>
      </c>
    </row>
    <row r="25" spans="1:42" s="294" customFormat="1">
      <c r="A25" s="477"/>
      <c r="B25" s="478"/>
      <c r="C25" s="478"/>
      <c r="D25" s="491"/>
      <c r="E25" s="491"/>
      <c r="F25" s="491"/>
      <c r="G25" s="491"/>
      <c r="H25" s="491"/>
      <c r="I25" s="491"/>
      <c r="J25" s="491"/>
      <c r="K25" s="491"/>
      <c r="L25" s="491"/>
      <c r="M25" s="491"/>
      <c r="N25" s="491"/>
      <c r="O25" s="491"/>
      <c r="P25" s="491"/>
      <c r="Q25" s="491"/>
      <c r="R25" s="491"/>
      <c r="S25" s="491"/>
      <c r="T25" s="491"/>
      <c r="U25" s="491"/>
      <c r="V25" s="491"/>
      <c r="W25" s="491"/>
      <c r="X25" s="491"/>
      <c r="Y25" s="491"/>
      <c r="Z25" s="491"/>
      <c r="AA25" s="491"/>
      <c r="AB25" s="491"/>
      <c r="AC25" s="491"/>
      <c r="AD25" s="491"/>
      <c r="AE25" s="491"/>
      <c r="AF25" s="491"/>
      <c r="AG25" s="491"/>
      <c r="AH25" s="491"/>
      <c r="AI25" s="491"/>
      <c r="AJ25" s="491"/>
      <c r="AK25" s="448"/>
      <c r="AL25" s="448"/>
      <c r="AM25" s="492"/>
      <c r="AN25" s="491"/>
      <c r="AO25" s="491"/>
      <c r="AP25" s="491"/>
    </row>
    <row r="26" spans="1:42">
      <c r="A26" s="480"/>
      <c r="B26" s="482"/>
      <c r="C26" s="482"/>
      <c r="D26" s="314"/>
      <c r="E26" s="314"/>
      <c r="F26" s="314"/>
      <c r="G26" s="314"/>
      <c r="H26" s="314"/>
      <c r="I26" s="314"/>
      <c r="J26" s="314"/>
      <c r="K26" s="314"/>
      <c r="L26" s="314"/>
      <c r="M26" s="314"/>
      <c r="N26" s="314"/>
      <c r="O26" s="314"/>
      <c r="P26" s="314"/>
      <c r="Q26" s="314"/>
      <c r="R26" s="314"/>
      <c r="S26" s="314"/>
      <c r="T26" s="314"/>
      <c r="U26" s="314"/>
      <c r="V26" s="314"/>
      <c r="W26" s="314"/>
      <c r="X26" s="314"/>
      <c r="Y26" s="314"/>
      <c r="Z26" s="314"/>
      <c r="AA26" s="314"/>
      <c r="AB26" s="314"/>
      <c r="AC26" s="314"/>
      <c r="AD26" s="314"/>
      <c r="AE26" s="314"/>
      <c r="AF26" s="314"/>
      <c r="AG26" s="314"/>
      <c r="AH26" s="314"/>
      <c r="AI26" s="314"/>
      <c r="AJ26" s="314"/>
      <c r="AK26" s="448"/>
      <c r="AL26" s="448"/>
      <c r="AM26" s="297"/>
      <c r="AN26" s="314"/>
      <c r="AO26" s="314"/>
      <c r="AP26" s="314"/>
    </row>
    <row r="27" spans="1:42" ht="15.75" thickBot="1">
      <c r="A27" s="480"/>
      <c r="B27" s="482" t="s">
        <v>98</v>
      </c>
      <c r="C27" s="482"/>
      <c r="D27" s="447" t="e">
        <f>IF(D4=0,"",-('Balance Sheet'!D198+'Balance Sheet'!D209))</f>
        <v>#REF!</v>
      </c>
      <c r="E27" s="447" t="e">
        <f>IF(E4=0,"",-('Balance Sheet'!E198+'Balance Sheet'!E209))</f>
        <v>#REF!</v>
      </c>
      <c r="F27" s="447" t="e">
        <f>IF(F4=0,"",-('Balance Sheet'!F198+'Balance Sheet'!F209))</f>
        <v>#REF!</v>
      </c>
      <c r="G27" s="447" t="e">
        <f>IF(G4=0,"",-('Balance Sheet'!G198+'Balance Sheet'!G209))</f>
        <v>#REF!</v>
      </c>
      <c r="H27" s="447" t="e">
        <f>IF(H4=0,"",-('Balance Sheet'!H198+'Balance Sheet'!H209))</f>
        <v>#REF!</v>
      </c>
      <c r="I27" s="447" t="e">
        <f>IF(I4=0,"",-('Balance Sheet'!I198+'Balance Sheet'!I209))</f>
        <v>#REF!</v>
      </c>
      <c r="J27" s="447" t="e">
        <f>IF(J4=0,"",-('Balance Sheet'!J198+'Balance Sheet'!J209))</f>
        <v>#REF!</v>
      </c>
      <c r="K27" s="447" t="e">
        <f>IF(K4=0,"",-('Balance Sheet'!K198+'Balance Sheet'!K209))</f>
        <v>#REF!</v>
      </c>
      <c r="L27" s="447" t="e">
        <f>IF(L4=0,"",-('Balance Sheet'!L198+'Balance Sheet'!L209))</f>
        <v>#REF!</v>
      </c>
      <c r="M27" s="447" t="e">
        <f>IF(M4=0,"",-('Balance Sheet'!M198+'Balance Sheet'!M209))</f>
        <v>#REF!</v>
      </c>
      <c r="N27" s="447" t="e">
        <f>IF(N4=0,"",-('Balance Sheet'!N198+'Balance Sheet'!N209))</f>
        <v>#REF!</v>
      </c>
      <c r="O27" s="447" t="e">
        <f>IF(O4=0,"",-('Balance Sheet'!O198+'Balance Sheet'!O209))</f>
        <v>#REF!</v>
      </c>
      <c r="P27" s="447" t="e">
        <f>IF(P4=0,"",-('Balance Sheet'!P198+'Balance Sheet'!P209))</f>
        <v>#REF!</v>
      </c>
      <c r="Q27" s="447" t="e">
        <f>IF(Q4=0,"",-('Balance Sheet'!Q198+'Balance Sheet'!Q209))</f>
        <v>#REF!</v>
      </c>
      <c r="R27" s="447" t="e">
        <f>IF(R4=0,"",-('Balance Sheet'!R198+'Balance Sheet'!R209))</f>
        <v>#REF!</v>
      </c>
      <c r="S27" s="447" t="e">
        <f>IF(S4=0,"",-('Balance Sheet'!S198+'Balance Sheet'!S209))</f>
        <v>#REF!</v>
      </c>
      <c r="T27" s="447" t="e">
        <f>IF(T4=0,"",-('Balance Sheet'!T198+'Balance Sheet'!T209))</f>
        <v>#REF!</v>
      </c>
      <c r="U27" s="447" t="e">
        <f>IF(U4=0,"",-('Balance Sheet'!U198+'Balance Sheet'!U209))</f>
        <v>#REF!</v>
      </c>
      <c r="V27" s="447" t="e">
        <f>IF(V4=0,"",-('Balance Sheet'!V198+'Balance Sheet'!V209))</f>
        <v>#REF!</v>
      </c>
      <c r="W27" s="447" t="e">
        <f>IF(W4=0,"",-('Balance Sheet'!W198+'Balance Sheet'!W209))</f>
        <v>#REF!</v>
      </c>
      <c r="X27" s="447" t="e">
        <f>IF(X4=0,"",-('Balance Sheet'!X198+'Balance Sheet'!X209))</f>
        <v>#REF!</v>
      </c>
      <c r="Y27" s="447" t="e">
        <f>IF(Y4=0,"",-('Balance Sheet'!Y198+'Balance Sheet'!Y209))</f>
        <v>#REF!</v>
      </c>
      <c r="Z27" s="447" t="e">
        <f>IF(Z4=0,"",-('Balance Sheet'!Z198+'Balance Sheet'!Z209))</f>
        <v>#REF!</v>
      </c>
      <c r="AA27" s="447" t="e">
        <f>IF(AA4=0,"",-('Balance Sheet'!AA198+'Balance Sheet'!AA209))</f>
        <v>#REF!</v>
      </c>
      <c r="AB27" s="447" t="e">
        <f>IF(AB4=0,"",-('Balance Sheet'!AB198+'Balance Sheet'!AB209))</f>
        <v>#REF!</v>
      </c>
      <c r="AC27" s="447" t="e">
        <f>IF(AC4=0,"",-('Balance Sheet'!AC198+'Balance Sheet'!AC209))</f>
        <v>#REF!</v>
      </c>
      <c r="AD27" s="447" t="e">
        <f>IF(AD4=0,"",-('Balance Sheet'!AD198+'Balance Sheet'!AD209))</f>
        <v>#REF!</v>
      </c>
      <c r="AE27" s="447" t="e">
        <f>IF(AE4=0,"",-('Balance Sheet'!AE198+'Balance Sheet'!AE209))</f>
        <v>#REF!</v>
      </c>
      <c r="AF27" s="447" t="e">
        <f>IF(AF4=0,"",-('Balance Sheet'!AF198+'Balance Sheet'!AF209))</f>
        <v>#REF!</v>
      </c>
      <c r="AG27" s="447" t="e">
        <f>IF(AG4=0,"",-('Balance Sheet'!AG198+'Balance Sheet'!AG209))</f>
        <v>#REF!</v>
      </c>
      <c r="AH27" s="447" t="e">
        <f>-('Balance Sheet'!AH198+'Balance Sheet'!AH209)</f>
        <v>#VALUE!</v>
      </c>
      <c r="AI27" s="447" t="e">
        <f>-('Balance Sheet'!AI198+'Balance Sheet'!AI209)</f>
        <v>#VALUE!</v>
      </c>
      <c r="AJ27" s="447" t="e">
        <f>-('Balance Sheet'!AJ198+'Balance Sheet'!AJ209)</f>
        <v>#VALUE!</v>
      </c>
      <c r="AK27" s="448" t="str">
        <f t="shared" ref="AK27:AK31" si="12">IFERROR(RATE(3,,AD27,-AG27),"")</f>
        <v/>
      </c>
      <c r="AL27" s="448" t="str">
        <f>IFERROR(RATE(3,,AG27,-AJ27),"")</f>
        <v/>
      </c>
      <c r="AM27" s="297"/>
      <c r="AN27" s="447" t="e">
        <f>-('Balance Sheet'!AM198+'Balance Sheet'!AM209)</f>
        <v>#VALUE!</v>
      </c>
      <c r="AO27" s="447" t="e">
        <f>-('Balance Sheet'!AN198+'Balance Sheet'!AN209)</f>
        <v>#VALUE!</v>
      </c>
      <c r="AP27" s="447" t="e">
        <f>-('Balance Sheet'!AO198+'Balance Sheet'!AO209)</f>
        <v>#VALUE!</v>
      </c>
    </row>
    <row r="28" spans="1:42" s="293" customFormat="1" ht="15.75" thickBot="1">
      <c r="A28" s="51" t="e">
        <f>#REF!</f>
        <v>#REF!</v>
      </c>
      <c r="B28" s="482" t="s">
        <v>101</v>
      </c>
      <c r="C28" s="482"/>
      <c r="D28" s="2" t="e">
        <f>IF(D4=0,"",INDEX(#REF!,#REF!-D$3,$A28))</f>
        <v>#REF!</v>
      </c>
      <c r="E28" s="2" t="e">
        <f>IF(E4=0,"",INDEX(#REF!,#REF!-E$3,$A28))</f>
        <v>#REF!</v>
      </c>
      <c r="F28" s="2" t="e">
        <f>IF(F4=0,"",INDEX(#REF!,#REF!-F$3,$A28))</f>
        <v>#REF!</v>
      </c>
      <c r="G28" s="2" t="e">
        <f>IF(G4=0,"",INDEX(#REF!,#REF!-G$3,$A28))</f>
        <v>#REF!</v>
      </c>
      <c r="H28" s="2" t="e">
        <f>IF(H4=0,"",INDEX(#REF!,#REF!-H$3,$A28))</f>
        <v>#REF!</v>
      </c>
      <c r="I28" s="2" t="e">
        <f>IF(I4=0,"",INDEX(#REF!,#REF!-I$3,$A28))</f>
        <v>#REF!</v>
      </c>
      <c r="J28" s="2" t="e">
        <f>IF(J4=0,"",INDEX(#REF!,#REF!-J$3,$A28))</f>
        <v>#REF!</v>
      </c>
      <c r="K28" s="2" t="e">
        <f>IF(K4=0,"",INDEX(#REF!,#REF!-K$3,$A28))</f>
        <v>#REF!</v>
      </c>
      <c r="L28" s="2" t="e">
        <f>IF(L4=0,"",INDEX(#REF!,#REF!-L$3,$A28))</f>
        <v>#REF!</v>
      </c>
      <c r="M28" s="2" t="e">
        <f>IF(M4=0,"",INDEX(#REF!,#REF!-M$3,$A28))</f>
        <v>#REF!</v>
      </c>
      <c r="N28" s="2" t="e">
        <f>IF(N4=0,"",INDEX(#REF!,#REF!-N$3,$A28))</f>
        <v>#REF!</v>
      </c>
      <c r="O28" s="2" t="e">
        <f>IF(O4=0,"",INDEX(#REF!,#REF!-O$3,$A28))</f>
        <v>#REF!</v>
      </c>
      <c r="P28" s="2" t="e">
        <f>IF(P4=0,"",INDEX(#REF!,#REF!-P$3,$A28))</f>
        <v>#REF!</v>
      </c>
      <c r="Q28" s="2" t="e">
        <f>IF(Q4=0,"",INDEX(#REF!,#REF!-Q$3,$A28))</f>
        <v>#REF!</v>
      </c>
      <c r="R28" s="2" t="e">
        <f>IF(R4=0,"",INDEX(#REF!,#REF!-R$3,$A28))</f>
        <v>#REF!</v>
      </c>
      <c r="S28" s="2" t="e">
        <f>IF(S4=0,"",INDEX(#REF!,#REF!-S$3,$A28))</f>
        <v>#REF!</v>
      </c>
      <c r="T28" s="2" t="e">
        <f>IF(T4=0,"",INDEX(#REF!,#REF!-T$3,$A28))</f>
        <v>#REF!</v>
      </c>
      <c r="U28" s="2" t="e">
        <f>IF(U4=0,"",INDEX(#REF!,#REF!-U$3,$A28))</f>
        <v>#REF!</v>
      </c>
      <c r="V28" s="2" t="e">
        <f>IF(V4=0,"",INDEX(#REF!,#REF!-V$3,$A28))</f>
        <v>#REF!</v>
      </c>
      <c r="W28" s="2" t="e">
        <f>IF(W4=0,"",INDEX(#REF!,#REF!-W$3,$A28))</f>
        <v>#REF!</v>
      </c>
      <c r="X28" s="2" t="e">
        <f>IF(X4=0,"",INDEX(#REF!,#REF!-X$3,$A28))</f>
        <v>#REF!</v>
      </c>
      <c r="Y28" s="2" t="e">
        <f>IF(Y4=0,"",INDEX(#REF!,#REF!-Y$3,$A28))</f>
        <v>#REF!</v>
      </c>
      <c r="Z28" s="2" t="e">
        <f>IF(Z4=0,"",INDEX(#REF!,#REF!-Z$3,$A28))</f>
        <v>#REF!</v>
      </c>
      <c r="AA28" s="2" t="e">
        <f>IF(AA4=0,"",INDEX(#REF!,#REF!-AA$3,$A28))</f>
        <v>#REF!</v>
      </c>
      <c r="AB28" s="2" t="e">
        <f>IF(AB4=0,"",INDEX(#REF!,#REF!-AB$3,$A28))</f>
        <v>#REF!</v>
      </c>
      <c r="AC28" s="2" t="e">
        <f>IF(AC4=0,"",INDEX(#REF!,#REF!-AC$3,$A28))</f>
        <v>#REF!</v>
      </c>
      <c r="AD28" s="2" t="e">
        <f>IF(AD4=0,"",INDEX(#REF!,#REF!-AD$3,$A28))</f>
        <v>#REF!</v>
      </c>
      <c r="AE28" s="2" t="e">
        <f>IF(AE4=0,"",INDEX(#REF!,#REF!-AE$3,$A28))</f>
        <v>#REF!</v>
      </c>
      <c r="AF28" s="2" t="e">
        <f>IF(AF4=0,"",INDEX(#REF!,#REF!-AF$3,$A28))</f>
        <v>#REF!</v>
      </c>
      <c r="AG28" s="2" t="e">
        <f>IF(AG4=0,"",INDEX(#REF!,#REF!-AG$3,$A28))</f>
        <v>#REF!</v>
      </c>
      <c r="AH28" s="119"/>
      <c r="AI28" s="119"/>
      <c r="AJ28" s="119"/>
      <c r="AK28" s="483" t="str">
        <f t="shared" si="12"/>
        <v/>
      </c>
      <c r="AL28" s="483" t="str">
        <f>IFERROR(RATE(3,,AG28,-AJ28),"")</f>
        <v/>
      </c>
      <c r="AM28" s="484"/>
    </row>
    <row r="29" spans="1:42" s="293" customFormat="1" ht="15.75" thickBot="1">
      <c r="A29" s="51" t="e">
        <f>#REF!</f>
        <v>#REF!</v>
      </c>
      <c r="B29" s="482" t="s">
        <v>163</v>
      </c>
      <c r="C29" s="482"/>
      <c r="D29" s="466"/>
      <c r="E29" s="466" t="e">
        <f>IF(E4=0,"",INDEX(#REF!,#REF!-E$3,$A29))+('Balance Sheet'!E65+'Balance Sheet'!E66-'Balance Sheet'!D65-'Balance Sheet'!D66)</f>
        <v>#REF!</v>
      </c>
      <c r="F29" s="466" t="e">
        <f>IF(F4=0,"",INDEX(#REF!,#REF!-F$3,$A29))+('Balance Sheet'!F65+'Balance Sheet'!F66-'Balance Sheet'!E65-'Balance Sheet'!E66)</f>
        <v>#REF!</v>
      </c>
      <c r="G29" s="466" t="e">
        <f>IF(G4=0,"",INDEX(#REF!,#REF!-G$3,$A29))+('Balance Sheet'!G65+'Balance Sheet'!G66-'Balance Sheet'!F65-'Balance Sheet'!F66)</f>
        <v>#REF!</v>
      </c>
      <c r="H29" s="466" t="e">
        <f>IF(H4=0,"",INDEX(#REF!,#REF!-H$3,$A29))+('Balance Sheet'!H65+'Balance Sheet'!H66-'Balance Sheet'!G65-'Balance Sheet'!G66)</f>
        <v>#REF!</v>
      </c>
      <c r="I29" s="466" t="e">
        <f>IF(I4=0,"",INDEX(#REF!,#REF!-I$3,$A29))+('Balance Sheet'!I65+'Balance Sheet'!I66-'Balance Sheet'!H65-'Balance Sheet'!H66)</f>
        <v>#REF!</v>
      </c>
      <c r="J29" s="466" t="e">
        <f>IF(J4=0,"",INDEX(#REF!,#REF!-J$3,$A29))+('Balance Sheet'!J65+'Balance Sheet'!J66-'Balance Sheet'!I65-'Balance Sheet'!I66)</f>
        <v>#REF!</v>
      </c>
      <c r="K29" s="466" t="e">
        <f>IF(K4=0,"",INDEX(#REF!,#REF!-K$3,$A29))+('Balance Sheet'!K65+'Balance Sheet'!K66-'Balance Sheet'!J65-'Balance Sheet'!J66)</f>
        <v>#REF!</v>
      </c>
      <c r="L29" s="466" t="e">
        <f>IF(L4=0,"",INDEX(#REF!,#REF!-L$3,$A29))+('Balance Sheet'!L65+'Balance Sheet'!L66-'Balance Sheet'!K65-'Balance Sheet'!K66)</f>
        <v>#REF!</v>
      </c>
      <c r="M29" s="466" t="e">
        <f>IF(M4=0,"",INDEX(#REF!,#REF!-M$3,$A29))+('Balance Sheet'!M65+'Balance Sheet'!M66-'Balance Sheet'!L65-'Balance Sheet'!L66)</f>
        <v>#REF!</v>
      </c>
      <c r="N29" s="466" t="e">
        <f>IF(N4=0,"",INDEX(#REF!,#REF!-N$3,$A29))+('Balance Sheet'!N65+'Balance Sheet'!N66-'Balance Sheet'!M65-'Balance Sheet'!M66)</f>
        <v>#REF!</v>
      </c>
      <c r="O29" s="466" t="e">
        <f>IF(O4=0,"",INDEX(#REF!,#REF!-O$3,$A29))+('Balance Sheet'!O65+'Balance Sheet'!O66-'Balance Sheet'!N65-'Balance Sheet'!N66)</f>
        <v>#REF!</v>
      </c>
      <c r="P29" s="466" t="e">
        <f>IF(P4=0,"",INDEX(#REF!,#REF!-P$3,$A29))+('Balance Sheet'!P65+'Balance Sheet'!P66-'Balance Sheet'!O65-'Balance Sheet'!O66)</f>
        <v>#REF!</v>
      </c>
      <c r="Q29" s="466" t="e">
        <f>IF(Q4=0,"",INDEX(#REF!,#REF!-Q$3,$A29))+('Balance Sheet'!Q65+'Balance Sheet'!Q66-'Balance Sheet'!P65-'Balance Sheet'!P66)</f>
        <v>#REF!</v>
      </c>
      <c r="R29" s="466" t="e">
        <f>IF(R4=0,"",INDEX(#REF!,#REF!-R$3,$A29))+('Balance Sheet'!R65+'Balance Sheet'!R66-'Balance Sheet'!Q65-'Balance Sheet'!Q66)</f>
        <v>#REF!</v>
      </c>
      <c r="S29" s="466" t="e">
        <f>IF(S4=0,"",INDEX(#REF!,#REF!-S$3,$A29))+('Balance Sheet'!S65+'Balance Sheet'!S66-'Balance Sheet'!R65-'Balance Sheet'!R66)</f>
        <v>#REF!</v>
      </c>
      <c r="T29" s="466" t="e">
        <f>IF(T4=0,"",INDEX(#REF!,#REF!-T$3,$A29))+('Balance Sheet'!T65+'Balance Sheet'!T66-'Balance Sheet'!S65-'Balance Sheet'!S66)</f>
        <v>#REF!</v>
      </c>
      <c r="U29" s="466" t="e">
        <f>IF(U4=0,"",INDEX(#REF!,#REF!-U$3,$A29))+('Balance Sheet'!U65+'Balance Sheet'!U66-'Balance Sheet'!T65-'Balance Sheet'!T66)</f>
        <v>#REF!</v>
      </c>
      <c r="V29" s="466" t="e">
        <f>IF(V4=0,"",INDEX(#REF!,#REF!-V$3,$A29))+('Balance Sheet'!V65+'Balance Sheet'!V66-'Balance Sheet'!U65-'Balance Sheet'!U66)</f>
        <v>#REF!</v>
      </c>
      <c r="W29" s="466" t="e">
        <f>IF(W4=0,"",INDEX(#REF!,#REF!-W$3,$A29))+('Balance Sheet'!W65+'Balance Sheet'!W66-'Balance Sheet'!V65-'Balance Sheet'!V66)</f>
        <v>#REF!</v>
      </c>
      <c r="X29" s="466" t="e">
        <f>IF(X4=0,"",INDEX(#REF!,#REF!-X$3,$A29))+('Balance Sheet'!X65+'Balance Sheet'!X66-'Balance Sheet'!W65-'Balance Sheet'!W66)</f>
        <v>#REF!</v>
      </c>
      <c r="Y29" s="466" t="e">
        <f>IF(Y4=0,"",INDEX(#REF!,#REF!-Y$3,$A29))+('Balance Sheet'!Y65+'Balance Sheet'!Y66-'Balance Sheet'!X65-'Balance Sheet'!X66)</f>
        <v>#REF!</v>
      </c>
      <c r="Z29" s="466" t="e">
        <f>IF(Z4=0,"",INDEX(#REF!,#REF!-Z$3,$A29))+('Balance Sheet'!Z65+'Balance Sheet'!Z66-'Balance Sheet'!Y65-'Balance Sheet'!Y66)</f>
        <v>#REF!</v>
      </c>
      <c r="AA29" s="466" t="e">
        <f>IF(AA4=0,"",INDEX(#REF!,#REF!-AA$3,$A29))+('Balance Sheet'!AA65+'Balance Sheet'!AA66-'Balance Sheet'!Z65-'Balance Sheet'!Z66)</f>
        <v>#REF!</v>
      </c>
      <c r="AB29" s="466" t="e">
        <f>IF(AB4=0,"",INDEX(#REF!,#REF!-AB$3,$A29))+('Balance Sheet'!AB65+'Balance Sheet'!AB66-'Balance Sheet'!AA65-'Balance Sheet'!AA66)</f>
        <v>#REF!</v>
      </c>
      <c r="AC29" s="466" t="e">
        <f>IF(AC4=0,"",INDEX(#REF!,#REF!-AC$3,$A29))+('Balance Sheet'!AC65+'Balance Sheet'!AC66-'Balance Sheet'!AB65-'Balance Sheet'!AB66)</f>
        <v>#REF!</v>
      </c>
      <c r="AD29" s="466" t="e">
        <f>IF(AD4=0,"",INDEX(#REF!,#REF!-AD$3,$A29))+('Balance Sheet'!AD65+'Balance Sheet'!AD66-'Balance Sheet'!AC65-'Balance Sheet'!AC66)</f>
        <v>#REF!</v>
      </c>
      <c r="AE29" s="466" t="e">
        <f>IF(AE4=0,"",INDEX(#REF!,#REF!-AE$3,$A29))+('Balance Sheet'!AE65+'Balance Sheet'!AE66-'Balance Sheet'!AD65-'Balance Sheet'!AD66)</f>
        <v>#REF!</v>
      </c>
      <c r="AF29" s="466" t="e">
        <f>IF(AF4=0,"",INDEX(#REF!,#REF!-AF$3,$A29))+('Balance Sheet'!AF65+'Balance Sheet'!AF66-'Balance Sheet'!AE65-'Balance Sheet'!AE66)</f>
        <v>#REF!</v>
      </c>
      <c r="AG29" s="466" t="e">
        <f>IF(AG4=0,"",INDEX(#REF!,#REF!-AG$3,$A29))+('Balance Sheet'!AG65+'Balance Sheet'!AG66-'Balance Sheet'!AF65-'Balance Sheet'!AF66)</f>
        <v>#REF!</v>
      </c>
      <c r="AH29" s="119"/>
      <c r="AI29" s="119"/>
      <c r="AJ29" s="119"/>
      <c r="AK29" s="483" t="str">
        <f t="shared" si="12"/>
        <v/>
      </c>
      <c r="AL29" s="483" t="str">
        <f>IFERROR(RATE(3,,AG29,-AJ29),"")</f>
        <v/>
      </c>
      <c r="AM29" s="484"/>
    </row>
    <row r="30" spans="1:42" s="293" customFormat="1">
      <c r="A30" s="480"/>
      <c r="B30" s="482" t="s">
        <v>148</v>
      </c>
      <c r="C30" s="482"/>
      <c r="D30" s="466" t="str">
        <f>IFERROR(-(D$11+D$12+D$20+D$28+D$29+D$34)-(#REF!+#REF!)-'Cash Flow Statement'!D$33,"")</f>
        <v/>
      </c>
      <c r="E30" s="466" t="str">
        <f>IFERROR(-(E$11+E$12+E$20+E$28+E$29+E$34)-(#REF!+#REF!)-'Cash Flow Statement'!E$33,"")</f>
        <v/>
      </c>
      <c r="F30" s="466" t="str">
        <f>IFERROR(-(F$11+F$12+F$20+F$28+F$29+F$34)-(#REF!+#REF!)-'Cash Flow Statement'!F$33,"")</f>
        <v/>
      </c>
      <c r="G30" s="466" t="str">
        <f>IFERROR(-(G$11+G$12+G$20+G$28+G$29+G$34)-(#REF!+#REF!)-'Cash Flow Statement'!G$33,"")</f>
        <v/>
      </c>
      <c r="H30" s="466" t="str">
        <f>IFERROR(-(H$11+H$12+H$20+H$28+H$29+H$34)-(#REF!+#REF!)-'Cash Flow Statement'!H$33,"")</f>
        <v/>
      </c>
      <c r="I30" s="466" t="str">
        <f>IFERROR(-(I$11+I$12+I$20+I$28+I$29+I$34)-(#REF!+#REF!)-'Cash Flow Statement'!I$33,"")</f>
        <v/>
      </c>
      <c r="J30" s="466" t="str">
        <f>IFERROR(-(J$11+J$12+J$20+J$28+J$29+J$34)-(#REF!+#REF!)-'Cash Flow Statement'!J$33,"")</f>
        <v/>
      </c>
      <c r="K30" s="466" t="str">
        <f>IFERROR(-(K$11+K$12+K$20+K$28+K$29+K$34)-(#REF!+#REF!)-'Cash Flow Statement'!K$33,"")</f>
        <v/>
      </c>
      <c r="L30" s="466" t="str">
        <f>IFERROR(-(L$11+L$12+L$20+L$28+L$29+L$34)-(#REF!+#REF!)-'Cash Flow Statement'!L$33,"")</f>
        <v/>
      </c>
      <c r="M30" s="466" t="str">
        <f>IFERROR(-(M$11+M$12+M$20+M$28+M$29+M$34)-(#REF!+#REF!)-'Cash Flow Statement'!M$33,"")</f>
        <v/>
      </c>
      <c r="N30" s="466" t="str">
        <f>IFERROR(-(N$11+N$12+N$20+N$28+N$29+N$34)-(#REF!+#REF!)-'Cash Flow Statement'!N$33,"")</f>
        <v/>
      </c>
      <c r="O30" s="466" t="str">
        <f>IFERROR(-(O$11+O$12+O$20+O$28+O$29+O$34)-(#REF!+#REF!)-'Cash Flow Statement'!O$33,"")</f>
        <v/>
      </c>
      <c r="P30" s="466" t="str">
        <f>IFERROR(-(P$11+P$12+P$20+P$28+P$29+P$34)-(#REF!+#REF!)-'Cash Flow Statement'!P$33,"")</f>
        <v/>
      </c>
      <c r="Q30" s="466" t="str">
        <f>IFERROR(-(Q$11+Q$12+Q$20+Q$28+Q$29+Q$34)-(#REF!+#REF!)-'Cash Flow Statement'!Q$33,"")</f>
        <v/>
      </c>
      <c r="R30" s="466" t="str">
        <f>IFERROR(-(R$11+R$12+R$20+R$28+R$29+R$34)-(#REF!+#REF!)-'Cash Flow Statement'!R$33,"")</f>
        <v/>
      </c>
      <c r="S30" s="466" t="str">
        <f>IFERROR(-(S$11+S$12+S$20+S$28+S$29+S$34)-(#REF!+#REF!)-'Cash Flow Statement'!S$33,"")</f>
        <v/>
      </c>
      <c r="T30" s="466" t="str">
        <f>IFERROR(-(T$11+T$12+T$20+T$28+T$29+T$34)-(#REF!+#REF!)-'Cash Flow Statement'!T$33,"")</f>
        <v/>
      </c>
      <c r="U30" s="466" t="str">
        <f>IFERROR(-(U$11+U$12+U$20+U$28+U$29+U$34)-(#REF!+#REF!)-'Cash Flow Statement'!U$33,"")</f>
        <v/>
      </c>
      <c r="V30" s="466" t="str">
        <f>IFERROR(-(V$11+V$12+V$20+V$28+V$29+V$34)-(#REF!+#REF!)-'Cash Flow Statement'!V$33,"")</f>
        <v/>
      </c>
      <c r="W30" s="466" t="str">
        <f>IFERROR(-(W$11+W$12+W$20+W$28+W$29+W$34)-(#REF!+#REF!)-'Cash Flow Statement'!W$33,"")</f>
        <v/>
      </c>
      <c r="X30" s="466" t="str">
        <f>IFERROR(-(X$11+X$12+X$20+X$28+X$29+X$34)-(#REF!+#REF!)-'Cash Flow Statement'!X$33,"")</f>
        <v/>
      </c>
      <c r="Y30" s="466" t="str">
        <f>IFERROR(-(Y$11+Y$12+Y$20+Y$28+Y$29+Y$34)-(#REF!+#REF!)-'Cash Flow Statement'!Y$33,"")</f>
        <v/>
      </c>
      <c r="Z30" s="466" t="str">
        <f>IFERROR(-(Z$11+Z$12+Z$20+Z$28+Z$29+Z$34)-(#REF!+#REF!)-'Cash Flow Statement'!Z$33,"")</f>
        <v/>
      </c>
      <c r="AA30" s="466" t="str">
        <f>IFERROR(-(AA$11+AA$12+AA$20+AA$28+AA$29+AA$34)-(#REF!+#REF!)-'Cash Flow Statement'!AA$33,"")</f>
        <v/>
      </c>
      <c r="AB30" s="466" t="str">
        <f>IFERROR(-(AB$11+AB$12+AB$20+AB$28+AB$29+AB$34)-(#REF!+#REF!)-'Cash Flow Statement'!AB$33,"")</f>
        <v/>
      </c>
      <c r="AC30" s="466" t="str">
        <f>IFERROR(-(AC$11+AC$12+AC$20+AC$28+AC$29+AC$34)-(#REF!+#REF!)-'Cash Flow Statement'!AC$33,"")</f>
        <v/>
      </c>
      <c r="AD30" s="466" t="str">
        <f>IFERROR(-(AD$11+AD$12+AD$20+AD$28+AD$29+AD$34)-(#REF!+#REF!)-'Cash Flow Statement'!AD$33,"")</f>
        <v/>
      </c>
      <c r="AE30" s="466" t="str">
        <f>IFERROR(-(AE$11+AE$12+AE$20+AE$28+AE$29+AE$34)-(#REF!+#REF!)-'Cash Flow Statement'!AE$33,"")</f>
        <v/>
      </c>
      <c r="AF30" s="466" t="str">
        <f>IFERROR(-(AF$11+AF$12+AF$20+AF$28+AF$29+AF$34)-(#REF!+#REF!)-'Cash Flow Statement'!AF$33,"")</f>
        <v/>
      </c>
      <c r="AG30" s="466" t="str">
        <f>IFERROR(-(AG$11+AG$12+AG$20+AG$28+AG$29+AG$34)-(#REF!+#REF!)-'Cash Flow Statement'!AG$33,"")</f>
        <v/>
      </c>
      <c r="AH30" s="466" t="str">
        <f>IFERROR(-(AH$11+AH$12+AH$20+AH$28+AH$29+AH$34)-(#REF!+#REF!)-'Cash Flow Statement'!AH$33,"")</f>
        <v/>
      </c>
      <c r="AI30" s="466" t="str">
        <f>IFERROR(-(AI$11+AI$12+AI$20+AI$28+AI$29+AI$34)-(#REF!+#REF!)-'Cash Flow Statement'!AI$33,"")</f>
        <v/>
      </c>
      <c r="AJ30" s="466" t="str">
        <f>IFERROR(-(AJ$11+AJ$12+AJ$20+AJ$28+AJ$29+AJ$34)-(#REF!+#REF!)-'Cash Flow Statement'!AJ$33,"")</f>
        <v/>
      </c>
      <c r="AK30" s="483" t="str">
        <f t="shared" si="12"/>
        <v/>
      </c>
      <c r="AL30" s="483" t="str">
        <f>IFERROR(RATE(3,,AG30,-AJ30),"")</f>
        <v/>
      </c>
      <c r="AM30" s="484"/>
      <c r="AN30" s="466" t="str">
        <f>IFERROR(-(AN$11+AN$12+AN$20+AN$28+AN$29+AN$34)-(#REF!+#REF!)-'Cash Flow Statement'!AN$33,"")</f>
        <v/>
      </c>
      <c r="AO30" s="466" t="str">
        <f>IFERROR(-(AO$11+AO$12+AO$20+AO$28+AO$29+AO$34)-(#REF!+#REF!)-'Cash Flow Statement'!AO$33,"")</f>
        <v/>
      </c>
      <c r="AP30" s="466" t="str">
        <f>IFERROR(-(AP$11+AP$12+AP$20+AP$28+AP$29+AP$34)-(#REF!+#REF!)-'Cash Flow Statement'!AP$33,"")</f>
        <v/>
      </c>
    </row>
    <row r="31" spans="1:42" s="490" customFormat="1">
      <c r="A31" s="477"/>
      <c r="B31" s="486" t="s">
        <v>145</v>
      </c>
      <c r="C31" s="486"/>
      <c r="D31" s="487" t="e">
        <f t="shared" ref="D31" si="13">IF(D4=0,"",SUM(D27:D30))</f>
        <v>#REF!</v>
      </c>
      <c r="E31" s="487" t="e">
        <f t="shared" ref="E31:AF31" si="14">IF(E4=0,"",SUM(E27:E30))</f>
        <v>#REF!</v>
      </c>
      <c r="F31" s="487" t="e">
        <f t="shared" si="14"/>
        <v>#REF!</v>
      </c>
      <c r="G31" s="487" t="e">
        <f t="shared" si="14"/>
        <v>#REF!</v>
      </c>
      <c r="H31" s="487" t="e">
        <f t="shared" si="14"/>
        <v>#REF!</v>
      </c>
      <c r="I31" s="487" t="e">
        <f t="shared" si="14"/>
        <v>#REF!</v>
      </c>
      <c r="J31" s="487" t="e">
        <f t="shared" si="14"/>
        <v>#REF!</v>
      </c>
      <c r="K31" s="487" t="e">
        <f t="shared" si="14"/>
        <v>#REF!</v>
      </c>
      <c r="L31" s="487" t="e">
        <f t="shared" si="14"/>
        <v>#REF!</v>
      </c>
      <c r="M31" s="487" t="e">
        <f t="shared" si="14"/>
        <v>#REF!</v>
      </c>
      <c r="N31" s="487" t="e">
        <f t="shared" si="14"/>
        <v>#REF!</v>
      </c>
      <c r="O31" s="487" t="e">
        <f t="shared" si="14"/>
        <v>#REF!</v>
      </c>
      <c r="P31" s="487" t="e">
        <f t="shared" si="14"/>
        <v>#REF!</v>
      </c>
      <c r="Q31" s="487" t="e">
        <f t="shared" si="14"/>
        <v>#REF!</v>
      </c>
      <c r="R31" s="487" t="e">
        <f t="shared" si="14"/>
        <v>#REF!</v>
      </c>
      <c r="S31" s="487" t="e">
        <f t="shared" si="14"/>
        <v>#REF!</v>
      </c>
      <c r="T31" s="487" t="e">
        <f t="shared" si="14"/>
        <v>#REF!</v>
      </c>
      <c r="U31" s="487" t="e">
        <f t="shared" si="14"/>
        <v>#REF!</v>
      </c>
      <c r="V31" s="487" t="e">
        <f t="shared" si="14"/>
        <v>#REF!</v>
      </c>
      <c r="W31" s="487" t="e">
        <f t="shared" si="14"/>
        <v>#REF!</v>
      </c>
      <c r="X31" s="487" t="e">
        <f t="shared" si="14"/>
        <v>#REF!</v>
      </c>
      <c r="Y31" s="487" t="e">
        <f t="shared" si="14"/>
        <v>#REF!</v>
      </c>
      <c r="Z31" s="487" t="e">
        <f t="shared" si="14"/>
        <v>#REF!</v>
      </c>
      <c r="AA31" s="487" t="e">
        <f t="shared" si="14"/>
        <v>#REF!</v>
      </c>
      <c r="AB31" s="487" t="e">
        <f t="shared" si="14"/>
        <v>#REF!</v>
      </c>
      <c r="AC31" s="487" t="e">
        <f t="shared" si="14"/>
        <v>#REF!</v>
      </c>
      <c r="AD31" s="487" t="e">
        <f t="shared" si="14"/>
        <v>#REF!</v>
      </c>
      <c r="AE31" s="487" t="e">
        <f t="shared" si="14"/>
        <v>#REF!</v>
      </c>
      <c r="AF31" s="487" t="e">
        <f t="shared" si="14"/>
        <v>#REF!</v>
      </c>
      <c r="AG31" s="487" t="e">
        <f>IF(AG4=0,"",SUM(AG27:AG30))</f>
        <v>#REF!</v>
      </c>
      <c r="AH31" s="487" t="e">
        <f>IF(AH$3&lt;-#REF!,"",SUM(AH27:AH30))</f>
        <v>#REF!</v>
      </c>
      <c r="AI31" s="487" t="e">
        <f>IF(AI$3&lt;-#REF!,"",SUM(AI27:AI30))</f>
        <v>#REF!</v>
      </c>
      <c r="AJ31" s="487" t="e">
        <f>IF(AJ$3&lt;-#REF!,"",SUM(AJ27:AJ30))</f>
        <v>#REF!</v>
      </c>
      <c r="AK31" s="488" t="str">
        <f t="shared" si="12"/>
        <v/>
      </c>
      <c r="AL31" s="488" t="str">
        <f>IFERROR(RATE(3,,AG31,-AJ31),"")</f>
        <v/>
      </c>
      <c r="AM31" s="489"/>
      <c r="AN31" s="487" t="e">
        <f>IF(AN$3&lt;-#REF!,"",SUM(AN27:AN30))</f>
        <v>#REF!</v>
      </c>
      <c r="AO31" s="487" t="e">
        <f>IF(AO$3&lt;-#REF!,"",SUM(AO27:AO30))</f>
        <v>#REF!</v>
      </c>
      <c r="AP31" s="487" t="e">
        <f>IF(AP$3&lt;-#REF!,"",SUM(AP27:AP30))</f>
        <v>#REF!</v>
      </c>
    </row>
    <row r="32" spans="1:42">
      <c r="A32" s="480"/>
      <c r="B32" s="482"/>
      <c r="C32" s="482"/>
      <c r="D32" s="447"/>
      <c r="E32" s="447"/>
      <c r="F32" s="447"/>
      <c r="G32" s="447"/>
      <c r="H32" s="447"/>
      <c r="I32" s="447"/>
      <c r="J32" s="447"/>
      <c r="K32" s="447"/>
      <c r="L32" s="447"/>
      <c r="M32" s="447"/>
      <c r="N32" s="447"/>
      <c r="O32" s="447"/>
      <c r="P32" s="447"/>
      <c r="Q32" s="447"/>
      <c r="R32" s="447"/>
      <c r="S32" s="447"/>
      <c r="T32" s="447"/>
      <c r="U32" s="447"/>
      <c r="V32" s="447"/>
      <c r="W32" s="447"/>
      <c r="X32" s="447"/>
      <c r="Y32" s="447"/>
      <c r="Z32" s="447"/>
      <c r="AA32" s="447"/>
      <c r="AB32" s="447"/>
      <c r="AC32" s="447"/>
      <c r="AD32" s="447"/>
      <c r="AE32" s="447"/>
      <c r="AF32" s="447"/>
      <c r="AG32" s="447"/>
      <c r="AH32" s="447"/>
      <c r="AI32" s="447"/>
      <c r="AJ32" s="447"/>
      <c r="AK32" s="448"/>
      <c r="AL32" s="448"/>
      <c r="AM32" s="297"/>
      <c r="AN32" s="447"/>
      <c r="AO32" s="447"/>
      <c r="AP32" s="447"/>
    </row>
    <row r="33" spans="1:42" s="293" customFormat="1" ht="15.75" thickBot="1">
      <c r="A33" s="51" t="e">
        <f>#REF!</f>
        <v>#REF!</v>
      </c>
      <c r="B33" s="493" t="s">
        <v>149</v>
      </c>
      <c r="C33" s="493"/>
      <c r="D33" s="2" t="e">
        <f>IF(D4=0,"",INDEX(#REF!,#REF!-D$3,$A33))</f>
        <v>#REF!</v>
      </c>
      <c r="E33" s="2" t="e">
        <f>IF(E4=0,"",INDEX(#REF!,#REF!-E$3,$A33))</f>
        <v>#REF!</v>
      </c>
      <c r="F33" s="2" t="e">
        <f>IF(F4=0,"",INDEX(#REF!,#REF!-F$3,$A33))</f>
        <v>#REF!</v>
      </c>
      <c r="G33" s="2" t="e">
        <f>IF(G4=0,"",INDEX(#REF!,#REF!-G$3,$A33))</f>
        <v>#REF!</v>
      </c>
      <c r="H33" s="2" t="e">
        <f>IF(H4=0,"",INDEX(#REF!,#REF!-H$3,$A33))</f>
        <v>#REF!</v>
      </c>
      <c r="I33" s="2" t="e">
        <f>IF(I4=0,"",INDEX(#REF!,#REF!-I$3,$A33))</f>
        <v>#REF!</v>
      </c>
      <c r="J33" s="2" t="e">
        <f>IF(J4=0,"",INDEX(#REF!,#REF!-J$3,$A33))</f>
        <v>#REF!</v>
      </c>
      <c r="K33" s="2" t="e">
        <f>IF(K4=0,"",INDEX(#REF!,#REF!-K$3,$A33))</f>
        <v>#REF!</v>
      </c>
      <c r="L33" s="2" t="e">
        <f>IF(L4=0,"",INDEX(#REF!,#REF!-L$3,$A33))</f>
        <v>#REF!</v>
      </c>
      <c r="M33" s="2" t="e">
        <f>IF(M4=0,"",INDEX(#REF!,#REF!-M$3,$A33))</f>
        <v>#REF!</v>
      </c>
      <c r="N33" s="2" t="e">
        <f>IF(N4=0,"",INDEX(#REF!,#REF!-N$3,$A33))</f>
        <v>#REF!</v>
      </c>
      <c r="O33" s="2" t="e">
        <f>IF(O4=0,"",INDEX(#REF!,#REF!-O$3,$A33))</f>
        <v>#REF!</v>
      </c>
      <c r="P33" s="2" t="e">
        <f>IF(P4=0,"",INDEX(#REF!,#REF!-P$3,$A33))</f>
        <v>#REF!</v>
      </c>
      <c r="Q33" s="2" t="e">
        <f>IF(Q4=0,"",INDEX(#REF!,#REF!-Q$3,$A33))</f>
        <v>#REF!</v>
      </c>
      <c r="R33" s="2" t="e">
        <f>IF(R4=0,"",INDEX(#REF!,#REF!-R$3,$A33))</f>
        <v>#REF!</v>
      </c>
      <c r="S33" s="2" t="e">
        <f>IF(S4=0,"",INDEX(#REF!,#REF!-S$3,$A33))</f>
        <v>#REF!</v>
      </c>
      <c r="T33" s="2" t="e">
        <f>IF(T4=0,"",INDEX(#REF!,#REF!-T$3,$A33))</f>
        <v>#REF!</v>
      </c>
      <c r="U33" s="2" t="e">
        <f>IF(U4=0,"",INDEX(#REF!,#REF!-U$3,$A33))</f>
        <v>#REF!</v>
      </c>
      <c r="V33" s="2" t="e">
        <f>IF(V4=0,"",INDEX(#REF!,#REF!-V$3,$A33))</f>
        <v>#REF!</v>
      </c>
      <c r="W33" s="2" t="e">
        <f>IF(W4=0,"",INDEX(#REF!,#REF!-W$3,$A33))</f>
        <v>#REF!</v>
      </c>
      <c r="X33" s="2" t="e">
        <f>IF(X4=0,"",INDEX(#REF!,#REF!-X$3,$A33))</f>
        <v>#REF!</v>
      </c>
      <c r="Y33" s="2" t="e">
        <f>IF(Y4=0,"",INDEX(#REF!,#REF!-Y$3,$A33))</f>
        <v>#REF!</v>
      </c>
      <c r="Z33" s="2" t="e">
        <f>IF(Z4=0,"",INDEX(#REF!,#REF!-Z$3,$A33))</f>
        <v>#REF!</v>
      </c>
      <c r="AA33" s="2" t="e">
        <f>IF(AA4=0,"",INDEX(#REF!,#REF!-AA$3,$A33))</f>
        <v>#REF!</v>
      </c>
      <c r="AB33" s="2" t="e">
        <f>IF(AB4=0,"",INDEX(#REF!,#REF!-AB$3,$A33))</f>
        <v>#REF!</v>
      </c>
      <c r="AC33" s="2" t="e">
        <f>IF(AC4=0,"",INDEX(#REF!,#REF!-AC$3,$A33))</f>
        <v>#REF!</v>
      </c>
      <c r="AD33" s="2" t="e">
        <f>IF(AD4=0,"",INDEX(#REF!,#REF!-AD$3,$A33))</f>
        <v>#REF!</v>
      </c>
      <c r="AE33" s="2" t="e">
        <f>IF(AE4=0,"",INDEX(#REF!,#REF!-AE$3,$A33))</f>
        <v>#REF!</v>
      </c>
      <c r="AF33" s="2" t="e">
        <f>IF(AF4=0,"",INDEX(#REF!,#REF!-AF$3,$A33))</f>
        <v>#REF!</v>
      </c>
      <c r="AG33" s="2" t="e">
        <f>IF(AG4=0,"",INDEX(#REF!,#REF!-AG$3,$A33))</f>
        <v>#REF!</v>
      </c>
      <c r="AH33" s="494" t="e">
        <f>-('Balance Sheet'!AH228+#REF!)</f>
        <v>#REF!</v>
      </c>
      <c r="AI33" s="494" t="e">
        <f>-('Balance Sheet'!AI228+#REF!)</f>
        <v>#REF!</v>
      </c>
      <c r="AJ33" s="494" t="e">
        <f>-('Balance Sheet'!AJ228+#REF!)</f>
        <v>#REF!</v>
      </c>
      <c r="AK33" s="483" t="str">
        <f t="shared" ref="AK33:AK35" si="15">IFERROR(RATE(3,,AD33,-AG33),"")</f>
        <v/>
      </c>
      <c r="AL33" s="483" t="str">
        <f>IFERROR(RATE(3,,AG33,-AJ33),"")</f>
        <v/>
      </c>
      <c r="AM33" s="495"/>
      <c r="AN33" s="494" t="e">
        <f>-('Balance Sheet'!AM228+#REF!)</f>
        <v>#REF!</v>
      </c>
      <c r="AO33" s="494" t="e">
        <f>-('Balance Sheet'!AN228+#REF!)</f>
        <v>#REF!</v>
      </c>
      <c r="AP33" s="494" t="e">
        <f>-('Balance Sheet'!AO228+#REF!)</f>
        <v>#REF!</v>
      </c>
    </row>
    <row r="34" spans="1:42" ht="15.75" thickBot="1">
      <c r="A34" s="51" t="e">
        <f>#REF!</f>
        <v>#REF!</v>
      </c>
      <c r="B34" s="293" t="s">
        <v>102</v>
      </c>
      <c r="D34" s="2" t="str">
        <f>IFERROR(IF(D4=0,"",INDEX(#REF!,#REF!-D$3,$A34))-D33-D35-D40,"")</f>
        <v/>
      </c>
      <c r="E34" s="2" t="str">
        <f>IFERROR(IF(E4=0,"",INDEX(#REF!,#REF!-E$3,$A34))-E33-E35-E40,"")</f>
        <v/>
      </c>
      <c r="F34" s="2" t="str">
        <f>IFERROR(IF(F4=0,"",INDEX(#REF!,#REF!-F$3,$A34))-F33-F35-F40,"")</f>
        <v/>
      </c>
      <c r="G34" s="2" t="str">
        <f>IFERROR(IF(G4=0,"",INDEX(#REF!,#REF!-G$3,$A34))-G33-G35-G40,"")</f>
        <v/>
      </c>
      <c r="H34" s="2" t="str">
        <f>IFERROR(IF(H4=0,"",INDEX(#REF!,#REF!-H$3,$A34))-H33-H35-H40,"")</f>
        <v/>
      </c>
      <c r="I34" s="2" t="str">
        <f>IFERROR(IF(I4=0,"",INDEX(#REF!,#REF!-I$3,$A34))-I33-I35-I40,"")</f>
        <v/>
      </c>
      <c r="J34" s="2" t="str">
        <f>IFERROR(IF(J4=0,"",INDEX(#REF!,#REF!-J$3,$A34))-J33-J35-J40,"")</f>
        <v/>
      </c>
      <c r="K34" s="2" t="str">
        <f>IFERROR(IF(K4=0,"",INDEX(#REF!,#REF!-K$3,$A34))-K33-K35-K40,"")</f>
        <v/>
      </c>
      <c r="L34" s="2" t="str">
        <f>IFERROR(IF(L4=0,"",INDEX(#REF!,#REF!-L$3,$A34))-L33-L35-L40,"")</f>
        <v/>
      </c>
      <c r="M34" s="2" t="str">
        <f>IFERROR(IF(M4=0,"",INDEX(#REF!,#REF!-M$3,$A34))-M33-M35-M40,"")</f>
        <v/>
      </c>
      <c r="N34" s="2" t="str">
        <f>IFERROR(IF(N4=0,"",INDEX(#REF!,#REF!-N$3,$A34))-N33-N35-N40,"")</f>
        <v/>
      </c>
      <c r="O34" s="2" t="str">
        <f>IFERROR(IF(O4=0,"",INDEX(#REF!,#REF!-O$3,$A34))-O33-O35-O40,"")</f>
        <v/>
      </c>
      <c r="P34" s="2" t="str">
        <f>IFERROR(IF(P4=0,"",INDEX(#REF!,#REF!-P$3,$A34))-P33-P35-P40,"")</f>
        <v/>
      </c>
      <c r="Q34" s="2" t="str">
        <f>IFERROR(IF(Q4=0,"",INDEX(#REF!,#REF!-Q$3,$A34))-Q33-Q35-Q40,"")</f>
        <v/>
      </c>
      <c r="R34" s="2" t="str">
        <f>IFERROR(IF(R4=0,"",INDEX(#REF!,#REF!-R$3,$A34))-R33-R35-R40,"")</f>
        <v/>
      </c>
      <c r="S34" s="2" t="str">
        <f>IFERROR(IF(S4=0,"",INDEX(#REF!,#REF!-S$3,$A34))-S33-S35-S40,"")</f>
        <v/>
      </c>
      <c r="T34" s="2" t="str">
        <f>IFERROR(IF(T4=0,"",INDEX(#REF!,#REF!-T$3,$A34))-T33-T35-T40,"")</f>
        <v/>
      </c>
      <c r="U34" s="2" t="str">
        <f>IFERROR(IF(U4=0,"",INDEX(#REF!,#REF!-U$3,$A34))-U33-U35-U40,"")</f>
        <v/>
      </c>
      <c r="V34" s="2" t="str">
        <f>IFERROR(IF(V4=0,"",INDEX(#REF!,#REF!-V$3,$A34))-V33-V35-V40,"")</f>
        <v/>
      </c>
      <c r="W34" s="2" t="str">
        <f>IFERROR(IF(W4=0,"",INDEX(#REF!,#REF!-W$3,$A34))-W33-W35-W40,"")</f>
        <v/>
      </c>
      <c r="X34" s="2" t="str">
        <f>IFERROR(IF(X4=0,"",INDEX(#REF!,#REF!-X$3,$A34))-X33-X35-X40,"")</f>
        <v/>
      </c>
      <c r="Y34" s="2" t="str">
        <f>IFERROR(IF(Y4=0,"",INDEX(#REF!,#REF!-Y$3,$A34))-Y33-Y35-Y40,"")</f>
        <v/>
      </c>
      <c r="Z34" s="2" t="str">
        <f>IFERROR(IF(Z4=0,"",INDEX(#REF!,#REF!-Z$3,$A34))-Z33-Z35-Z40,"")</f>
        <v/>
      </c>
      <c r="AA34" s="2" t="str">
        <f>IFERROR(IF(AA4=0,"",INDEX(#REF!,#REF!-AA$3,$A34))-AA33-AA35-AA40,"")</f>
        <v/>
      </c>
      <c r="AB34" s="2" t="str">
        <f>IFERROR(IF(AB4=0,"",INDEX(#REF!,#REF!-AB$3,$A34))-AB33-AB35-AB40,"")</f>
        <v/>
      </c>
      <c r="AC34" s="2" t="str">
        <f>IFERROR(IF(AC4=0,"",INDEX(#REF!,#REF!-AC$3,$A34))-AC33-AC35-AC40,"")</f>
        <v/>
      </c>
      <c r="AD34" s="2" t="str">
        <f>IFERROR(IF(AD4=0,"",INDEX(#REF!,#REF!-AD$3,$A34))-AD33-AD35-AD40,"")</f>
        <v/>
      </c>
      <c r="AE34" s="2" t="str">
        <f>IFERROR(IF(AE4=0,"",INDEX(#REF!,#REF!-AE$3,$A34))-AE33-AE35-AE40,"")</f>
        <v/>
      </c>
      <c r="AF34" s="2" t="str">
        <f>IFERROR(IF(AF4=0,"",INDEX(#REF!,#REF!-AF$3,$A34))-AF33-AF35-AF40,"")</f>
        <v/>
      </c>
      <c r="AG34" s="2" t="str">
        <f>IFERROR(IF(AG4=0,"",INDEX(#REF!,#REF!-AG$3,$A34))-AG33-AG35-AG40,"")</f>
        <v/>
      </c>
      <c r="AH34" s="119"/>
      <c r="AI34" s="119"/>
      <c r="AJ34" s="119"/>
      <c r="AK34" s="483" t="str">
        <f t="shared" si="15"/>
        <v/>
      </c>
      <c r="AL34" s="483" t="str">
        <f>IFERROR(RATE(3,,AG34,-AJ34),"")</f>
        <v/>
      </c>
    </row>
    <row r="35" spans="1:42">
      <c r="B35" s="349" t="s">
        <v>99</v>
      </c>
      <c r="C35" s="349"/>
      <c r="D35" s="447" t="e">
        <f>IF(D4=0,"",('Balance Sheet'!D$37-'Balance Sheet'!C$37))</f>
        <v>#REF!</v>
      </c>
      <c r="E35" s="447" t="e">
        <f>IF(E4=0,"",('Balance Sheet'!E$37-'Balance Sheet'!D$37))</f>
        <v>#REF!</v>
      </c>
      <c r="F35" s="447" t="e">
        <f>IF(F4=0,"",('Balance Sheet'!F$37-'Balance Sheet'!E$37))</f>
        <v>#REF!</v>
      </c>
      <c r="G35" s="447" t="e">
        <f>IF(G4=0,"",('Balance Sheet'!G$37-'Balance Sheet'!F$37))</f>
        <v>#REF!</v>
      </c>
      <c r="H35" s="447" t="e">
        <f>IF(H4=0,"",('Balance Sheet'!H$37-'Balance Sheet'!G$37))</f>
        <v>#REF!</v>
      </c>
      <c r="I35" s="447" t="e">
        <f>IF(I4=0,"",('Balance Sheet'!I$37-'Balance Sheet'!H$37))</f>
        <v>#REF!</v>
      </c>
      <c r="J35" s="447" t="e">
        <f>IF(J4=0,"",('Balance Sheet'!J$37-'Balance Sheet'!I$37))</f>
        <v>#REF!</v>
      </c>
      <c r="K35" s="447" t="e">
        <f>IF(K4=0,"",('Balance Sheet'!K$37-'Balance Sheet'!J$37))</f>
        <v>#REF!</v>
      </c>
      <c r="L35" s="447" t="e">
        <f>IF(L4=0,"",('Balance Sheet'!L$37-'Balance Sheet'!K$37))</f>
        <v>#REF!</v>
      </c>
      <c r="M35" s="447" t="e">
        <f>IF(M4=0,"",('Balance Sheet'!M$37-'Balance Sheet'!L$37))</f>
        <v>#REF!</v>
      </c>
      <c r="N35" s="447" t="e">
        <f>IF(N4=0,"",('Balance Sheet'!N$37-'Balance Sheet'!M$37))</f>
        <v>#REF!</v>
      </c>
      <c r="O35" s="447" t="e">
        <f>IF(O4=0,"",('Balance Sheet'!O$37-'Balance Sheet'!N$37))</f>
        <v>#REF!</v>
      </c>
      <c r="P35" s="447" t="e">
        <f>IF(P4=0,"",('Balance Sheet'!P$37-'Balance Sheet'!O$37))</f>
        <v>#REF!</v>
      </c>
      <c r="Q35" s="447" t="e">
        <f>IF(Q4=0,"",('Balance Sheet'!Q$37-'Balance Sheet'!P$37))</f>
        <v>#REF!</v>
      </c>
      <c r="R35" s="447" t="e">
        <f>IF(R4=0,"",('Balance Sheet'!R$37-'Balance Sheet'!Q$37))</f>
        <v>#REF!</v>
      </c>
      <c r="S35" s="447" t="e">
        <f>IF(S4=0,"",('Balance Sheet'!S$37-'Balance Sheet'!R$37))</f>
        <v>#REF!</v>
      </c>
      <c r="T35" s="447" t="e">
        <f>IF(T4=0,"",('Balance Sheet'!T$37-'Balance Sheet'!S$37))</f>
        <v>#REF!</v>
      </c>
      <c r="U35" s="447" t="e">
        <f>IF(U4=0,"",('Balance Sheet'!U$37-'Balance Sheet'!T$37))</f>
        <v>#REF!</v>
      </c>
      <c r="V35" s="447" t="e">
        <f>IF(V4=0,"",('Balance Sheet'!V$37-'Balance Sheet'!U$37))</f>
        <v>#REF!</v>
      </c>
      <c r="W35" s="447" t="e">
        <f>IF(W4=0,"",('Balance Sheet'!W$37-'Balance Sheet'!V$37))</f>
        <v>#REF!</v>
      </c>
      <c r="X35" s="447" t="e">
        <f>IF(X4=0,"",('Balance Sheet'!X$37-'Balance Sheet'!W$37))</f>
        <v>#REF!</v>
      </c>
      <c r="Y35" s="447" t="e">
        <f>IF(Y4=0,"",('Balance Sheet'!Y$37-'Balance Sheet'!X$37))</f>
        <v>#REF!</v>
      </c>
      <c r="Z35" s="447" t="e">
        <f>IF(Z4=0,"",('Balance Sheet'!Z$37-'Balance Sheet'!Y$37))</f>
        <v>#REF!</v>
      </c>
      <c r="AA35" s="447" t="e">
        <f>IF(AA4=0,"",('Balance Sheet'!AA$37-'Balance Sheet'!Z$37))</f>
        <v>#REF!</v>
      </c>
      <c r="AB35" s="447" t="e">
        <f>IF(AB4=0,"",('Balance Sheet'!AB$37-'Balance Sheet'!AA$37))</f>
        <v>#REF!</v>
      </c>
      <c r="AC35" s="447" t="e">
        <f>IF(AC4=0,"",('Balance Sheet'!AC$37-'Balance Sheet'!AB$37))</f>
        <v>#REF!</v>
      </c>
      <c r="AD35" s="447" t="e">
        <f>IF(AD4=0,"",('Balance Sheet'!AD$37-'Balance Sheet'!AC$37))</f>
        <v>#REF!</v>
      </c>
      <c r="AE35" s="447" t="e">
        <f>IF(AE4=0,"",('Balance Sheet'!AE$37-'Balance Sheet'!AD$37))</f>
        <v>#REF!</v>
      </c>
      <c r="AF35" s="447" t="e">
        <f>IF(AF4=0,"",('Balance Sheet'!AF$37-'Balance Sheet'!AE$37))</f>
        <v>#REF!</v>
      </c>
      <c r="AG35" s="447" t="e">
        <f>IF(AG4=0,"",('Balance Sheet'!AG$37-'Balance Sheet'!AF$37))</f>
        <v>#REF!</v>
      </c>
      <c r="AH35" s="447" t="e">
        <f>('Balance Sheet'!AH$37-'Balance Sheet'!AG$37)</f>
        <v>#REF!</v>
      </c>
      <c r="AI35" s="447" t="e">
        <f>('Balance Sheet'!AI$37-'Balance Sheet'!AH$37)</f>
        <v>#REF!</v>
      </c>
      <c r="AJ35" s="447" t="e">
        <f>('Balance Sheet'!AJ$37-'Balance Sheet'!AI$37)</f>
        <v>#REF!</v>
      </c>
      <c r="AK35" s="448" t="str">
        <f t="shared" si="15"/>
        <v/>
      </c>
      <c r="AL35" s="448" t="str">
        <f>IFERROR(RATE(3,,AG35,-AJ35),"")</f>
        <v/>
      </c>
      <c r="AM35" s="297"/>
      <c r="AN35" s="447" t="e">
        <f>('Balance Sheet'!AM$37-'Balance Sheet'!AG$37)</f>
        <v>#REF!</v>
      </c>
      <c r="AO35" s="447" t="e">
        <f>('Balance Sheet'!AN$37-'Balance Sheet'!AM$37)</f>
        <v>#REF!</v>
      </c>
      <c r="AP35" s="447" t="e">
        <f>('Balance Sheet'!AO$37-'Balance Sheet'!AN$37)</f>
        <v>#REF!</v>
      </c>
    </row>
    <row r="36" spans="1:42" s="294" customFormat="1">
      <c r="A36" s="348"/>
      <c r="B36" s="350"/>
      <c r="C36" s="350"/>
      <c r="D36" s="496"/>
      <c r="E36" s="496"/>
      <c r="F36" s="496"/>
      <c r="G36" s="496"/>
      <c r="H36" s="496"/>
      <c r="I36" s="496"/>
      <c r="J36" s="496"/>
      <c r="K36" s="496"/>
      <c r="L36" s="496"/>
      <c r="M36" s="496"/>
      <c r="N36" s="496"/>
      <c r="O36" s="496"/>
      <c r="P36" s="496"/>
      <c r="Q36" s="496"/>
      <c r="R36" s="496"/>
      <c r="S36" s="496"/>
      <c r="T36" s="496"/>
      <c r="U36" s="496"/>
      <c r="V36" s="496"/>
      <c r="W36" s="496"/>
      <c r="X36" s="496"/>
      <c r="Y36" s="496"/>
      <c r="Z36" s="496"/>
      <c r="AA36" s="496"/>
      <c r="AB36" s="496"/>
      <c r="AC36" s="496"/>
      <c r="AD36" s="496"/>
      <c r="AE36" s="496"/>
      <c r="AF36" s="496"/>
      <c r="AG36" s="496"/>
      <c r="AH36" s="496"/>
      <c r="AI36" s="496"/>
      <c r="AJ36" s="496"/>
      <c r="AK36" s="469"/>
      <c r="AL36" s="469"/>
      <c r="AM36" s="492"/>
      <c r="AN36" s="496"/>
      <c r="AO36" s="496"/>
      <c r="AP36" s="496"/>
    </row>
    <row r="37" spans="1:42" s="303" customFormat="1" ht="12">
      <c r="A37" s="316"/>
      <c r="B37" s="299" t="s">
        <v>24</v>
      </c>
      <c r="C37" s="299"/>
      <c r="D37" s="497" t="str">
        <f>IFERROR(IF(D4=0,"",('Balance Sheet'!D$39-'Balance Sheet'!C$39)),"")</f>
        <v/>
      </c>
      <c r="E37" s="497" t="str">
        <f>IFERROR(IF(E4=0,"",('Balance Sheet'!E$39-'Balance Sheet'!D$39)),"")</f>
        <v/>
      </c>
      <c r="F37" s="497" t="str">
        <f>IFERROR(IF(F4=0,"",('Balance Sheet'!F$39-'Balance Sheet'!E$39)),"")</f>
        <v/>
      </c>
      <c r="G37" s="497" t="str">
        <f>IFERROR(IF(G4=0,"",('Balance Sheet'!G$39-'Balance Sheet'!F$39)),"")</f>
        <v/>
      </c>
      <c r="H37" s="497" t="str">
        <f>IFERROR(IF(H4=0,"",('Balance Sheet'!H$39-'Balance Sheet'!G$39)),"")</f>
        <v/>
      </c>
      <c r="I37" s="497" t="str">
        <f>IFERROR(IF(I4=0,"",('Balance Sheet'!I$39-'Balance Sheet'!H$39)),"")</f>
        <v/>
      </c>
      <c r="J37" s="497" t="str">
        <f>IFERROR(IF(J4=0,"",('Balance Sheet'!J$39-'Balance Sheet'!I$39)),"")</f>
        <v/>
      </c>
      <c r="K37" s="497" t="str">
        <f>IFERROR(IF(K4=0,"",('Balance Sheet'!K$39-'Balance Sheet'!J$39)),"")</f>
        <v/>
      </c>
      <c r="L37" s="497" t="str">
        <f>IFERROR(IF(L4=0,"",('Balance Sheet'!L$39-'Balance Sheet'!K$39)),"")</f>
        <v/>
      </c>
      <c r="M37" s="497" t="str">
        <f>IFERROR(IF(M4=0,"",('Balance Sheet'!M$39-'Balance Sheet'!L$39)),"")</f>
        <v/>
      </c>
      <c r="N37" s="497" t="str">
        <f>IFERROR(IF(N4=0,"",('Balance Sheet'!N$39-'Balance Sheet'!M$39)),"")</f>
        <v/>
      </c>
      <c r="O37" s="497" t="str">
        <f>IFERROR(IF(O4=0,"",('Balance Sheet'!O$39-'Balance Sheet'!N$39)),"")</f>
        <v/>
      </c>
      <c r="P37" s="497" t="str">
        <f>IFERROR(IF(P4=0,"",('Balance Sheet'!P$39-'Balance Sheet'!O$39)),"")</f>
        <v/>
      </c>
      <c r="Q37" s="497" t="str">
        <f>IFERROR(IF(Q4=0,"",('Balance Sheet'!Q$39-'Balance Sheet'!P$39)),"")</f>
        <v/>
      </c>
      <c r="R37" s="497" t="str">
        <f>IFERROR(IF(R4=0,"",('Balance Sheet'!R$39-'Balance Sheet'!Q$39)),"")</f>
        <v/>
      </c>
      <c r="S37" s="497" t="str">
        <f>IFERROR(IF(S4=0,"",('Balance Sheet'!S$39-'Balance Sheet'!R$39)),"")</f>
        <v/>
      </c>
      <c r="T37" s="497" t="str">
        <f>IFERROR(IF(T4=0,"",('Balance Sheet'!T$39-'Balance Sheet'!S$39)),"")</f>
        <v/>
      </c>
      <c r="U37" s="497" t="str">
        <f>IFERROR(IF(U4=0,"",('Balance Sheet'!U$39-'Balance Sheet'!T$39)),"")</f>
        <v/>
      </c>
      <c r="V37" s="497" t="str">
        <f>IFERROR(IF(V4=0,"",('Balance Sheet'!V$39-'Balance Sheet'!U$39)),"")</f>
        <v/>
      </c>
      <c r="W37" s="497" t="str">
        <f>IFERROR(IF(W4=0,"",('Balance Sheet'!W$39-'Balance Sheet'!V$39)),"")</f>
        <v/>
      </c>
      <c r="X37" s="497" t="str">
        <f>IFERROR(IF(X4=0,"",('Balance Sheet'!X$39-'Balance Sheet'!W$39)),"")</f>
        <v/>
      </c>
      <c r="Y37" s="497" t="str">
        <f>IFERROR(IF(Y4=0,"",('Balance Sheet'!Y$39-'Balance Sheet'!X$39)),"")</f>
        <v/>
      </c>
      <c r="Z37" s="497" t="str">
        <f>IFERROR(IF(Z4=0,"",('Balance Sheet'!Z$39-'Balance Sheet'!Y$39)),"")</f>
        <v/>
      </c>
      <c r="AA37" s="497" t="str">
        <f>IFERROR(IF(AA4=0,"",('Balance Sheet'!AA$39-'Balance Sheet'!Z$39)),"")</f>
        <v/>
      </c>
      <c r="AB37" s="497" t="str">
        <f>IFERROR(IF(AB4=0,"",('Balance Sheet'!AB$39-'Balance Sheet'!AA$39)),"")</f>
        <v/>
      </c>
      <c r="AC37" s="497" t="str">
        <f>IFERROR(IF(AC4=0,"",('Balance Sheet'!AC$39-'Balance Sheet'!AB$39)),"")</f>
        <v/>
      </c>
      <c r="AD37" s="497" t="str">
        <f>IFERROR(IF(AD4=0,"",('Balance Sheet'!AD$39-'Balance Sheet'!AC$39)),"")</f>
        <v/>
      </c>
      <c r="AE37" s="497" t="str">
        <f>IFERROR(IF(AE4=0,"",('Balance Sheet'!AE$39-'Balance Sheet'!AD$39)),"")</f>
        <v/>
      </c>
      <c r="AF37" s="497" t="str">
        <f>IFERROR(IF(AF4=0,"",('Balance Sheet'!AF$39-'Balance Sheet'!AE$39)),"")</f>
        <v/>
      </c>
      <c r="AG37" s="497" t="str">
        <f>IFERROR(IF(AG4=0,"",('Balance Sheet'!AG$39-'Balance Sheet'!AF$39)),"")</f>
        <v/>
      </c>
      <c r="AH37" s="497" t="e">
        <f>('Balance Sheet'!AH$39-'Balance Sheet'!AG$39)</f>
        <v>#REF!</v>
      </c>
      <c r="AI37" s="497" t="e">
        <f>('Balance Sheet'!AI$39-'Balance Sheet'!AH$39)</f>
        <v>#REF!</v>
      </c>
      <c r="AJ37" s="497" t="e">
        <f>('Balance Sheet'!AJ$39-'Balance Sheet'!AI$39)</f>
        <v>#REF!</v>
      </c>
      <c r="AK37" s="453" t="str">
        <f t="shared" ref="AK37:AK40" si="16">IFERROR(RATE(3,,AD37,-AG37),"")</f>
        <v/>
      </c>
      <c r="AL37" s="453" t="str">
        <f>IFERROR(RATE(3,,AG37,-AJ37),"")</f>
        <v/>
      </c>
      <c r="AM37" s="473"/>
      <c r="AN37" s="497" t="e">
        <f>('Balance Sheet'!AM$39-'Balance Sheet'!AG$39)</f>
        <v>#REF!</v>
      </c>
      <c r="AO37" s="497" t="e">
        <f>('Balance Sheet'!AN$39-'Balance Sheet'!AM$39)</f>
        <v>#REF!</v>
      </c>
      <c r="AP37" s="497" t="e">
        <f>('Balance Sheet'!AO$39-'Balance Sheet'!AN$39)</f>
        <v>#REF!</v>
      </c>
    </row>
    <row r="38" spans="1:42" s="303" customFormat="1" ht="12">
      <c r="A38" s="316"/>
      <c r="B38" s="299" t="s">
        <v>100</v>
      </c>
      <c r="C38" s="299"/>
      <c r="D38" s="497" t="str">
        <f>IFERROR(IF(D4=0,"",('Balance Sheet'!D$40-'Balance Sheet'!C$40)),"")</f>
        <v/>
      </c>
      <c r="E38" s="497" t="str">
        <f>IFERROR(IF(E4=0,"",('Balance Sheet'!E$40-'Balance Sheet'!D$40)),"")</f>
        <v/>
      </c>
      <c r="F38" s="497" t="str">
        <f>IFERROR(IF(F4=0,"",('Balance Sheet'!F$40-'Balance Sheet'!E$40)),"")</f>
        <v/>
      </c>
      <c r="G38" s="497" t="str">
        <f>IFERROR(IF(G4=0,"",('Balance Sheet'!G$40-'Balance Sheet'!F$40)),"")</f>
        <v/>
      </c>
      <c r="H38" s="497" t="str">
        <f>IFERROR(IF(H4=0,"",('Balance Sheet'!H$40-'Balance Sheet'!G$40)),"")</f>
        <v/>
      </c>
      <c r="I38" s="497" t="str">
        <f>IFERROR(IF(I4=0,"",('Balance Sheet'!I$40-'Balance Sheet'!H$40)),"")</f>
        <v/>
      </c>
      <c r="J38" s="497" t="str">
        <f>IFERROR(IF(J4=0,"",('Balance Sheet'!J$40-'Balance Sheet'!I$40)),"")</f>
        <v/>
      </c>
      <c r="K38" s="497" t="str">
        <f>IFERROR(IF(K4=0,"",('Balance Sheet'!K$40-'Balance Sheet'!J$40)),"")</f>
        <v/>
      </c>
      <c r="L38" s="497" t="str">
        <f>IFERROR(IF(L4=0,"",('Balance Sheet'!L$40-'Balance Sheet'!K$40)),"")</f>
        <v/>
      </c>
      <c r="M38" s="497" t="str">
        <f>IFERROR(IF(M4=0,"",('Balance Sheet'!M$40-'Balance Sheet'!L$40)),"")</f>
        <v/>
      </c>
      <c r="N38" s="497" t="str">
        <f>IFERROR(IF(N4=0,"",('Balance Sheet'!N$40-'Balance Sheet'!M$40)),"")</f>
        <v/>
      </c>
      <c r="O38" s="497" t="str">
        <f>IFERROR(IF(O4=0,"",('Balance Sheet'!O$40-'Balance Sheet'!N$40)),"")</f>
        <v/>
      </c>
      <c r="P38" s="497" t="str">
        <f>IFERROR(IF(P4=0,"",('Balance Sheet'!P$40-'Balance Sheet'!O$40)),"")</f>
        <v/>
      </c>
      <c r="Q38" s="497" t="str">
        <f>IFERROR(IF(Q4=0,"",('Balance Sheet'!Q$40-'Balance Sheet'!P$40)),"")</f>
        <v/>
      </c>
      <c r="R38" s="497" t="str">
        <f>IFERROR(IF(R4=0,"",('Balance Sheet'!R$40-'Balance Sheet'!Q$40)),"")</f>
        <v/>
      </c>
      <c r="S38" s="497" t="str">
        <f>IFERROR(IF(S4=0,"",('Balance Sheet'!S$40-'Balance Sheet'!R$40)),"")</f>
        <v/>
      </c>
      <c r="T38" s="497" t="str">
        <f>IFERROR(IF(T4=0,"",('Balance Sheet'!T$40-'Balance Sheet'!S$40)),"")</f>
        <v/>
      </c>
      <c r="U38" s="497" t="str">
        <f>IFERROR(IF(U4=0,"",('Balance Sheet'!U$40-'Balance Sheet'!T$40)),"")</f>
        <v/>
      </c>
      <c r="V38" s="497" t="str">
        <f>IFERROR(IF(V4=0,"",('Balance Sheet'!V$40-'Balance Sheet'!U$40)),"")</f>
        <v/>
      </c>
      <c r="W38" s="497" t="str">
        <f>IFERROR(IF(W4=0,"",('Balance Sheet'!W$40-'Balance Sheet'!V$40)),"")</f>
        <v/>
      </c>
      <c r="X38" s="497" t="str">
        <f>IFERROR(IF(X4=0,"",('Balance Sheet'!X$40-'Balance Sheet'!W$40)),"")</f>
        <v/>
      </c>
      <c r="Y38" s="497" t="str">
        <f>IFERROR(IF(Y4=0,"",('Balance Sheet'!Y$40-'Balance Sheet'!X$40)),"")</f>
        <v/>
      </c>
      <c r="Z38" s="497" t="str">
        <f>IFERROR(IF(Z4=0,"",('Balance Sheet'!Z$40-'Balance Sheet'!Y$40)),"")</f>
        <v/>
      </c>
      <c r="AA38" s="497" t="str">
        <f>IFERROR(IF(AA4=0,"",('Balance Sheet'!AA$40-'Balance Sheet'!Z$40)),"")</f>
        <v/>
      </c>
      <c r="AB38" s="497" t="str">
        <f>IFERROR(IF(AB4=0,"",('Balance Sheet'!AB$40-'Balance Sheet'!AA$40)),"")</f>
        <v/>
      </c>
      <c r="AC38" s="497" t="str">
        <f>IFERROR(IF(AC4=0,"",('Balance Sheet'!AC$40-'Balance Sheet'!AB$40)),"")</f>
        <v/>
      </c>
      <c r="AD38" s="497" t="str">
        <f>IFERROR(IF(AD4=0,"",('Balance Sheet'!AD$40-'Balance Sheet'!AC$40)),"")</f>
        <v/>
      </c>
      <c r="AE38" s="497" t="str">
        <f>IFERROR(IF(AE4=0,"",('Balance Sheet'!AE$40-'Balance Sheet'!AD$40)),"")</f>
        <v/>
      </c>
      <c r="AF38" s="497" t="str">
        <f>IFERROR(IF(AF4=0,"",('Balance Sheet'!AF$40-'Balance Sheet'!AE$40)),"")</f>
        <v/>
      </c>
      <c r="AG38" s="497" t="str">
        <f>IFERROR(IF(AG4=0,"",('Balance Sheet'!AG$40-'Balance Sheet'!AF$40)),"")</f>
        <v/>
      </c>
      <c r="AH38" s="497" t="e">
        <f>('Balance Sheet'!AH$40-'Balance Sheet'!AG$40)</f>
        <v>#REF!</v>
      </c>
      <c r="AI38" s="497" t="e">
        <f>('Balance Sheet'!AI$40-'Balance Sheet'!AH$40)</f>
        <v>#REF!</v>
      </c>
      <c r="AJ38" s="497" t="e">
        <f>('Balance Sheet'!AJ$40-'Balance Sheet'!AI$40)</f>
        <v>#REF!</v>
      </c>
      <c r="AK38" s="453" t="str">
        <f t="shared" si="16"/>
        <v/>
      </c>
      <c r="AL38" s="453" t="str">
        <f>IFERROR(RATE(3,,AG38,-AJ38),"")</f>
        <v/>
      </c>
      <c r="AM38" s="473"/>
      <c r="AN38" s="497" t="e">
        <f>('Balance Sheet'!AM$40-'Balance Sheet'!AG$40)</f>
        <v>#REF!</v>
      </c>
      <c r="AO38" s="497" t="e">
        <f>('Balance Sheet'!AN$40-'Balance Sheet'!AM$40)</f>
        <v>#REF!</v>
      </c>
      <c r="AP38" s="497" t="e">
        <f>('Balance Sheet'!AO$40-'Balance Sheet'!AN$40)</f>
        <v>#REF!</v>
      </c>
    </row>
    <row r="39" spans="1:42" s="303" customFormat="1" ht="12">
      <c r="A39" s="316"/>
      <c r="B39" s="299" t="s">
        <v>26</v>
      </c>
      <c r="C39" s="299"/>
      <c r="D39" s="497" t="str">
        <f>IFERROR(('Balance Sheet'!D$41-'Balance Sheet'!C$41-#REF!+#REF!),"")</f>
        <v/>
      </c>
      <c r="E39" s="497" t="str">
        <f>IFERROR(('Balance Sheet'!E$41-'Balance Sheet'!D$41-#REF!+#REF!),"")</f>
        <v/>
      </c>
      <c r="F39" s="497" t="str">
        <f>IFERROR(('Balance Sheet'!F$41-'Balance Sheet'!E$41-#REF!+#REF!),"")</f>
        <v/>
      </c>
      <c r="G39" s="497" t="str">
        <f>IFERROR(('Balance Sheet'!G$41-'Balance Sheet'!F$41-#REF!+#REF!),"")</f>
        <v/>
      </c>
      <c r="H39" s="497" t="str">
        <f>IFERROR(('Balance Sheet'!H$41-'Balance Sheet'!G$41-#REF!+#REF!),"")</f>
        <v/>
      </c>
      <c r="I39" s="497" t="str">
        <f>IFERROR(('Balance Sheet'!I$41-'Balance Sheet'!H$41-#REF!+#REF!),"")</f>
        <v/>
      </c>
      <c r="J39" s="497" t="str">
        <f>IFERROR(('Balance Sheet'!J$41-'Balance Sheet'!I$41-#REF!+#REF!),"")</f>
        <v/>
      </c>
      <c r="K39" s="497" t="str">
        <f>IFERROR(('Balance Sheet'!K$41-'Balance Sheet'!J$41-#REF!+#REF!),"")</f>
        <v/>
      </c>
      <c r="L39" s="497" t="str">
        <f>IFERROR(('Balance Sheet'!L$41-'Balance Sheet'!K$41-#REF!+#REF!),"")</f>
        <v/>
      </c>
      <c r="M39" s="497" t="str">
        <f>IFERROR(('Balance Sheet'!M$41-'Balance Sheet'!L$41-#REF!+#REF!),"")</f>
        <v/>
      </c>
      <c r="N39" s="497" t="str">
        <f>IFERROR(('Balance Sheet'!N$41-'Balance Sheet'!M$41-#REF!+#REF!),"")</f>
        <v/>
      </c>
      <c r="O39" s="497" t="str">
        <f>IFERROR(('Balance Sheet'!O$41-'Balance Sheet'!N$41-#REF!+#REF!),"")</f>
        <v/>
      </c>
      <c r="P39" s="497" t="str">
        <f>IFERROR(('Balance Sheet'!P$41-'Balance Sheet'!O$41-#REF!+#REF!),"")</f>
        <v/>
      </c>
      <c r="Q39" s="497" t="str">
        <f>IFERROR(('Balance Sheet'!Q$41-'Balance Sheet'!P$41-#REF!+#REF!),"")</f>
        <v/>
      </c>
      <c r="R39" s="497" t="str">
        <f>IFERROR(('Balance Sheet'!R$41-'Balance Sheet'!Q$41-#REF!+#REF!),"")</f>
        <v/>
      </c>
      <c r="S39" s="497" t="str">
        <f>IFERROR(('Balance Sheet'!S$41-'Balance Sheet'!R$41-#REF!+#REF!),"")</f>
        <v/>
      </c>
      <c r="T39" s="497" t="str">
        <f>IFERROR(('Balance Sheet'!T$41-'Balance Sheet'!S$41-#REF!+#REF!),"")</f>
        <v/>
      </c>
      <c r="U39" s="497" t="str">
        <f>IFERROR(('Balance Sheet'!U$41-'Balance Sheet'!T$41-#REF!+#REF!),"")</f>
        <v/>
      </c>
      <c r="V39" s="497" t="str">
        <f>IFERROR(('Balance Sheet'!V$41-'Balance Sheet'!U$41-#REF!+#REF!),"")</f>
        <v/>
      </c>
      <c r="W39" s="497" t="str">
        <f>IFERROR(('Balance Sheet'!W$41-'Balance Sheet'!V$41-#REF!+#REF!),"")</f>
        <v/>
      </c>
      <c r="X39" s="497" t="str">
        <f>IFERROR(('Balance Sheet'!X$41-'Balance Sheet'!W$41-#REF!+#REF!),"")</f>
        <v/>
      </c>
      <c r="Y39" s="497" t="str">
        <f>IFERROR(('Balance Sheet'!Y$41-'Balance Sheet'!X$41-#REF!+#REF!),"")</f>
        <v/>
      </c>
      <c r="Z39" s="497" t="str">
        <f>IFERROR(('Balance Sheet'!Z$41-'Balance Sheet'!Y$41-#REF!+#REF!),"")</f>
        <v/>
      </c>
      <c r="AA39" s="497" t="str">
        <f>IFERROR(('Balance Sheet'!AA$41-'Balance Sheet'!Z$41-#REF!+#REF!),"")</f>
        <v/>
      </c>
      <c r="AB39" s="497" t="str">
        <f>IFERROR(('Balance Sheet'!AB$41-'Balance Sheet'!AA$41-#REF!+#REF!),"")</f>
        <v/>
      </c>
      <c r="AC39" s="497" t="str">
        <f>IFERROR(('Balance Sheet'!AC$41-'Balance Sheet'!AB$41-#REF!+#REF!),"")</f>
        <v/>
      </c>
      <c r="AD39" s="497" t="str">
        <f>IFERROR(('Balance Sheet'!AD$41-'Balance Sheet'!AC$41-#REF!+#REF!),"")</f>
        <v/>
      </c>
      <c r="AE39" s="497" t="str">
        <f>IFERROR(('Balance Sheet'!AE$41-'Balance Sheet'!AD$41-#REF!+#REF!),"")</f>
        <v/>
      </c>
      <c r="AF39" s="497" t="str">
        <f>IFERROR(('Balance Sheet'!AF$41-'Balance Sheet'!AE$41-#REF!+#REF!),"")</f>
        <v/>
      </c>
      <c r="AG39" s="497" t="str">
        <f>IFERROR(('Balance Sheet'!AG$41-'Balance Sheet'!AF$41-#REF!+#REF!),"")</f>
        <v/>
      </c>
      <c r="AH39" s="497" t="e">
        <f>('Balance Sheet'!AH$41-'Balance Sheet'!AG$41-#REF!+#REF!)</f>
        <v>#VALUE!</v>
      </c>
      <c r="AI39" s="497" t="e">
        <f>('Balance Sheet'!AI$41-'Balance Sheet'!AH$41-#REF!+#REF!)</f>
        <v>#VALUE!</v>
      </c>
      <c r="AJ39" s="497" t="e">
        <f>('Balance Sheet'!AJ$41-'Balance Sheet'!AI$41-#REF!+#REF!)</f>
        <v>#VALUE!</v>
      </c>
      <c r="AK39" s="453" t="str">
        <f t="shared" si="16"/>
        <v/>
      </c>
      <c r="AL39" s="453" t="str">
        <f>IFERROR(RATE(3,,AG39,-AJ39),"")</f>
        <v/>
      </c>
      <c r="AM39" s="473"/>
      <c r="AN39" s="497" t="e">
        <f>('Balance Sheet'!AM$41-'Balance Sheet'!AG$41-#REF!+#REF!)</f>
        <v>#VALUE!</v>
      </c>
      <c r="AO39" s="497" t="e">
        <f>('Balance Sheet'!AN$41-'Balance Sheet'!AM$41-#REF!+#REF!)</f>
        <v>#VALUE!</v>
      </c>
      <c r="AP39" s="497" t="e">
        <f>('Balance Sheet'!AO$41-'Balance Sheet'!AN$41-#REF!+#REF!)</f>
        <v>#VALUE!</v>
      </c>
    </row>
    <row r="40" spans="1:42" s="294" customFormat="1">
      <c r="A40" s="348"/>
      <c r="B40" s="349" t="s">
        <v>89</v>
      </c>
      <c r="C40" s="350"/>
      <c r="D40" s="491" t="e">
        <f t="shared" ref="D40" si="17">IF(D4=0,"",SUM(D37:D39))</f>
        <v>#REF!</v>
      </c>
      <c r="E40" s="491" t="e">
        <f t="shared" ref="E40:AF40" si="18">IF(E4=0,"",SUM(E37:E39))</f>
        <v>#REF!</v>
      </c>
      <c r="F40" s="491" t="e">
        <f t="shared" si="18"/>
        <v>#REF!</v>
      </c>
      <c r="G40" s="491" t="e">
        <f t="shared" si="18"/>
        <v>#REF!</v>
      </c>
      <c r="H40" s="491" t="e">
        <f t="shared" si="18"/>
        <v>#REF!</v>
      </c>
      <c r="I40" s="491" t="e">
        <f t="shared" si="18"/>
        <v>#REF!</v>
      </c>
      <c r="J40" s="491" t="e">
        <f t="shared" si="18"/>
        <v>#REF!</v>
      </c>
      <c r="K40" s="491" t="e">
        <f t="shared" si="18"/>
        <v>#REF!</v>
      </c>
      <c r="L40" s="491" t="e">
        <f t="shared" si="18"/>
        <v>#REF!</v>
      </c>
      <c r="M40" s="491" t="e">
        <f t="shared" si="18"/>
        <v>#REF!</v>
      </c>
      <c r="N40" s="491" t="e">
        <f t="shared" si="18"/>
        <v>#REF!</v>
      </c>
      <c r="O40" s="491" t="e">
        <f t="shared" si="18"/>
        <v>#REF!</v>
      </c>
      <c r="P40" s="491" t="e">
        <f t="shared" si="18"/>
        <v>#REF!</v>
      </c>
      <c r="Q40" s="491" t="e">
        <f t="shared" si="18"/>
        <v>#REF!</v>
      </c>
      <c r="R40" s="491" t="e">
        <f t="shared" si="18"/>
        <v>#REF!</v>
      </c>
      <c r="S40" s="491" t="e">
        <f t="shared" si="18"/>
        <v>#REF!</v>
      </c>
      <c r="T40" s="491" t="e">
        <f t="shared" si="18"/>
        <v>#REF!</v>
      </c>
      <c r="U40" s="491" t="e">
        <f t="shared" si="18"/>
        <v>#REF!</v>
      </c>
      <c r="V40" s="491" t="e">
        <f t="shared" si="18"/>
        <v>#REF!</v>
      </c>
      <c r="W40" s="491" t="e">
        <f t="shared" si="18"/>
        <v>#REF!</v>
      </c>
      <c r="X40" s="491" t="e">
        <f t="shared" si="18"/>
        <v>#REF!</v>
      </c>
      <c r="Y40" s="491" t="e">
        <f t="shared" si="18"/>
        <v>#REF!</v>
      </c>
      <c r="Z40" s="491" t="e">
        <f t="shared" si="18"/>
        <v>#REF!</v>
      </c>
      <c r="AA40" s="491" t="e">
        <f t="shared" si="18"/>
        <v>#REF!</v>
      </c>
      <c r="AB40" s="491" t="e">
        <f t="shared" si="18"/>
        <v>#REF!</v>
      </c>
      <c r="AC40" s="491" t="e">
        <f t="shared" si="18"/>
        <v>#REF!</v>
      </c>
      <c r="AD40" s="491" t="e">
        <f t="shared" si="18"/>
        <v>#REF!</v>
      </c>
      <c r="AE40" s="491" t="e">
        <f t="shared" si="18"/>
        <v>#REF!</v>
      </c>
      <c r="AF40" s="491" t="e">
        <f t="shared" si="18"/>
        <v>#REF!</v>
      </c>
      <c r="AG40" s="491" t="e">
        <f>IF(AG4=0,"",SUM(AG37:AG39))</f>
        <v>#REF!</v>
      </c>
      <c r="AH40" s="491" t="e">
        <f>SUM(AH37:AH39)</f>
        <v>#REF!</v>
      </c>
      <c r="AI40" s="491" t="e">
        <f>SUM(AI37:AI39)</f>
        <v>#REF!</v>
      </c>
      <c r="AJ40" s="491" t="e">
        <f>SUM(AJ37:AJ39)</f>
        <v>#REF!</v>
      </c>
      <c r="AK40" s="448" t="str">
        <f t="shared" si="16"/>
        <v/>
      </c>
      <c r="AL40" s="448" t="str">
        <f>IFERROR(RATE(3,,AG40,-AJ40),"")</f>
        <v/>
      </c>
      <c r="AM40" s="492"/>
      <c r="AN40" s="491" t="e">
        <f>SUM(AN37:AN39)</f>
        <v>#REF!</v>
      </c>
      <c r="AO40" s="491" t="e">
        <f>SUM(AO37:AO39)</f>
        <v>#REF!</v>
      </c>
      <c r="AP40" s="491" t="e">
        <f>SUM(AP37:AP39)</f>
        <v>#REF!</v>
      </c>
    </row>
    <row r="41" spans="1:42" s="294" customFormat="1">
      <c r="A41" s="348"/>
      <c r="B41" s="498"/>
      <c r="C41" s="498"/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499"/>
      <c r="U41" s="499"/>
      <c r="V41" s="499"/>
      <c r="W41" s="499"/>
      <c r="X41" s="499"/>
      <c r="Y41" s="499"/>
      <c r="Z41" s="499"/>
      <c r="AA41" s="499"/>
      <c r="AB41" s="499"/>
      <c r="AC41" s="499"/>
      <c r="AD41" s="499"/>
      <c r="AE41" s="499"/>
      <c r="AF41" s="499"/>
      <c r="AG41" s="499"/>
      <c r="AH41" s="499"/>
      <c r="AI41" s="499"/>
      <c r="AJ41" s="499"/>
      <c r="AK41" s="500"/>
      <c r="AL41" s="500"/>
      <c r="AM41" s="501"/>
      <c r="AN41" s="499"/>
      <c r="AO41" s="499"/>
      <c r="AP41" s="499"/>
    </row>
    <row r="42" spans="1:42" s="294" customFormat="1">
      <c r="A42" s="348"/>
      <c r="B42" s="502" t="s">
        <v>146</v>
      </c>
      <c r="C42" s="498"/>
      <c r="D42" s="503" t="e">
        <f t="shared" ref="D42:AF42" si="19">IF(D4=0,"",SUM(D33:D35,D40))</f>
        <v>#REF!</v>
      </c>
      <c r="E42" s="503" t="e">
        <f t="shared" si="19"/>
        <v>#REF!</v>
      </c>
      <c r="F42" s="503" t="e">
        <f t="shared" si="19"/>
        <v>#REF!</v>
      </c>
      <c r="G42" s="503" t="e">
        <f t="shared" si="19"/>
        <v>#REF!</v>
      </c>
      <c r="H42" s="503" t="e">
        <f t="shared" si="19"/>
        <v>#REF!</v>
      </c>
      <c r="I42" s="503" t="e">
        <f t="shared" si="19"/>
        <v>#REF!</v>
      </c>
      <c r="J42" s="503" t="e">
        <f t="shared" si="19"/>
        <v>#REF!</v>
      </c>
      <c r="K42" s="503" t="e">
        <f t="shared" si="19"/>
        <v>#REF!</v>
      </c>
      <c r="L42" s="503" t="e">
        <f t="shared" si="19"/>
        <v>#REF!</v>
      </c>
      <c r="M42" s="503" t="e">
        <f t="shared" si="19"/>
        <v>#REF!</v>
      </c>
      <c r="N42" s="503" t="e">
        <f t="shared" si="19"/>
        <v>#REF!</v>
      </c>
      <c r="O42" s="503" t="e">
        <f t="shared" si="19"/>
        <v>#REF!</v>
      </c>
      <c r="P42" s="503" t="e">
        <f t="shared" si="19"/>
        <v>#REF!</v>
      </c>
      <c r="Q42" s="503" t="e">
        <f t="shared" si="19"/>
        <v>#REF!</v>
      </c>
      <c r="R42" s="503" t="e">
        <f t="shared" si="19"/>
        <v>#REF!</v>
      </c>
      <c r="S42" s="503" t="e">
        <f t="shared" si="19"/>
        <v>#REF!</v>
      </c>
      <c r="T42" s="503" t="e">
        <f t="shared" si="19"/>
        <v>#REF!</v>
      </c>
      <c r="U42" s="503" t="e">
        <f t="shared" si="19"/>
        <v>#REF!</v>
      </c>
      <c r="V42" s="503" t="e">
        <f t="shared" si="19"/>
        <v>#REF!</v>
      </c>
      <c r="W42" s="503" t="e">
        <f t="shared" si="19"/>
        <v>#REF!</v>
      </c>
      <c r="X42" s="503" t="e">
        <f t="shared" si="19"/>
        <v>#REF!</v>
      </c>
      <c r="Y42" s="503" t="e">
        <f t="shared" si="19"/>
        <v>#REF!</v>
      </c>
      <c r="Z42" s="503" t="e">
        <f t="shared" si="19"/>
        <v>#REF!</v>
      </c>
      <c r="AA42" s="503" t="e">
        <f t="shared" si="19"/>
        <v>#REF!</v>
      </c>
      <c r="AB42" s="503" t="e">
        <f t="shared" si="19"/>
        <v>#REF!</v>
      </c>
      <c r="AC42" s="503" t="e">
        <f t="shared" si="19"/>
        <v>#REF!</v>
      </c>
      <c r="AD42" s="503" t="e">
        <f t="shared" si="19"/>
        <v>#REF!</v>
      </c>
      <c r="AE42" s="503" t="e">
        <f t="shared" si="19"/>
        <v>#REF!</v>
      </c>
      <c r="AF42" s="503" t="e">
        <f t="shared" si="19"/>
        <v>#REF!</v>
      </c>
      <c r="AG42" s="503" t="e">
        <f>IF(AG4=0,"",SUM(AG33:AG35,AG40))</f>
        <v>#REF!</v>
      </c>
      <c r="AH42" s="503" t="e">
        <f>SUM(AH33:AH35,AH40)</f>
        <v>#REF!</v>
      </c>
      <c r="AI42" s="503" t="e">
        <f>SUM(AI33:AI35,AI40)</f>
        <v>#REF!</v>
      </c>
      <c r="AJ42" s="503" t="e">
        <f>SUM(AJ33:AJ35,AJ40)</f>
        <v>#REF!</v>
      </c>
      <c r="AK42" s="488" t="str">
        <f t="shared" ref="AK42" si="20">IFERROR(RATE(3,,AD42,-AG42),"")</f>
        <v/>
      </c>
      <c r="AL42" s="488" t="str">
        <f>IFERROR(RATE(3,,AG42,-AJ42),"")</f>
        <v/>
      </c>
      <c r="AM42" s="504"/>
      <c r="AN42" s="503" t="e">
        <f>SUM(AN33:AN35,AN40)</f>
        <v>#REF!</v>
      </c>
      <c r="AO42" s="503" t="e">
        <f>SUM(AO33:AO35,AO40)</f>
        <v>#REF!</v>
      </c>
      <c r="AP42" s="503" t="e">
        <f>SUM(AP33:AP35,AP40)</f>
        <v>#REF!</v>
      </c>
    </row>
    <row r="43" spans="1:42" s="294" customFormat="1">
      <c r="A43" s="348"/>
      <c r="B43" s="505"/>
      <c r="C43" s="505"/>
      <c r="D43" s="506"/>
      <c r="E43" s="506"/>
      <c r="F43" s="506"/>
      <c r="G43" s="506"/>
      <c r="H43" s="506"/>
      <c r="I43" s="506"/>
      <c r="J43" s="506"/>
      <c r="K43" s="506"/>
      <c r="L43" s="506"/>
      <c r="M43" s="506"/>
      <c r="N43" s="506"/>
      <c r="O43" s="506"/>
      <c r="P43" s="506"/>
      <c r="Q43" s="506"/>
      <c r="R43" s="506"/>
      <c r="S43" s="506"/>
      <c r="T43" s="506"/>
      <c r="U43" s="506"/>
      <c r="V43" s="506"/>
      <c r="W43" s="506"/>
      <c r="X43" s="506"/>
      <c r="Y43" s="506"/>
      <c r="Z43" s="506"/>
      <c r="AA43" s="506"/>
      <c r="AB43" s="506"/>
      <c r="AC43" s="506"/>
      <c r="AD43" s="506"/>
      <c r="AE43" s="506"/>
      <c r="AF43" s="506"/>
      <c r="AG43" s="506"/>
      <c r="AH43" s="506"/>
      <c r="AI43" s="506"/>
      <c r="AJ43" s="506"/>
      <c r="AK43" s="507"/>
      <c r="AL43" s="507"/>
      <c r="AM43" s="508"/>
      <c r="AN43" s="506"/>
      <c r="AO43" s="506"/>
      <c r="AP43" s="506"/>
    </row>
    <row r="44" spans="1:42">
      <c r="B44" s="52" t="s">
        <v>104</v>
      </c>
      <c r="D44" s="466" t="str">
        <f>IFERROR('Balance Sheet'!D7-'Balance Sheet'!C7,"")</f>
        <v/>
      </c>
      <c r="E44" s="466" t="str">
        <f>IFERROR('Balance Sheet'!E7-'Balance Sheet'!D7,"")</f>
        <v/>
      </c>
      <c r="F44" s="466" t="str">
        <f>IFERROR('Balance Sheet'!F7-'Balance Sheet'!E7,"")</f>
        <v/>
      </c>
      <c r="G44" s="466" t="str">
        <f>IFERROR('Balance Sheet'!G7-'Balance Sheet'!F7,"")</f>
        <v/>
      </c>
      <c r="H44" s="466" t="str">
        <f>IFERROR('Balance Sheet'!H7-'Balance Sheet'!G7,"")</f>
        <v/>
      </c>
      <c r="I44" s="466" t="str">
        <f>IFERROR('Balance Sheet'!I7-'Balance Sheet'!H7,"")</f>
        <v/>
      </c>
      <c r="J44" s="466" t="str">
        <f>IFERROR('Balance Sheet'!J7-'Balance Sheet'!I7,"")</f>
        <v/>
      </c>
      <c r="K44" s="466" t="str">
        <f>IFERROR('Balance Sheet'!K7-'Balance Sheet'!J7,"")</f>
        <v/>
      </c>
      <c r="L44" s="466" t="str">
        <f>IFERROR('Balance Sheet'!L7-'Balance Sheet'!K7,"")</f>
        <v/>
      </c>
      <c r="M44" s="466" t="str">
        <f>IFERROR('Balance Sheet'!M7-'Balance Sheet'!L7,"")</f>
        <v/>
      </c>
      <c r="N44" s="466" t="str">
        <f>IFERROR('Balance Sheet'!N7-'Balance Sheet'!M7,"")</f>
        <v/>
      </c>
      <c r="O44" s="466" t="str">
        <f>IFERROR('Balance Sheet'!O7-'Balance Sheet'!N7,"")</f>
        <v/>
      </c>
      <c r="P44" s="466" t="str">
        <f>IFERROR('Balance Sheet'!P7-'Balance Sheet'!O7,"")</f>
        <v/>
      </c>
      <c r="Q44" s="466" t="str">
        <f>IFERROR('Balance Sheet'!Q7-'Balance Sheet'!P7,"")</f>
        <v/>
      </c>
      <c r="R44" s="466" t="str">
        <f>IFERROR('Balance Sheet'!R7-'Balance Sheet'!Q7,"")</f>
        <v/>
      </c>
      <c r="S44" s="466" t="str">
        <f>IFERROR('Balance Sheet'!S7-'Balance Sheet'!R7,"")</f>
        <v/>
      </c>
      <c r="T44" s="466" t="str">
        <f>IFERROR('Balance Sheet'!T7-'Balance Sheet'!S7,"")</f>
        <v/>
      </c>
      <c r="U44" s="466" t="str">
        <f>IFERROR('Balance Sheet'!U7-'Balance Sheet'!T7,"")</f>
        <v/>
      </c>
      <c r="V44" s="466" t="str">
        <f>IFERROR('Balance Sheet'!V7-'Balance Sheet'!U7,"")</f>
        <v/>
      </c>
      <c r="W44" s="466" t="str">
        <f>IFERROR('Balance Sheet'!W7-'Balance Sheet'!V7,"")</f>
        <v/>
      </c>
      <c r="X44" s="466" t="str">
        <f>IFERROR('Balance Sheet'!X7-'Balance Sheet'!W7,"")</f>
        <v/>
      </c>
      <c r="Y44" s="466" t="str">
        <f>IFERROR('Balance Sheet'!Y7-'Balance Sheet'!X7,"")</f>
        <v/>
      </c>
      <c r="Z44" s="466" t="str">
        <f>IFERROR('Balance Sheet'!Z7-'Balance Sheet'!Y7,"")</f>
        <v/>
      </c>
      <c r="AA44" s="466" t="str">
        <f>IFERROR('Balance Sheet'!AA7-'Balance Sheet'!Z7,"")</f>
        <v/>
      </c>
      <c r="AB44" s="466" t="str">
        <f>IFERROR('Balance Sheet'!AB7-'Balance Sheet'!AA7,"")</f>
        <v/>
      </c>
      <c r="AC44" s="466" t="str">
        <f>IFERROR('Balance Sheet'!AC7-'Balance Sheet'!AB7,"")</f>
        <v/>
      </c>
      <c r="AD44" s="466" t="str">
        <f>IFERROR('Balance Sheet'!AD7-'Balance Sheet'!AC7,"")</f>
        <v/>
      </c>
      <c r="AE44" s="466" t="str">
        <f>IFERROR('Balance Sheet'!AE7-'Balance Sheet'!AD7,"")</f>
        <v/>
      </c>
      <c r="AF44" s="466" t="str">
        <f>IFERROR('Balance Sheet'!AF7-'Balance Sheet'!AE7,"")</f>
        <v/>
      </c>
      <c r="AG44" s="466" t="str">
        <f>IFERROR('Balance Sheet'!AG7-'Balance Sheet'!AF7,"")</f>
        <v/>
      </c>
      <c r="AH44" s="466" t="e">
        <f>'Balance Sheet'!AH7-'Balance Sheet'!AG7</f>
        <v>#REF!</v>
      </c>
      <c r="AI44" s="466" t="e">
        <f>'Balance Sheet'!AI7-'Balance Sheet'!AH7</f>
        <v>#REF!</v>
      </c>
      <c r="AJ44" s="466" t="e">
        <f>'Balance Sheet'!AJ7-'Balance Sheet'!AI7</f>
        <v>#REF!</v>
      </c>
      <c r="AK44" s="448" t="str">
        <f t="shared" ref="AK44:AK46" si="21">IFERROR(RATE(3,,AD44,-AG44),"")</f>
        <v/>
      </c>
      <c r="AL44" s="448" t="str">
        <f t="shared" ref="AL44:AL45" si="22">IFERROR(RATE(3,,AG44,-AJ44),"")</f>
        <v/>
      </c>
      <c r="AN44" s="466" t="e">
        <f>'Balance Sheet'!AM7-'Balance Sheet'!AG7</f>
        <v>#REF!</v>
      </c>
      <c r="AO44" s="466" t="e">
        <f>'Balance Sheet'!AN7-'Balance Sheet'!AM7</f>
        <v>#REF!</v>
      </c>
      <c r="AP44" s="466" t="e">
        <f>'Balance Sheet'!AO7-'Balance Sheet'!AN7</f>
        <v>#REF!</v>
      </c>
    </row>
    <row r="45" spans="1:42" s="509" customFormat="1" ht="15.75" thickBot="1">
      <c r="A45" s="293"/>
      <c r="B45" s="509" t="s">
        <v>103</v>
      </c>
      <c r="D45" s="510" t="str">
        <f>IFERROR('Balance Sheet'!D30-'Balance Sheet'!C30,"")</f>
        <v/>
      </c>
      <c r="E45" s="510" t="str">
        <f>IFERROR('Balance Sheet'!E30-'Balance Sheet'!D30,"")</f>
        <v/>
      </c>
      <c r="F45" s="510" t="str">
        <f>IFERROR('Balance Sheet'!F30-'Balance Sheet'!E30,"")</f>
        <v/>
      </c>
      <c r="G45" s="510" t="str">
        <f>IFERROR('Balance Sheet'!G30-'Balance Sheet'!F30,"")</f>
        <v/>
      </c>
      <c r="H45" s="510" t="str">
        <f>IFERROR('Balance Sheet'!H30-'Balance Sheet'!G30,"")</f>
        <v/>
      </c>
      <c r="I45" s="510" t="str">
        <f>IFERROR('Balance Sheet'!I30-'Balance Sheet'!H30,"")</f>
        <v/>
      </c>
      <c r="J45" s="510" t="str">
        <f>IFERROR('Balance Sheet'!J30-'Balance Sheet'!I30,"")</f>
        <v/>
      </c>
      <c r="K45" s="510" t="str">
        <f>IFERROR('Balance Sheet'!K30-'Balance Sheet'!J30,"")</f>
        <v/>
      </c>
      <c r="L45" s="510" t="str">
        <f>IFERROR('Balance Sheet'!L30-'Balance Sheet'!K30,"")</f>
        <v/>
      </c>
      <c r="M45" s="510" t="str">
        <f>IFERROR('Balance Sheet'!M30-'Balance Sheet'!L30,"")</f>
        <v/>
      </c>
      <c r="N45" s="510" t="str">
        <f>IFERROR('Balance Sheet'!N30-'Balance Sheet'!M30,"")</f>
        <v/>
      </c>
      <c r="O45" s="510" t="str">
        <f>IFERROR('Balance Sheet'!O30-'Balance Sheet'!N30,"")</f>
        <v/>
      </c>
      <c r="P45" s="510" t="str">
        <f>IFERROR('Balance Sheet'!P30-'Balance Sheet'!O30,"")</f>
        <v/>
      </c>
      <c r="Q45" s="510" t="str">
        <f>IFERROR('Balance Sheet'!Q30-'Balance Sheet'!P30,"")</f>
        <v/>
      </c>
      <c r="R45" s="510" t="str">
        <f>IFERROR('Balance Sheet'!R30-'Balance Sheet'!Q30,"")</f>
        <v/>
      </c>
      <c r="S45" s="510" t="str">
        <f>IFERROR('Balance Sheet'!S30-'Balance Sheet'!R30,"")</f>
        <v/>
      </c>
      <c r="T45" s="510" t="str">
        <f>IFERROR('Balance Sheet'!T30-'Balance Sheet'!S30,"")</f>
        <v/>
      </c>
      <c r="U45" s="510" t="str">
        <f>IFERROR('Balance Sheet'!U30-'Balance Sheet'!T30,"")</f>
        <v/>
      </c>
      <c r="V45" s="510" t="str">
        <f>IFERROR('Balance Sheet'!V30-'Balance Sheet'!U30,"")</f>
        <v/>
      </c>
      <c r="W45" s="510" t="str">
        <f>IFERROR('Balance Sheet'!W30-'Balance Sheet'!V30,"")</f>
        <v/>
      </c>
      <c r="X45" s="510" t="str">
        <f>IFERROR('Balance Sheet'!X30-'Balance Sheet'!W30,"")</f>
        <v/>
      </c>
      <c r="Y45" s="510" t="str">
        <f>IFERROR('Balance Sheet'!Y30-'Balance Sheet'!X30,"")</f>
        <v/>
      </c>
      <c r="Z45" s="510" t="str">
        <f>IFERROR('Balance Sheet'!Z30-'Balance Sheet'!Y30,"")</f>
        <v/>
      </c>
      <c r="AA45" s="510" t="str">
        <f>IFERROR('Balance Sheet'!AA30-'Balance Sheet'!Z30,"")</f>
        <v/>
      </c>
      <c r="AB45" s="510" t="str">
        <f>IFERROR('Balance Sheet'!AB30-'Balance Sheet'!AA30,"")</f>
        <v/>
      </c>
      <c r="AC45" s="510" t="str">
        <f>IFERROR('Balance Sheet'!AC30-'Balance Sheet'!AB30,"")</f>
        <v/>
      </c>
      <c r="AD45" s="510" t="str">
        <f>IFERROR('Balance Sheet'!AD30-'Balance Sheet'!AC30,"")</f>
        <v/>
      </c>
      <c r="AE45" s="510" t="str">
        <f>IFERROR('Balance Sheet'!AE30-'Balance Sheet'!AD30,"")</f>
        <v/>
      </c>
      <c r="AF45" s="510" t="str">
        <f>IFERROR('Balance Sheet'!AF30-'Balance Sheet'!AE30,"")</f>
        <v/>
      </c>
      <c r="AG45" s="510" t="str">
        <f>IFERROR('Balance Sheet'!AG30-'Balance Sheet'!AF30,"")</f>
        <v/>
      </c>
      <c r="AH45" s="510" t="e">
        <f>'Balance Sheet'!AH30-'Balance Sheet'!AG30</f>
        <v>#REF!</v>
      </c>
      <c r="AI45" s="510" t="e">
        <f>'Balance Sheet'!AI30-'Balance Sheet'!AH30</f>
        <v>#REF!</v>
      </c>
      <c r="AJ45" s="510" t="e">
        <f>'Balance Sheet'!AJ30-'Balance Sheet'!AI30</f>
        <v>#REF!</v>
      </c>
      <c r="AK45" s="448" t="str">
        <f t="shared" si="21"/>
        <v/>
      </c>
      <c r="AL45" s="448" t="str">
        <f t="shared" si="22"/>
        <v/>
      </c>
      <c r="AM45" s="511"/>
      <c r="AN45" s="510" t="e">
        <f>'Balance Sheet'!AM30-'Balance Sheet'!$AG30</f>
        <v>#REF!</v>
      </c>
      <c r="AO45" s="510" t="e">
        <f>'Balance Sheet'!AN30-'Balance Sheet'!AM30</f>
        <v>#REF!</v>
      </c>
      <c r="AP45" s="510" t="e">
        <f>'Balance Sheet'!AO30-'Balance Sheet'!AN30</f>
        <v>#REF!</v>
      </c>
    </row>
    <row r="46" spans="1:42" s="348" customFormat="1" ht="16.5" thickTop="1" thickBot="1">
      <c r="B46" s="512" t="s">
        <v>198</v>
      </c>
      <c r="C46" s="512"/>
      <c r="D46" s="513" t="e">
        <f t="shared" ref="D46:AF46" si="23">IF(D4=0,"",SUM(D24,D31,D42))</f>
        <v>#REF!</v>
      </c>
      <c r="E46" s="513" t="e">
        <f t="shared" si="23"/>
        <v>#REF!</v>
      </c>
      <c r="F46" s="513" t="e">
        <f t="shared" si="23"/>
        <v>#REF!</v>
      </c>
      <c r="G46" s="513" t="e">
        <f t="shared" si="23"/>
        <v>#REF!</v>
      </c>
      <c r="H46" s="513" t="e">
        <f t="shared" si="23"/>
        <v>#REF!</v>
      </c>
      <c r="I46" s="513" t="e">
        <f t="shared" si="23"/>
        <v>#REF!</v>
      </c>
      <c r="J46" s="513" t="e">
        <f t="shared" si="23"/>
        <v>#REF!</v>
      </c>
      <c r="K46" s="513" t="e">
        <f t="shared" si="23"/>
        <v>#REF!</v>
      </c>
      <c r="L46" s="513" t="e">
        <f t="shared" si="23"/>
        <v>#REF!</v>
      </c>
      <c r="M46" s="513" t="e">
        <f t="shared" si="23"/>
        <v>#REF!</v>
      </c>
      <c r="N46" s="513" t="e">
        <f t="shared" si="23"/>
        <v>#REF!</v>
      </c>
      <c r="O46" s="513" t="e">
        <f t="shared" si="23"/>
        <v>#REF!</v>
      </c>
      <c r="P46" s="513" t="e">
        <f t="shared" si="23"/>
        <v>#REF!</v>
      </c>
      <c r="Q46" s="513" t="e">
        <f t="shared" si="23"/>
        <v>#REF!</v>
      </c>
      <c r="R46" s="513" t="e">
        <f t="shared" si="23"/>
        <v>#REF!</v>
      </c>
      <c r="S46" s="513" t="e">
        <f t="shared" si="23"/>
        <v>#REF!</v>
      </c>
      <c r="T46" s="513" t="e">
        <f t="shared" si="23"/>
        <v>#REF!</v>
      </c>
      <c r="U46" s="513" t="e">
        <f t="shared" si="23"/>
        <v>#REF!</v>
      </c>
      <c r="V46" s="513" t="e">
        <f t="shared" si="23"/>
        <v>#REF!</v>
      </c>
      <c r="W46" s="513" t="e">
        <f t="shared" si="23"/>
        <v>#REF!</v>
      </c>
      <c r="X46" s="513" t="e">
        <f t="shared" si="23"/>
        <v>#REF!</v>
      </c>
      <c r="Y46" s="513" t="e">
        <f t="shared" si="23"/>
        <v>#REF!</v>
      </c>
      <c r="Z46" s="513" t="e">
        <f t="shared" si="23"/>
        <v>#REF!</v>
      </c>
      <c r="AA46" s="513" t="e">
        <f t="shared" si="23"/>
        <v>#REF!</v>
      </c>
      <c r="AB46" s="513" t="e">
        <f t="shared" si="23"/>
        <v>#REF!</v>
      </c>
      <c r="AC46" s="513" t="e">
        <f t="shared" si="23"/>
        <v>#REF!</v>
      </c>
      <c r="AD46" s="513" t="e">
        <f t="shared" si="23"/>
        <v>#REF!</v>
      </c>
      <c r="AE46" s="513" t="e">
        <f t="shared" si="23"/>
        <v>#REF!</v>
      </c>
      <c r="AF46" s="513" t="e">
        <f t="shared" si="23"/>
        <v>#REF!</v>
      </c>
      <c r="AG46" s="513" t="e">
        <f>IF(AG4=0,"",SUM(AG24,AG31,AG42))</f>
        <v>#REF!</v>
      </c>
      <c r="AH46" s="513" t="e">
        <f>SUM(AH24,AH31,AH42)</f>
        <v>#REF!</v>
      </c>
      <c r="AI46" s="513" t="e">
        <f>SUM(AI24,AI31,AI42)</f>
        <v>#REF!</v>
      </c>
      <c r="AJ46" s="513" t="e">
        <f>SUM(AJ24,AJ31,AJ42)</f>
        <v>#REF!</v>
      </c>
      <c r="AK46" s="514" t="str">
        <f t="shared" si="21"/>
        <v/>
      </c>
      <c r="AL46" s="514" t="str">
        <f>IFERROR(RATE(3,,AG46,-AJ46),"")</f>
        <v/>
      </c>
      <c r="AM46" s="513"/>
      <c r="AN46" s="513" t="e">
        <f>SUM(AN24,AN31,AN42)</f>
        <v>#REF!</v>
      </c>
      <c r="AO46" s="513" t="e">
        <f>SUM(AO24,AO31,AO42)</f>
        <v>#REF!</v>
      </c>
      <c r="AP46" s="513" t="e">
        <f>SUM(AP24,AP31,AP42)</f>
        <v>#REF!</v>
      </c>
    </row>
    <row r="47" spans="1:42" s="294" customFormat="1" ht="15.75" thickTop="1">
      <c r="A47" s="348"/>
      <c r="B47" s="367" t="s">
        <v>105</v>
      </c>
      <c r="C47" s="350"/>
      <c r="D47" s="515" t="str">
        <f t="shared" ref="D47:AF47" si="24">IFERROR(IF(D4=0,"",D46-D35),"")</f>
        <v/>
      </c>
      <c r="E47" s="515" t="str">
        <f t="shared" si="24"/>
        <v/>
      </c>
      <c r="F47" s="515" t="str">
        <f t="shared" si="24"/>
        <v/>
      </c>
      <c r="G47" s="515" t="str">
        <f t="shared" si="24"/>
        <v/>
      </c>
      <c r="H47" s="515" t="str">
        <f t="shared" si="24"/>
        <v/>
      </c>
      <c r="I47" s="515" t="str">
        <f t="shared" si="24"/>
        <v/>
      </c>
      <c r="J47" s="515" t="str">
        <f t="shared" si="24"/>
        <v/>
      </c>
      <c r="K47" s="515" t="str">
        <f t="shared" si="24"/>
        <v/>
      </c>
      <c r="L47" s="515" t="str">
        <f t="shared" si="24"/>
        <v/>
      </c>
      <c r="M47" s="515" t="str">
        <f t="shared" si="24"/>
        <v/>
      </c>
      <c r="N47" s="515" t="str">
        <f t="shared" si="24"/>
        <v/>
      </c>
      <c r="O47" s="515" t="str">
        <f t="shared" si="24"/>
        <v/>
      </c>
      <c r="P47" s="515" t="str">
        <f t="shared" si="24"/>
        <v/>
      </c>
      <c r="Q47" s="515" t="str">
        <f t="shared" si="24"/>
        <v/>
      </c>
      <c r="R47" s="515" t="str">
        <f t="shared" si="24"/>
        <v/>
      </c>
      <c r="S47" s="515" t="str">
        <f t="shared" si="24"/>
        <v/>
      </c>
      <c r="T47" s="515" t="str">
        <f t="shared" si="24"/>
        <v/>
      </c>
      <c r="U47" s="515" t="str">
        <f t="shared" si="24"/>
        <v/>
      </c>
      <c r="V47" s="515" t="str">
        <f t="shared" si="24"/>
        <v/>
      </c>
      <c r="W47" s="515" t="str">
        <f t="shared" si="24"/>
        <v/>
      </c>
      <c r="X47" s="515" t="str">
        <f t="shared" si="24"/>
        <v/>
      </c>
      <c r="Y47" s="515" t="str">
        <f t="shared" si="24"/>
        <v/>
      </c>
      <c r="Z47" s="515" t="str">
        <f t="shared" si="24"/>
        <v/>
      </c>
      <c r="AA47" s="515" t="str">
        <f t="shared" si="24"/>
        <v/>
      </c>
      <c r="AB47" s="515" t="str">
        <f t="shared" si="24"/>
        <v/>
      </c>
      <c r="AC47" s="515" t="str">
        <f t="shared" si="24"/>
        <v/>
      </c>
      <c r="AD47" s="515" t="str">
        <f t="shared" si="24"/>
        <v/>
      </c>
      <c r="AE47" s="515" t="str">
        <f t="shared" si="24"/>
        <v/>
      </c>
      <c r="AF47" s="515" t="str">
        <f t="shared" si="24"/>
        <v/>
      </c>
      <c r="AG47" s="515" t="str">
        <f>IFERROR(IF(AG4=0,"",AG46-AG35),"")</f>
        <v/>
      </c>
      <c r="AH47" s="515" t="e">
        <f>AH46-AH35</f>
        <v>#REF!</v>
      </c>
      <c r="AI47" s="515" t="e">
        <f>AI46-AI35</f>
        <v>#REF!</v>
      </c>
      <c r="AJ47" s="515" t="e">
        <f>AJ46-AJ35</f>
        <v>#REF!</v>
      </c>
      <c r="AK47" s="492"/>
      <c r="AL47" s="492"/>
      <c r="AM47" s="492"/>
      <c r="AN47" s="515" t="e">
        <f>AN46-AN35</f>
        <v>#REF!</v>
      </c>
      <c r="AO47" s="515" t="e">
        <f>AO46-AO35</f>
        <v>#REF!</v>
      </c>
      <c r="AP47" s="515" t="e">
        <f>AP46-AP35</f>
        <v>#REF!</v>
      </c>
    </row>
    <row r="48" spans="1:42">
      <c r="B48" s="368"/>
      <c r="C48" s="368"/>
      <c r="D48" s="516"/>
      <c r="E48" s="516"/>
      <c r="F48" s="516"/>
      <c r="G48" s="516"/>
      <c r="H48" s="516"/>
      <c r="I48" s="516"/>
      <c r="J48" s="516"/>
      <c r="K48" s="516"/>
      <c r="L48" s="516"/>
      <c r="M48" s="516"/>
      <c r="N48" s="516"/>
      <c r="O48" s="516"/>
      <c r="P48" s="516"/>
      <c r="Q48" s="516"/>
      <c r="R48" s="516"/>
      <c r="S48" s="516"/>
      <c r="T48" s="516"/>
      <c r="U48" s="516"/>
      <c r="V48" s="516"/>
      <c r="W48" s="516"/>
      <c r="X48" s="516"/>
      <c r="Y48" s="516"/>
      <c r="Z48" s="516"/>
      <c r="AA48" s="516"/>
      <c r="AB48" s="516"/>
      <c r="AC48" s="516"/>
      <c r="AD48" s="516"/>
      <c r="AE48" s="516"/>
      <c r="AF48" s="516"/>
      <c r="AG48" s="516"/>
      <c r="AH48" s="312"/>
      <c r="AI48" s="312"/>
      <c r="AJ48" s="312"/>
      <c r="AK48" s="295"/>
      <c r="AN48" s="314"/>
      <c r="AO48" s="314"/>
      <c r="AP48" s="314"/>
    </row>
    <row r="49" spans="1:42" s="521" customFormat="1">
      <c r="A49" s="517"/>
      <c r="B49" s="518"/>
      <c r="C49" s="518"/>
      <c r="D49" s="519"/>
      <c r="E49" s="519"/>
      <c r="F49" s="519"/>
      <c r="G49" s="519"/>
      <c r="H49" s="519"/>
      <c r="I49" s="519"/>
      <c r="J49" s="519"/>
      <c r="K49" s="519"/>
      <c r="L49" s="519"/>
      <c r="M49" s="519"/>
      <c r="N49" s="519"/>
      <c r="O49" s="519"/>
      <c r="P49" s="519"/>
      <c r="Q49" s="519"/>
      <c r="R49" s="519"/>
      <c r="S49" s="519"/>
      <c r="T49" s="519"/>
      <c r="U49" s="519"/>
      <c r="V49" s="519"/>
      <c r="W49" s="519"/>
      <c r="X49" s="519"/>
      <c r="Y49" s="519"/>
      <c r="Z49" s="519"/>
      <c r="AA49" s="519"/>
      <c r="AB49" s="519"/>
      <c r="AC49" s="519"/>
      <c r="AD49" s="519"/>
      <c r="AE49" s="519"/>
      <c r="AF49" s="519"/>
      <c r="AG49" s="519"/>
      <c r="AH49" s="519"/>
      <c r="AI49" s="519"/>
      <c r="AJ49" s="519"/>
      <c r="AK49" s="520"/>
      <c r="AL49" s="520"/>
      <c r="AM49" s="520"/>
      <c r="AN49" s="519"/>
      <c r="AO49" s="519"/>
      <c r="AP49" s="519"/>
    </row>
    <row r="50" spans="1:42" s="294" customFormat="1">
      <c r="A50" s="348"/>
      <c r="B50" s="350"/>
      <c r="C50" s="350"/>
      <c r="D50" s="491"/>
      <c r="E50" s="491"/>
      <c r="F50" s="491"/>
      <c r="G50" s="491"/>
      <c r="H50" s="491"/>
      <c r="I50" s="491"/>
      <c r="J50" s="491"/>
      <c r="K50" s="491"/>
      <c r="L50" s="491"/>
      <c r="M50" s="491"/>
      <c r="N50" s="491"/>
      <c r="O50" s="491"/>
      <c r="P50" s="491"/>
      <c r="Q50" s="491"/>
      <c r="R50" s="491"/>
      <c r="S50" s="491"/>
      <c r="T50" s="491"/>
      <c r="U50" s="491"/>
      <c r="V50" s="491"/>
      <c r="W50" s="491"/>
      <c r="X50" s="491"/>
      <c r="Y50" s="491"/>
      <c r="Z50" s="491"/>
      <c r="AA50" s="491"/>
      <c r="AB50" s="491"/>
      <c r="AC50" s="491"/>
      <c r="AD50" s="491"/>
      <c r="AE50" s="491"/>
      <c r="AF50" s="491"/>
      <c r="AG50" s="491"/>
      <c r="AH50" s="491"/>
      <c r="AI50" s="491"/>
      <c r="AJ50" s="491"/>
      <c r="AK50" s="492"/>
      <c r="AL50" s="492"/>
      <c r="AM50" s="492"/>
      <c r="AN50" s="491"/>
      <c r="AO50" s="491"/>
      <c r="AP50" s="491"/>
    </row>
    <row r="51" spans="1:42" s="294" customFormat="1" ht="18.75">
      <c r="A51" s="442" t="s">
        <v>199</v>
      </c>
      <c r="B51" s="350"/>
      <c r="C51" s="350"/>
      <c r="D51" s="491"/>
      <c r="E51" s="491"/>
      <c r="F51" s="491"/>
      <c r="G51" s="491"/>
      <c r="H51" s="491"/>
      <c r="I51" s="491"/>
      <c r="J51" s="491"/>
      <c r="K51" s="491"/>
      <c r="L51" s="491"/>
      <c r="M51" s="491"/>
      <c r="N51" s="491"/>
      <c r="O51" s="491"/>
      <c r="P51" s="491"/>
      <c r="Q51" s="491"/>
      <c r="R51" s="491"/>
      <c r="S51" s="491"/>
      <c r="T51" s="491"/>
      <c r="U51" s="491"/>
      <c r="V51" s="491"/>
      <c r="W51" s="491"/>
      <c r="X51" s="491"/>
      <c r="Y51" s="491"/>
      <c r="Z51" s="491"/>
      <c r="AA51" s="491"/>
      <c r="AB51" s="491"/>
      <c r="AC51" s="491"/>
      <c r="AD51" s="491"/>
      <c r="AE51" s="491"/>
      <c r="AF51" s="491"/>
      <c r="AG51" s="491"/>
      <c r="AH51" s="491"/>
      <c r="AI51" s="491"/>
      <c r="AJ51" s="491"/>
      <c r="AK51" s="492"/>
      <c r="AL51" s="492"/>
      <c r="AM51" s="492"/>
      <c r="AN51" s="491"/>
      <c r="AO51" s="491"/>
      <c r="AP51" s="491"/>
    </row>
    <row r="52" spans="1:42" s="294" customFormat="1" ht="18.75">
      <c r="A52" s="442"/>
      <c r="B52" s="350"/>
      <c r="C52" s="350"/>
      <c r="D52" s="491"/>
      <c r="E52" s="491"/>
      <c r="F52" s="491"/>
      <c r="G52" s="491"/>
      <c r="H52" s="491"/>
      <c r="I52" s="491"/>
      <c r="J52" s="491"/>
      <c r="K52" s="491"/>
      <c r="L52" s="491"/>
      <c r="M52" s="491"/>
      <c r="N52" s="491"/>
      <c r="O52" s="491"/>
      <c r="P52" s="491"/>
      <c r="Q52" s="491"/>
      <c r="R52" s="491"/>
      <c r="S52" s="491"/>
      <c r="T52" s="491"/>
      <c r="U52" s="491"/>
      <c r="V52" s="491"/>
      <c r="W52" s="491"/>
      <c r="X52" s="491"/>
      <c r="Y52" s="491"/>
      <c r="Z52" s="491"/>
      <c r="AA52" s="491"/>
      <c r="AB52" s="491"/>
      <c r="AC52" s="491"/>
      <c r="AD52" s="491"/>
      <c r="AE52" s="491"/>
      <c r="AF52" s="491"/>
      <c r="AG52" s="491"/>
      <c r="AH52" s="491"/>
      <c r="AI52" s="491"/>
      <c r="AJ52" s="491"/>
      <c r="AK52" s="492"/>
      <c r="AL52" s="492"/>
      <c r="AM52" s="492"/>
      <c r="AN52" s="491"/>
      <c r="AO52" s="491"/>
      <c r="AP52" s="491"/>
    </row>
    <row r="53" spans="1:42" ht="15" customHeight="1">
      <c r="A53" s="522"/>
      <c r="B53" s="349" t="s">
        <v>147</v>
      </c>
      <c r="C53" s="349"/>
      <c r="D53" s="523" t="str">
        <f t="shared" ref="D53:AJ53" si="25">D15</f>
        <v/>
      </c>
      <c r="E53" s="523" t="str">
        <f t="shared" si="25"/>
        <v/>
      </c>
      <c r="F53" s="523" t="str">
        <f t="shared" si="25"/>
        <v/>
      </c>
      <c r="G53" s="523" t="str">
        <f t="shared" si="25"/>
        <v/>
      </c>
      <c r="H53" s="523" t="str">
        <f t="shared" si="25"/>
        <v/>
      </c>
      <c r="I53" s="523" t="str">
        <f t="shared" si="25"/>
        <v/>
      </c>
      <c r="J53" s="523" t="str">
        <f t="shared" si="25"/>
        <v/>
      </c>
      <c r="K53" s="523" t="str">
        <f t="shared" si="25"/>
        <v/>
      </c>
      <c r="L53" s="523" t="str">
        <f t="shared" si="25"/>
        <v/>
      </c>
      <c r="M53" s="523" t="str">
        <f t="shared" si="25"/>
        <v/>
      </c>
      <c r="N53" s="523" t="str">
        <f t="shared" si="25"/>
        <v/>
      </c>
      <c r="O53" s="523" t="str">
        <f t="shared" si="25"/>
        <v/>
      </c>
      <c r="P53" s="523" t="str">
        <f t="shared" si="25"/>
        <v/>
      </c>
      <c r="Q53" s="523" t="str">
        <f t="shared" si="25"/>
        <v/>
      </c>
      <c r="R53" s="523" t="str">
        <f t="shared" si="25"/>
        <v/>
      </c>
      <c r="S53" s="523" t="str">
        <f t="shared" si="25"/>
        <v/>
      </c>
      <c r="T53" s="523" t="str">
        <f t="shared" si="25"/>
        <v/>
      </c>
      <c r="U53" s="523" t="str">
        <f t="shared" si="25"/>
        <v/>
      </c>
      <c r="V53" s="523" t="str">
        <f t="shared" si="25"/>
        <v/>
      </c>
      <c r="W53" s="523" t="str">
        <f t="shared" si="25"/>
        <v/>
      </c>
      <c r="X53" s="523" t="str">
        <f t="shared" si="25"/>
        <v/>
      </c>
      <c r="Y53" s="523" t="str">
        <f t="shared" si="25"/>
        <v/>
      </c>
      <c r="Z53" s="523" t="str">
        <f t="shared" si="25"/>
        <v/>
      </c>
      <c r="AA53" s="523" t="str">
        <f t="shared" si="25"/>
        <v/>
      </c>
      <c r="AB53" s="523" t="str">
        <f t="shared" si="25"/>
        <v/>
      </c>
      <c r="AC53" s="523" t="str">
        <f t="shared" si="25"/>
        <v/>
      </c>
      <c r="AD53" s="523" t="str">
        <f t="shared" si="25"/>
        <v/>
      </c>
      <c r="AE53" s="523" t="str">
        <f t="shared" si="25"/>
        <v/>
      </c>
      <c r="AF53" s="523" t="str">
        <f t="shared" si="25"/>
        <v/>
      </c>
      <c r="AG53" s="523" t="str">
        <f t="shared" si="25"/>
        <v/>
      </c>
      <c r="AH53" s="523" t="e">
        <f t="shared" si="25"/>
        <v>#REF!</v>
      </c>
      <c r="AI53" s="523" t="e">
        <f t="shared" si="25"/>
        <v>#REF!</v>
      </c>
      <c r="AJ53" s="523" t="e">
        <f t="shared" si="25"/>
        <v>#REF!</v>
      </c>
      <c r="AK53" s="483" t="str">
        <f t="shared" ref="AK53:AK56" si="26">IFERROR(RATE(3,,AD53,-AG53),"")</f>
        <v/>
      </c>
      <c r="AL53" s="483" t="str">
        <f>IFERROR(RATE(3,,AG53,-AJ53),"")</f>
        <v/>
      </c>
      <c r="AM53" s="297"/>
      <c r="AN53" s="523" t="e">
        <f>AN15</f>
        <v>#REF!</v>
      </c>
      <c r="AO53" s="523" t="e">
        <f>AO15</f>
        <v>#REF!</v>
      </c>
      <c r="AP53" s="523" t="e">
        <f>AP15</f>
        <v>#REF!</v>
      </c>
    </row>
    <row r="54" spans="1:42" s="294" customFormat="1" ht="15" customHeight="1">
      <c r="A54" s="442"/>
      <c r="B54" s="478" t="s">
        <v>200</v>
      </c>
      <c r="C54" s="350"/>
      <c r="D54" s="523" t="e">
        <f t="shared" ref="D54:AJ54" si="27">D21</f>
        <v>#REF!</v>
      </c>
      <c r="E54" s="523" t="e">
        <f t="shared" si="27"/>
        <v>#REF!</v>
      </c>
      <c r="F54" s="523" t="e">
        <f t="shared" si="27"/>
        <v>#REF!</v>
      </c>
      <c r="G54" s="523" t="e">
        <f t="shared" si="27"/>
        <v>#REF!</v>
      </c>
      <c r="H54" s="523" t="e">
        <f t="shared" si="27"/>
        <v>#REF!</v>
      </c>
      <c r="I54" s="523" t="e">
        <f t="shared" si="27"/>
        <v>#REF!</v>
      </c>
      <c r="J54" s="523" t="e">
        <f t="shared" si="27"/>
        <v>#REF!</v>
      </c>
      <c r="K54" s="523" t="e">
        <f t="shared" si="27"/>
        <v>#REF!</v>
      </c>
      <c r="L54" s="523" t="e">
        <f t="shared" si="27"/>
        <v>#REF!</v>
      </c>
      <c r="M54" s="523" t="e">
        <f t="shared" si="27"/>
        <v>#REF!</v>
      </c>
      <c r="N54" s="523" t="e">
        <f t="shared" si="27"/>
        <v>#REF!</v>
      </c>
      <c r="O54" s="523" t="e">
        <f t="shared" si="27"/>
        <v>#REF!</v>
      </c>
      <c r="P54" s="523" t="e">
        <f t="shared" si="27"/>
        <v>#REF!</v>
      </c>
      <c r="Q54" s="523" t="e">
        <f t="shared" si="27"/>
        <v>#REF!</v>
      </c>
      <c r="R54" s="523" t="e">
        <f t="shared" si="27"/>
        <v>#REF!</v>
      </c>
      <c r="S54" s="523" t="e">
        <f t="shared" si="27"/>
        <v>#REF!</v>
      </c>
      <c r="T54" s="523" t="e">
        <f t="shared" si="27"/>
        <v>#REF!</v>
      </c>
      <c r="U54" s="523" t="e">
        <f t="shared" si="27"/>
        <v>#REF!</v>
      </c>
      <c r="V54" s="523" t="e">
        <f t="shared" si="27"/>
        <v>#REF!</v>
      </c>
      <c r="W54" s="523" t="e">
        <f t="shared" si="27"/>
        <v>#REF!</v>
      </c>
      <c r="X54" s="523" t="e">
        <f t="shared" si="27"/>
        <v>#REF!</v>
      </c>
      <c r="Y54" s="523" t="e">
        <f t="shared" si="27"/>
        <v>#REF!</v>
      </c>
      <c r="Z54" s="523" t="e">
        <f t="shared" si="27"/>
        <v>#REF!</v>
      </c>
      <c r="AA54" s="523" t="e">
        <f t="shared" si="27"/>
        <v>#REF!</v>
      </c>
      <c r="AB54" s="523" t="e">
        <f t="shared" si="27"/>
        <v>#REF!</v>
      </c>
      <c r="AC54" s="523" t="e">
        <f t="shared" si="27"/>
        <v>#REF!</v>
      </c>
      <c r="AD54" s="523" t="e">
        <f t="shared" si="27"/>
        <v>#REF!</v>
      </c>
      <c r="AE54" s="523" t="e">
        <f t="shared" si="27"/>
        <v>#REF!</v>
      </c>
      <c r="AF54" s="523" t="e">
        <f t="shared" si="27"/>
        <v>#REF!</v>
      </c>
      <c r="AG54" s="523" t="e">
        <f t="shared" si="27"/>
        <v>#REF!</v>
      </c>
      <c r="AH54" s="523" t="e">
        <f t="shared" si="27"/>
        <v>#REF!</v>
      </c>
      <c r="AI54" s="523" t="e">
        <f t="shared" si="27"/>
        <v>#REF!</v>
      </c>
      <c r="AJ54" s="523" t="e">
        <f t="shared" si="27"/>
        <v>#REF!</v>
      </c>
      <c r="AK54" s="483" t="str">
        <f t="shared" si="26"/>
        <v/>
      </c>
      <c r="AL54" s="483" t="str">
        <f>IFERROR(RATE(3,,AG54,-AJ54),"")</f>
        <v/>
      </c>
      <c r="AM54" s="492"/>
      <c r="AN54" s="523" t="e">
        <f>AN21</f>
        <v>#REF!</v>
      </c>
      <c r="AO54" s="523" t="e">
        <f>AO21</f>
        <v>#REF!</v>
      </c>
      <c r="AP54" s="523" t="e">
        <f>AP21</f>
        <v>#REF!</v>
      </c>
    </row>
    <row r="55" spans="1:42" ht="15" customHeight="1">
      <c r="A55" s="522"/>
      <c r="B55" s="482" t="s">
        <v>98</v>
      </c>
      <c r="C55" s="349"/>
      <c r="D55" s="523" t="e">
        <f t="shared" ref="D55:AJ55" si="28">D27</f>
        <v>#REF!</v>
      </c>
      <c r="E55" s="523" t="e">
        <f t="shared" si="28"/>
        <v>#REF!</v>
      </c>
      <c r="F55" s="523" t="e">
        <f t="shared" si="28"/>
        <v>#REF!</v>
      </c>
      <c r="G55" s="523" t="e">
        <f t="shared" si="28"/>
        <v>#REF!</v>
      </c>
      <c r="H55" s="523" t="e">
        <f t="shared" si="28"/>
        <v>#REF!</v>
      </c>
      <c r="I55" s="523" t="e">
        <f t="shared" si="28"/>
        <v>#REF!</v>
      </c>
      <c r="J55" s="523" t="e">
        <f t="shared" si="28"/>
        <v>#REF!</v>
      </c>
      <c r="K55" s="523" t="e">
        <f t="shared" si="28"/>
        <v>#REF!</v>
      </c>
      <c r="L55" s="523" t="e">
        <f t="shared" si="28"/>
        <v>#REF!</v>
      </c>
      <c r="M55" s="523" t="e">
        <f t="shared" si="28"/>
        <v>#REF!</v>
      </c>
      <c r="N55" s="523" t="e">
        <f t="shared" si="28"/>
        <v>#REF!</v>
      </c>
      <c r="O55" s="523" t="e">
        <f t="shared" si="28"/>
        <v>#REF!</v>
      </c>
      <c r="P55" s="523" t="e">
        <f t="shared" si="28"/>
        <v>#REF!</v>
      </c>
      <c r="Q55" s="523" t="e">
        <f t="shared" si="28"/>
        <v>#REF!</v>
      </c>
      <c r="R55" s="523" t="e">
        <f t="shared" si="28"/>
        <v>#REF!</v>
      </c>
      <c r="S55" s="523" t="e">
        <f t="shared" si="28"/>
        <v>#REF!</v>
      </c>
      <c r="T55" s="523" t="e">
        <f t="shared" si="28"/>
        <v>#REF!</v>
      </c>
      <c r="U55" s="523" t="e">
        <f t="shared" si="28"/>
        <v>#REF!</v>
      </c>
      <c r="V55" s="523" t="e">
        <f t="shared" si="28"/>
        <v>#REF!</v>
      </c>
      <c r="W55" s="523" t="e">
        <f t="shared" si="28"/>
        <v>#REF!</v>
      </c>
      <c r="X55" s="523" t="e">
        <f t="shared" si="28"/>
        <v>#REF!</v>
      </c>
      <c r="Y55" s="523" t="e">
        <f t="shared" si="28"/>
        <v>#REF!</v>
      </c>
      <c r="Z55" s="523" t="e">
        <f t="shared" si="28"/>
        <v>#REF!</v>
      </c>
      <c r="AA55" s="523" t="e">
        <f t="shared" si="28"/>
        <v>#REF!</v>
      </c>
      <c r="AB55" s="523" t="e">
        <f t="shared" si="28"/>
        <v>#REF!</v>
      </c>
      <c r="AC55" s="523" t="e">
        <f t="shared" si="28"/>
        <v>#REF!</v>
      </c>
      <c r="AD55" s="523" t="e">
        <f t="shared" si="28"/>
        <v>#REF!</v>
      </c>
      <c r="AE55" s="523" t="e">
        <f t="shared" si="28"/>
        <v>#REF!</v>
      </c>
      <c r="AF55" s="523" t="e">
        <f t="shared" si="28"/>
        <v>#REF!</v>
      </c>
      <c r="AG55" s="523" t="e">
        <f t="shared" si="28"/>
        <v>#REF!</v>
      </c>
      <c r="AH55" s="523" t="e">
        <f t="shared" si="28"/>
        <v>#VALUE!</v>
      </c>
      <c r="AI55" s="523" t="e">
        <f t="shared" si="28"/>
        <v>#VALUE!</v>
      </c>
      <c r="AJ55" s="523" t="e">
        <f t="shared" si="28"/>
        <v>#VALUE!</v>
      </c>
      <c r="AK55" s="483" t="str">
        <f t="shared" si="26"/>
        <v/>
      </c>
      <c r="AL55" s="483" t="str">
        <f>IFERROR(RATE(3,,AG55,-AJ55),"")</f>
        <v/>
      </c>
      <c r="AM55" s="523"/>
      <c r="AN55" s="523" t="e">
        <f>AN27</f>
        <v>#VALUE!</v>
      </c>
      <c r="AO55" s="523" t="e">
        <f>AO27</f>
        <v>#VALUE!</v>
      </c>
      <c r="AP55" s="523" t="e">
        <f>AP27</f>
        <v>#VALUE!</v>
      </c>
    </row>
    <row r="56" spans="1:42" s="294" customFormat="1" ht="15" customHeight="1">
      <c r="A56" s="442"/>
      <c r="B56" s="350" t="s">
        <v>201</v>
      </c>
      <c r="C56" s="350"/>
      <c r="D56" s="524" t="e">
        <f t="shared" ref="D56:AG56" si="29">IF(D4=0,"",SUM(D53:D55))</f>
        <v>#REF!</v>
      </c>
      <c r="E56" s="524" t="e">
        <f t="shared" si="29"/>
        <v>#REF!</v>
      </c>
      <c r="F56" s="524" t="e">
        <f t="shared" si="29"/>
        <v>#REF!</v>
      </c>
      <c r="G56" s="524" t="e">
        <f t="shared" si="29"/>
        <v>#REF!</v>
      </c>
      <c r="H56" s="524" t="e">
        <f t="shared" si="29"/>
        <v>#REF!</v>
      </c>
      <c r="I56" s="524" t="e">
        <f t="shared" si="29"/>
        <v>#REF!</v>
      </c>
      <c r="J56" s="524" t="e">
        <f t="shared" si="29"/>
        <v>#REF!</v>
      </c>
      <c r="K56" s="524" t="e">
        <f t="shared" si="29"/>
        <v>#REF!</v>
      </c>
      <c r="L56" s="524" t="e">
        <f t="shared" si="29"/>
        <v>#REF!</v>
      </c>
      <c r="M56" s="524" t="e">
        <f t="shared" si="29"/>
        <v>#REF!</v>
      </c>
      <c r="N56" s="524" t="e">
        <f t="shared" si="29"/>
        <v>#REF!</v>
      </c>
      <c r="O56" s="524" t="e">
        <f t="shared" si="29"/>
        <v>#REF!</v>
      </c>
      <c r="P56" s="524" t="e">
        <f t="shared" si="29"/>
        <v>#REF!</v>
      </c>
      <c r="Q56" s="524" t="e">
        <f t="shared" si="29"/>
        <v>#REF!</v>
      </c>
      <c r="R56" s="524" t="e">
        <f t="shared" si="29"/>
        <v>#REF!</v>
      </c>
      <c r="S56" s="524" t="e">
        <f t="shared" si="29"/>
        <v>#REF!</v>
      </c>
      <c r="T56" s="524" t="e">
        <f t="shared" si="29"/>
        <v>#REF!</v>
      </c>
      <c r="U56" s="524" t="e">
        <f t="shared" si="29"/>
        <v>#REF!</v>
      </c>
      <c r="V56" s="524" t="e">
        <f t="shared" si="29"/>
        <v>#REF!</v>
      </c>
      <c r="W56" s="524" t="e">
        <f t="shared" si="29"/>
        <v>#REF!</v>
      </c>
      <c r="X56" s="524" t="e">
        <f t="shared" si="29"/>
        <v>#REF!</v>
      </c>
      <c r="Y56" s="524" t="e">
        <f t="shared" si="29"/>
        <v>#REF!</v>
      </c>
      <c r="Z56" s="524" t="e">
        <f t="shared" si="29"/>
        <v>#REF!</v>
      </c>
      <c r="AA56" s="524" t="e">
        <f t="shared" si="29"/>
        <v>#REF!</v>
      </c>
      <c r="AB56" s="524" t="e">
        <f t="shared" si="29"/>
        <v>#REF!</v>
      </c>
      <c r="AC56" s="524" t="e">
        <f t="shared" si="29"/>
        <v>#REF!</v>
      </c>
      <c r="AD56" s="524" t="e">
        <f t="shared" si="29"/>
        <v>#REF!</v>
      </c>
      <c r="AE56" s="524" t="e">
        <f t="shared" si="29"/>
        <v>#REF!</v>
      </c>
      <c r="AF56" s="524" t="e">
        <f t="shared" si="29"/>
        <v>#REF!</v>
      </c>
      <c r="AG56" s="524" t="e">
        <f t="shared" si="29"/>
        <v>#REF!</v>
      </c>
      <c r="AH56" s="524" t="e">
        <f>SUM(AH53:AH55)</f>
        <v>#REF!</v>
      </c>
      <c r="AI56" s="524" t="e">
        <f>SUM(AI53:AI55)</f>
        <v>#REF!</v>
      </c>
      <c r="AJ56" s="524" t="e">
        <f>SUM(AJ53:AJ55)</f>
        <v>#REF!</v>
      </c>
      <c r="AK56" s="483" t="str">
        <f t="shared" si="26"/>
        <v/>
      </c>
      <c r="AL56" s="483" t="str">
        <f>IFERROR(RATE(3,,AG56,-AJ56),"")</f>
        <v/>
      </c>
      <c r="AM56" s="492"/>
      <c r="AN56" s="524" t="e">
        <f>SUM(AN53:AN55)</f>
        <v>#REF!</v>
      </c>
      <c r="AO56" s="524" t="e">
        <f>SUM(AO53:AO55)</f>
        <v>#REF!</v>
      </c>
      <c r="AP56" s="524" t="e">
        <f>SUM(AP53:AP55)</f>
        <v>#REF!</v>
      </c>
    </row>
    <row r="57" spans="1:42" s="294" customFormat="1" ht="15" customHeight="1">
      <c r="A57" s="442"/>
      <c r="B57" s="349"/>
      <c r="C57" s="349"/>
      <c r="D57" s="523"/>
      <c r="E57" s="523"/>
      <c r="F57" s="523"/>
      <c r="G57" s="523"/>
      <c r="H57" s="523"/>
      <c r="I57" s="523"/>
      <c r="J57" s="523"/>
      <c r="K57" s="523"/>
      <c r="L57" s="523"/>
      <c r="M57" s="523"/>
      <c r="N57" s="523"/>
      <c r="O57" s="523"/>
      <c r="P57" s="523"/>
      <c r="Q57" s="523"/>
      <c r="R57" s="523"/>
      <c r="S57" s="523"/>
      <c r="T57" s="523"/>
      <c r="U57" s="523"/>
      <c r="V57" s="523"/>
      <c r="W57" s="523"/>
      <c r="X57" s="523"/>
      <c r="Y57" s="523"/>
      <c r="Z57" s="523"/>
      <c r="AA57" s="523"/>
      <c r="AB57" s="523"/>
      <c r="AC57" s="523"/>
      <c r="AD57" s="523"/>
      <c r="AE57" s="523"/>
      <c r="AF57" s="523"/>
      <c r="AG57" s="523"/>
      <c r="AH57" s="450"/>
      <c r="AI57" s="450"/>
      <c r="AJ57" s="450"/>
      <c r="AK57" s="492"/>
      <c r="AL57" s="492"/>
      <c r="AM57" s="492"/>
      <c r="AN57" s="450"/>
      <c r="AO57" s="450"/>
      <c r="AP57" s="450"/>
    </row>
    <row r="58" spans="1:42" s="294" customFormat="1" ht="15" customHeight="1">
      <c r="A58" s="442"/>
      <c r="B58" s="349" t="s">
        <v>202</v>
      </c>
      <c r="C58" s="350"/>
      <c r="D58" s="523" t="str">
        <f t="shared" ref="D58:AJ58" si="30">IFERROR(D28,"")</f>
        <v/>
      </c>
      <c r="E58" s="523" t="str">
        <f t="shared" si="30"/>
        <v/>
      </c>
      <c r="F58" s="523" t="str">
        <f t="shared" si="30"/>
        <v/>
      </c>
      <c r="G58" s="523" t="str">
        <f t="shared" si="30"/>
        <v/>
      </c>
      <c r="H58" s="523" t="str">
        <f t="shared" si="30"/>
        <v/>
      </c>
      <c r="I58" s="523" t="str">
        <f t="shared" si="30"/>
        <v/>
      </c>
      <c r="J58" s="523" t="str">
        <f t="shared" si="30"/>
        <v/>
      </c>
      <c r="K58" s="523" t="str">
        <f t="shared" si="30"/>
        <v/>
      </c>
      <c r="L58" s="523" t="str">
        <f t="shared" si="30"/>
        <v/>
      </c>
      <c r="M58" s="523" t="str">
        <f t="shared" si="30"/>
        <v/>
      </c>
      <c r="N58" s="523" t="str">
        <f t="shared" si="30"/>
        <v/>
      </c>
      <c r="O58" s="523" t="str">
        <f t="shared" si="30"/>
        <v/>
      </c>
      <c r="P58" s="523" t="str">
        <f t="shared" si="30"/>
        <v/>
      </c>
      <c r="Q58" s="523" t="str">
        <f t="shared" si="30"/>
        <v/>
      </c>
      <c r="R58" s="523" t="str">
        <f t="shared" si="30"/>
        <v/>
      </c>
      <c r="S58" s="523" t="str">
        <f t="shared" si="30"/>
        <v/>
      </c>
      <c r="T58" s="523" t="str">
        <f t="shared" si="30"/>
        <v/>
      </c>
      <c r="U58" s="523" t="str">
        <f t="shared" si="30"/>
        <v/>
      </c>
      <c r="V58" s="523" t="str">
        <f t="shared" si="30"/>
        <v/>
      </c>
      <c r="W58" s="523" t="str">
        <f t="shared" si="30"/>
        <v/>
      </c>
      <c r="X58" s="523" t="str">
        <f t="shared" si="30"/>
        <v/>
      </c>
      <c r="Y58" s="523" t="str">
        <f t="shared" si="30"/>
        <v/>
      </c>
      <c r="Z58" s="523" t="str">
        <f t="shared" si="30"/>
        <v/>
      </c>
      <c r="AA58" s="523" t="str">
        <f t="shared" si="30"/>
        <v/>
      </c>
      <c r="AB58" s="523" t="str">
        <f t="shared" si="30"/>
        <v/>
      </c>
      <c r="AC58" s="523" t="str">
        <f t="shared" si="30"/>
        <v/>
      </c>
      <c r="AD58" s="523" t="str">
        <f t="shared" si="30"/>
        <v/>
      </c>
      <c r="AE58" s="523" t="str">
        <f t="shared" si="30"/>
        <v/>
      </c>
      <c r="AF58" s="523" t="str">
        <f t="shared" si="30"/>
        <v/>
      </c>
      <c r="AG58" s="523" t="str">
        <f t="shared" si="30"/>
        <v/>
      </c>
      <c r="AH58" s="523">
        <f t="shared" si="30"/>
        <v>0</v>
      </c>
      <c r="AI58" s="523">
        <f t="shared" si="30"/>
        <v>0</v>
      </c>
      <c r="AJ58" s="523">
        <f t="shared" si="30"/>
        <v>0</v>
      </c>
      <c r="AK58" s="483" t="str">
        <f t="shared" ref="AK58" si="31">IFERROR(RATE(3,,AD58,-AG58),"")</f>
        <v/>
      </c>
      <c r="AL58" s="483" t="str">
        <f>IFERROR(RATE(3,,AG58,-AJ58),"")</f>
        <v/>
      </c>
      <c r="AM58" s="523"/>
      <c r="AN58" s="523">
        <f>IFERROR(AN28,"")</f>
        <v>0</v>
      </c>
      <c r="AO58" s="523">
        <f>IFERROR(AO28,"")</f>
        <v>0</v>
      </c>
      <c r="AP58" s="523">
        <f>IFERROR(AP28,"")</f>
        <v>0</v>
      </c>
    </row>
    <row r="59" spans="1:42" s="294" customFormat="1" ht="15" customHeight="1">
      <c r="A59" s="442"/>
      <c r="B59" s="349" t="s">
        <v>203</v>
      </c>
      <c r="C59" s="350"/>
      <c r="D59" s="523" t="str">
        <f t="shared" ref="D59:AJ59" si="32">IFERROR(D29+D30,"")</f>
        <v/>
      </c>
      <c r="E59" s="523" t="str">
        <f t="shared" si="32"/>
        <v/>
      </c>
      <c r="F59" s="523" t="str">
        <f t="shared" si="32"/>
        <v/>
      </c>
      <c r="G59" s="523" t="str">
        <f t="shared" si="32"/>
        <v/>
      </c>
      <c r="H59" s="523" t="str">
        <f t="shared" si="32"/>
        <v/>
      </c>
      <c r="I59" s="523" t="str">
        <f t="shared" si="32"/>
        <v/>
      </c>
      <c r="J59" s="523" t="str">
        <f t="shared" si="32"/>
        <v/>
      </c>
      <c r="K59" s="523" t="str">
        <f t="shared" si="32"/>
        <v/>
      </c>
      <c r="L59" s="523" t="str">
        <f t="shared" si="32"/>
        <v/>
      </c>
      <c r="M59" s="523" t="str">
        <f t="shared" si="32"/>
        <v/>
      </c>
      <c r="N59" s="523" t="str">
        <f t="shared" si="32"/>
        <v/>
      </c>
      <c r="O59" s="523" t="str">
        <f t="shared" si="32"/>
        <v/>
      </c>
      <c r="P59" s="523" t="str">
        <f t="shared" si="32"/>
        <v/>
      </c>
      <c r="Q59" s="523" t="str">
        <f t="shared" si="32"/>
        <v/>
      </c>
      <c r="R59" s="523" t="str">
        <f t="shared" si="32"/>
        <v/>
      </c>
      <c r="S59" s="523" t="str">
        <f t="shared" si="32"/>
        <v/>
      </c>
      <c r="T59" s="523" t="str">
        <f t="shared" si="32"/>
        <v/>
      </c>
      <c r="U59" s="523" t="str">
        <f t="shared" si="32"/>
        <v/>
      </c>
      <c r="V59" s="523" t="str">
        <f t="shared" si="32"/>
        <v/>
      </c>
      <c r="W59" s="523" t="str">
        <f t="shared" si="32"/>
        <v/>
      </c>
      <c r="X59" s="523" t="str">
        <f t="shared" si="32"/>
        <v/>
      </c>
      <c r="Y59" s="523" t="str">
        <f t="shared" si="32"/>
        <v/>
      </c>
      <c r="Z59" s="523" t="str">
        <f t="shared" si="32"/>
        <v/>
      </c>
      <c r="AA59" s="523" t="str">
        <f t="shared" si="32"/>
        <v/>
      </c>
      <c r="AB59" s="523" t="str">
        <f t="shared" si="32"/>
        <v/>
      </c>
      <c r="AC59" s="523" t="str">
        <f t="shared" si="32"/>
        <v/>
      </c>
      <c r="AD59" s="523" t="str">
        <f t="shared" si="32"/>
        <v/>
      </c>
      <c r="AE59" s="523" t="str">
        <f t="shared" si="32"/>
        <v/>
      </c>
      <c r="AF59" s="523" t="str">
        <f t="shared" si="32"/>
        <v/>
      </c>
      <c r="AG59" s="523" t="str">
        <f t="shared" si="32"/>
        <v/>
      </c>
      <c r="AH59" s="523" t="str">
        <f t="shared" si="32"/>
        <v/>
      </c>
      <c r="AI59" s="523" t="str">
        <f t="shared" si="32"/>
        <v/>
      </c>
      <c r="AJ59" s="523" t="str">
        <f t="shared" si="32"/>
        <v/>
      </c>
      <c r="AK59" s="483"/>
      <c r="AL59" s="483"/>
      <c r="AM59" s="523"/>
      <c r="AN59" s="523" t="str">
        <f>IFERROR(AN29+AN30,"")</f>
        <v/>
      </c>
      <c r="AO59" s="523" t="str">
        <f>IFERROR(AO29+AO30,"")</f>
        <v/>
      </c>
      <c r="AP59" s="523" t="str">
        <f>IFERROR(AP29+AP30,"")</f>
        <v/>
      </c>
    </row>
    <row r="60" spans="1:42" s="294" customFormat="1" ht="15" customHeight="1">
      <c r="A60" s="442"/>
      <c r="B60" s="493" t="s">
        <v>149</v>
      </c>
      <c r="C60" s="350"/>
      <c r="D60" s="523" t="e">
        <f t="shared" ref="D60:AJ60" si="33">D33</f>
        <v>#REF!</v>
      </c>
      <c r="E60" s="523" t="e">
        <f t="shared" si="33"/>
        <v>#REF!</v>
      </c>
      <c r="F60" s="523" t="e">
        <f t="shared" si="33"/>
        <v>#REF!</v>
      </c>
      <c r="G60" s="523" t="e">
        <f t="shared" si="33"/>
        <v>#REF!</v>
      </c>
      <c r="H60" s="523" t="e">
        <f t="shared" si="33"/>
        <v>#REF!</v>
      </c>
      <c r="I60" s="523" t="e">
        <f t="shared" si="33"/>
        <v>#REF!</v>
      </c>
      <c r="J60" s="523" t="e">
        <f t="shared" si="33"/>
        <v>#REF!</v>
      </c>
      <c r="K60" s="523" t="e">
        <f t="shared" si="33"/>
        <v>#REF!</v>
      </c>
      <c r="L60" s="523" t="e">
        <f t="shared" si="33"/>
        <v>#REF!</v>
      </c>
      <c r="M60" s="523" t="e">
        <f t="shared" si="33"/>
        <v>#REF!</v>
      </c>
      <c r="N60" s="523" t="e">
        <f t="shared" si="33"/>
        <v>#REF!</v>
      </c>
      <c r="O60" s="523" t="e">
        <f t="shared" si="33"/>
        <v>#REF!</v>
      </c>
      <c r="P60" s="523" t="e">
        <f t="shared" si="33"/>
        <v>#REF!</v>
      </c>
      <c r="Q60" s="523" t="e">
        <f t="shared" si="33"/>
        <v>#REF!</v>
      </c>
      <c r="R60" s="523" t="e">
        <f t="shared" si="33"/>
        <v>#REF!</v>
      </c>
      <c r="S60" s="523" t="e">
        <f t="shared" si="33"/>
        <v>#REF!</v>
      </c>
      <c r="T60" s="523" t="e">
        <f t="shared" si="33"/>
        <v>#REF!</v>
      </c>
      <c r="U60" s="523" t="e">
        <f t="shared" si="33"/>
        <v>#REF!</v>
      </c>
      <c r="V60" s="523" t="e">
        <f t="shared" si="33"/>
        <v>#REF!</v>
      </c>
      <c r="W60" s="523" t="e">
        <f t="shared" si="33"/>
        <v>#REF!</v>
      </c>
      <c r="X60" s="523" t="e">
        <f t="shared" si="33"/>
        <v>#REF!</v>
      </c>
      <c r="Y60" s="523" t="e">
        <f t="shared" si="33"/>
        <v>#REF!</v>
      </c>
      <c r="Z60" s="523" t="e">
        <f t="shared" si="33"/>
        <v>#REF!</v>
      </c>
      <c r="AA60" s="523" t="e">
        <f t="shared" si="33"/>
        <v>#REF!</v>
      </c>
      <c r="AB60" s="523" t="e">
        <f t="shared" si="33"/>
        <v>#REF!</v>
      </c>
      <c r="AC60" s="523" t="e">
        <f t="shared" si="33"/>
        <v>#REF!</v>
      </c>
      <c r="AD60" s="523" t="e">
        <f t="shared" si="33"/>
        <v>#REF!</v>
      </c>
      <c r="AE60" s="523" t="e">
        <f t="shared" si="33"/>
        <v>#REF!</v>
      </c>
      <c r="AF60" s="523" t="e">
        <f t="shared" si="33"/>
        <v>#REF!</v>
      </c>
      <c r="AG60" s="523" t="e">
        <f t="shared" si="33"/>
        <v>#REF!</v>
      </c>
      <c r="AH60" s="523" t="e">
        <f t="shared" si="33"/>
        <v>#REF!</v>
      </c>
      <c r="AI60" s="523" t="e">
        <f t="shared" si="33"/>
        <v>#REF!</v>
      </c>
      <c r="AJ60" s="523" t="e">
        <f t="shared" si="33"/>
        <v>#REF!</v>
      </c>
      <c r="AK60" s="483" t="str">
        <f t="shared" ref="AK60:AK64" si="34">IFERROR(RATE(3,,AD60,-AG60),"")</f>
        <v/>
      </c>
      <c r="AL60" s="483" t="str">
        <f>IFERROR(RATE(3,,AG60,-AJ60),"")</f>
        <v/>
      </c>
      <c r="AM60" s="492"/>
      <c r="AN60" s="523" t="e">
        <f>AN33</f>
        <v>#REF!</v>
      </c>
      <c r="AO60" s="523" t="e">
        <f>AO33</f>
        <v>#REF!</v>
      </c>
      <c r="AP60" s="523" t="e">
        <f>AP33</f>
        <v>#REF!</v>
      </c>
    </row>
    <row r="61" spans="1:42" s="294" customFormat="1" ht="15" customHeight="1">
      <c r="A61" s="442"/>
      <c r="B61" s="349" t="s">
        <v>204</v>
      </c>
      <c r="C61" s="350"/>
      <c r="D61" s="523" t="e">
        <f t="shared" ref="D61:AJ61" si="35">D40</f>
        <v>#REF!</v>
      </c>
      <c r="E61" s="523" t="e">
        <f t="shared" si="35"/>
        <v>#REF!</v>
      </c>
      <c r="F61" s="523" t="e">
        <f t="shared" si="35"/>
        <v>#REF!</v>
      </c>
      <c r="G61" s="523" t="e">
        <f t="shared" si="35"/>
        <v>#REF!</v>
      </c>
      <c r="H61" s="523" t="e">
        <f t="shared" si="35"/>
        <v>#REF!</v>
      </c>
      <c r="I61" s="523" t="e">
        <f t="shared" si="35"/>
        <v>#REF!</v>
      </c>
      <c r="J61" s="523" t="e">
        <f t="shared" si="35"/>
        <v>#REF!</v>
      </c>
      <c r="K61" s="523" t="e">
        <f t="shared" si="35"/>
        <v>#REF!</v>
      </c>
      <c r="L61" s="523" t="e">
        <f t="shared" si="35"/>
        <v>#REF!</v>
      </c>
      <c r="M61" s="523" t="e">
        <f t="shared" si="35"/>
        <v>#REF!</v>
      </c>
      <c r="N61" s="523" t="e">
        <f t="shared" si="35"/>
        <v>#REF!</v>
      </c>
      <c r="O61" s="523" t="e">
        <f t="shared" si="35"/>
        <v>#REF!</v>
      </c>
      <c r="P61" s="523" t="e">
        <f t="shared" si="35"/>
        <v>#REF!</v>
      </c>
      <c r="Q61" s="523" t="e">
        <f t="shared" si="35"/>
        <v>#REF!</v>
      </c>
      <c r="R61" s="523" t="e">
        <f t="shared" si="35"/>
        <v>#REF!</v>
      </c>
      <c r="S61" s="523" t="e">
        <f t="shared" si="35"/>
        <v>#REF!</v>
      </c>
      <c r="T61" s="523" t="e">
        <f t="shared" si="35"/>
        <v>#REF!</v>
      </c>
      <c r="U61" s="523" t="e">
        <f t="shared" si="35"/>
        <v>#REF!</v>
      </c>
      <c r="V61" s="523" t="e">
        <f t="shared" si="35"/>
        <v>#REF!</v>
      </c>
      <c r="W61" s="523" t="e">
        <f t="shared" si="35"/>
        <v>#REF!</v>
      </c>
      <c r="X61" s="523" t="e">
        <f t="shared" si="35"/>
        <v>#REF!</v>
      </c>
      <c r="Y61" s="523" t="e">
        <f t="shared" si="35"/>
        <v>#REF!</v>
      </c>
      <c r="Z61" s="523" t="e">
        <f t="shared" si="35"/>
        <v>#REF!</v>
      </c>
      <c r="AA61" s="523" t="e">
        <f t="shared" si="35"/>
        <v>#REF!</v>
      </c>
      <c r="AB61" s="523" t="e">
        <f t="shared" si="35"/>
        <v>#REF!</v>
      </c>
      <c r="AC61" s="523" t="e">
        <f t="shared" si="35"/>
        <v>#REF!</v>
      </c>
      <c r="AD61" s="523" t="e">
        <f t="shared" si="35"/>
        <v>#REF!</v>
      </c>
      <c r="AE61" s="523" t="e">
        <f t="shared" si="35"/>
        <v>#REF!</v>
      </c>
      <c r="AF61" s="523" t="e">
        <f t="shared" si="35"/>
        <v>#REF!</v>
      </c>
      <c r="AG61" s="523" t="e">
        <f t="shared" si="35"/>
        <v>#REF!</v>
      </c>
      <c r="AH61" s="523" t="e">
        <f t="shared" si="35"/>
        <v>#REF!</v>
      </c>
      <c r="AI61" s="523" t="e">
        <f t="shared" si="35"/>
        <v>#REF!</v>
      </c>
      <c r="AJ61" s="523" t="e">
        <f t="shared" si="35"/>
        <v>#REF!</v>
      </c>
      <c r="AK61" s="483" t="str">
        <f t="shared" si="34"/>
        <v/>
      </c>
      <c r="AL61" s="483" t="str">
        <f>IFERROR(RATE(3,,AG61,-AJ61),"")</f>
        <v/>
      </c>
      <c r="AM61" s="492"/>
      <c r="AN61" s="523" t="e">
        <f>AN40</f>
        <v>#REF!</v>
      </c>
      <c r="AO61" s="523" t="e">
        <f>AO40</f>
        <v>#REF!</v>
      </c>
      <c r="AP61" s="523" t="e">
        <f>AP40</f>
        <v>#REF!</v>
      </c>
    </row>
    <row r="62" spans="1:42" s="294" customFormat="1" ht="15" customHeight="1">
      <c r="A62" s="442"/>
      <c r="B62" s="349" t="s">
        <v>99</v>
      </c>
      <c r="C62" s="350"/>
      <c r="D62" s="523" t="e">
        <f t="shared" ref="D62:AJ62" si="36">D35</f>
        <v>#REF!</v>
      </c>
      <c r="E62" s="523" t="e">
        <f t="shared" si="36"/>
        <v>#REF!</v>
      </c>
      <c r="F62" s="523" t="e">
        <f t="shared" si="36"/>
        <v>#REF!</v>
      </c>
      <c r="G62" s="523" t="e">
        <f t="shared" si="36"/>
        <v>#REF!</v>
      </c>
      <c r="H62" s="523" t="e">
        <f t="shared" si="36"/>
        <v>#REF!</v>
      </c>
      <c r="I62" s="523" t="e">
        <f t="shared" si="36"/>
        <v>#REF!</v>
      </c>
      <c r="J62" s="523" t="e">
        <f t="shared" si="36"/>
        <v>#REF!</v>
      </c>
      <c r="K62" s="523" t="e">
        <f t="shared" si="36"/>
        <v>#REF!</v>
      </c>
      <c r="L62" s="523" t="e">
        <f t="shared" si="36"/>
        <v>#REF!</v>
      </c>
      <c r="M62" s="523" t="e">
        <f t="shared" si="36"/>
        <v>#REF!</v>
      </c>
      <c r="N62" s="523" t="e">
        <f t="shared" si="36"/>
        <v>#REF!</v>
      </c>
      <c r="O62" s="523" t="e">
        <f t="shared" si="36"/>
        <v>#REF!</v>
      </c>
      <c r="P62" s="523" t="e">
        <f t="shared" si="36"/>
        <v>#REF!</v>
      </c>
      <c r="Q62" s="523" t="e">
        <f t="shared" si="36"/>
        <v>#REF!</v>
      </c>
      <c r="R62" s="523" t="e">
        <f t="shared" si="36"/>
        <v>#REF!</v>
      </c>
      <c r="S62" s="523" t="e">
        <f t="shared" si="36"/>
        <v>#REF!</v>
      </c>
      <c r="T62" s="523" t="e">
        <f t="shared" si="36"/>
        <v>#REF!</v>
      </c>
      <c r="U62" s="523" t="e">
        <f t="shared" si="36"/>
        <v>#REF!</v>
      </c>
      <c r="V62" s="523" t="e">
        <f t="shared" si="36"/>
        <v>#REF!</v>
      </c>
      <c r="W62" s="523" t="e">
        <f t="shared" si="36"/>
        <v>#REF!</v>
      </c>
      <c r="X62" s="523" t="e">
        <f t="shared" si="36"/>
        <v>#REF!</v>
      </c>
      <c r="Y62" s="523" t="e">
        <f t="shared" si="36"/>
        <v>#REF!</v>
      </c>
      <c r="Z62" s="523" t="e">
        <f t="shared" si="36"/>
        <v>#REF!</v>
      </c>
      <c r="AA62" s="523" t="e">
        <f t="shared" si="36"/>
        <v>#REF!</v>
      </c>
      <c r="AB62" s="523" t="e">
        <f t="shared" si="36"/>
        <v>#REF!</v>
      </c>
      <c r="AC62" s="523" t="e">
        <f t="shared" si="36"/>
        <v>#REF!</v>
      </c>
      <c r="AD62" s="523" t="e">
        <f t="shared" si="36"/>
        <v>#REF!</v>
      </c>
      <c r="AE62" s="523" t="e">
        <f t="shared" si="36"/>
        <v>#REF!</v>
      </c>
      <c r="AF62" s="523" t="e">
        <f t="shared" si="36"/>
        <v>#REF!</v>
      </c>
      <c r="AG62" s="523" t="e">
        <f t="shared" si="36"/>
        <v>#REF!</v>
      </c>
      <c r="AH62" s="523" t="e">
        <f t="shared" si="36"/>
        <v>#REF!</v>
      </c>
      <c r="AI62" s="523" t="e">
        <f t="shared" si="36"/>
        <v>#REF!</v>
      </c>
      <c r="AJ62" s="523" t="e">
        <f t="shared" si="36"/>
        <v>#REF!</v>
      </c>
      <c r="AK62" s="483" t="str">
        <f t="shared" si="34"/>
        <v/>
      </c>
      <c r="AL62" s="483" t="str">
        <f>IFERROR(RATE(3,,AG62,-AJ62),"")</f>
        <v/>
      </c>
      <c r="AM62" s="492"/>
      <c r="AN62" s="523" t="e">
        <f>AN35</f>
        <v>#REF!</v>
      </c>
      <c r="AO62" s="523" t="e">
        <f>AO35</f>
        <v>#REF!</v>
      </c>
      <c r="AP62" s="523" t="e">
        <f>AP35</f>
        <v>#REF!</v>
      </c>
    </row>
    <row r="63" spans="1:42" s="294" customFormat="1" ht="15" customHeight="1">
      <c r="A63" s="442"/>
      <c r="B63" s="349" t="s">
        <v>205</v>
      </c>
      <c r="C63" s="350"/>
      <c r="D63" s="523" t="str">
        <f t="shared" ref="D63:AJ63" si="37">D34</f>
        <v/>
      </c>
      <c r="E63" s="523" t="str">
        <f t="shared" si="37"/>
        <v/>
      </c>
      <c r="F63" s="523" t="str">
        <f t="shared" si="37"/>
        <v/>
      </c>
      <c r="G63" s="523" t="str">
        <f t="shared" si="37"/>
        <v/>
      </c>
      <c r="H63" s="523" t="str">
        <f t="shared" si="37"/>
        <v/>
      </c>
      <c r="I63" s="523" t="str">
        <f t="shared" si="37"/>
        <v/>
      </c>
      <c r="J63" s="523" t="str">
        <f t="shared" si="37"/>
        <v/>
      </c>
      <c r="K63" s="523" t="str">
        <f t="shared" si="37"/>
        <v/>
      </c>
      <c r="L63" s="523" t="str">
        <f t="shared" si="37"/>
        <v/>
      </c>
      <c r="M63" s="523" t="str">
        <f t="shared" si="37"/>
        <v/>
      </c>
      <c r="N63" s="523" t="str">
        <f t="shared" si="37"/>
        <v/>
      </c>
      <c r="O63" s="523" t="str">
        <f t="shared" si="37"/>
        <v/>
      </c>
      <c r="P63" s="523" t="str">
        <f t="shared" si="37"/>
        <v/>
      </c>
      <c r="Q63" s="523" t="str">
        <f t="shared" si="37"/>
        <v/>
      </c>
      <c r="R63" s="523" t="str">
        <f t="shared" si="37"/>
        <v/>
      </c>
      <c r="S63" s="523" t="str">
        <f t="shared" si="37"/>
        <v/>
      </c>
      <c r="T63" s="523" t="str">
        <f t="shared" si="37"/>
        <v/>
      </c>
      <c r="U63" s="523" t="str">
        <f t="shared" si="37"/>
        <v/>
      </c>
      <c r="V63" s="523" t="str">
        <f t="shared" si="37"/>
        <v/>
      </c>
      <c r="W63" s="523" t="str">
        <f t="shared" si="37"/>
        <v/>
      </c>
      <c r="X63" s="523" t="str">
        <f t="shared" si="37"/>
        <v/>
      </c>
      <c r="Y63" s="523" t="str">
        <f t="shared" si="37"/>
        <v/>
      </c>
      <c r="Z63" s="523" t="str">
        <f t="shared" si="37"/>
        <v/>
      </c>
      <c r="AA63" s="523" t="str">
        <f t="shared" si="37"/>
        <v/>
      </c>
      <c r="AB63" s="523" t="str">
        <f t="shared" si="37"/>
        <v/>
      </c>
      <c r="AC63" s="523" t="str">
        <f t="shared" si="37"/>
        <v/>
      </c>
      <c r="AD63" s="523" t="str">
        <f t="shared" si="37"/>
        <v/>
      </c>
      <c r="AE63" s="523" t="str">
        <f t="shared" si="37"/>
        <v/>
      </c>
      <c r="AF63" s="523" t="str">
        <f t="shared" si="37"/>
        <v/>
      </c>
      <c r="AG63" s="523" t="str">
        <f t="shared" si="37"/>
        <v/>
      </c>
      <c r="AH63" s="523">
        <f t="shared" si="37"/>
        <v>0</v>
      </c>
      <c r="AI63" s="523">
        <f t="shared" si="37"/>
        <v>0</v>
      </c>
      <c r="AJ63" s="523">
        <f t="shared" si="37"/>
        <v>0</v>
      </c>
      <c r="AK63" s="483" t="str">
        <f t="shared" si="34"/>
        <v/>
      </c>
      <c r="AL63" s="483" t="str">
        <f>IFERROR(RATE(3,,AG63,-AJ63),"")</f>
        <v/>
      </c>
      <c r="AM63" s="523"/>
      <c r="AN63" s="523">
        <f>AN34</f>
        <v>0</v>
      </c>
      <c r="AO63" s="523">
        <f>AO34</f>
        <v>0</v>
      </c>
      <c r="AP63" s="523">
        <f>AP34</f>
        <v>0</v>
      </c>
    </row>
    <row r="64" spans="1:42" s="294" customFormat="1" ht="15" customHeight="1">
      <c r="A64" s="442"/>
      <c r="B64" s="350" t="s">
        <v>150</v>
      </c>
      <c r="C64" s="350"/>
      <c r="D64" s="524" t="e">
        <f t="shared" ref="D64:AG64" si="38">IF(D4=0,"",SUM(D58:D63))</f>
        <v>#REF!</v>
      </c>
      <c r="E64" s="524" t="e">
        <f t="shared" si="38"/>
        <v>#REF!</v>
      </c>
      <c r="F64" s="524" t="e">
        <f t="shared" si="38"/>
        <v>#REF!</v>
      </c>
      <c r="G64" s="524" t="e">
        <f t="shared" si="38"/>
        <v>#REF!</v>
      </c>
      <c r="H64" s="524" t="e">
        <f t="shared" si="38"/>
        <v>#REF!</v>
      </c>
      <c r="I64" s="524" t="e">
        <f t="shared" si="38"/>
        <v>#REF!</v>
      </c>
      <c r="J64" s="524" t="e">
        <f t="shared" si="38"/>
        <v>#REF!</v>
      </c>
      <c r="K64" s="524" t="e">
        <f t="shared" si="38"/>
        <v>#REF!</v>
      </c>
      <c r="L64" s="524" t="e">
        <f t="shared" si="38"/>
        <v>#REF!</v>
      </c>
      <c r="M64" s="524" t="e">
        <f t="shared" si="38"/>
        <v>#REF!</v>
      </c>
      <c r="N64" s="524" t="e">
        <f t="shared" si="38"/>
        <v>#REF!</v>
      </c>
      <c r="O64" s="524" t="e">
        <f t="shared" si="38"/>
        <v>#REF!</v>
      </c>
      <c r="P64" s="524" t="e">
        <f t="shared" si="38"/>
        <v>#REF!</v>
      </c>
      <c r="Q64" s="524" t="e">
        <f t="shared" si="38"/>
        <v>#REF!</v>
      </c>
      <c r="R64" s="524" t="e">
        <f t="shared" si="38"/>
        <v>#REF!</v>
      </c>
      <c r="S64" s="524" t="e">
        <f t="shared" si="38"/>
        <v>#REF!</v>
      </c>
      <c r="T64" s="524" t="e">
        <f t="shared" si="38"/>
        <v>#REF!</v>
      </c>
      <c r="U64" s="524" t="e">
        <f t="shared" si="38"/>
        <v>#REF!</v>
      </c>
      <c r="V64" s="524" t="e">
        <f t="shared" si="38"/>
        <v>#REF!</v>
      </c>
      <c r="W64" s="524" t="e">
        <f t="shared" si="38"/>
        <v>#REF!</v>
      </c>
      <c r="X64" s="524" t="e">
        <f t="shared" si="38"/>
        <v>#REF!</v>
      </c>
      <c r="Y64" s="524" t="e">
        <f t="shared" si="38"/>
        <v>#REF!</v>
      </c>
      <c r="Z64" s="524" t="e">
        <f t="shared" si="38"/>
        <v>#REF!</v>
      </c>
      <c r="AA64" s="524" t="e">
        <f t="shared" si="38"/>
        <v>#REF!</v>
      </c>
      <c r="AB64" s="524" t="e">
        <f t="shared" si="38"/>
        <v>#REF!</v>
      </c>
      <c r="AC64" s="524" t="e">
        <f t="shared" si="38"/>
        <v>#REF!</v>
      </c>
      <c r="AD64" s="524" t="e">
        <f t="shared" si="38"/>
        <v>#REF!</v>
      </c>
      <c r="AE64" s="524" t="e">
        <f t="shared" si="38"/>
        <v>#REF!</v>
      </c>
      <c r="AF64" s="524" t="e">
        <f t="shared" si="38"/>
        <v>#REF!</v>
      </c>
      <c r="AG64" s="524" t="e">
        <f t="shared" si="38"/>
        <v>#REF!</v>
      </c>
      <c r="AH64" s="524" t="e">
        <f t="shared" ref="AH64:AP64" si="39">SUM(AH58:AH63)</f>
        <v>#REF!</v>
      </c>
      <c r="AI64" s="524" t="e">
        <f t="shared" si="39"/>
        <v>#REF!</v>
      </c>
      <c r="AJ64" s="524" t="e">
        <f t="shared" si="39"/>
        <v>#REF!</v>
      </c>
      <c r="AK64" s="483" t="str">
        <f t="shared" si="34"/>
        <v/>
      </c>
      <c r="AL64" s="483" t="str">
        <f>IFERROR(RATE(3,,AG64,-AJ64),"")</f>
        <v/>
      </c>
      <c r="AM64" s="524"/>
      <c r="AN64" s="524" t="e">
        <f t="shared" si="39"/>
        <v>#REF!</v>
      </c>
      <c r="AO64" s="524" t="e">
        <f t="shared" si="39"/>
        <v>#REF!</v>
      </c>
      <c r="AP64" s="524" t="e">
        <f t="shared" si="39"/>
        <v>#REF!</v>
      </c>
    </row>
    <row r="65" spans="1:42" s="527" customFormat="1" ht="15" customHeight="1" thickBot="1">
      <c r="A65" s="442"/>
      <c r="B65" s="365"/>
      <c r="C65" s="525"/>
      <c r="D65" s="526"/>
      <c r="E65" s="526"/>
      <c r="F65" s="526"/>
      <c r="G65" s="526"/>
      <c r="H65" s="526"/>
      <c r="I65" s="526"/>
      <c r="J65" s="526"/>
      <c r="K65" s="526"/>
      <c r="L65" s="526"/>
      <c r="M65" s="526"/>
      <c r="N65" s="526"/>
      <c r="O65" s="526"/>
      <c r="P65" s="526"/>
      <c r="Q65" s="526"/>
      <c r="R65" s="526"/>
      <c r="S65" s="526"/>
      <c r="T65" s="526"/>
      <c r="U65" s="526"/>
      <c r="V65" s="526"/>
      <c r="W65" s="526"/>
      <c r="X65" s="526"/>
      <c r="Y65" s="526"/>
      <c r="Z65" s="526"/>
      <c r="AA65" s="526"/>
      <c r="AB65" s="526"/>
      <c r="AC65" s="526"/>
      <c r="AD65" s="526"/>
      <c r="AE65" s="526"/>
      <c r="AF65" s="526"/>
      <c r="AG65" s="526"/>
      <c r="AH65" s="526"/>
      <c r="AI65" s="526"/>
      <c r="AJ65" s="526"/>
      <c r="AK65" s="526"/>
      <c r="AL65" s="526"/>
      <c r="AM65" s="526"/>
      <c r="AN65" s="526"/>
      <c r="AO65" s="526"/>
      <c r="AP65" s="526"/>
    </row>
    <row r="66" spans="1:42" s="527" customFormat="1" ht="15" customHeight="1" thickTop="1" thickBot="1">
      <c r="A66" s="442"/>
      <c r="B66" s="525" t="s">
        <v>206</v>
      </c>
      <c r="C66" s="525"/>
      <c r="D66" s="528" t="e">
        <f t="shared" ref="D66:AG66" si="40">IF(D4=0,"",D56+D64)</f>
        <v>#REF!</v>
      </c>
      <c r="E66" s="528" t="e">
        <f t="shared" si="40"/>
        <v>#REF!</v>
      </c>
      <c r="F66" s="528" t="e">
        <f t="shared" si="40"/>
        <v>#REF!</v>
      </c>
      <c r="G66" s="528" t="e">
        <f t="shared" si="40"/>
        <v>#REF!</v>
      </c>
      <c r="H66" s="528" t="e">
        <f t="shared" si="40"/>
        <v>#REF!</v>
      </c>
      <c r="I66" s="528" t="e">
        <f t="shared" si="40"/>
        <v>#REF!</v>
      </c>
      <c r="J66" s="528" t="e">
        <f t="shared" si="40"/>
        <v>#REF!</v>
      </c>
      <c r="K66" s="528" t="e">
        <f t="shared" si="40"/>
        <v>#REF!</v>
      </c>
      <c r="L66" s="528" t="e">
        <f t="shared" si="40"/>
        <v>#REF!</v>
      </c>
      <c r="M66" s="528" t="e">
        <f t="shared" si="40"/>
        <v>#REF!</v>
      </c>
      <c r="N66" s="528" t="e">
        <f t="shared" si="40"/>
        <v>#REF!</v>
      </c>
      <c r="O66" s="528" t="e">
        <f t="shared" si="40"/>
        <v>#REF!</v>
      </c>
      <c r="P66" s="528" t="e">
        <f t="shared" si="40"/>
        <v>#REF!</v>
      </c>
      <c r="Q66" s="528" t="e">
        <f t="shared" si="40"/>
        <v>#REF!</v>
      </c>
      <c r="R66" s="528" t="e">
        <f t="shared" si="40"/>
        <v>#REF!</v>
      </c>
      <c r="S66" s="528" t="e">
        <f t="shared" si="40"/>
        <v>#REF!</v>
      </c>
      <c r="T66" s="528" t="e">
        <f t="shared" si="40"/>
        <v>#REF!</v>
      </c>
      <c r="U66" s="528" t="e">
        <f t="shared" si="40"/>
        <v>#REF!</v>
      </c>
      <c r="V66" s="528" t="e">
        <f t="shared" si="40"/>
        <v>#REF!</v>
      </c>
      <c r="W66" s="528" t="e">
        <f t="shared" si="40"/>
        <v>#REF!</v>
      </c>
      <c r="X66" s="528" t="e">
        <f t="shared" si="40"/>
        <v>#REF!</v>
      </c>
      <c r="Y66" s="528" t="e">
        <f t="shared" si="40"/>
        <v>#REF!</v>
      </c>
      <c r="Z66" s="528" t="e">
        <f t="shared" si="40"/>
        <v>#REF!</v>
      </c>
      <c r="AA66" s="528" t="e">
        <f t="shared" si="40"/>
        <v>#REF!</v>
      </c>
      <c r="AB66" s="528" t="e">
        <f t="shared" si="40"/>
        <v>#REF!</v>
      </c>
      <c r="AC66" s="528" t="e">
        <f t="shared" si="40"/>
        <v>#REF!</v>
      </c>
      <c r="AD66" s="528" t="e">
        <f t="shared" si="40"/>
        <v>#REF!</v>
      </c>
      <c r="AE66" s="528" t="e">
        <f t="shared" si="40"/>
        <v>#REF!</v>
      </c>
      <c r="AF66" s="528" t="e">
        <f t="shared" si="40"/>
        <v>#REF!</v>
      </c>
      <c r="AG66" s="528" t="e">
        <f t="shared" si="40"/>
        <v>#REF!</v>
      </c>
      <c r="AH66" s="528" t="e">
        <f t="shared" ref="AH66:AP66" si="41">AH56+AH64</f>
        <v>#REF!</v>
      </c>
      <c r="AI66" s="528" t="e">
        <f t="shared" si="41"/>
        <v>#REF!</v>
      </c>
      <c r="AJ66" s="528" t="e">
        <f t="shared" si="41"/>
        <v>#REF!</v>
      </c>
      <c r="AK66" s="529" t="str">
        <f t="shared" ref="AK66" si="42">IFERROR(RATE(3,,AD66,-AG66),"")</f>
        <v/>
      </c>
      <c r="AL66" s="529" t="str">
        <f>IFERROR(RATE(3,,AG66,-AJ66),"")</f>
        <v/>
      </c>
      <c r="AM66" s="528"/>
      <c r="AN66" s="528" t="e">
        <f t="shared" si="41"/>
        <v>#REF!</v>
      </c>
      <c r="AO66" s="528" t="e">
        <f t="shared" si="41"/>
        <v>#REF!</v>
      </c>
      <c r="AP66" s="528" t="e">
        <f t="shared" si="41"/>
        <v>#REF!</v>
      </c>
    </row>
    <row r="67" spans="1:42" s="294" customFormat="1" ht="15" customHeight="1" thickTop="1">
      <c r="A67" s="442"/>
      <c r="B67" s="348"/>
      <c r="C67" s="350"/>
      <c r="D67" s="530" t="str">
        <f t="shared" ref="D67:AJ67" si="43">IFERROR(IF(ROUND(D66-D45,3)=0,"",D66-D45),"")</f>
        <v/>
      </c>
      <c r="E67" s="530" t="str">
        <f t="shared" si="43"/>
        <v/>
      </c>
      <c r="F67" s="530" t="str">
        <f t="shared" si="43"/>
        <v/>
      </c>
      <c r="G67" s="530" t="str">
        <f t="shared" si="43"/>
        <v/>
      </c>
      <c r="H67" s="530" t="str">
        <f t="shared" si="43"/>
        <v/>
      </c>
      <c r="I67" s="530" t="str">
        <f t="shared" si="43"/>
        <v/>
      </c>
      <c r="J67" s="530" t="str">
        <f t="shared" si="43"/>
        <v/>
      </c>
      <c r="K67" s="530" t="str">
        <f t="shared" si="43"/>
        <v/>
      </c>
      <c r="L67" s="530" t="str">
        <f t="shared" si="43"/>
        <v/>
      </c>
      <c r="M67" s="530" t="str">
        <f t="shared" si="43"/>
        <v/>
      </c>
      <c r="N67" s="530" t="str">
        <f t="shared" si="43"/>
        <v/>
      </c>
      <c r="O67" s="530" t="str">
        <f t="shared" si="43"/>
        <v/>
      </c>
      <c r="P67" s="530" t="str">
        <f t="shared" si="43"/>
        <v/>
      </c>
      <c r="Q67" s="530" t="str">
        <f t="shared" si="43"/>
        <v/>
      </c>
      <c r="R67" s="530" t="str">
        <f t="shared" si="43"/>
        <v/>
      </c>
      <c r="S67" s="530" t="str">
        <f t="shared" si="43"/>
        <v/>
      </c>
      <c r="T67" s="530" t="str">
        <f t="shared" si="43"/>
        <v/>
      </c>
      <c r="U67" s="530" t="str">
        <f t="shared" si="43"/>
        <v/>
      </c>
      <c r="V67" s="530" t="str">
        <f t="shared" si="43"/>
        <v/>
      </c>
      <c r="W67" s="530" t="str">
        <f t="shared" si="43"/>
        <v/>
      </c>
      <c r="X67" s="530" t="str">
        <f t="shared" si="43"/>
        <v/>
      </c>
      <c r="Y67" s="530" t="str">
        <f t="shared" si="43"/>
        <v/>
      </c>
      <c r="Z67" s="530" t="str">
        <f t="shared" si="43"/>
        <v/>
      </c>
      <c r="AA67" s="530" t="str">
        <f t="shared" si="43"/>
        <v/>
      </c>
      <c r="AB67" s="530" t="str">
        <f t="shared" si="43"/>
        <v/>
      </c>
      <c r="AC67" s="530" t="str">
        <f t="shared" si="43"/>
        <v/>
      </c>
      <c r="AD67" s="530" t="str">
        <f t="shared" si="43"/>
        <v/>
      </c>
      <c r="AE67" s="530" t="str">
        <f t="shared" si="43"/>
        <v/>
      </c>
      <c r="AF67" s="530" t="str">
        <f t="shared" si="43"/>
        <v/>
      </c>
      <c r="AG67" s="530" t="str">
        <f t="shared" si="43"/>
        <v/>
      </c>
      <c r="AH67" s="530" t="str">
        <f t="shared" si="43"/>
        <v/>
      </c>
      <c r="AI67" s="530" t="str">
        <f t="shared" si="43"/>
        <v/>
      </c>
      <c r="AJ67" s="530" t="str">
        <f t="shared" si="43"/>
        <v/>
      </c>
      <c r="AK67" s="524"/>
      <c r="AL67" s="524"/>
      <c r="AM67" s="524"/>
      <c r="AN67" s="524"/>
      <c r="AO67" s="524"/>
      <c r="AP67" s="524"/>
    </row>
    <row r="68" spans="1:42" s="294" customFormat="1" ht="18.75">
      <c r="A68" s="442" t="s">
        <v>108</v>
      </c>
      <c r="B68" s="350"/>
      <c r="C68" s="350"/>
      <c r="D68" s="531"/>
      <c r="E68" s="531"/>
      <c r="F68" s="531"/>
      <c r="G68" s="531"/>
      <c r="H68" s="531"/>
      <c r="I68" s="531"/>
      <c r="J68" s="531"/>
      <c r="K68" s="531"/>
      <c r="L68" s="531"/>
      <c r="M68" s="531"/>
      <c r="N68" s="531"/>
      <c r="O68" s="531"/>
      <c r="P68" s="531"/>
      <c r="Q68" s="531"/>
      <c r="R68" s="531"/>
      <c r="S68" s="531"/>
      <c r="T68" s="531"/>
      <c r="U68" s="531"/>
      <c r="V68" s="531"/>
      <c r="W68" s="531"/>
      <c r="X68" s="531"/>
      <c r="Y68" s="531"/>
      <c r="Z68" s="531"/>
      <c r="AA68" s="531"/>
      <c r="AB68" s="531"/>
      <c r="AC68" s="531"/>
      <c r="AD68" s="531"/>
      <c r="AE68" s="531"/>
      <c r="AF68" s="531"/>
      <c r="AG68" s="531"/>
      <c r="AH68" s="531"/>
      <c r="AI68" s="531"/>
      <c r="AJ68" s="531"/>
      <c r="AK68" s="492"/>
      <c r="AL68" s="492"/>
      <c r="AM68" s="492"/>
      <c r="AN68" s="531"/>
      <c r="AO68" s="531"/>
      <c r="AP68" s="531"/>
    </row>
    <row r="69" spans="1:42" s="294" customFormat="1" ht="18.75">
      <c r="A69" s="442"/>
      <c r="B69" s="350"/>
      <c r="C69" s="350"/>
      <c r="D69" s="531"/>
      <c r="E69" s="531"/>
      <c r="F69" s="531"/>
      <c r="G69" s="531"/>
      <c r="H69" s="531"/>
      <c r="I69" s="531"/>
      <c r="J69" s="531"/>
      <c r="K69" s="531"/>
      <c r="L69" s="531"/>
      <c r="M69" s="531"/>
      <c r="N69" s="531"/>
      <c r="O69" s="531"/>
      <c r="P69" s="531"/>
      <c r="Q69" s="531"/>
      <c r="R69" s="531"/>
      <c r="S69" s="531"/>
      <c r="T69" s="531"/>
      <c r="U69" s="531"/>
      <c r="V69" s="531"/>
      <c r="W69" s="531"/>
      <c r="X69" s="531"/>
      <c r="Y69" s="531"/>
      <c r="Z69" s="531"/>
      <c r="AA69" s="531"/>
      <c r="AB69" s="531"/>
      <c r="AC69" s="531"/>
      <c r="AD69" s="531"/>
      <c r="AE69" s="531"/>
      <c r="AF69" s="531"/>
      <c r="AG69" s="531"/>
      <c r="AH69" s="531"/>
      <c r="AI69" s="491"/>
      <c r="AJ69" s="491"/>
      <c r="AK69" s="492"/>
      <c r="AL69" s="492"/>
      <c r="AM69" s="492"/>
      <c r="AN69" s="491"/>
      <c r="AO69" s="491"/>
      <c r="AP69" s="491"/>
    </row>
    <row r="70" spans="1:42" s="348" customFormat="1" ht="15" customHeight="1">
      <c r="A70" s="442"/>
      <c r="B70" s="478" t="s">
        <v>106</v>
      </c>
      <c r="C70" s="478"/>
      <c r="D70" s="532" t="e">
        <f t="shared" ref="D70:AJ70" si="44">D24</f>
        <v>#REF!</v>
      </c>
      <c r="E70" s="532" t="e">
        <f t="shared" si="44"/>
        <v>#REF!</v>
      </c>
      <c r="F70" s="532" t="e">
        <f t="shared" si="44"/>
        <v>#REF!</v>
      </c>
      <c r="G70" s="532" t="e">
        <f t="shared" si="44"/>
        <v>#REF!</v>
      </c>
      <c r="H70" s="532" t="e">
        <f t="shared" si="44"/>
        <v>#REF!</v>
      </c>
      <c r="I70" s="532" t="e">
        <f t="shared" si="44"/>
        <v>#REF!</v>
      </c>
      <c r="J70" s="532" t="e">
        <f t="shared" si="44"/>
        <v>#REF!</v>
      </c>
      <c r="K70" s="532" t="e">
        <f t="shared" si="44"/>
        <v>#REF!</v>
      </c>
      <c r="L70" s="532" t="e">
        <f t="shared" si="44"/>
        <v>#REF!</v>
      </c>
      <c r="M70" s="532" t="e">
        <f t="shared" si="44"/>
        <v>#REF!</v>
      </c>
      <c r="N70" s="532" t="e">
        <f t="shared" si="44"/>
        <v>#REF!</v>
      </c>
      <c r="O70" s="532" t="e">
        <f t="shared" si="44"/>
        <v>#REF!</v>
      </c>
      <c r="P70" s="532" t="e">
        <f t="shared" si="44"/>
        <v>#REF!</v>
      </c>
      <c r="Q70" s="532" t="e">
        <f t="shared" si="44"/>
        <v>#REF!</v>
      </c>
      <c r="R70" s="532" t="e">
        <f t="shared" si="44"/>
        <v>#REF!</v>
      </c>
      <c r="S70" s="532" t="e">
        <f t="shared" si="44"/>
        <v>#REF!</v>
      </c>
      <c r="T70" s="532" t="e">
        <f t="shared" si="44"/>
        <v>#REF!</v>
      </c>
      <c r="U70" s="532" t="e">
        <f t="shared" si="44"/>
        <v>#REF!</v>
      </c>
      <c r="V70" s="532" t="e">
        <f t="shared" si="44"/>
        <v>#REF!</v>
      </c>
      <c r="W70" s="532" t="e">
        <f t="shared" si="44"/>
        <v>#REF!</v>
      </c>
      <c r="X70" s="532" t="e">
        <f t="shared" si="44"/>
        <v>#REF!</v>
      </c>
      <c r="Y70" s="532" t="e">
        <f t="shared" si="44"/>
        <v>#REF!</v>
      </c>
      <c r="Z70" s="532" t="e">
        <f t="shared" si="44"/>
        <v>#REF!</v>
      </c>
      <c r="AA70" s="532" t="e">
        <f t="shared" si="44"/>
        <v>#REF!</v>
      </c>
      <c r="AB70" s="532" t="e">
        <f t="shared" si="44"/>
        <v>#REF!</v>
      </c>
      <c r="AC70" s="532" t="e">
        <f t="shared" si="44"/>
        <v>#REF!</v>
      </c>
      <c r="AD70" s="532" t="e">
        <f t="shared" si="44"/>
        <v>#REF!</v>
      </c>
      <c r="AE70" s="532" t="e">
        <f t="shared" si="44"/>
        <v>#REF!</v>
      </c>
      <c r="AF70" s="532" t="e">
        <f t="shared" si="44"/>
        <v>#REF!</v>
      </c>
      <c r="AG70" s="532" t="e">
        <f t="shared" si="44"/>
        <v>#REF!</v>
      </c>
      <c r="AH70" s="532" t="e">
        <f t="shared" si="44"/>
        <v>#REF!</v>
      </c>
      <c r="AI70" s="532" t="e">
        <f t="shared" si="44"/>
        <v>#REF!</v>
      </c>
      <c r="AJ70" s="532" t="e">
        <f t="shared" si="44"/>
        <v>#REF!</v>
      </c>
      <c r="AK70" s="533" t="str">
        <f t="shared" ref="AK70" si="45">IFERROR(RATE(3,,AD70,-AG70),"")</f>
        <v/>
      </c>
      <c r="AL70" s="533" t="str">
        <f>IFERROR(RATE(3,,AG70,-AJ70),"")</f>
        <v/>
      </c>
      <c r="AM70" s="532"/>
      <c r="AN70" s="532" t="e">
        <f>AN24</f>
        <v>#REF!</v>
      </c>
      <c r="AO70" s="532" t="e">
        <f>AO24</f>
        <v>#REF!</v>
      </c>
      <c r="AP70" s="532" t="e">
        <f>AP24</f>
        <v>#REF!</v>
      </c>
    </row>
    <row r="71" spans="1:42" s="469" customFormat="1" ht="15" customHeight="1">
      <c r="A71" s="534"/>
      <c r="B71" s="327" t="s">
        <v>107</v>
      </c>
      <c r="C71" s="327"/>
      <c r="D71" s="535" t="str">
        <f t="shared" ref="D71:AI71" si="46">IFERROR(D70/C70-1,"")</f>
        <v/>
      </c>
      <c r="E71" s="535" t="str">
        <f t="shared" si="46"/>
        <v/>
      </c>
      <c r="F71" s="535" t="str">
        <f t="shared" si="46"/>
        <v/>
      </c>
      <c r="G71" s="535" t="str">
        <f t="shared" si="46"/>
        <v/>
      </c>
      <c r="H71" s="535" t="str">
        <f t="shared" si="46"/>
        <v/>
      </c>
      <c r="I71" s="535" t="str">
        <f t="shared" si="46"/>
        <v/>
      </c>
      <c r="J71" s="535" t="str">
        <f t="shared" si="46"/>
        <v/>
      </c>
      <c r="K71" s="535" t="str">
        <f t="shared" si="46"/>
        <v/>
      </c>
      <c r="L71" s="535" t="str">
        <f t="shared" si="46"/>
        <v/>
      </c>
      <c r="M71" s="535" t="str">
        <f t="shared" si="46"/>
        <v/>
      </c>
      <c r="N71" s="535" t="str">
        <f t="shared" si="46"/>
        <v/>
      </c>
      <c r="O71" s="535" t="str">
        <f t="shared" si="46"/>
        <v/>
      </c>
      <c r="P71" s="535" t="str">
        <f t="shared" si="46"/>
        <v/>
      </c>
      <c r="Q71" s="535" t="str">
        <f t="shared" si="46"/>
        <v/>
      </c>
      <c r="R71" s="535" t="str">
        <f t="shared" si="46"/>
        <v/>
      </c>
      <c r="S71" s="535" t="str">
        <f t="shared" si="46"/>
        <v/>
      </c>
      <c r="T71" s="535" t="str">
        <f t="shared" si="46"/>
        <v/>
      </c>
      <c r="U71" s="535" t="str">
        <f t="shared" si="46"/>
        <v/>
      </c>
      <c r="V71" s="535" t="str">
        <f t="shared" si="46"/>
        <v/>
      </c>
      <c r="W71" s="535" t="str">
        <f t="shared" si="46"/>
        <v/>
      </c>
      <c r="X71" s="535" t="str">
        <f t="shared" si="46"/>
        <v/>
      </c>
      <c r="Y71" s="535" t="str">
        <f t="shared" si="46"/>
        <v/>
      </c>
      <c r="Z71" s="535" t="str">
        <f t="shared" si="46"/>
        <v/>
      </c>
      <c r="AA71" s="535" t="str">
        <f t="shared" si="46"/>
        <v/>
      </c>
      <c r="AB71" s="535" t="str">
        <f t="shared" si="46"/>
        <v/>
      </c>
      <c r="AC71" s="535" t="str">
        <f t="shared" si="46"/>
        <v/>
      </c>
      <c r="AD71" s="535" t="str">
        <f t="shared" si="46"/>
        <v/>
      </c>
      <c r="AE71" s="535" t="str">
        <f t="shared" si="46"/>
        <v/>
      </c>
      <c r="AF71" s="535" t="str">
        <f t="shared" si="46"/>
        <v/>
      </c>
      <c r="AG71" s="535" t="str">
        <f t="shared" si="46"/>
        <v/>
      </c>
      <c r="AH71" s="535" t="str">
        <f t="shared" si="46"/>
        <v/>
      </c>
      <c r="AI71" s="535" t="str">
        <f t="shared" si="46"/>
        <v/>
      </c>
      <c r="AJ71" s="535" t="e">
        <f>AJ70/AI70-1</f>
        <v>#REF!</v>
      </c>
      <c r="AK71" s="535"/>
      <c r="AL71" s="535"/>
      <c r="AM71" s="535"/>
      <c r="AN71" s="535" t="e">
        <f>AN70/AG70-1</f>
        <v>#REF!</v>
      </c>
      <c r="AO71" s="535" t="str">
        <f>IFERROR(AO70/AN70-1,"")</f>
        <v/>
      </c>
      <c r="AP71" s="535" t="e">
        <f>AP70/AO70-1</f>
        <v>#REF!</v>
      </c>
    </row>
    <row r="72" spans="1:42" s="538" customFormat="1" ht="15" customHeight="1">
      <c r="A72" s="337"/>
      <c r="B72" s="536" t="s">
        <v>207</v>
      </c>
      <c r="C72" s="536"/>
      <c r="D72" s="537" t="str">
        <f>IFERROR(D70/#REF!,"")</f>
        <v/>
      </c>
      <c r="E72" s="537" t="str">
        <f>IFERROR(E70/#REF!,"")</f>
        <v/>
      </c>
      <c r="F72" s="537" t="str">
        <f>IFERROR(F70/#REF!,"")</f>
        <v/>
      </c>
      <c r="G72" s="537" t="str">
        <f>IFERROR(G70/#REF!,"")</f>
        <v/>
      </c>
      <c r="H72" s="537" t="str">
        <f>IFERROR(H70/#REF!,"")</f>
        <v/>
      </c>
      <c r="I72" s="537" t="str">
        <f>IFERROR(I70/#REF!,"")</f>
        <v/>
      </c>
      <c r="J72" s="537" t="str">
        <f>IFERROR(J70/#REF!,"")</f>
        <v/>
      </c>
      <c r="K72" s="537" t="str">
        <f>IFERROR(K70/#REF!,"")</f>
        <v/>
      </c>
      <c r="L72" s="537" t="str">
        <f>IFERROR(L70/#REF!,"")</f>
        <v/>
      </c>
      <c r="M72" s="537" t="str">
        <f>IFERROR(M70/#REF!,"")</f>
        <v/>
      </c>
      <c r="N72" s="537" t="str">
        <f>IFERROR(N70/#REF!,"")</f>
        <v/>
      </c>
      <c r="O72" s="537" t="str">
        <f>IFERROR(O70/#REF!,"")</f>
        <v/>
      </c>
      <c r="P72" s="537" t="str">
        <f>IFERROR(P70/#REF!,"")</f>
        <v/>
      </c>
      <c r="Q72" s="537" t="str">
        <f>IFERROR(Q70/#REF!,"")</f>
        <v/>
      </c>
      <c r="R72" s="537" t="str">
        <f>IFERROR(R70/#REF!,"")</f>
        <v/>
      </c>
      <c r="S72" s="537" t="str">
        <f>IFERROR(S70/#REF!,"")</f>
        <v/>
      </c>
      <c r="T72" s="537" t="str">
        <f>IFERROR(T70/#REF!,"")</f>
        <v/>
      </c>
      <c r="U72" s="537" t="str">
        <f>IFERROR(U70/#REF!,"")</f>
        <v/>
      </c>
      <c r="V72" s="537" t="str">
        <f>IFERROR(V70/#REF!,"")</f>
        <v/>
      </c>
      <c r="W72" s="537" t="str">
        <f>IFERROR(W70/#REF!,"")</f>
        <v/>
      </c>
      <c r="X72" s="537" t="str">
        <f>IFERROR(X70/#REF!,"")</f>
        <v/>
      </c>
      <c r="Y72" s="537" t="str">
        <f>IFERROR(Y70/#REF!,"")</f>
        <v/>
      </c>
      <c r="Z72" s="537" t="str">
        <f>IFERROR(Z70/#REF!,"")</f>
        <v/>
      </c>
      <c r="AA72" s="537" t="str">
        <f>IFERROR(AA70/#REF!,"")</f>
        <v/>
      </c>
      <c r="AB72" s="537" t="str">
        <f>IFERROR(AB70/#REF!,"")</f>
        <v/>
      </c>
      <c r="AC72" s="537" t="str">
        <f>IFERROR(AC70/#REF!,"")</f>
        <v/>
      </c>
      <c r="AD72" s="537" t="str">
        <f>IFERROR(AD70/#REF!,"")</f>
        <v/>
      </c>
      <c r="AE72" s="537" t="str">
        <f>IFERROR(AE70/#REF!,"")</f>
        <v/>
      </c>
      <c r="AF72" s="537" t="str">
        <f>IFERROR(AF70/#REF!,"")</f>
        <v/>
      </c>
      <c r="AG72" s="537" t="str">
        <f>IFERROR(AG70/#REF!,"")</f>
        <v/>
      </c>
      <c r="AH72" s="537" t="str">
        <f>IFERROR(AH70/#REF!,"")</f>
        <v/>
      </c>
      <c r="AI72" s="537" t="str">
        <f>IFERROR(AI70/#REF!,"")</f>
        <v/>
      </c>
      <c r="AJ72" s="537" t="str">
        <f>IFERROR(AJ70/#REF!,"")</f>
        <v/>
      </c>
      <c r="AN72" s="537" t="str">
        <f>IFERROR(AN70/#REF!,"")</f>
        <v/>
      </c>
      <c r="AO72" s="537" t="str">
        <f>IFERROR(AO70/#REF!,"")</f>
        <v/>
      </c>
      <c r="AP72" s="537" t="str">
        <f>IFERROR(AP70/#REF!,"")</f>
        <v/>
      </c>
    </row>
    <row r="73" spans="1:42" s="538" customFormat="1" ht="15" customHeight="1">
      <c r="A73" s="337"/>
      <c r="B73" s="536" t="s">
        <v>208</v>
      </c>
      <c r="C73" s="536"/>
      <c r="D73" s="537" t="str">
        <f>IFERROR(D70/#REF!,"")</f>
        <v/>
      </c>
      <c r="E73" s="537" t="str">
        <f>IFERROR(E70/#REF!,"")</f>
        <v/>
      </c>
      <c r="F73" s="537" t="str">
        <f>IFERROR(F70/#REF!,"")</f>
        <v/>
      </c>
      <c r="G73" s="537" t="str">
        <f>IFERROR(G70/#REF!,"")</f>
        <v/>
      </c>
      <c r="H73" s="537" t="str">
        <f>IFERROR(H70/#REF!,"")</f>
        <v/>
      </c>
      <c r="I73" s="537" t="str">
        <f>IFERROR(I70/#REF!,"")</f>
        <v/>
      </c>
      <c r="J73" s="537" t="str">
        <f>IFERROR(J70/#REF!,"")</f>
        <v/>
      </c>
      <c r="K73" s="537" t="str">
        <f>IFERROR(K70/#REF!,"")</f>
        <v/>
      </c>
      <c r="L73" s="537" t="str">
        <f>IFERROR(L70/#REF!,"")</f>
        <v/>
      </c>
      <c r="M73" s="537" t="str">
        <f>IFERROR(M70/#REF!,"")</f>
        <v/>
      </c>
      <c r="N73" s="537" t="str">
        <f>IFERROR(N70/#REF!,"")</f>
        <v/>
      </c>
      <c r="O73" s="537" t="str">
        <f>IFERROR(O70/#REF!,"")</f>
        <v/>
      </c>
      <c r="P73" s="537" t="str">
        <f>IFERROR(P70/#REF!,"")</f>
        <v/>
      </c>
      <c r="Q73" s="537" t="str">
        <f>IFERROR(Q70/#REF!,"")</f>
        <v/>
      </c>
      <c r="R73" s="537" t="str">
        <f>IFERROR(R70/#REF!,"")</f>
        <v/>
      </c>
      <c r="S73" s="537" t="str">
        <f>IFERROR(S70/#REF!,"")</f>
        <v/>
      </c>
      <c r="T73" s="537" t="str">
        <f>IFERROR(T70/#REF!,"")</f>
        <v/>
      </c>
      <c r="U73" s="537" t="str">
        <f>IFERROR(U70/#REF!,"")</f>
        <v/>
      </c>
      <c r="V73" s="537" t="str">
        <f>IFERROR(V70/#REF!,"")</f>
        <v/>
      </c>
      <c r="W73" s="537" t="str">
        <f>IFERROR(W70/#REF!,"")</f>
        <v/>
      </c>
      <c r="X73" s="537" t="str">
        <f>IFERROR(X70/#REF!,"")</f>
        <v/>
      </c>
      <c r="Y73" s="537" t="str">
        <f>IFERROR(Y70/#REF!,"")</f>
        <v/>
      </c>
      <c r="Z73" s="537" t="str">
        <f>IFERROR(Z70/#REF!,"")</f>
        <v/>
      </c>
      <c r="AA73" s="537" t="str">
        <f>IFERROR(AA70/#REF!,"")</f>
        <v/>
      </c>
      <c r="AB73" s="537" t="str">
        <f>IFERROR(AB70/#REF!,"")</f>
        <v/>
      </c>
      <c r="AC73" s="537" t="str">
        <f>IFERROR(AC70/#REF!,"")</f>
        <v/>
      </c>
      <c r="AD73" s="537" t="str">
        <f>IFERROR(AD70/#REF!,"")</f>
        <v/>
      </c>
      <c r="AE73" s="537" t="str">
        <f>IFERROR(AE70/#REF!,"")</f>
        <v/>
      </c>
      <c r="AF73" s="537" t="str">
        <f>IFERROR(AF70/#REF!,"")</f>
        <v/>
      </c>
      <c r="AG73" s="537" t="str">
        <f>IFERROR(AG70/#REF!,"")</f>
        <v/>
      </c>
      <c r="AH73" s="537" t="str">
        <f>IFERROR(AH70/#REF!,"")</f>
        <v/>
      </c>
      <c r="AI73" s="537" t="str">
        <f>IFERROR(AI70/#REF!,"")</f>
        <v/>
      </c>
      <c r="AJ73" s="537" t="str">
        <f>IFERROR(AJ70/#REF!,"")</f>
        <v/>
      </c>
      <c r="AK73" s="333"/>
      <c r="AL73" s="333"/>
      <c r="AM73" s="333"/>
      <c r="AN73" s="537" t="str">
        <f>IFERROR(AN70/#REF!,"")</f>
        <v/>
      </c>
      <c r="AO73" s="537" t="str">
        <f>IFERROR(AO70/#REF!,"")</f>
        <v/>
      </c>
      <c r="AP73" s="537" t="str">
        <f>IFERROR(AP70/#REF!,"")</f>
        <v/>
      </c>
    </row>
    <row r="74" spans="1:42" s="538" customFormat="1" ht="15" customHeight="1">
      <c r="A74" s="337"/>
      <c r="B74" s="539" t="s">
        <v>209</v>
      </c>
      <c r="C74" s="539"/>
      <c r="D74" s="535" t="str">
        <f>IFERROR(D70/#REF!,"")</f>
        <v/>
      </c>
      <c r="E74" s="535" t="str">
        <f>IFERROR(E70/#REF!,"")</f>
        <v/>
      </c>
      <c r="F74" s="535" t="str">
        <f>IFERROR(F70/#REF!,"")</f>
        <v/>
      </c>
      <c r="G74" s="535" t="str">
        <f>IFERROR(G70/#REF!,"")</f>
        <v/>
      </c>
      <c r="H74" s="535" t="str">
        <f>IFERROR(H70/#REF!,"")</f>
        <v/>
      </c>
      <c r="I74" s="535" t="str">
        <f>IFERROR(I70/#REF!,"")</f>
        <v/>
      </c>
      <c r="J74" s="535" t="str">
        <f>IFERROR(J70/#REF!,"")</f>
        <v/>
      </c>
      <c r="K74" s="535" t="str">
        <f>IFERROR(K70/#REF!,"")</f>
        <v/>
      </c>
      <c r="L74" s="535" t="str">
        <f>IFERROR(L70/#REF!,"")</f>
        <v/>
      </c>
      <c r="M74" s="535" t="str">
        <f>IFERROR(M70/#REF!,"")</f>
        <v/>
      </c>
      <c r="N74" s="535" t="str">
        <f>IFERROR(N70/#REF!,"")</f>
        <v/>
      </c>
      <c r="O74" s="535" t="str">
        <f>IFERROR(O70/#REF!,"")</f>
        <v/>
      </c>
      <c r="P74" s="535" t="str">
        <f>IFERROR(P70/#REF!,"")</f>
        <v/>
      </c>
      <c r="Q74" s="535" t="str">
        <f>IFERROR(Q70/#REF!,"")</f>
        <v/>
      </c>
      <c r="R74" s="535" t="str">
        <f>IFERROR(R70/#REF!,"")</f>
        <v/>
      </c>
      <c r="S74" s="535" t="str">
        <f>IFERROR(S70/#REF!,"")</f>
        <v/>
      </c>
      <c r="T74" s="535" t="str">
        <f>IFERROR(T70/#REF!,"")</f>
        <v/>
      </c>
      <c r="U74" s="535" t="str">
        <f>IFERROR(U70/#REF!,"")</f>
        <v/>
      </c>
      <c r="V74" s="535" t="str">
        <f>IFERROR(V70/#REF!,"")</f>
        <v/>
      </c>
      <c r="W74" s="535" t="str">
        <f>IFERROR(W70/#REF!,"")</f>
        <v/>
      </c>
      <c r="X74" s="535" t="str">
        <f>IFERROR(X70/#REF!,"")</f>
        <v/>
      </c>
      <c r="Y74" s="535" t="str">
        <f>IFERROR(Y70/#REF!,"")</f>
        <v/>
      </c>
      <c r="Z74" s="535" t="str">
        <f>IFERROR(Z70/#REF!,"")</f>
        <v/>
      </c>
      <c r="AA74" s="535" t="str">
        <f>IFERROR(AA70/#REF!,"")</f>
        <v/>
      </c>
      <c r="AB74" s="535" t="str">
        <f>IFERROR(AB70/#REF!,"")</f>
        <v/>
      </c>
      <c r="AC74" s="535" t="str">
        <f>IFERROR(AC70/#REF!,"")</f>
        <v/>
      </c>
      <c r="AD74" s="535" t="str">
        <f>IFERROR(AD70/#REF!,"")</f>
        <v/>
      </c>
      <c r="AE74" s="535" t="str">
        <f>IFERROR(AE70/#REF!,"")</f>
        <v/>
      </c>
      <c r="AF74" s="535" t="str">
        <f>IFERROR(AF70/#REF!,"")</f>
        <v/>
      </c>
      <c r="AG74" s="535" t="str">
        <f>IFERROR(AG70/#REF!,"")</f>
        <v/>
      </c>
      <c r="AH74" s="535" t="str">
        <f>IFERROR(AH70/#REF!,"")</f>
        <v/>
      </c>
      <c r="AI74" s="535" t="str">
        <f>IFERROR(AI70/#REF!,"")</f>
        <v/>
      </c>
      <c r="AJ74" s="535" t="str">
        <f>IFERROR(AJ70/#REF!,"")</f>
        <v/>
      </c>
      <c r="AK74" s="333"/>
      <c r="AL74" s="333"/>
      <c r="AM74" s="333"/>
      <c r="AN74" s="535" t="str">
        <f>IFERROR(AN70/#REF!,"")</f>
        <v/>
      </c>
      <c r="AO74" s="535" t="str">
        <f>IFERROR(AO70/#REF!,"")</f>
        <v/>
      </c>
      <c r="AP74" s="535" t="str">
        <f>IFERROR(AP70/#REF!,"")</f>
        <v/>
      </c>
    </row>
    <row r="75" spans="1:42" s="538" customFormat="1" ht="15" customHeight="1">
      <c r="A75" s="337"/>
      <c r="B75" s="539"/>
      <c r="C75" s="539"/>
      <c r="D75" s="535"/>
      <c r="E75" s="535"/>
      <c r="F75" s="535"/>
      <c r="G75" s="535"/>
      <c r="H75" s="535"/>
      <c r="I75" s="535"/>
      <c r="J75" s="535"/>
      <c r="K75" s="535"/>
      <c r="L75" s="535"/>
      <c r="M75" s="535"/>
      <c r="N75" s="535"/>
      <c r="O75" s="535"/>
      <c r="P75" s="535"/>
      <c r="Q75" s="535"/>
      <c r="R75" s="535"/>
      <c r="S75" s="535"/>
      <c r="T75" s="535"/>
      <c r="U75" s="535"/>
      <c r="V75" s="535"/>
      <c r="W75" s="535"/>
      <c r="X75" s="535"/>
      <c r="Y75" s="535"/>
      <c r="Z75" s="535"/>
      <c r="AA75" s="535"/>
      <c r="AB75" s="535"/>
      <c r="AC75" s="535"/>
      <c r="AD75" s="535"/>
      <c r="AE75" s="535"/>
      <c r="AF75" s="535"/>
      <c r="AG75" s="535"/>
      <c r="AH75" s="535"/>
      <c r="AI75" s="535"/>
      <c r="AJ75" s="535"/>
      <c r="AK75" s="333"/>
      <c r="AL75" s="333"/>
      <c r="AM75" s="333"/>
      <c r="AN75" s="535"/>
      <c r="AO75" s="535"/>
      <c r="AP75" s="535"/>
    </row>
    <row r="76" spans="1:42" s="294" customFormat="1">
      <c r="A76" s="348"/>
      <c r="B76" s="478" t="s">
        <v>98</v>
      </c>
      <c r="D76" s="540" t="e">
        <f t="shared" ref="D76:AG76" si="47">D55</f>
        <v>#REF!</v>
      </c>
      <c r="E76" s="540" t="e">
        <f t="shared" si="47"/>
        <v>#REF!</v>
      </c>
      <c r="F76" s="540" t="e">
        <f t="shared" si="47"/>
        <v>#REF!</v>
      </c>
      <c r="G76" s="540" t="e">
        <f t="shared" si="47"/>
        <v>#REF!</v>
      </c>
      <c r="H76" s="540" t="e">
        <f t="shared" si="47"/>
        <v>#REF!</v>
      </c>
      <c r="I76" s="540" t="e">
        <f t="shared" si="47"/>
        <v>#REF!</v>
      </c>
      <c r="J76" s="540" t="e">
        <f t="shared" si="47"/>
        <v>#REF!</v>
      </c>
      <c r="K76" s="540" t="e">
        <f t="shared" si="47"/>
        <v>#REF!</v>
      </c>
      <c r="L76" s="540" t="e">
        <f t="shared" si="47"/>
        <v>#REF!</v>
      </c>
      <c r="M76" s="540" t="e">
        <f t="shared" si="47"/>
        <v>#REF!</v>
      </c>
      <c r="N76" s="540" t="e">
        <f t="shared" si="47"/>
        <v>#REF!</v>
      </c>
      <c r="O76" s="540" t="e">
        <f t="shared" si="47"/>
        <v>#REF!</v>
      </c>
      <c r="P76" s="540" t="e">
        <f t="shared" si="47"/>
        <v>#REF!</v>
      </c>
      <c r="Q76" s="540" t="e">
        <f t="shared" si="47"/>
        <v>#REF!</v>
      </c>
      <c r="R76" s="540" t="e">
        <f t="shared" si="47"/>
        <v>#REF!</v>
      </c>
      <c r="S76" s="540" t="e">
        <f t="shared" si="47"/>
        <v>#REF!</v>
      </c>
      <c r="T76" s="540" t="e">
        <f t="shared" si="47"/>
        <v>#REF!</v>
      </c>
      <c r="U76" s="540" t="e">
        <f t="shared" si="47"/>
        <v>#REF!</v>
      </c>
      <c r="V76" s="540" t="e">
        <f t="shared" si="47"/>
        <v>#REF!</v>
      </c>
      <c r="W76" s="540" t="e">
        <f t="shared" si="47"/>
        <v>#REF!</v>
      </c>
      <c r="X76" s="540" t="e">
        <f t="shared" si="47"/>
        <v>#REF!</v>
      </c>
      <c r="Y76" s="540" t="e">
        <f t="shared" si="47"/>
        <v>#REF!</v>
      </c>
      <c r="Z76" s="540" t="e">
        <f t="shared" si="47"/>
        <v>#REF!</v>
      </c>
      <c r="AA76" s="540" t="e">
        <f t="shared" si="47"/>
        <v>#REF!</v>
      </c>
      <c r="AB76" s="540" t="e">
        <f t="shared" si="47"/>
        <v>#REF!</v>
      </c>
      <c r="AC76" s="540" t="e">
        <f t="shared" si="47"/>
        <v>#REF!</v>
      </c>
      <c r="AD76" s="540" t="e">
        <f t="shared" si="47"/>
        <v>#REF!</v>
      </c>
      <c r="AE76" s="540" t="e">
        <f t="shared" si="47"/>
        <v>#REF!</v>
      </c>
      <c r="AF76" s="540" t="e">
        <f t="shared" si="47"/>
        <v>#REF!</v>
      </c>
      <c r="AG76" s="540" t="e">
        <f t="shared" si="47"/>
        <v>#REF!</v>
      </c>
      <c r="AH76" s="540" t="e">
        <f>AH55</f>
        <v>#VALUE!</v>
      </c>
      <c r="AI76" s="540" t="e">
        <f>AI55</f>
        <v>#VALUE!</v>
      </c>
      <c r="AJ76" s="540" t="e">
        <f>AJ55</f>
        <v>#VALUE!</v>
      </c>
      <c r="AK76" s="533" t="str">
        <f t="shared" ref="AK76" si="48">IFERROR(RATE(3,,AD76,-AG76),"")</f>
        <v/>
      </c>
      <c r="AL76" s="533" t="str">
        <f>IFERROR(RATE(3,,AG76,-AJ76),"")</f>
        <v/>
      </c>
      <c r="AM76" s="540"/>
      <c r="AN76" s="540" t="e">
        <f>AN55</f>
        <v>#VALUE!</v>
      </c>
      <c r="AO76" s="540" t="e">
        <f>AO55</f>
        <v>#VALUE!</v>
      </c>
      <c r="AP76" s="540" t="e">
        <f>AP55</f>
        <v>#VALUE!</v>
      </c>
    </row>
    <row r="77" spans="1:42" ht="15" customHeight="1">
      <c r="B77" s="541" t="s">
        <v>210</v>
      </c>
      <c r="C77" s="541"/>
      <c r="D77" s="333" t="str">
        <f>IFERROR(D27/#REF!," ")</f>
        <v xml:space="preserve"> </v>
      </c>
      <c r="E77" s="333" t="str">
        <f>IFERROR(E27/#REF!," ")</f>
        <v xml:space="preserve"> </v>
      </c>
      <c r="F77" s="333" t="str">
        <f>IFERROR(F27/#REF!," ")</f>
        <v xml:space="preserve"> </v>
      </c>
      <c r="G77" s="333" t="str">
        <f>IFERROR(G27/#REF!," ")</f>
        <v xml:space="preserve"> </v>
      </c>
      <c r="H77" s="333" t="str">
        <f>IFERROR(H27/#REF!," ")</f>
        <v xml:space="preserve"> </v>
      </c>
      <c r="I77" s="333" t="str">
        <f>IFERROR(I27/#REF!," ")</f>
        <v xml:space="preserve"> </v>
      </c>
      <c r="J77" s="333" t="str">
        <f>IFERROR(J27/#REF!," ")</f>
        <v xml:space="preserve"> </v>
      </c>
      <c r="K77" s="333" t="str">
        <f>IFERROR(K27/#REF!," ")</f>
        <v xml:space="preserve"> </v>
      </c>
      <c r="L77" s="333" t="str">
        <f>IFERROR(L27/#REF!," ")</f>
        <v xml:space="preserve"> </v>
      </c>
      <c r="M77" s="333" t="str">
        <f>IFERROR(M27/#REF!," ")</f>
        <v xml:space="preserve"> </v>
      </c>
      <c r="N77" s="333" t="str">
        <f>IFERROR(N27/#REF!," ")</f>
        <v xml:space="preserve"> </v>
      </c>
      <c r="O77" s="333" t="str">
        <f>IFERROR(O27/#REF!," ")</f>
        <v xml:space="preserve"> </v>
      </c>
      <c r="P77" s="333" t="str">
        <f>IFERROR(P27/#REF!," ")</f>
        <v xml:space="preserve"> </v>
      </c>
      <c r="Q77" s="333" t="str">
        <f>IFERROR(Q27/#REF!," ")</f>
        <v xml:space="preserve"> </v>
      </c>
      <c r="R77" s="333" t="str">
        <f>IFERROR(R27/#REF!," ")</f>
        <v xml:space="preserve"> </v>
      </c>
      <c r="S77" s="333" t="str">
        <f>IFERROR(S27/#REF!," ")</f>
        <v xml:space="preserve"> </v>
      </c>
      <c r="T77" s="333" t="str">
        <f>IFERROR(T27/#REF!," ")</f>
        <v xml:space="preserve"> </v>
      </c>
      <c r="U77" s="333" t="str">
        <f>IFERROR(U27/#REF!," ")</f>
        <v xml:space="preserve"> </v>
      </c>
      <c r="V77" s="333" t="str">
        <f>IFERROR(V27/#REF!," ")</f>
        <v xml:space="preserve"> </v>
      </c>
      <c r="W77" s="333" t="str">
        <f>IFERROR(W27/#REF!," ")</f>
        <v xml:space="preserve"> </v>
      </c>
      <c r="X77" s="333" t="str">
        <f>IFERROR(X27/#REF!," ")</f>
        <v xml:space="preserve"> </v>
      </c>
      <c r="Y77" s="333" t="str">
        <f>IFERROR(Y27/#REF!," ")</f>
        <v xml:space="preserve"> </v>
      </c>
      <c r="Z77" s="333" t="str">
        <f>IFERROR(Z27/#REF!," ")</f>
        <v xml:space="preserve"> </v>
      </c>
      <c r="AA77" s="333" t="str">
        <f>IFERROR(AA27/#REF!," ")</f>
        <v xml:space="preserve"> </v>
      </c>
      <c r="AB77" s="333" t="str">
        <f>IFERROR(AB27/#REF!," ")</f>
        <v xml:space="preserve"> </v>
      </c>
      <c r="AC77" s="333" t="str">
        <f>IFERROR(AC27/#REF!," ")</f>
        <v xml:space="preserve"> </v>
      </c>
      <c r="AD77" s="333" t="str">
        <f>IFERROR(AD27/#REF!," ")</f>
        <v xml:space="preserve"> </v>
      </c>
      <c r="AE77" s="333" t="str">
        <f>IFERROR(AE27/#REF!," ")</f>
        <v xml:space="preserve"> </v>
      </c>
      <c r="AF77" s="333" t="str">
        <f>IFERROR(AF27/#REF!," ")</f>
        <v xml:space="preserve"> </v>
      </c>
      <c r="AG77" s="333" t="str">
        <f>IFERROR(AG27/#REF!," ")</f>
        <v xml:space="preserve"> </v>
      </c>
      <c r="AH77" s="333" t="str">
        <f>IFERROR(AH27/#REF!," ")</f>
        <v xml:space="preserve"> </v>
      </c>
      <c r="AI77" s="333" t="str">
        <f>IFERROR(AI27/#REF!," ")</f>
        <v xml:space="preserve"> </v>
      </c>
      <c r="AJ77" s="333" t="str">
        <f>IFERROR(AJ27/#REF!," ")</f>
        <v xml:space="preserve"> </v>
      </c>
      <c r="AK77" s="333"/>
      <c r="AL77" s="333"/>
      <c r="AM77" s="333"/>
      <c r="AN77" s="333" t="str">
        <f>IFERROR(AN27/#REF!," ")</f>
        <v xml:space="preserve"> </v>
      </c>
      <c r="AO77" s="333" t="str">
        <f>IFERROR(AO27/#REF!," ")</f>
        <v xml:space="preserve"> </v>
      </c>
      <c r="AP77" s="333" t="str">
        <f>IFERROR(AP27/#REF!," ")</f>
        <v xml:space="preserve"> </v>
      </c>
    </row>
    <row r="78" spans="1:42" ht="15" customHeight="1">
      <c r="B78" s="541"/>
      <c r="C78" s="541"/>
      <c r="D78" s="333"/>
      <c r="E78" s="333"/>
      <c r="F78" s="333"/>
      <c r="G78" s="333"/>
      <c r="H78" s="333"/>
      <c r="I78" s="333"/>
      <c r="J78" s="333"/>
      <c r="K78" s="333"/>
      <c r="L78" s="333"/>
      <c r="M78" s="333"/>
      <c r="N78" s="333"/>
      <c r="O78" s="333"/>
      <c r="P78" s="333"/>
      <c r="Q78" s="333"/>
      <c r="R78" s="333"/>
      <c r="S78" s="333"/>
      <c r="T78" s="333"/>
      <c r="U78" s="333"/>
      <c r="V78" s="333"/>
      <c r="W78" s="333"/>
      <c r="X78" s="333"/>
      <c r="Y78" s="333"/>
      <c r="Z78" s="333"/>
      <c r="AA78" s="333"/>
      <c r="AB78" s="333"/>
      <c r="AC78" s="333"/>
      <c r="AD78" s="333"/>
      <c r="AE78" s="333"/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</row>
    <row r="79" spans="1:42" ht="15" customHeight="1">
      <c r="B79" s="478" t="s">
        <v>211</v>
      </c>
      <c r="C79" s="542"/>
      <c r="D79" s="532" t="str">
        <f t="shared" ref="D79:AG79" si="49">IFERROR(-D23,"")</f>
        <v/>
      </c>
      <c r="E79" s="532" t="str">
        <f t="shared" si="49"/>
        <v/>
      </c>
      <c r="F79" s="532" t="str">
        <f t="shared" si="49"/>
        <v/>
      </c>
      <c r="G79" s="532" t="str">
        <f t="shared" si="49"/>
        <v/>
      </c>
      <c r="H79" s="532" t="str">
        <f t="shared" si="49"/>
        <v/>
      </c>
      <c r="I79" s="532" t="str">
        <f t="shared" si="49"/>
        <v/>
      </c>
      <c r="J79" s="532" t="str">
        <f t="shared" si="49"/>
        <v/>
      </c>
      <c r="K79" s="532" t="str">
        <f t="shared" si="49"/>
        <v/>
      </c>
      <c r="L79" s="532" t="str">
        <f t="shared" si="49"/>
        <v/>
      </c>
      <c r="M79" s="532" t="str">
        <f t="shared" si="49"/>
        <v/>
      </c>
      <c r="N79" s="532" t="str">
        <f t="shared" si="49"/>
        <v/>
      </c>
      <c r="O79" s="532" t="str">
        <f t="shared" si="49"/>
        <v/>
      </c>
      <c r="P79" s="532" t="str">
        <f t="shared" si="49"/>
        <v/>
      </c>
      <c r="Q79" s="532" t="str">
        <f t="shared" si="49"/>
        <v/>
      </c>
      <c r="R79" s="532" t="str">
        <f t="shared" si="49"/>
        <v/>
      </c>
      <c r="S79" s="532" t="str">
        <f t="shared" si="49"/>
        <v/>
      </c>
      <c r="T79" s="532" t="str">
        <f t="shared" si="49"/>
        <v/>
      </c>
      <c r="U79" s="532" t="str">
        <f t="shared" si="49"/>
        <v/>
      </c>
      <c r="V79" s="532" t="str">
        <f t="shared" si="49"/>
        <v/>
      </c>
      <c r="W79" s="532" t="str">
        <f t="shared" si="49"/>
        <v/>
      </c>
      <c r="X79" s="532" t="str">
        <f t="shared" si="49"/>
        <v/>
      </c>
      <c r="Y79" s="532" t="str">
        <f t="shared" si="49"/>
        <v/>
      </c>
      <c r="Z79" s="532" t="str">
        <f t="shared" si="49"/>
        <v/>
      </c>
      <c r="AA79" s="532" t="str">
        <f t="shared" si="49"/>
        <v/>
      </c>
      <c r="AB79" s="532" t="str">
        <f t="shared" si="49"/>
        <v/>
      </c>
      <c r="AC79" s="532" t="str">
        <f t="shared" si="49"/>
        <v/>
      </c>
      <c r="AD79" s="532" t="str">
        <f t="shared" si="49"/>
        <v/>
      </c>
      <c r="AE79" s="532" t="str">
        <f t="shared" si="49"/>
        <v/>
      </c>
      <c r="AF79" s="532" t="str">
        <f t="shared" si="49"/>
        <v/>
      </c>
      <c r="AG79" s="532" t="str">
        <f t="shared" si="49"/>
        <v/>
      </c>
      <c r="AH79" s="532" t="e">
        <f>-AH23</f>
        <v>#VALUE!</v>
      </c>
      <c r="AI79" s="532" t="e">
        <f>-AI23</f>
        <v>#VALUE!</v>
      </c>
      <c r="AJ79" s="532" t="e">
        <f>-AJ23</f>
        <v>#VALUE!</v>
      </c>
      <c r="AK79" s="533" t="str">
        <f t="shared" ref="AK79" si="50">IFERROR(RATE(3,,AD79,-AG79),"")</f>
        <v/>
      </c>
      <c r="AL79" s="533" t="str">
        <f>IFERROR(RATE(3,,AG79,-AJ79),"")</f>
        <v/>
      </c>
      <c r="AM79" s="532"/>
      <c r="AN79" s="532" t="e">
        <f>-AN23</f>
        <v>#VALUE!</v>
      </c>
      <c r="AO79" s="532" t="e">
        <f>-AO23</f>
        <v>#VALUE!</v>
      </c>
      <c r="AP79" s="532" t="e">
        <f>-AP23</f>
        <v>#VALUE!</v>
      </c>
    </row>
    <row r="80" spans="1:42" ht="15.75" thickBot="1">
      <c r="B80" s="525"/>
      <c r="C80" s="525"/>
      <c r="D80" s="543"/>
      <c r="E80" s="543"/>
      <c r="F80" s="543"/>
      <c r="G80" s="543"/>
      <c r="H80" s="543"/>
      <c r="I80" s="543"/>
      <c r="J80" s="543"/>
      <c r="K80" s="543"/>
      <c r="L80" s="543"/>
      <c r="M80" s="543"/>
      <c r="N80" s="543"/>
      <c r="O80" s="543"/>
      <c r="P80" s="543"/>
      <c r="Q80" s="543"/>
      <c r="R80" s="543"/>
      <c r="S80" s="543"/>
      <c r="T80" s="543"/>
      <c r="U80" s="543"/>
      <c r="V80" s="543"/>
      <c r="W80" s="543"/>
      <c r="X80" s="543"/>
      <c r="Y80" s="543"/>
      <c r="Z80" s="543"/>
      <c r="AA80" s="543"/>
      <c r="AB80" s="543"/>
      <c r="AC80" s="543"/>
      <c r="AD80" s="543"/>
      <c r="AE80" s="543"/>
      <c r="AF80" s="543"/>
      <c r="AG80" s="543"/>
      <c r="AH80" s="543"/>
      <c r="AI80" s="543"/>
      <c r="AJ80" s="543"/>
      <c r="AK80" s="543"/>
      <c r="AL80" s="543"/>
      <c r="AM80" s="543"/>
      <c r="AN80" s="543"/>
      <c r="AO80" s="543"/>
      <c r="AP80" s="543"/>
    </row>
    <row r="81" spans="1:42" ht="15" customHeight="1" thickTop="1" thickBot="1">
      <c r="B81" s="544" t="s">
        <v>212</v>
      </c>
      <c r="C81" s="544"/>
      <c r="D81" s="545" t="str">
        <f t="shared" ref="D81:AG81" si="51">IFERROR(D76+D70+D79,"")</f>
        <v/>
      </c>
      <c r="E81" s="545" t="str">
        <f t="shared" si="51"/>
        <v/>
      </c>
      <c r="F81" s="545" t="str">
        <f t="shared" si="51"/>
        <v/>
      </c>
      <c r="G81" s="545" t="str">
        <f t="shared" si="51"/>
        <v/>
      </c>
      <c r="H81" s="545" t="str">
        <f t="shared" si="51"/>
        <v/>
      </c>
      <c r="I81" s="545" t="str">
        <f t="shared" si="51"/>
        <v/>
      </c>
      <c r="J81" s="545" t="str">
        <f t="shared" si="51"/>
        <v/>
      </c>
      <c r="K81" s="545" t="str">
        <f t="shared" si="51"/>
        <v/>
      </c>
      <c r="L81" s="545" t="str">
        <f t="shared" si="51"/>
        <v/>
      </c>
      <c r="M81" s="545" t="str">
        <f t="shared" si="51"/>
        <v/>
      </c>
      <c r="N81" s="545" t="str">
        <f t="shared" si="51"/>
        <v/>
      </c>
      <c r="O81" s="545" t="str">
        <f t="shared" si="51"/>
        <v/>
      </c>
      <c r="P81" s="545" t="str">
        <f t="shared" si="51"/>
        <v/>
      </c>
      <c r="Q81" s="545" t="str">
        <f t="shared" si="51"/>
        <v/>
      </c>
      <c r="R81" s="545" t="str">
        <f t="shared" si="51"/>
        <v/>
      </c>
      <c r="S81" s="545" t="str">
        <f t="shared" si="51"/>
        <v/>
      </c>
      <c r="T81" s="545" t="str">
        <f t="shared" si="51"/>
        <v/>
      </c>
      <c r="U81" s="545" t="str">
        <f t="shared" si="51"/>
        <v/>
      </c>
      <c r="V81" s="545" t="str">
        <f t="shared" si="51"/>
        <v/>
      </c>
      <c r="W81" s="545" t="str">
        <f t="shared" si="51"/>
        <v/>
      </c>
      <c r="X81" s="545" t="str">
        <f t="shared" si="51"/>
        <v/>
      </c>
      <c r="Y81" s="545" t="str">
        <f t="shared" si="51"/>
        <v/>
      </c>
      <c r="Z81" s="545" t="str">
        <f t="shared" si="51"/>
        <v/>
      </c>
      <c r="AA81" s="545" t="str">
        <f t="shared" si="51"/>
        <v/>
      </c>
      <c r="AB81" s="545" t="str">
        <f t="shared" si="51"/>
        <v/>
      </c>
      <c r="AC81" s="545" t="str">
        <f t="shared" si="51"/>
        <v/>
      </c>
      <c r="AD81" s="545" t="str">
        <f t="shared" si="51"/>
        <v/>
      </c>
      <c r="AE81" s="545" t="str">
        <f t="shared" si="51"/>
        <v/>
      </c>
      <c r="AF81" s="545" t="str">
        <f t="shared" si="51"/>
        <v/>
      </c>
      <c r="AG81" s="545" t="str">
        <f t="shared" si="51"/>
        <v/>
      </c>
      <c r="AH81" s="545" t="e">
        <f t="shared" ref="AH81:AP81" si="52">AH76+AH70+AH79</f>
        <v>#VALUE!</v>
      </c>
      <c r="AI81" s="545" t="e">
        <f t="shared" si="52"/>
        <v>#VALUE!</v>
      </c>
      <c r="AJ81" s="545" t="e">
        <f t="shared" si="52"/>
        <v>#VALUE!</v>
      </c>
      <c r="AK81" s="529" t="str">
        <f t="shared" ref="AK81" si="53">IFERROR(RATE(3,,AD81,-AG81),"")</f>
        <v/>
      </c>
      <c r="AL81" s="529" t="str">
        <f>IFERROR(RATE(3,,AG81,-AJ81),"")</f>
        <v/>
      </c>
      <c r="AM81" s="545"/>
      <c r="AN81" s="545" t="e">
        <f t="shared" si="52"/>
        <v>#VALUE!</v>
      </c>
      <c r="AO81" s="545" t="e">
        <f t="shared" si="52"/>
        <v>#VALUE!</v>
      </c>
      <c r="AP81" s="545" t="e">
        <f t="shared" si="52"/>
        <v>#VALUE!</v>
      </c>
    </row>
    <row r="82" spans="1:42" ht="15" customHeight="1" thickTop="1">
      <c r="B82" s="541" t="s">
        <v>109</v>
      </c>
      <c r="C82" s="541"/>
      <c r="D82" s="333" t="str">
        <f t="shared" ref="D82:AG82" si="54">IFERROR(D81/C81-1,"")</f>
        <v/>
      </c>
      <c r="E82" s="333" t="str">
        <f t="shared" si="54"/>
        <v/>
      </c>
      <c r="F82" s="333" t="str">
        <f t="shared" si="54"/>
        <v/>
      </c>
      <c r="G82" s="333" t="str">
        <f t="shared" si="54"/>
        <v/>
      </c>
      <c r="H82" s="333" t="str">
        <f t="shared" si="54"/>
        <v/>
      </c>
      <c r="I82" s="333" t="str">
        <f t="shared" si="54"/>
        <v/>
      </c>
      <c r="J82" s="333" t="str">
        <f t="shared" si="54"/>
        <v/>
      </c>
      <c r="K82" s="333" t="str">
        <f t="shared" si="54"/>
        <v/>
      </c>
      <c r="L82" s="333" t="str">
        <f t="shared" si="54"/>
        <v/>
      </c>
      <c r="M82" s="333" t="str">
        <f t="shared" si="54"/>
        <v/>
      </c>
      <c r="N82" s="333" t="str">
        <f t="shared" si="54"/>
        <v/>
      </c>
      <c r="O82" s="333" t="str">
        <f t="shared" si="54"/>
        <v/>
      </c>
      <c r="P82" s="333" t="str">
        <f t="shared" si="54"/>
        <v/>
      </c>
      <c r="Q82" s="333" t="str">
        <f t="shared" si="54"/>
        <v/>
      </c>
      <c r="R82" s="333" t="str">
        <f t="shared" si="54"/>
        <v/>
      </c>
      <c r="S82" s="333" t="str">
        <f t="shared" si="54"/>
        <v/>
      </c>
      <c r="T82" s="333" t="str">
        <f t="shared" si="54"/>
        <v/>
      </c>
      <c r="U82" s="333" t="str">
        <f t="shared" si="54"/>
        <v/>
      </c>
      <c r="V82" s="333" t="str">
        <f t="shared" si="54"/>
        <v/>
      </c>
      <c r="W82" s="333" t="str">
        <f t="shared" si="54"/>
        <v/>
      </c>
      <c r="X82" s="333" t="str">
        <f t="shared" si="54"/>
        <v/>
      </c>
      <c r="Y82" s="333" t="str">
        <f t="shared" si="54"/>
        <v/>
      </c>
      <c r="Z82" s="333" t="str">
        <f t="shared" si="54"/>
        <v/>
      </c>
      <c r="AA82" s="333" t="str">
        <f t="shared" si="54"/>
        <v/>
      </c>
      <c r="AB82" s="333" t="str">
        <f t="shared" si="54"/>
        <v/>
      </c>
      <c r="AC82" s="333" t="str">
        <f t="shared" si="54"/>
        <v/>
      </c>
      <c r="AD82" s="333" t="str">
        <f t="shared" si="54"/>
        <v/>
      </c>
      <c r="AE82" s="333" t="str">
        <f t="shared" si="54"/>
        <v/>
      </c>
      <c r="AF82" s="333" t="str">
        <f t="shared" si="54"/>
        <v/>
      </c>
      <c r="AG82" s="333" t="str">
        <f t="shared" si="54"/>
        <v/>
      </c>
      <c r="AH82" s="333" t="str">
        <f>IFERROR(AH81/$AG81-1,"")</f>
        <v/>
      </c>
      <c r="AI82" s="333" t="str">
        <f>IFERROR(AI81/AH81-1,"")</f>
        <v/>
      </c>
      <c r="AJ82" s="333" t="str">
        <f>IFERROR(AJ81/AI81-1,"")</f>
        <v/>
      </c>
      <c r="AK82" s="52"/>
      <c r="AL82" s="52"/>
      <c r="AM82" s="52"/>
      <c r="AN82" s="333" t="str">
        <f>IFERROR(AN81/$AG81-1,"")</f>
        <v/>
      </c>
      <c r="AO82" s="333" t="str">
        <f>IFERROR(AO81/AN81-1,"")</f>
        <v/>
      </c>
      <c r="AP82" s="333" t="str">
        <f>IFERROR(AP81/AO81-1,"")</f>
        <v/>
      </c>
    </row>
    <row r="83" spans="1:42" s="538" customFormat="1" ht="15" customHeight="1">
      <c r="A83" s="337"/>
      <c r="B83" s="539" t="s">
        <v>110</v>
      </c>
      <c r="C83" s="539"/>
      <c r="D83" s="538" t="str">
        <f>IFERROR(D81/#REF!,"")</f>
        <v/>
      </c>
      <c r="E83" s="538" t="str">
        <f>IFERROR(E81/#REF!,"")</f>
        <v/>
      </c>
      <c r="F83" s="538" t="str">
        <f>IFERROR(F81/#REF!,"")</f>
        <v/>
      </c>
      <c r="G83" s="538" t="str">
        <f>IFERROR(G81/#REF!,"")</f>
        <v/>
      </c>
      <c r="H83" s="538" t="str">
        <f>IFERROR(H81/#REF!,"")</f>
        <v/>
      </c>
      <c r="I83" s="538" t="str">
        <f>IFERROR(I81/#REF!,"")</f>
        <v/>
      </c>
      <c r="J83" s="538" t="str">
        <f>IFERROR(J81/#REF!,"")</f>
        <v/>
      </c>
      <c r="K83" s="538" t="str">
        <f>IFERROR(K81/#REF!,"")</f>
        <v/>
      </c>
      <c r="L83" s="538" t="str">
        <f>IFERROR(L81/#REF!,"")</f>
        <v/>
      </c>
      <c r="M83" s="538" t="str">
        <f>IFERROR(M81/#REF!,"")</f>
        <v/>
      </c>
      <c r="N83" s="538" t="str">
        <f>IFERROR(N81/#REF!,"")</f>
        <v/>
      </c>
      <c r="O83" s="538" t="str">
        <f>IFERROR(O81/#REF!,"")</f>
        <v/>
      </c>
      <c r="P83" s="538" t="str">
        <f>IFERROR(P81/#REF!,"")</f>
        <v/>
      </c>
      <c r="Q83" s="538" t="str">
        <f>IFERROR(Q81/#REF!,"")</f>
        <v/>
      </c>
      <c r="R83" s="538" t="str">
        <f>IFERROR(R81/#REF!,"")</f>
        <v/>
      </c>
      <c r="S83" s="538" t="str">
        <f>IFERROR(S81/#REF!,"")</f>
        <v/>
      </c>
      <c r="T83" s="538" t="str">
        <f>IFERROR(T81/#REF!,"")</f>
        <v/>
      </c>
      <c r="U83" s="538" t="str">
        <f>IFERROR(U81/#REF!,"")</f>
        <v/>
      </c>
      <c r="V83" s="538" t="str">
        <f>IFERROR(V81/#REF!,"")</f>
        <v/>
      </c>
      <c r="W83" s="538" t="str">
        <f>IFERROR(W81/#REF!,"")</f>
        <v/>
      </c>
      <c r="X83" s="538" t="str">
        <f>IFERROR(X81/#REF!,"")</f>
        <v/>
      </c>
      <c r="Y83" s="538" t="str">
        <f>IFERROR(Y81/#REF!,"")</f>
        <v/>
      </c>
      <c r="Z83" s="538" t="str">
        <f>IFERROR(Z81/#REF!,"")</f>
        <v/>
      </c>
      <c r="AA83" s="538" t="str">
        <f>IFERROR(AA81/#REF!,"")</f>
        <v/>
      </c>
      <c r="AB83" s="538" t="str">
        <f>IFERROR(AB81/#REF!,"")</f>
        <v/>
      </c>
      <c r="AC83" s="538" t="str">
        <f>IFERROR(AC81/#REF!,"")</f>
        <v/>
      </c>
      <c r="AD83" s="538" t="str">
        <f>IFERROR(AD81/#REF!,"")</f>
        <v/>
      </c>
      <c r="AE83" s="538" t="str">
        <f>IFERROR(AE81/#REF!,"")</f>
        <v/>
      </c>
      <c r="AF83" s="538" t="str">
        <f>IFERROR(AF81/#REF!,"")</f>
        <v/>
      </c>
      <c r="AG83" s="538" t="str">
        <f>IFERROR(AG81/#REF!,"")</f>
        <v/>
      </c>
      <c r="AH83" s="538" t="str">
        <f>IFERROR(AH81/#REF!,"")</f>
        <v/>
      </c>
      <c r="AI83" s="538" t="str">
        <f>IFERROR(AI81/#REF!,"")</f>
        <v/>
      </c>
      <c r="AJ83" s="538" t="str">
        <f>IFERROR(AJ81/#REF!,"")</f>
        <v/>
      </c>
      <c r="AN83" s="333" t="str">
        <f>IFERROR(AN81/#REF!,"")</f>
        <v/>
      </c>
      <c r="AO83" s="333" t="str">
        <f>IFERROR(AO81/#REF!,"")</f>
        <v/>
      </c>
      <c r="AP83" s="333" t="str">
        <f>IFERROR(AP81/#REF!,"")</f>
        <v/>
      </c>
    </row>
    <row r="84" spans="1:42" s="538" customFormat="1" ht="15" customHeight="1">
      <c r="A84" s="337"/>
      <c r="B84" s="539" t="s">
        <v>111</v>
      </c>
      <c r="C84" s="539"/>
      <c r="D84" s="538" t="str">
        <f>IFERROR(D81/#REF!,"")</f>
        <v/>
      </c>
      <c r="E84" s="538" t="str">
        <f>IFERROR(E81/#REF!,"")</f>
        <v/>
      </c>
      <c r="F84" s="538" t="str">
        <f>IFERROR(F81/#REF!,"")</f>
        <v/>
      </c>
      <c r="G84" s="538" t="str">
        <f>IFERROR(G81/#REF!,"")</f>
        <v/>
      </c>
      <c r="H84" s="538" t="str">
        <f>IFERROR(H81/#REF!,"")</f>
        <v/>
      </c>
      <c r="I84" s="538" t="str">
        <f>IFERROR(I81/#REF!,"")</f>
        <v/>
      </c>
      <c r="J84" s="538" t="str">
        <f>IFERROR(J81/#REF!,"")</f>
        <v/>
      </c>
      <c r="K84" s="538" t="str">
        <f>IFERROR(K81/#REF!,"")</f>
        <v/>
      </c>
      <c r="L84" s="538" t="str">
        <f>IFERROR(L81/#REF!,"")</f>
        <v/>
      </c>
      <c r="M84" s="538" t="str">
        <f>IFERROR(M81/#REF!,"")</f>
        <v/>
      </c>
      <c r="N84" s="538" t="str">
        <f>IFERROR(N81/#REF!,"")</f>
        <v/>
      </c>
      <c r="O84" s="538" t="str">
        <f>IFERROR(O81/#REF!,"")</f>
        <v/>
      </c>
      <c r="P84" s="538" t="str">
        <f>IFERROR(P81/#REF!,"")</f>
        <v/>
      </c>
      <c r="Q84" s="538" t="str">
        <f>IFERROR(Q81/#REF!,"")</f>
        <v/>
      </c>
      <c r="R84" s="538" t="str">
        <f>IFERROR(R81/#REF!,"")</f>
        <v/>
      </c>
      <c r="S84" s="538" t="str">
        <f>IFERROR(S81/#REF!,"")</f>
        <v/>
      </c>
      <c r="T84" s="538" t="str">
        <f>IFERROR(T81/#REF!,"")</f>
        <v/>
      </c>
      <c r="U84" s="538" t="str">
        <f>IFERROR(U81/#REF!,"")</f>
        <v/>
      </c>
      <c r="V84" s="538" t="str">
        <f>IFERROR(V81/#REF!,"")</f>
        <v/>
      </c>
      <c r="W84" s="538" t="str">
        <f>IFERROR(W81/#REF!,"")</f>
        <v/>
      </c>
      <c r="X84" s="538" t="str">
        <f>IFERROR(X81/#REF!,"")</f>
        <v/>
      </c>
      <c r="Y84" s="538" t="str">
        <f>IFERROR(Y81/#REF!,"")</f>
        <v/>
      </c>
      <c r="Z84" s="538" t="str">
        <f>IFERROR(Z81/#REF!,"")</f>
        <v/>
      </c>
      <c r="AA84" s="538" t="str">
        <f>IFERROR(AA81/#REF!,"")</f>
        <v/>
      </c>
      <c r="AB84" s="538" t="str">
        <f>IFERROR(AB81/#REF!,"")</f>
        <v/>
      </c>
      <c r="AC84" s="538" t="str">
        <f>IFERROR(AC81/#REF!,"")</f>
        <v/>
      </c>
      <c r="AD84" s="538" t="str">
        <f>IFERROR(AD81/#REF!,"")</f>
        <v/>
      </c>
      <c r="AE84" s="538" t="str">
        <f>IFERROR(AE81/#REF!,"")</f>
        <v/>
      </c>
      <c r="AF84" s="538" t="str">
        <f>IFERROR(AF81/#REF!,"")</f>
        <v/>
      </c>
      <c r="AG84" s="538" t="str">
        <f>IFERROR(AG81/#REF!,"")</f>
        <v/>
      </c>
      <c r="AH84" s="538" t="str">
        <f>IFERROR(AH81/#REF!,"")</f>
        <v/>
      </c>
      <c r="AI84" s="538" t="str">
        <f>IFERROR(AI81/#REF!,"")</f>
        <v/>
      </c>
      <c r="AJ84" s="538" t="str">
        <f>IFERROR(AJ81/#REF!,"")</f>
        <v/>
      </c>
      <c r="AN84" s="333" t="str">
        <f>IFERROR(AN81/#REF!,"")</f>
        <v/>
      </c>
      <c r="AO84" s="333" t="str">
        <f>IFERROR(AO81/#REF!,"")</f>
        <v/>
      </c>
      <c r="AP84" s="333" t="str">
        <f>IFERROR(AP81/#REF!,"")</f>
        <v/>
      </c>
    </row>
    <row r="85" spans="1:42" s="538" customFormat="1" ht="15" customHeight="1">
      <c r="A85" s="337"/>
      <c r="B85" s="536" t="s">
        <v>112</v>
      </c>
      <c r="C85" s="536"/>
      <c r="D85" s="333" t="str">
        <f>IFERROR(D81/#REF!,"")</f>
        <v/>
      </c>
      <c r="E85" s="333" t="str">
        <f>IFERROR(E81/#REF!,"")</f>
        <v/>
      </c>
      <c r="F85" s="333" t="str">
        <f>IFERROR(F81/#REF!,"")</f>
        <v/>
      </c>
      <c r="G85" s="333" t="str">
        <f>IFERROR(G81/#REF!,"")</f>
        <v/>
      </c>
      <c r="H85" s="333" t="str">
        <f>IFERROR(H81/#REF!,"")</f>
        <v/>
      </c>
      <c r="I85" s="333" t="str">
        <f>IFERROR(I81/#REF!,"")</f>
        <v/>
      </c>
      <c r="J85" s="333" t="str">
        <f>IFERROR(J81/#REF!,"")</f>
        <v/>
      </c>
      <c r="K85" s="333" t="str">
        <f>IFERROR(K81/#REF!,"")</f>
        <v/>
      </c>
      <c r="L85" s="333" t="str">
        <f>IFERROR(L81/#REF!,"")</f>
        <v/>
      </c>
      <c r="M85" s="333" t="str">
        <f>IFERROR(M81/#REF!,"")</f>
        <v/>
      </c>
      <c r="N85" s="333" t="str">
        <f>IFERROR(N81/#REF!,"")</f>
        <v/>
      </c>
      <c r="O85" s="333" t="str">
        <f>IFERROR(O81/#REF!,"")</f>
        <v/>
      </c>
      <c r="P85" s="333" t="str">
        <f>IFERROR(P81/#REF!,"")</f>
        <v/>
      </c>
      <c r="Q85" s="333" t="str">
        <f>IFERROR(Q81/#REF!,"")</f>
        <v/>
      </c>
      <c r="R85" s="333" t="str">
        <f>IFERROR(R81/#REF!,"")</f>
        <v/>
      </c>
      <c r="S85" s="333" t="str">
        <f>IFERROR(S81/#REF!,"")</f>
        <v/>
      </c>
      <c r="T85" s="333" t="str">
        <f>IFERROR(T81/#REF!,"")</f>
        <v/>
      </c>
      <c r="U85" s="333" t="str">
        <f>IFERROR(U81/#REF!,"")</f>
        <v/>
      </c>
      <c r="V85" s="333" t="str">
        <f>IFERROR(V81/#REF!,"")</f>
        <v/>
      </c>
      <c r="W85" s="333" t="str">
        <f>IFERROR(W81/#REF!,"")</f>
        <v/>
      </c>
      <c r="X85" s="333" t="str">
        <f>IFERROR(X81/#REF!,"")</f>
        <v/>
      </c>
      <c r="Y85" s="333" t="str">
        <f>IFERROR(Y81/#REF!,"")</f>
        <v/>
      </c>
      <c r="Z85" s="333" t="str">
        <f>IFERROR(Z81/#REF!,"")</f>
        <v/>
      </c>
      <c r="AA85" s="333" t="str">
        <f>IFERROR(AA81/#REF!,"")</f>
        <v/>
      </c>
      <c r="AB85" s="333" t="str">
        <f>IFERROR(AB81/#REF!,"")</f>
        <v/>
      </c>
      <c r="AC85" s="333" t="str">
        <f>IFERROR(AC81/#REF!,"")</f>
        <v/>
      </c>
      <c r="AD85" s="333" t="str">
        <f>IFERROR(AD81/#REF!,"")</f>
        <v/>
      </c>
      <c r="AE85" s="333" t="str">
        <f>IFERROR(AE81/#REF!,"")</f>
        <v/>
      </c>
      <c r="AF85" s="333" t="str">
        <f>IFERROR(AF81/#REF!,"")</f>
        <v/>
      </c>
      <c r="AG85" s="333" t="str">
        <f>IFERROR(AG81/#REF!,"")</f>
        <v/>
      </c>
      <c r="AH85" s="333" t="str">
        <f>IFERROR(AH81/#REF!,"")</f>
        <v/>
      </c>
      <c r="AI85" s="333" t="str">
        <f>IFERROR(AI81/#REF!,"")</f>
        <v/>
      </c>
      <c r="AJ85" s="333" t="str">
        <f>IFERROR(AJ81/#REF!,"")</f>
        <v/>
      </c>
      <c r="AN85" s="333" t="str">
        <f>IFERROR(AN81/#REF!,"")</f>
        <v/>
      </c>
      <c r="AO85" s="333" t="str">
        <f>IFERROR(AO81/#REF!,"")</f>
        <v/>
      </c>
      <c r="AP85" s="333" t="str">
        <f>IFERROR(AP81/#REF!,"")</f>
        <v/>
      </c>
    </row>
    <row r="86" spans="1:42">
      <c r="AC86" s="295"/>
      <c r="AD86" s="295"/>
      <c r="AK86" s="295"/>
    </row>
    <row r="87" spans="1:42" s="521" customFormat="1">
      <c r="A87" s="517"/>
      <c r="B87" s="518"/>
      <c r="C87" s="518"/>
      <c r="D87" s="519"/>
      <c r="E87" s="519"/>
      <c r="F87" s="519"/>
      <c r="G87" s="519"/>
      <c r="H87" s="519"/>
      <c r="I87" s="519"/>
      <c r="J87" s="519"/>
      <c r="K87" s="519"/>
      <c r="L87" s="519"/>
      <c r="M87" s="519"/>
      <c r="N87" s="519"/>
      <c r="O87" s="519"/>
      <c r="P87" s="519"/>
      <c r="Q87" s="519"/>
      <c r="R87" s="519"/>
      <c r="S87" s="519"/>
      <c r="T87" s="519"/>
      <c r="U87" s="519"/>
      <c r="V87" s="519"/>
      <c r="W87" s="519"/>
      <c r="X87" s="519"/>
      <c r="Y87" s="519"/>
      <c r="Z87" s="519"/>
      <c r="AA87" s="519"/>
      <c r="AB87" s="519"/>
      <c r="AC87" s="519"/>
      <c r="AD87" s="519"/>
      <c r="AE87" s="519"/>
      <c r="AF87" s="519"/>
      <c r="AG87" s="519"/>
      <c r="AH87" s="519"/>
      <c r="AI87" s="519"/>
      <c r="AJ87" s="519"/>
      <c r="AK87" s="520"/>
      <c r="AL87" s="520"/>
      <c r="AM87" s="520"/>
      <c r="AN87" s="519"/>
      <c r="AO87" s="519"/>
      <c r="AP87" s="519"/>
    </row>
    <row r="88" spans="1:42">
      <c r="AC88" s="295"/>
      <c r="AD88" s="295"/>
      <c r="AK88" s="295"/>
    </row>
    <row r="89" spans="1:42" ht="18.75">
      <c r="A89" s="442" t="s">
        <v>213</v>
      </c>
      <c r="AC89" s="295"/>
      <c r="AD89" s="295"/>
      <c r="AK89" s="295"/>
    </row>
    <row r="90" spans="1:42">
      <c r="AC90" s="295"/>
      <c r="AD90" s="295"/>
      <c r="AK90" s="295"/>
    </row>
    <row r="91" spans="1:42">
      <c r="B91" s="311" t="s">
        <v>147</v>
      </c>
      <c r="D91" s="546" t="str">
        <f t="shared" ref="D91:AG91" si="55">IFERROR(D15,"")</f>
        <v/>
      </c>
      <c r="E91" s="546" t="str">
        <f t="shared" si="55"/>
        <v/>
      </c>
      <c r="F91" s="546" t="str">
        <f t="shared" si="55"/>
        <v/>
      </c>
      <c r="G91" s="546" t="str">
        <f t="shared" si="55"/>
        <v/>
      </c>
      <c r="H91" s="546" t="str">
        <f t="shared" si="55"/>
        <v/>
      </c>
      <c r="I91" s="546" t="str">
        <f t="shared" si="55"/>
        <v/>
      </c>
      <c r="J91" s="546" t="str">
        <f t="shared" si="55"/>
        <v/>
      </c>
      <c r="K91" s="546" t="str">
        <f t="shared" si="55"/>
        <v/>
      </c>
      <c r="L91" s="546" t="str">
        <f t="shared" si="55"/>
        <v/>
      </c>
      <c r="M91" s="546" t="str">
        <f t="shared" si="55"/>
        <v/>
      </c>
      <c r="N91" s="546" t="str">
        <f t="shared" si="55"/>
        <v/>
      </c>
      <c r="O91" s="546" t="str">
        <f t="shared" si="55"/>
        <v/>
      </c>
      <c r="P91" s="546" t="str">
        <f t="shared" si="55"/>
        <v/>
      </c>
      <c r="Q91" s="546" t="str">
        <f t="shared" si="55"/>
        <v/>
      </c>
      <c r="R91" s="546" t="str">
        <f t="shared" si="55"/>
        <v/>
      </c>
      <c r="S91" s="546" t="str">
        <f t="shared" si="55"/>
        <v/>
      </c>
      <c r="T91" s="546" t="str">
        <f t="shared" si="55"/>
        <v/>
      </c>
      <c r="U91" s="546" t="str">
        <f t="shared" si="55"/>
        <v/>
      </c>
      <c r="V91" s="546" t="str">
        <f t="shared" si="55"/>
        <v/>
      </c>
      <c r="W91" s="546" t="str">
        <f t="shared" si="55"/>
        <v/>
      </c>
      <c r="X91" s="546" t="str">
        <f t="shared" si="55"/>
        <v/>
      </c>
      <c r="Y91" s="546" t="str">
        <f t="shared" si="55"/>
        <v/>
      </c>
      <c r="Z91" s="546" t="str">
        <f t="shared" si="55"/>
        <v/>
      </c>
      <c r="AA91" s="546" t="str">
        <f t="shared" si="55"/>
        <v/>
      </c>
      <c r="AB91" s="546" t="str">
        <f t="shared" si="55"/>
        <v/>
      </c>
      <c r="AC91" s="546" t="str">
        <f t="shared" si="55"/>
        <v/>
      </c>
      <c r="AD91" s="546" t="str">
        <f t="shared" si="55"/>
        <v/>
      </c>
      <c r="AE91" s="546" t="str">
        <f t="shared" si="55"/>
        <v/>
      </c>
      <c r="AF91" s="546" t="str">
        <f t="shared" si="55"/>
        <v/>
      </c>
      <c r="AG91" s="546" t="str">
        <f t="shared" si="55"/>
        <v/>
      </c>
      <c r="AH91" s="546" t="e">
        <f>AH15</f>
        <v>#REF!</v>
      </c>
      <c r="AI91" s="546" t="e">
        <f>AI15</f>
        <v>#REF!</v>
      </c>
      <c r="AJ91" s="546" t="e">
        <f>AJ15</f>
        <v>#REF!</v>
      </c>
      <c r="AK91" s="483" t="str">
        <f t="shared" ref="AK91:AK93" si="56">IFERROR(RATE(3,,AD91,-AG91),"")</f>
        <v/>
      </c>
      <c r="AL91" s="483" t="str">
        <f>IFERROR(RATE(3,,AG91,-AJ91),"")</f>
        <v/>
      </c>
      <c r="AN91" s="546" t="e">
        <f>AN15</f>
        <v>#REF!</v>
      </c>
      <c r="AO91" s="546" t="e">
        <f>AO15</f>
        <v>#REF!</v>
      </c>
      <c r="AP91" s="546" t="e">
        <f>AP15</f>
        <v>#REF!</v>
      </c>
    </row>
    <row r="92" spans="1:42">
      <c r="B92" s="547" t="s">
        <v>194</v>
      </c>
      <c r="D92" s="546" t="str">
        <f t="shared" ref="D92:AG92" si="57">IFERROR(D19,"")</f>
        <v/>
      </c>
      <c r="E92" s="546" t="str">
        <f t="shared" si="57"/>
        <v/>
      </c>
      <c r="F92" s="546" t="str">
        <f t="shared" si="57"/>
        <v/>
      </c>
      <c r="G92" s="546" t="str">
        <f t="shared" si="57"/>
        <v/>
      </c>
      <c r="H92" s="546" t="str">
        <f t="shared" si="57"/>
        <v/>
      </c>
      <c r="I92" s="546" t="str">
        <f t="shared" si="57"/>
        <v/>
      </c>
      <c r="J92" s="546" t="str">
        <f t="shared" si="57"/>
        <v/>
      </c>
      <c r="K92" s="546" t="str">
        <f t="shared" si="57"/>
        <v/>
      </c>
      <c r="L92" s="546" t="str">
        <f t="shared" si="57"/>
        <v/>
      </c>
      <c r="M92" s="546" t="str">
        <f t="shared" si="57"/>
        <v/>
      </c>
      <c r="N92" s="546" t="str">
        <f t="shared" si="57"/>
        <v/>
      </c>
      <c r="O92" s="546" t="str">
        <f t="shared" si="57"/>
        <v/>
      </c>
      <c r="P92" s="546" t="str">
        <f t="shared" si="57"/>
        <v/>
      </c>
      <c r="Q92" s="546" t="str">
        <f t="shared" si="57"/>
        <v/>
      </c>
      <c r="R92" s="546" t="str">
        <f t="shared" si="57"/>
        <v/>
      </c>
      <c r="S92" s="546" t="str">
        <f t="shared" si="57"/>
        <v/>
      </c>
      <c r="T92" s="546" t="str">
        <f t="shared" si="57"/>
        <v/>
      </c>
      <c r="U92" s="546" t="str">
        <f t="shared" si="57"/>
        <v/>
      </c>
      <c r="V92" s="546" t="str">
        <f t="shared" si="57"/>
        <v/>
      </c>
      <c r="W92" s="546" t="str">
        <f t="shared" si="57"/>
        <v/>
      </c>
      <c r="X92" s="546" t="str">
        <f t="shared" si="57"/>
        <v/>
      </c>
      <c r="Y92" s="546" t="str">
        <f t="shared" si="57"/>
        <v/>
      </c>
      <c r="Z92" s="546" t="str">
        <f t="shared" si="57"/>
        <v/>
      </c>
      <c r="AA92" s="546" t="str">
        <f t="shared" si="57"/>
        <v/>
      </c>
      <c r="AB92" s="546" t="str">
        <f t="shared" si="57"/>
        <v/>
      </c>
      <c r="AC92" s="546" t="str">
        <f t="shared" si="57"/>
        <v/>
      </c>
      <c r="AD92" s="546" t="str">
        <f t="shared" si="57"/>
        <v/>
      </c>
      <c r="AE92" s="546" t="str">
        <f t="shared" si="57"/>
        <v/>
      </c>
      <c r="AF92" s="546" t="str">
        <f t="shared" si="57"/>
        <v/>
      </c>
      <c r="AG92" s="546" t="str">
        <f t="shared" si="57"/>
        <v/>
      </c>
      <c r="AH92" s="546" t="e">
        <f>AH19</f>
        <v>#REF!</v>
      </c>
      <c r="AI92" s="546" t="e">
        <f>AI19</f>
        <v>#REF!</v>
      </c>
      <c r="AJ92" s="546" t="e">
        <f>AJ19</f>
        <v>#REF!</v>
      </c>
      <c r="AK92" s="483" t="str">
        <f t="shared" si="56"/>
        <v/>
      </c>
      <c r="AL92" s="483" t="str">
        <f>IFERROR(RATE(3,,AG92,-AJ92),"")</f>
        <v/>
      </c>
      <c r="AN92" s="546" t="e">
        <f>AN19</f>
        <v>#REF!</v>
      </c>
      <c r="AO92" s="546" t="e">
        <f>AO19</f>
        <v>#REF!</v>
      </c>
      <c r="AP92" s="546" t="e">
        <f>AP19</f>
        <v>#REF!</v>
      </c>
    </row>
    <row r="93" spans="1:42">
      <c r="B93" s="52" t="s">
        <v>151</v>
      </c>
      <c r="D93" s="546" t="e">
        <f t="shared" ref="D93:AG93" si="58">IF(D4=1,SUM(D91:D92),"")</f>
        <v>#REF!</v>
      </c>
      <c r="E93" s="546" t="e">
        <f t="shared" si="58"/>
        <v>#REF!</v>
      </c>
      <c r="F93" s="546" t="e">
        <f t="shared" si="58"/>
        <v>#REF!</v>
      </c>
      <c r="G93" s="546" t="e">
        <f t="shared" si="58"/>
        <v>#REF!</v>
      </c>
      <c r="H93" s="546" t="e">
        <f t="shared" si="58"/>
        <v>#REF!</v>
      </c>
      <c r="I93" s="546" t="e">
        <f t="shared" si="58"/>
        <v>#REF!</v>
      </c>
      <c r="J93" s="546" t="e">
        <f t="shared" si="58"/>
        <v>#REF!</v>
      </c>
      <c r="K93" s="546" t="e">
        <f t="shared" si="58"/>
        <v>#REF!</v>
      </c>
      <c r="L93" s="546" t="e">
        <f t="shared" si="58"/>
        <v>#REF!</v>
      </c>
      <c r="M93" s="546" t="e">
        <f t="shared" si="58"/>
        <v>#REF!</v>
      </c>
      <c r="N93" s="546" t="e">
        <f t="shared" si="58"/>
        <v>#REF!</v>
      </c>
      <c r="O93" s="546" t="e">
        <f t="shared" si="58"/>
        <v>#REF!</v>
      </c>
      <c r="P93" s="546" t="e">
        <f t="shared" si="58"/>
        <v>#REF!</v>
      </c>
      <c r="Q93" s="546" t="e">
        <f t="shared" si="58"/>
        <v>#REF!</v>
      </c>
      <c r="R93" s="546" t="e">
        <f t="shared" si="58"/>
        <v>#REF!</v>
      </c>
      <c r="S93" s="546" t="e">
        <f t="shared" si="58"/>
        <v>#REF!</v>
      </c>
      <c r="T93" s="546" t="e">
        <f t="shared" si="58"/>
        <v>#REF!</v>
      </c>
      <c r="U93" s="546" t="e">
        <f t="shared" si="58"/>
        <v>#REF!</v>
      </c>
      <c r="V93" s="546" t="e">
        <f t="shared" si="58"/>
        <v>#REF!</v>
      </c>
      <c r="W93" s="546" t="e">
        <f t="shared" si="58"/>
        <v>#REF!</v>
      </c>
      <c r="X93" s="546" t="e">
        <f t="shared" si="58"/>
        <v>#REF!</v>
      </c>
      <c r="Y93" s="546" t="e">
        <f t="shared" si="58"/>
        <v>#REF!</v>
      </c>
      <c r="Z93" s="546" t="e">
        <f t="shared" si="58"/>
        <v>#REF!</v>
      </c>
      <c r="AA93" s="546" t="e">
        <f t="shared" si="58"/>
        <v>#REF!</v>
      </c>
      <c r="AB93" s="546" t="e">
        <f t="shared" si="58"/>
        <v>#REF!</v>
      </c>
      <c r="AC93" s="546" t="e">
        <f t="shared" si="58"/>
        <v>#REF!</v>
      </c>
      <c r="AD93" s="546" t="e">
        <f t="shared" si="58"/>
        <v>#REF!</v>
      </c>
      <c r="AE93" s="546" t="e">
        <f t="shared" si="58"/>
        <v>#REF!</v>
      </c>
      <c r="AF93" s="546" t="e">
        <f t="shared" si="58"/>
        <v>#REF!</v>
      </c>
      <c r="AG93" s="546" t="e">
        <f t="shared" si="58"/>
        <v>#REF!</v>
      </c>
      <c r="AH93" s="546" t="e">
        <f t="shared" ref="AH93:AI93" si="59">SUM(AH91:AH92)</f>
        <v>#REF!</v>
      </c>
      <c r="AI93" s="546" t="e">
        <f t="shared" si="59"/>
        <v>#REF!</v>
      </c>
      <c r="AJ93" s="546" t="e">
        <f>IF(AG4=1,SUM(AJ91:AJ92),"")</f>
        <v>#REF!</v>
      </c>
      <c r="AK93" s="483" t="str">
        <f t="shared" si="56"/>
        <v/>
      </c>
      <c r="AL93" s="483" t="str">
        <f>IFERROR(RATE(3,,AG93,-AJ93),"")</f>
        <v/>
      </c>
      <c r="AN93" s="546" t="e">
        <f t="shared" ref="AN93" si="60">SUM(AN91:AN92)</f>
        <v>#REF!</v>
      </c>
      <c r="AO93" s="546" t="e">
        <f t="shared" ref="AO93:AP93" si="61">SUM(AO91:AO92)</f>
        <v>#REF!</v>
      </c>
      <c r="AP93" s="546" t="e">
        <f t="shared" si="61"/>
        <v>#REF!</v>
      </c>
    </row>
    <row r="94" spans="1:42"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E94" s="52"/>
      <c r="AF94" s="52"/>
      <c r="AG94" s="52"/>
      <c r="AH94" s="52"/>
      <c r="AI94" s="52"/>
      <c r="AJ94" s="52"/>
      <c r="AK94" s="295"/>
      <c r="AN94" s="52"/>
      <c r="AO94" s="52"/>
      <c r="AP94" s="52"/>
    </row>
    <row r="95" spans="1:42">
      <c r="B95" s="311" t="s">
        <v>214</v>
      </c>
      <c r="D95" s="546" t="str">
        <f t="shared" ref="D95:AG95" si="62">IFERROR(-D17,"")</f>
        <v/>
      </c>
      <c r="E95" s="546" t="str">
        <f t="shared" si="62"/>
        <v/>
      </c>
      <c r="F95" s="546" t="str">
        <f t="shared" si="62"/>
        <v/>
      </c>
      <c r="G95" s="546" t="str">
        <f t="shared" si="62"/>
        <v/>
      </c>
      <c r="H95" s="546" t="str">
        <f t="shared" si="62"/>
        <v/>
      </c>
      <c r="I95" s="546" t="str">
        <f t="shared" si="62"/>
        <v/>
      </c>
      <c r="J95" s="546" t="str">
        <f t="shared" si="62"/>
        <v/>
      </c>
      <c r="K95" s="546" t="str">
        <f t="shared" si="62"/>
        <v/>
      </c>
      <c r="L95" s="546" t="str">
        <f t="shared" si="62"/>
        <v/>
      </c>
      <c r="M95" s="546" t="str">
        <f t="shared" si="62"/>
        <v/>
      </c>
      <c r="N95" s="546" t="str">
        <f t="shared" si="62"/>
        <v/>
      </c>
      <c r="O95" s="546" t="str">
        <f t="shared" si="62"/>
        <v/>
      </c>
      <c r="P95" s="546" t="str">
        <f t="shared" si="62"/>
        <v/>
      </c>
      <c r="Q95" s="546" t="str">
        <f t="shared" si="62"/>
        <v/>
      </c>
      <c r="R95" s="546" t="str">
        <f t="shared" si="62"/>
        <v/>
      </c>
      <c r="S95" s="546" t="str">
        <f t="shared" si="62"/>
        <v/>
      </c>
      <c r="T95" s="546" t="str">
        <f t="shared" si="62"/>
        <v/>
      </c>
      <c r="U95" s="546" t="str">
        <f t="shared" si="62"/>
        <v/>
      </c>
      <c r="V95" s="546" t="str">
        <f t="shared" si="62"/>
        <v/>
      </c>
      <c r="W95" s="546" t="str">
        <f t="shared" si="62"/>
        <v/>
      </c>
      <c r="X95" s="546" t="str">
        <f t="shared" si="62"/>
        <v/>
      </c>
      <c r="Y95" s="546" t="str">
        <f t="shared" si="62"/>
        <v/>
      </c>
      <c r="Z95" s="546" t="str">
        <f t="shared" si="62"/>
        <v/>
      </c>
      <c r="AA95" s="546" t="str">
        <f t="shared" si="62"/>
        <v/>
      </c>
      <c r="AB95" s="546" t="str">
        <f t="shared" si="62"/>
        <v/>
      </c>
      <c r="AC95" s="546" t="str">
        <f t="shared" si="62"/>
        <v/>
      </c>
      <c r="AD95" s="546" t="str">
        <f t="shared" si="62"/>
        <v/>
      </c>
      <c r="AE95" s="546" t="str">
        <f t="shared" si="62"/>
        <v/>
      </c>
      <c r="AF95" s="546" t="str">
        <f t="shared" si="62"/>
        <v/>
      </c>
      <c r="AG95" s="546" t="str">
        <f t="shared" si="62"/>
        <v/>
      </c>
      <c r="AH95" s="546" t="e">
        <f>-AH17</f>
        <v>#REF!</v>
      </c>
      <c r="AI95" s="546" t="e">
        <f>-AI17</f>
        <v>#REF!</v>
      </c>
      <c r="AJ95" s="546" t="e">
        <f>-AJ17</f>
        <v>#REF!</v>
      </c>
      <c r="AK95" s="483" t="str">
        <f t="shared" ref="AK95:AK98" si="63">IFERROR(RATE(3,,AD95,-AG95),"")</f>
        <v/>
      </c>
      <c r="AL95" s="483" t="str">
        <f>IFERROR(RATE(3,,AG95,-AJ95),"")</f>
        <v/>
      </c>
      <c r="AN95" s="546" t="e">
        <f>-AN17</f>
        <v>#REF!</v>
      </c>
      <c r="AO95" s="546" t="e">
        <f>-AO17</f>
        <v>#REF!</v>
      </c>
      <c r="AP95" s="546" t="e">
        <f>-AP17</f>
        <v>#REF!</v>
      </c>
    </row>
    <row r="96" spans="1:42">
      <c r="B96" s="311" t="s">
        <v>215</v>
      </c>
      <c r="D96" s="546" t="e">
        <f t="shared" ref="D96:AG96" si="64">IF(D4=1,-D31,"")</f>
        <v>#REF!</v>
      </c>
      <c r="E96" s="546" t="e">
        <f t="shared" si="64"/>
        <v>#REF!</v>
      </c>
      <c r="F96" s="546" t="e">
        <f t="shared" si="64"/>
        <v>#REF!</v>
      </c>
      <c r="G96" s="546" t="e">
        <f t="shared" si="64"/>
        <v>#REF!</v>
      </c>
      <c r="H96" s="546" t="e">
        <f t="shared" si="64"/>
        <v>#REF!</v>
      </c>
      <c r="I96" s="546" t="e">
        <f t="shared" si="64"/>
        <v>#REF!</v>
      </c>
      <c r="J96" s="546" t="e">
        <f t="shared" si="64"/>
        <v>#REF!</v>
      </c>
      <c r="K96" s="546" t="e">
        <f t="shared" si="64"/>
        <v>#REF!</v>
      </c>
      <c r="L96" s="546" t="e">
        <f t="shared" si="64"/>
        <v>#REF!</v>
      </c>
      <c r="M96" s="546" t="e">
        <f t="shared" si="64"/>
        <v>#REF!</v>
      </c>
      <c r="N96" s="546" t="e">
        <f t="shared" si="64"/>
        <v>#REF!</v>
      </c>
      <c r="O96" s="546" t="e">
        <f t="shared" si="64"/>
        <v>#REF!</v>
      </c>
      <c r="P96" s="546" t="e">
        <f t="shared" si="64"/>
        <v>#REF!</v>
      </c>
      <c r="Q96" s="546" t="e">
        <f t="shared" si="64"/>
        <v>#REF!</v>
      </c>
      <c r="R96" s="546" t="e">
        <f t="shared" si="64"/>
        <v>#REF!</v>
      </c>
      <c r="S96" s="546" t="e">
        <f t="shared" si="64"/>
        <v>#REF!</v>
      </c>
      <c r="T96" s="546" t="e">
        <f t="shared" si="64"/>
        <v>#REF!</v>
      </c>
      <c r="U96" s="546" t="e">
        <f t="shared" si="64"/>
        <v>#REF!</v>
      </c>
      <c r="V96" s="546" t="e">
        <f t="shared" si="64"/>
        <v>#REF!</v>
      </c>
      <c r="W96" s="546" t="e">
        <f t="shared" si="64"/>
        <v>#REF!</v>
      </c>
      <c r="X96" s="546" t="e">
        <f t="shared" si="64"/>
        <v>#REF!</v>
      </c>
      <c r="Y96" s="546" t="e">
        <f t="shared" si="64"/>
        <v>#REF!</v>
      </c>
      <c r="Z96" s="546" t="e">
        <f t="shared" si="64"/>
        <v>#REF!</v>
      </c>
      <c r="AA96" s="546" t="e">
        <f t="shared" si="64"/>
        <v>#REF!</v>
      </c>
      <c r="AB96" s="546" t="e">
        <f t="shared" si="64"/>
        <v>#REF!</v>
      </c>
      <c r="AC96" s="546" t="e">
        <f t="shared" si="64"/>
        <v>#REF!</v>
      </c>
      <c r="AD96" s="546" t="e">
        <f t="shared" si="64"/>
        <v>#REF!</v>
      </c>
      <c r="AE96" s="546" t="e">
        <f t="shared" si="64"/>
        <v>#REF!</v>
      </c>
      <c r="AF96" s="546" t="e">
        <f t="shared" si="64"/>
        <v>#REF!</v>
      </c>
      <c r="AG96" s="546" t="e">
        <f t="shared" si="64"/>
        <v>#REF!</v>
      </c>
      <c r="AH96" s="546" t="e">
        <f>-AH31</f>
        <v>#REF!</v>
      </c>
      <c r="AI96" s="546" t="e">
        <f>-AI31</f>
        <v>#REF!</v>
      </c>
      <c r="AJ96" s="546" t="e">
        <f>IF(AG4=1,-AJ31,"")</f>
        <v>#REF!</v>
      </c>
      <c r="AK96" s="483" t="str">
        <f t="shared" si="63"/>
        <v/>
      </c>
      <c r="AL96" s="483" t="str">
        <f>IFERROR(RATE(3,,AG96,-AJ96),"")</f>
        <v/>
      </c>
      <c r="AN96" s="546" t="e">
        <f>-AN31</f>
        <v>#REF!</v>
      </c>
      <c r="AO96" s="546" t="e">
        <f>-AO31</f>
        <v>#REF!</v>
      </c>
      <c r="AP96" s="546" t="e">
        <f>-AP31</f>
        <v>#REF!</v>
      </c>
    </row>
    <row r="97" spans="1:42">
      <c r="B97" s="311" t="s">
        <v>216</v>
      </c>
      <c r="D97" s="546" t="str">
        <f t="shared" ref="D97:AG97" si="65">IFERROR(-D18-D20,"")</f>
        <v/>
      </c>
      <c r="E97" s="546" t="str">
        <f t="shared" si="65"/>
        <v/>
      </c>
      <c r="F97" s="546" t="str">
        <f t="shared" si="65"/>
        <v/>
      </c>
      <c r="G97" s="546" t="str">
        <f t="shared" si="65"/>
        <v/>
      </c>
      <c r="H97" s="546" t="str">
        <f t="shared" si="65"/>
        <v/>
      </c>
      <c r="I97" s="546" t="str">
        <f t="shared" si="65"/>
        <v/>
      </c>
      <c r="J97" s="546" t="str">
        <f t="shared" si="65"/>
        <v/>
      </c>
      <c r="K97" s="546" t="str">
        <f t="shared" si="65"/>
        <v/>
      </c>
      <c r="L97" s="546" t="str">
        <f t="shared" si="65"/>
        <v/>
      </c>
      <c r="M97" s="546" t="str">
        <f t="shared" si="65"/>
        <v/>
      </c>
      <c r="N97" s="546" t="str">
        <f t="shared" si="65"/>
        <v/>
      </c>
      <c r="O97" s="546" t="str">
        <f t="shared" si="65"/>
        <v/>
      </c>
      <c r="P97" s="546" t="str">
        <f t="shared" si="65"/>
        <v/>
      </c>
      <c r="Q97" s="546" t="str">
        <f t="shared" si="65"/>
        <v/>
      </c>
      <c r="R97" s="546" t="str">
        <f t="shared" si="65"/>
        <v/>
      </c>
      <c r="S97" s="546" t="str">
        <f t="shared" si="65"/>
        <v/>
      </c>
      <c r="T97" s="546" t="str">
        <f t="shared" si="65"/>
        <v/>
      </c>
      <c r="U97" s="546" t="str">
        <f t="shared" si="65"/>
        <v/>
      </c>
      <c r="V97" s="546" t="str">
        <f t="shared" si="65"/>
        <v/>
      </c>
      <c r="W97" s="546" t="str">
        <f t="shared" si="65"/>
        <v/>
      </c>
      <c r="X97" s="546" t="str">
        <f t="shared" si="65"/>
        <v/>
      </c>
      <c r="Y97" s="546" t="str">
        <f t="shared" si="65"/>
        <v/>
      </c>
      <c r="Z97" s="546" t="str">
        <f t="shared" si="65"/>
        <v/>
      </c>
      <c r="AA97" s="546" t="str">
        <f t="shared" si="65"/>
        <v/>
      </c>
      <c r="AB97" s="546" t="str">
        <f t="shared" si="65"/>
        <v/>
      </c>
      <c r="AC97" s="546" t="str">
        <f t="shared" si="65"/>
        <v/>
      </c>
      <c r="AD97" s="546" t="str">
        <f t="shared" si="65"/>
        <v/>
      </c>
      <c r="AE97" s="546" t="str">
        <f t="shared" si="65"/>
        <v/>
      </c>
      <c r="AF97" s="546" t="str">
        <f t="shared" si="65"/>
        <v/>
      </c>
      <c r="AG97" s="546" t="str">
        <f t="shared" si="65"/>
        <v/>
      </c>
      <c r="AH97" s="546" t="e">
        <f>-AH18-AH20</f>
        <v>#REF!</v>
      </c>
      <c r="AI97" s="546" t="e">
        <f>-AI18-AI20</f>
        <v>#REF!</v>
      </c>
      <c r="AJ97" s="546" t="e">
        <f>-AJ18-AJ20</f>
        <v>#REF!</v>
      </c>
      <c r="AK97" s="483" t="str">
        <f t="shared" si="63"/>
        <v/>
      </c>
      <c r="AL97" s="483" t="str">
        <f>IFERROR(RATE(3,,AG97,-AJ97),"")</f>
        <v/>
      </c>
      <c r="AN97" s="546" t="e">
        <f>-AN18-AN20</f>
        <v>#REF!</v>
      </c>
      <c r="AO97" s="546" t="e">
        <f>-AO18-AO20</f>
        <v>#REF!</v>
      </c>
      <c r="AP97" s="546" t="e">
        <f>-AP18-AP20</f>
        <v>#REF!</v>
      </c>
    </row>
    <row r="98" spans="1:42">
      <c r="B98" s="52" t="s">
        <v>152</v>
      </c>
      <c r="D98" s="546" t="e">
        <f t="shared" ref="D98:AG98" si="66">IF(D4=1,SUM(D95:D97),"")</f>
        <v>#REF!</v>
      </c>
      <c r="E98" s="546" t="e">
        <f t="shared" si="66"/>
        <v>#REF!</v>
      </c>
      <c r="F98" s="546" t="e">
        <f t="shared" si="66"/>
        <v>#REF!</v>
      </c>
      <c r="G98" s="546" t="e">
        <f t="shared" si="66"/>
        <v>#REF!</v>
      </c>
      <c r="H98" s="546" t="e">
        <f t="shared" si="66"/>
        <v>#REF!</v>
      </c>
      <c r="I98" s="546" t="e">
        <f t="shared" si="66"/>
        <v>#REF!</v>
      </c>
      <c r="J98" s="546" t="e">
        <f t="shared" si="66"/>
        <v>#REF!</v>
      </c>
      <c r="K98" s="546" t="e">
        <f t="shared" si="66"/>
        <v>#REF!</v>
      </c>
      <c r="L98" s="546" t="e">
        <f t="shared" si="66"/>
        <v>#REF!</v>
      </c>
      <c r="M98" s="546" t="e">
        <f t="shared" si="66"/>
        <v>#REF!</v>
      </c>
      <c r="N98" s="546" t="e">
        <f t="shared" si="66"/>
        <v>#REF!</v>
      </c>
      <c r="O98" s="546" t="e">
        <f t="shared" si="66"/>
        <v>#REF!</v>
      </c>
      <c r="P98" s="546" t="e">
        <f t="shared" si="66"/>
        <v>#REF!</v>
      </c>
      <c r="Q98" s="546" t="e">
        <f t="shared" si="66"/>
        <v>#REF!</v>
      </c>
      <c r="R98" s="546" t="e">
        <f t="shared" si="66"/>
        <v>#REF!</v>
      </c>
      <c r="S98" s="546" t="e">
        <f t="shared" si="66"/>
        <v>#REF!</v>
      </c>
      <c r="T98" s="546" t="e">
        <f t="shared" si="66"/>
        <v>#REF!</v>
      </c>
      <c r="U98" s="546" t="e">
        <f t="shared" si="66"/>
        <v>#REF!</v>
      </c>
      <c r="V98" s="546" t="e">
        <f t="shared" si="66"/>
        <v>#REF!</v>
      </c>
      <c r="W98" s="546" t="e">
        <f t="shared" si="66"/>
        <v>#REF!</v>
      </c>
      <c r="X98" s="546" t="e">
        <f t="shared" si="66"/>
        <v>#REF!</v>
      </c>
      <c r="Y98" s="546" t="e">
        <f t="shared" si="66"/>
        <v>#REF!</v>
      </c>
      <c r="Z98" s="546" t="e">
        <f t="shared" si="66"/>
        <v>#REF!</v>
      </c>
      <c r="AA98" s="546" t="e">
        <f t="shared" si="66"/>
        <v>#REF!</v>
      </c>
      <c r="AB98" s="546" t="e">
        <f t="shared" si="66"/>
        <v>#REF!</v>
      </c>
      <c r="AC98" s="546" t="e">
        <f t="shared" si="66"/>
        <v>#REF!</v>
      </c>
      <c r="AD98" s="546" t="e">
        <f t="shared" si="66"/>
        <v>#REF!</v>
      </c>
      <c r="AE98" s="546" t="e">
        <f t="shared" si="66"/>
        <v>#REF!</v>
      </c>
      <c r="AF98" s="546" t="e">
        <f t="shared" si="66"/>
        <v>#REF!</v>
      </c>
      <c r="AG98" s="546" t="e">
        <f t="shared" si="66"/>
        <v>#REF!</v>
      </c>
      <c r="AH98" s="546" t="e">
        <f t="shared" ref="AH98:AI98" si="67">SUM(AH95:AH97)</f>
        <v>#REF!</v>
      </c>
      <c r="AI98" s="546" t="e">
        <f t="shared" si="67"/>
        <v>#REF!</v>
      </c>
      <c r="AJ98" s="546" t="e">
        <f>IF(AG4=1,SUM(AJ95:AJ97),"")</f>
        <v>#REF!</v>
      </c>
      <c r="AK98" s="483" t="str">
        <f t="shared" si="63"/>
        <v/>
      </c>
      <c r="AL98" s="483" t="str">
        <f>IFERROR(RATE(3,,AG98,-AJ98),"")</f>
        <v/>
      </c>
      <c r="AN98" s="546" t="e">
        <f t="shared" ref="AN98" si="68">SUM(AN95:AN97)</f>
        <v>#REF!</v>
      </c>
      <c r="AO98" s="546" t="e">
        <f t="shared" ref="AO98:AP98" si="69">SUM(AO95:AO97)</f>
        <v>#REF!</v>
      </c>
      <c r="AP98" s="546" t="e">
        <f t="shared" si="69"/>
        <v>#REF!</v>
      </c>
    </row>
    <row r="99" spans="1:42"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E99" s="52"/>
      <c r="AF99" s="52"/>
      <c r="AG99" s="52"/>
      <c r="AH99" s="52"/>
      <c r="AI99" s="52"/>
      <c r="AJ99" s="52"/>
      <c r="AK99" s="295"/>
      <c r="AN99" s="52"/>
      <c r="AO99" s="52"/>
      <c r="AP99" s="52"/>
    </row>
    <row r="100" spans="1:42">
      <c r="B100" s="52" t="s">
        <v>153</v>
      </c>
      <c r="D100" s="546" t="str">
        <f t="shared" ref="D100:AF100" si="70">IFERROR(D93-D98,"")</f>
        <v/>
      </c>
      <c r="E100" s="546" t="str">
        <f t="shared" si="70"/>
        <v/>
      </c>
      <c r="F100" s="546" t="str">
        <f t="shared" si="70"/>
        <v/>
      </c>
      <c r="G100" s="546" t="str">
        <f t="shared" si="70"/>
        <v/>
      </c>
      <c r="H100" s="546" t="str">
        <f t="shared" si="70"/>
        <v/>
      </c>
      <c r="I100" s="546" t="str">
        <f t="shared" si="70"/>
        <v/>
      </c>
      <c r="J100" s="546" t="str">
        <f t="shared" si="70"/>
        <v/>
      </c>
      <c r="K100" s="546" t="str">
        <f t="shared" si="70"/>
        <v/>
      </c>
      <c r="L100" s="546" t="str">
        <f t="shared" si="70"/>
        <v/>
      </c>
      <c r="M100" s="546" t="str">
        <f t="shared" si="70"/>
        <v/>
      </c>
      <c r="N100" s="546" t="str">
        <f t="shared" si="70"/>
        <v/>
      </c>
      <c r="O100" s="546" t="str">
        <f t="shared" si="70"/>
        <v/>
      </c>
      <c r="P100" s="546" t="str">
        <f t="shared" si="70"/>
        <v/>
      </c>
      <c r="Q100" s="546" t="str">
        <f t="shared" si="70"/>
        <v/>
      </c>
      <c r="R100" s="546" t="str">
        <f t="shared" si="70"/>
        <v/>
      </c>
      <c r="S100" s="546" t="str">
        <f t="shared" si="70"/>
        <v/>
      </c>
      <c r="T100" s="546" t="str">
        <f t="shared" si="70"/>
        <v/>
      </c>
      <c r="U100" s="546" t="str">
        <f t="shared" si="70"/>
        <v/>
      </c>
      <c r="V100" s="546" t="str">
        <f t="shared" si="70"/>
        <v/>
      </c>
      <c r="W100" s="546" t="str">
        <f t="shared" si="70"/>
        <v/>
      </c>
      <c r="X100" s="546" t="str">
        <f t="shared" si="70"/>
        <v/>
      </c>
      <c r="Y100" s="546" t="str">
        <f t="shared" si="70"/>
        <v/>
      </c>
      <c r="Z100" s="546" t="str">
        <f t="shared" si="70"/>
        <v/>
      </c>
      <c r="AA100" s="546" t="str">
        <f t="shared" si="70"/>
        <v/>
      </c>
      <c r="AB100" s="546" t="str">
        <f t="shared" si="70"/>
        <v/>
      </c>
      <c r="AC100" s="546" t="str">
        <f t="shared" si="70"/>
        <v/>
      </c>
      <c r="AD100" s="546" t="str">
        <f t="shared" si="70"/>
        <v/>
      </c>
      <c r="AE100" s="546" t="str">
        <f t="shared" si="70"/>
        <v/>
      </c>
      <c r="AF100" s="546" t="str">
        <f t="shared" si="70"/>
        <v/>
      </c>
      <c r="AG100" s="546" t="str">
        <f>IFERROR(AG93-AG98,"")</f>
        <v/>
      </c>
      <c r="AH100" s="546" t="e">
        <f t="shared" ref="AH100:AJ100" si="71">AH93-AH98</f>
        <v>#REF!</v>
      </c>
      <c r="AI100" s="546" t="e">
        <f t="shared" si="71"/>
        <v>#REF!</v>
      </c>
      <c r="AJ100" s="546" t="e">
        <f t="shared" si="71"/>
        <v>#REF!</v>
      </c>
      <c r="AK100" s="483" t="str">
        <f t="shared" ref="AK100:AK102" si="72">IFERROR(RATE(3,,AD100,-AG100),"")</f>
        <v/>
      </c>
      <c r="AL100" s="483" t="str">
        <f>IFERROR(RATE(3,,AG100,-AJ100),"")</f>
        <v/>
      </c>
      <c r="AN100" s="546" t="e">
        <f t="shared" ref="AN100:AP100" si="73">AN93-AN98</f>
        <v>#REF!</v>
      </c>
      <c r="AO100" s="546" t="e">
        <f t="shared" si="73"/>
        <v>#REF!</v>
      </c>
      <c r="AP100" s="546" t="e">
        <f t="shared" si="73"/>
        <v>#REF!</v>
      </c>
    </row>
    <row r="101" spans="1:42">
      <c r="B101" s="52" t="s">
        <v>217</v>
      </c>
      <c r="D101" s="548" t="e">
        <f t="shared" ref="D101:AJ101" si="74">D60</f>
        <v>#REF!</v>
      </c>
      <c r="E101" s="548" t="e">
        <f t="shared" si="74"/>
        <v>#REF!</v>
      </c>
      <c r="F101" s="548" t="e">
        <f t="shared" si="74"/>
        <v>#REF!</v>
      </c>
      <c r="G101" s="548" t="e">
        <f t="shared" si="74"/>
        <v>#REF!</v>
      </c>
      <c r="H101" s="548" t="e">
        <f t="shared" si="74"/>
        <v>#REF!</v>
      </c>
      <c r="I101" s="548" t="e">
        <f t="shared" si="74"/>
        <v>#REF!</v>
      </c>
      <c r="J101" s="548" t="e">
        <f t="shared" si="74"/>
        <v>#REF!</v>
      </c>
      <c r="K101" s="548" t="e">
        <f t="shared" si="74"/>
        <v>#REF!</v>
      </c>
      <c r="L101" s="548" t="e">
        <f t="shared" si="74"/>
        <v>#REF!</v>
      </c>
      <c r="M101" s="548" t="e">
        <f t="shared" si="74"/>
        <v>#REF!</v>
      </c>
      <c r="N101" s="548" t="e">
        <f t="shared" si="74"/>
        <v>#REF!</v>
      </c>
      <c r="O101" s="548" t="e">
        <f t="shared" si="74"/>
        <v>#REF!</v>
      </c>
      <c r="P101" s="548" t="e">
        <f t="shared" si="74"/>
        <v>#REF!</v>
      </c>
      <c r="Q101" s="548" t="e">
        <f t="shared" si="74"/>
        <v>#REF!</v>
      </c>
      <c r="R101" s="548" t="e">
        <f t="shared" si="74"/>
        <v>#REF!</v>
      </c>
      <c r="S101" s="548" t="e">
        <f t="shared" si="74"/>
        <v>#REF!</v>
      </c>
      <c r="T101" s="548" t="e">
        <f t="shared" si="74"/>
        <v>#REF!</v>
      </c>
      <c r="U101" s="548" t="e">
        <f t="shared" si="74"/>
        <v>#REF!</v>
      </c>
      <c r="V101" s="548" t="e">
        <f t="shared" si="74"/>
        <v>#REF!</v>
      </c>
      <c r="W101" s="548" t="e">
        <f t="shared" si="74"/>
        <v>#REF!</v>
      </c>
      <c r="X101" s="548" t="e">
        <f t="shared" si="74"/>
        <v>#REF!</v>
      </c>
      <c r="Y101" s="548" t="e">
        <f t="shared" si="74"/>
        <v>#REF!</v>
      </c>
      <c r="Z101" s="548" t="e">
        <f t="shared" si="74"/>
        <v>#REF!</v>
      </c>
      <c r="AA101" s="548" t="e">
        <f t="shared" si="74"/>
        <v>#REF!</v>
      </c>
      <c r="AB101" s="548" t="e">
        <f t="shared" si="74"/>
        <v>#REF!</v>
      </c>
      <c r="AC101" s="548" t="e">
        <f t="shared" si="74"/>
        <v>#REF!</v>
      </c>
      <c r="AD101" s="548" t="e">
        <f t="shared" si="74"/>
        <v>#REF!</v>
      </c>
      <c r="AE101" s="548" t="e">
        <f t="shared" si="74"/>
        <v>#REF!</v>
      </c>
      <c r="AF101" s="548" t="e">
        <f t="shared" si="74"/>
        <v>#REF!</v>
      </c>
      <c r="AG101" s="548" t="e">
        <f t="shared" si="74"/>
        <v>#REF!</v>
      </c>
      <c r="AH101" s="548" t="e">
        <f t="shared" si="74"/>
        <v>#REF!</v>
      </c>
      <c r="AI101" s="548" t="e">
        <f t="shared" si="74"/>
        <v>#REF!</v>
      </c>
      <c r="AJ101" s="548" t="e">
        <f t="shared" si="74"/>
        <v>#REF!</v>
      </c>
      <c r="AK101" s="483" t="str">
        <f t="shared" si="72"/>
        <v/>
      </c>
      <c r="AL101" s="483" t="str">
        <f>IFERROR(RATE(3,,AG101,-AJ101),"")</f>
        <v/>
      </c>
      <c r="AN101" s="548" t="e">
        <f t="shared" ref="AN101:AP101" si="75">AN60</f>
        <v>#REF!</v>
      </c>
      <c r="AO101" s="548" t="e">
        <f t="shared" si="75"/>
        <v>#REF!</v>
      </c>
      <c r="AP101" s="548" t="e">
        <f t="shared" si="75"/>
        <v>#REF!</v>
      </c>
    </row>
    <row r="102" spans="1:42">
      <c r="B102" s="52" t="s">
        <v>154</v>
      </c>
      <c r="D102" s="546" t="str">
        <f t="shared" ref="D102:AF102" si="76">IFERROR(D101+D100,"")</f>
        <v/>
      </c>
      <c r="E102" s="546" t="str">
        <f t="shared" si="76"/>
        <v/>
      </c>
      <c r="F102" s="546" t="str">
        <f t="shared" si="76"/>
        <v/>
      </c>
      <c r="G102" s="546" t="str">
        <f t="shared" si="76"/>
        <v/>
      </c>
      <c r="H102" s="546" t="str">
        <f t="shared" si="76"/>
        <v/>
      </c>
      <c r="I102" s="546" t="str">
        <f t="shared" si="76"/>
        <v/>
      </c>
      <c r="J102" s="546" t="str">
        <f t="shared" si="76"/>
        <v/>
      </c>
      <c r="K102" s="546" t="str">
        <f t="shared" si="76"/>
        <v/>
      </c>
      <c r="L102" s="546" t="str">
        <f t="shared" si="76"/>
        <v/>
      </c>
      <c r="M102" s="546" t="str">
        <f t="shared" si="76"/>
        <v/>
      </c>
      <c r="N102" s="546" t="str">
        <f t="shared" si="76"/>
        <v/>
      </c>
      <c r="O102" s="546" t="str">
        <f t="shared" si="76"/>
        <v/>
      </c>
      <c r="P102" s="546" t="str">
        <f t="shared" si="76"/>
        <v/>
      </c>
      <c r="Q102" s="546" t="str">
        <f t="shared" si="76"/>
        <v/>
      </c>
      <c r="R102" s="546" t="str">
        <f t="shared" si="76"/>
        <v/>
      </c>
      <c r="S102" s="546" t="str">
        <f t="shared" si="76"/>
        <v/>
      </c>
      <c r="T102" s="546" t="str">
        <f t="shared" si="76"/>
        <v/>
      </c>
      <c r="U102" s="546" t="str">
        <f t="shared" si="76"/>
        <v/>
      </c>
      <c r="V102" s="546" t="str">
        <f t="shared" si="76"/>
        <v/>
      </c>
      <c r="W102" s="546" t="str">
        <f t="shared" si="76"/>
        <v/>
      </c>
      <c r="X102" s="546" t="str">
        <f t="shared" si="76"/>
        <v/>
      </c>
      <c r="Y102" s="546" t="str">
        <f t="shared" si="76"/>
        <v/>
      </c>
      <c r="Z102" s="546" t="str">
        <f t="shared" si="76"/>
        <v/>
      </c>
      <c r="AA102" s="546" t="str">
        <f t="shared" si="76"/>
        <v/>
      </c>
      <c r="AB102" s="546" t="str">
        <f t="shared" si="76"/>
        <v/>
      </c>
      <c r="AC102" s="546" t="str">
        <f t="shared" si="76"/>
        <v/>
      </c>
      <c r="AD102" s="546" t="str">
        <f t="shared" si="76"/>
        <v/>
      </c>
      <c r="AE102" s="546" t="str">
        <f t="shared" si="76"/>
        <v/>
      </c>
      <c r="AF102" s="546" t="str">
        <f t="shared" si="76"/>
        <v/>
      </c>
      <c r="AG102" s="546" t="str">
        <f>IFERROR(AG101+AG100,"")</f>
        <v/>
      </c>
      <c r="AH102" s="546" t="e">
        <f t="shared" ref="AH102:AJ102" si="77">AH101+AH100</f>
        <v>#REF!</v>
      </c>
      <c r="AI102" s="546" t="e">
        <f t="shared" si="77"/>
        <v>#REF!</v>
      </c>
      <c r="AJ102" s="546" t="e">
        <f t="shared" si="77"/>
        <v>#REF!</v>
      </c>
      <c r="AK102" s="483" t="str">
        <f t="shared" si="72"/>
        <v/>
      </c>
      <c r="AL102" s="483" t="str">
        <f>IFERROR(RATE(3,,AG102,-AJ102),"")</f>
        <v/>
      </c>
      <c r="AN102" s="546" t="e">
        <f t="shared" ref="AN102:AP102" si="78">AN101+AN100</f>
        <v>#REF!</v>
      </c>
      <c r="AO102" s="546" t="e">
        <f t="shared" si="78"/>
        <v>#REF!</v>
      </c>
      <c r="AP102" s="546" t="e">
        <f t="shared" si="78"/>
        <v>#REF!</v>
      </c>
    </row>
    <row r="103" spans="1:42"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E103" s="52"/>
      <c r="AF103" s="52"/>
      <c r="AG103" s="52"/>
      <c r="AH103" s="52"/>
      <c r="AI103" s="52"/>
      <c r="AJ103" s="52"/>
      <c r="AK103" s="295"/>
      <c r="AN103" s="52"/>
      <c r="AO103" s="52"/>
      <c r="AP103" s="52"/>
    </row>
    <row r="104" spans="1:42">
      <c r="B104" s="52" t="s">
        <v>218</v>
      </c>
      <c r="D104" s="546" t="str">
        <f t="shared" ref="D104:AG104" si="79">IFERROR(-D45,"")</f>
        <v/>
      </c>
      <c r="E104" s="546" t="str">
        <f t="shared" si="79"/>
        <v/>
      </c>
      <c r="F104" s="546" t="str">
        <f t="shared" si="79"/>
        <v/>
      </c>
      <c r="G104" s="546" t="str">
        <f t="shared" si="79"/>
        <v/>
      </c>
      <c r="H104" s="546" t="str">
        <f t="shared" si="79"/>
        <v/>
      </c>
      <c r="I104" s="546" t="str">
        <f t="shared" si="79"/>
        <v/>
      </c>
      <c r="J104" s="546" t="str">
        <f t="shared" si="79"/>
        <v/>
      </c>
      <c r="K104" s="546" t="str">
        <f t="shared" si="79"/>
        <v/>
      </c>
      <c r="L104" s="546" t="str">
        <f t="shared" si="79"/>
        <v/>
      </c>
      <c r="M104" s="546" t="str">
        <f t="shared" si="79"/>
        <v/>
      </c>
      <c r="N104" s="546" t="str">
        <f t="shared" si="79"/>
        <v/>
      </c>
      <c r="O104" s="546" t="str">
        <f t="shared" si="79"/>
        <v/>
      </c>
      <c r="P104" s="546" t="str">
        <f t="shared" si="79"/>
        <v/>
      </c>
      <c r="Q104" s="546" t="str">
        <f t="shared" si="79"/>
        <v/>
      </c>
      <c r="R104" s="546" t="str">
        <f t="shared" si="79"/>
        <v/>
      </c>
      <c r="S104" s="546" t="str">
        <f t="shared" si="79"/>
        <v/>
      </c>
      <c r="T104" s="546" t="str">
        <f t="shared" si="79"/>
        <v/>
      </c>
      <c r="U104" s="546" t="str">
        <f t="shared" si="79"/>
        <v/>
      </c>
      <c r="V104" s="546" t="str">
        <f t="shared" si="79"/>
        <v/>
      </c>
      <c r="W104" s="546" t="str">
        <f t="shared" si="79"/>
        <v/>
      </c>
      <c r="X104" s="546" t="str">
        <f t="shared" si="79"/>
        <v/>
      </c>
      <c r="Y104" s="546" t="str">
        <f t="shared" si="79"/>
        <v/>
      </c>
      <c r="Z104" s="546" t="str">
        <f t="shared" si="79"/>
        <v/>
      </c>
      <c r="AA104" s="546" t="str">
        <f t="shared" si="79"/>
        <v/>
      </c>
      <c r="AB104" s="546" t="str">
        <f t="shared" si="79"/>
        <v/>
      </c>
      <c r="AC104" s="546" t="str">
        <f t="shared" si="79"/>
        <v/>
      </c>
      <c r="AD104" s="546" t="str">
        <f t="shared" si="79"/>
        <v/>
      </c>
      <c r="AE104" s="546" t="str">
        <f t="shared" si="79"/>
        <v/>
      </c>
      <c r="AF104" s="546" t="str">
        <f t="shared" si="79"/>
        <v/>
      </c>
      <c r="AG104" s="546" t="str">
        <f t="shared" si="79"/>
        <v/>
      </c>
      <c r="AH104" s="546" t="e">
        <f>-AH45</f>
        <v>#REF!</v>
      </c>
      <c r="AI104" s="546" t="e">
        <f>-AI45</f>
        <v>#REF!</v>
      </c>
      <c r="AJ104" s="546" t="e">
        <f>-AJ45</f>
        <v>#REF!</v>
      </c>
      <c r="AK104" s="483" t="str">
        <f t="shared" ref="AK104" si="80">IFERROR(RATE(3,,AD104,-AG104),"")</f>
        <v/>
      </c>
      <c r="AL104" s="483" t="str">
        <f>IFERROR(RATE(3,,AG104,-AJ104),"")</f>
        <v/>
      </c>
      <c r="AN104" s="546" t="e">
        <f>-AN45</f>
        <v>#REF!</v>
      </c>
      <c r="AO104" s="546" t="e">
        <f>-AO45</f>
        <v>#REF!</v>
      </c>
      <c r="AP104" s="546" t="e">
        <f>-AP45</f>
        <v>#REF!</v>
      </c>
    </row>
    <row r="105" spans="1:42" ht="15.75" thickBot="1">
      <c r="B105" s="549"/>
      <c r="C105" s="549"/>
      <c r="D105" s="549"/>
      <c r="E105" s="549"/>
      <c r="F105" s="549"/>
      <c r="G105" s="549"/>
      <c r="H105" s="549"/>
      <c r="I105" s="549"/>
      <c r="J105" s="549"/>
      <c r="K105" s="549"/>
      <c r="L105" s="549"/>
      <c r="M105" s="549"/>
      <c r="N105" s="549"/>
      <c r="O105" s="549"/>
      <c r="P105" s="549"/>
      <c r="Q105" s="549"/>
      <c r="R105" s="549"/>
      <c r="S105" s="549"/>
      <c r="T105" s="549"/>
      <c r="U105" s="549"/>
      <c r="V105" s="549"/>
      <c r="W105" s="549"/>
      <c r="X105" s="549"/>
      <c r="Y105" s="549"/>
      <c r="Z105" s="549"/>
      <c r="AA105" s="549"/>
      <c r="AB105" s="549"/>
      <c r="AC105" s="549"/>
      <c r="AD105" s="549"/>
      <c r="AE105" s="549"/>
      <c r="AF105" s="549"/>
      <c r="AG105" s="549"/>
      <c r="AH105" s="549"/>
      <c r="AI105" s="549"/>
      <c r="AJ105" s="549"/>
      <c r="AK105" s="550"/>
      <c r="AL105" s="550"/>
      <c r="AM105" s="550"/>
      <c r="AN105" s="549"/>
      <c r="AO105" s="549"/>
      <c r="AP105" s="549"/>
    </row>
    <row r="106" spans="1:42" ht="16.5" thickTop="1" thickBot="1">
      <c r="B106" s="527" t="s">
        <v>219</v>
      </c>
      <c r="C106" s="549"/>
      <c r="D106" s="551" t="str">
        <f t="shared" ref="D106:AF106" si="81">IFERROR(D102+D104,"")</f>
        <v/>
      </c>
      <c r="E106" s="551" t="str">
        <f t="shared" si="81"/>
        <v/>
      </c>
      <c r="F106" s="551" t="str">
        <f t="shared" si="81"/>
        <v/>
      </c>
      <c r="G106" s="551" t="str">
        <f t="shared" si="81"/>
        <v/>
      </c>
      <c r="H106" s="551" t="str">
        <f t="shared" si="81"/>
        <v/>
      </c>
      <c r="I106" s="551" t="str">
        <f t="shared" si="81"/>
        <v/>
      </c>
      <c r="J106" s="551" t="str">
        <f t="shared" si="81"/>
        <v/>
      </c>
      <c r="K106" s="551" t="str">
        <f t="shared" si="81"/>
        <v/>
      </c>
      <c r="L106" s="551" t="str">
        <f t="shared" si="81"/>
        <v/>
      </c>
      <c r="M106" s="551" t="str">
        <f t="shared" si="81"/>
        <v/>
      </c>
      <c r="N106" s="551" t="str">
        <f t="shared" si="81"/>
        <v/>
      </c>
      <c r="O106" s="551" t="str">
        <f t="shared" si="81"/>
        <v/>
      </c>
      <c r="P106" s="551" t="str">
        <f t="shared" si="81"/>
        <v/>
      </c>
      <c r="Q106" s="551" t="str">
        <f t="shared" si="81"/>
        <v/>
      </c>
      <c r="R106" s="551" t="str">
        <f t="shared" si="81"/>
        <v/>
      </c>
      <c r="S106" s="551" t="str">
        <f t="shared" si="81"/>
        <v/>
      </c>
      <c r="T106" s="551" t="str">
        <f t="shared" si="81"/>
        <v/>
      </c>
      <c r="U106" s="551" t="str">
        <f t="shared" si="81"/>
        <v/>
      </c>
      <c r="V106" s="551" t="str">
        <f t="shared" si="81"/>
        <v/>
      </c>
      <c r="W106" s="551" t="str">
        <f t="shared" si="81"/>
        <v/>
      </c>
      <c r="X106" s="551" t="str">
        <f t="shared" si="81"/>
        <v/>
      </c>
      <c r="Y106" s="551" t="str">
        <f t="shared" si="81"/>
        <v/>
      </c>
      <c r="Z106" s="551" t="str">
        <f t="shared" si="81"/>
        <v/>
      </c>
      <c r="AA106" s="551" t="str">
        <f t="shared" si="81"/>
        <v/>
      </c>
      <c r="AB106" s="551" t="str">
        <f t="shared" si="81"/>
        <v/>
      </c>
      <c r="AC106" s="551" t="str">
        <f t="shared" si="81"/>
        <v/>
      </c>
      <c r="AD106" s="551" t="str">
        <f t="shared" si="81"/>
        <v/>
      </c>
      <c r="AE106" s="551" t="str">
        <f t="shared" si="81"/>
        <v/>
      </c>
      <c r="AF106" s="551" t="str">
        <f t="shared" si="81"/>
        <v/>
      </c>
      <c r="AG106" s="551" t="str">
        <f>IFERROR(AG102+AG104,"")</f>
        <v/>
      </c>
      <c r="AH106" s="551" t="e">
        <f t="shared" ref="AH106:AJ106" si="82">AH102+AH104</f>
        <v>#REF!</v>
      </c>
      <c r="AI106" s="551" t="e">
        <f t="shared" si="82"/>
        <v>#REF!</v>
      </c>
      <c r="AJ106" s="551" t="e">
        <f t="shared" si="82"/>
        <v>#REF!</v>
      </c>
      <c r="AK106" s="529" t="str">
        <f t="shared" ref="AK106" si="83">IFERROR(RATE(3,,AD106,-AG106),"")</f>
        <v/>
      </c>
      <c r="AL106" s="529" t="str">
        <f>IFERROR(RATE(3,,AG106,-AJ106),"")</f>
        <v/>
      </c>
      <c r="AM106" s="550"/>
      <c r="AN106" s="551" t="e">
        <f t="shared" ref="AN106:AP106" si="84">AN102+AN104</f>
        <v>#REF!</v>
      </c>
      <c r="AO106" s="551" t="e">
        <f t="shared" si="84"/>
        <v>#REF!</v>
      </c>
      <c r="AP106" s="551" t="e">
        <f t="shared" si="84"/>
        <v>#REF!</v>
      </c>
    </row>
    <row r="107" spans="1:42" ht="15.75" thickTop="1">
      <c r="B107" s="349"/>
      <c r="C107" s="349"/>
      <c r="D107" s="349"/>
      <c r="E107" s="349"/>
      <c r="F107" s="349"/>
      <c r="G107" s="349"/>
      <c r="H107" s="349"/>
      <c r="I107" s="349"/>
      <c r="J107" s="349"/>
      <c r="K107" s="349"/>
      <c r="L107" s="349"/>
      <c r="M107" s="349"/>
      <c r="N107" s="349"/>
      <c r="O107" s="349"/>
      <c r="P107" s="349"/>
      <c r="Q107" s="349"/>
      <c r="R107" s="349"/>
      <c r="S107" s="349"/>
      <c r="T107" s="349"/>
      <c r="U107" s="349"/>
      <c r="V107" s="349"/>
      <c r="W107" s="349"/>
      <c r="X107" s="349"/>
      <c r="Y107" s="349"/>
      <c r="Z107" s="349"/>
      <c r="AA107" s="349"/>
      <c r="AB107" s="349"/>
      <c r="AC107" s="349"/>
      <c r="AD107" s="349"/>
      <c r="AE107" s="349"/>
      <c r="AF107" s="349"/>
      <c r="AG107" s="349"/>
      <c r="AH107" s="349"/>
      <c r="AI107" s="349"/>
      <c r="AJ107" s="349"/>
      <c r="AK107" s="295"/>
      <c r="AN107" s="349"/>
      <c r="AO107" s="349"/>
      <c r="AP107" s="349"/>
    </row>
    <row r="108" spans="1:42">
      <c r="B108" s="542" t="s">
        <v>23</v>
      </c>
      <c r="C108" s="552"/>
      <c r="D108" s="450" t="e">
        <f t="shared" ref="D108:AJ108" si="85">D35</f>
        <v>#REF!</v>
      </c>
      <c r="E108" s="450" t="e">
        <f t="shared" si="85"/>
        <v>#REF!</v>
      </c>
      <c r="F108" s="450" t="e">
        <f t="shared" si="85"/>
        <v>#REF!</v>
      </c>
      <c r="G108" s="450" t="e">
        <f t="shared" si="85"/>
        <v>#REF!</v>
      </c>
      <c r="H108" s="450" t="e">
        <f t="shared" si="85"/>
        <v>#REF!</v>
      </c>
      <c r="I108" s="450" t="e">
        <f t="shared" si="85"/>
        <v>#REF!</v>
      </c>
      <c r="J108" s="450" t="e">
        <f t="shared" si="85"/>
        <v>#REF!</v>
      </c>
      <c r="K108" s="450" t="e">
        <f t="shared" si="85"/>
        <v>#REF!</v>
      </c>
      <c r="L108" s="450" t="e">
        <f t="shared" si="85"/>
        <v>#REF!</v>
      </c>
      <c r="M108" s="450" t="e">
        <f t="shared" si="85"/>
        <v>#REF!</v>
      </c>
      <c r="N108" s="450" t="e">
        <f t="shared" si="85"/>
        <v>#REF!</v>
      </c>
      <c r="O108" s="450" t="e">
        <f t="shared" si="85"/>
        <v>#REF!</v>
      </c>
      <c r="P108" s="450" t="e">
        <f t="shared" si="85"/>
        <v>#REF!</v>
      </c>
      <c r="Q108" s="450" t="e">
        <f t="shared" si="85"/>
        <v>#REF!</v>
      </c>
      <c r="R108" s="450" t="e">
        <f t="shared" si="85"/>
        <v>#REF!</v>
      </c>
      <c r="S108" s="450" t="e">
        <f t="shared" si="85"/>
        <v>#REF!</v>
      </c>
      <c r="T108" s="450" t="e">
        <f t="shared" si="85"/>
        <v>#REF!</v>
      </c>
      <c r="U108" s="450" t="e">
        <f t="shared" si="85"/>
        <v>#REF!</v>
      </c>
      <c r="V108" s="450" t="e">
        <f t="shared" si="85"/>
        <v>#REF!</v>
      </c>
      <c r="W108" s="450" t="e">
        <f t="shared" si="85"/>
        <v>#REF!</v>
      </c>
      <c r="X108" s="450" t="e">
        <f t="shared" si="85"/>
        <v>#REF!</v>
      </c>
      <c r="Y108" s="450" t="e">
        <f t="shared" si="85"/>
        <v>#REF!</v>
      </c>
      <c r="Z108" s="450" t="e">
        <f t="shared" si="85"/>
        <v>#REF!</v>
      </c>
      <c r="AA108" s="450" t="e">
        <f t="shared" si="85"/>
        <v>#REF!</v>
      </c>
      <c r="AB108" s="450" t="e">
        <f t="shared" si="85"/>
        <v>#REF!</v>
      </c>
      <c r="AC108" s="450" t="e">
        <f t="shared" si="85"/>
        <v>#REF!</v>
      </c>
      <c r="AD108" s="450" t="e">
        <f t="shared" si="85"/>
        <v>#REF!</v>
      </c>
      <c r="AE108" s="450" t="e">
        <f t="shared" si="85"/>
        <v>#REF!</v>
      </c>
      <c r="AF108" s="450" t="e">
        <f t="shared" si="85"/>
        <v>#REF!</v>
      </c>
      <c r="AG108" s="450" t="e">
        <f t="shared" si="85"/>
        <v>#REF!</v>
      </c>
      <c r="AH108" s="450" t="e">
        <f t="shared" si="85"/>
        <v>#REF!</v>
      </c>
      <c r="AI108" s="450" t="e">
        <f t="shared" si="85"/>
        <v>#REF!</v>
      </c>
      <c r="AJ108" s="450" t="e">
        <f t="shared" si="85"/>
        <v>#REF!</v>
      </c>
      <c r="AK108" s="483" t="str">
        <f t="shared" ref="AK108:AK111" si="86">IFERROR(RATE(3,,AD108,-AG108),"")</f>
        <v/>
      </c>
      <c r="AL108" s="483" t="str">
        <f>IFERROR(RATE(3,,AG108,-AJ108),"")</f>
        <v/>
      </c>
      <c r="AN108" s="450" t="e">
        <f>AN35</f>
        <v>#REF!</v>
      </c>
      <c r="AO108" s="450" t="e">
        <f>AO35</f>
        <v>#REF!</v>
      </c>
      <c r="AP108" s="450" t="e">
        <f>AP35</f>
        <v>#REF!</v>
      </c>
    </row>
    <row r="109" spans="1:42">
      <c r="B109" s="542" t="s">
        <v>27</v>
      </c>
      <c r="C109" s="552"/>
      <c r="D109" s="523" t="e">
        <f t="shared" ref="D109:AJ109" si="87">D61</f>
        <v>#REF!</v>
      </c>
      <c r="E109" s="523" t="e">
        <f t="shared" si="87"/>
        <v>#REF!</v>
      </c>
      <c r="F109" s="523" t="e">
        <f t="shared" si="87"/>
        <v>#REF!</v>
      </c>
      <c r="G109" s="523" t="e">
        <f t="shared" si="87"/>
        <v>#REF!</v>
      </c>
      <c r="H109" s="523" t="e">
        <f t="shared" si="87"/>
        <v>#REF!</v>
      </c>
      <c r="I109" s="523" t="e">
        <f t="shared" si="87"/>
        <v>#REF!</v>
      </c>
      <c r="J109" s="523" t="e">
        <f t="shared" si="87"/>
        <v>#REF!</v>
      </c>
      <c r="K109" s="523" t="e">
        <f t="shared" si="87"/>
        <v>#REF!</v>
      </c>
      <c r="L109" s="523" t="e">
        <f t="shared" si="87"/>
        <v>#REF!</v>
      </c>
      <c r="M109" s="523" t="e">
        <f t="shared" si="87"/>
        <v>#REF!</v>
      </c>
      <c r="N109" s="523" t="e">
        <f t="shared" si="87"/>
        <v>#REF!</v>
      </c>
      <c r="O109" s="523" t="e">
        <f t="shared" si="87"/>
        <v>#REF!</v>
      </c>
      <c r="P109" s="523" t="e">
        <f t="shared" si="87"/>
        <v>#REF!</v>
      </c>
      <c r="Q109" s="523" t="e">
        <f t="shared" si="87"/>
        <v>#REF!</v>
      </c>
      <c r="R109" s="523" t="e">
        <f t="shared" si="87"/>
        <v>#REF!</v>
      </c>
      <c r="S109" s="523" t="e">
        <f t="shared" si="87"/>
        <v>#REF!</v>
      </c>
      <c r="T109" s="523" t="e">
        <f t="shared" si="87"/>
        <v>#REF!</v>
      </c>
      <c r="U109" s="523" t="e">
        <f t="shared" si="87"/>
        <v>#REF!</v>
      </c>
      <c r="V109" s="523" t="e">
        <f t="shared" si="87"/>
        <v>#REF!</v>
      </c>
      <c r="W109" s="523" t="e">
        <f t="shared" si="87"/>
        <v>#REF!</v>
      </c>
      <c r="X109" s="523" t="e">
        <f t="shared" si="87"/>
        <v>#REF!</v>
      </c>
      <c r="Y109" s="523" t="e">
        <f t="shared" si="87"/>
        <v>#REF!</v>
      </c>
      <c r="Z109" s="523" t="e">
        <f t="shared" si="87"/>
        <v>#REF!</v>
      </c>
      <c r="AA109" s="523" t="e">
        <f t="shared" si="87"/>
        <v>#REF!</v>
      </c>
      <c r="AB109" s="523" t="e">
        <f t="shared" si="87"/>
        <v>#REF!</v>
      </c>
      <c r="AC109" s="523" t="e">
        <f t="shared" si="87"/>
        <v>#REF!</v>
      </c>
      <c r="AD109" s="523" t="e">
        <f t="shared" si="87"/>
        <v>#REF!</v>
      </c>
      <c r="AE109" s="523" t="e">
        <f t="shared" si="87"/>
        <v>#REF!</v>
      </c>
      <c r="AF109" s="523" t="e">
        <f t="shared" si="87"/>
        <v>#REF!</v>
      </c>
      <c r="AG109" s="523" t="e">
        <f t="shared" si="87"/>
        <v>#REF!</v>
      </c>
      <c r="AH109" s="523" t="e">
        <f t="shared" si="87"/>
        <v>#REF!</v>
      </c>
      <c r="AI109" s="523" t="e">
        <f t="shared" si="87"/>
        <v>#REF!</v>
      </c>
      <c r="AJ109" s="523" t="e">
        <f t="shared" si="87"/>
        <v>#REF!</v>
      </c>
      <c r="AK109" s="483" t="str">
        <f t="shared" si="86"/>
        <v/>
      </c>
      <c r="AL109" s="483" t="str">
        <f>IFERROR(RATE(3,,AG109,-AJ109),"")</f>
        <v/>
      </c>
      <c r="AN109" s="523" t="e">
        <f t="shared" ref="AN109:AP109" si="88">AN61</f>
        <v>#REF!</v>
      </c>
      <c r="AO109" s="523" t="e">
        <f t="shared" si="88"/>
        <v>#REF!</v>
      </c>
      <c r="AP109" s="523" t="e">
        <f t="shared" si="88"/>
        <v>#REF!</v>
      </c>
    </row>
    <row r="110" spans="1:42" ht="15.75" thickBot="1">
      <c r="B110" s="553" t="s">
        <v>220</v>
      </c>
      <c r="C110" s="554"/>
      <c r="D110" s="526" t="str">
        <f t="shared" ref="D110:AJ110" si="89">D34</f>
        <v/>
      </c>
      <c r="E110" s="526" t="str">
        <f t="shared" si="89"/>
        <v/>
      </c>
      <c r="F110" s="526" t="str">
        <f t="shared" si="89"/>
        <v/>
      </c>
      <c r="G110" s="526" t="str">
        <f t="shared" si="89"/>
        <v/>
      </c>
      <c r="H110" s="526" t="str">
        <f t="shared" si="89"/>
        <v/>
      </c>
      <c r="I110" s="526" t="str">
        <f t="shared" si="89"/>
        <v/>
      </c>
      <c r="J110" s="526" t="str">
        <f t="shared" si="89"/>
        <v/>
      </c>
      <c r="K110" s="526" t="str">
        <f t="shared" si="89"/>
        <v/>
      </c>
      <c r="L110" s="526" t="str">
        <f t="shared" si="89"/>
        <v/>
      </c>
      <c r="M110" s="526" t="str">
        <f t="shared" si="89"/>
        <v/>
      </c>
      <c r="N110" s="526" t="str">
        <f t="shared" si="89"/>
        <v/>
      </c>
      <c r="O110" s="526" t="str">
        <f t="shared" si="89"/>
        <v/>
      </c>
      <c r="P110" s="526" t="str">
        <f t="shared" si="89"/>
        <v/>
      </c>
      <c r="Q110" s="526" t="str">
        <f t="shared" si="89"/>
        <v/>
      </c>
      <c r="R110" s="526" t="str">
        <f t="shared" si="89"/>
        <v/>
      </c>
      <c r="S110" s="526" t="str">
        <f t="shared" si="89"/>
        <v/>
      </c>
      <c r="T110" s="526" t="str">
        <f t="shared" si="89"/>
        <v/>
      </c>
      <c r="U110" s="526" t="str">
        <f t="shared" si="89"/>
        <v/>
      </c>
      <c r="V110" s="526" t="str">
        <f t="shared" si="89"/>
        <v/>
      </c>
      <c r="W110" s="526" t="str">
        <f t="shared" si="89"/>
        <v/>
      </c>
      <c r="X110" s="526" t="str">
        <f t="shared" si="89"/>
        <v/>
      </c>
      <c r="Y110" s="526" t="str">
        <f t="shared" si="89"/>
        <v/>
      </c>
      <c r="Z110" s="526" t="str">
        <f t="shared" si="89"/>
        <v/>
      </c>
      <c r="AA110" s="526" t="str">
        <f t="shared" si="89"/>
        <v/>
      </c>
      <c r="AB110" s="526" t="str">
        <f t="shared" si="89"/>
        <v/>
      </c>
      <c r="AC110" s="526" t="str">
        <f t="shared" si="89"/>
        <v/>
      </c>
      <c r="AD110" s="526" t="str">
        <f t="shared" si="89"/>
        <v/>
      </c>
      <c r="AE110" s="526" t="str">
        <f t="shared" si="89"/>
        <v/>
      </c>
      <c r="AF110" s="526" t="str">
        <f t="shared" si="89"/>
        <v/>
      </c>
      <c r="AG110" s="526" t="str">
        <f t="shared" si="89"/>
        <v/>
      </c>
      <c r="AH110" s="526">
        <f t="shared" si="89"/>
        <v>0</v>
      </c>
      <c r="AI110" s="526">
        <f t="shared" si="89"/>
        <v>0</v>
      </c>
      <c r="AJ110" s="526">
        <f t="shared" si="89"/>
        <v>0</v>
      </c>
      <c r="AK110" s="555" t="str">
        <f t="shared" si="86"/>
        <v/>
      </c>
      <c r="AL110" s="555" t="str">
        <f>IFERROR(RATE(3,,AG110,-AJ110),"")</f>
        <v/>
      </c>
      <c r="AM110" s="550"/>
      <c r="AN110" s="526">
        <f>AN34</f>
        <v>0</v>
      </c>
      <c r="AO110" s="526">
        <f>AO34</f>
        <v>0</v>
      </c>
      <c r="AP110" s="526">
        <f>AP34</f>
        <v>0</v>
      </c>
    </row>
    <row r="111" spans="1:42" s="294" customFormat="1" ht="16.5" thickTop="1" thickBot="1">
      <c r="A111" s="348"/>
      <c r="B111" s="556" t="s">
        <v>221</v>
      </c>
      <c r="C111" s="557"/>
      <c r="D111" s="558" t="e">
        <f t="shared" ref="D111:AG111" si="90">IF(D4=1,SUM(D108:D110),"")</f>
        <v>#REF!</v>
      </c>
      <c r="E111" s="558" t="e">
        <f t="shared" si="90"/>
        <v>#REF!</v>
      </c>
      <c r="F111" s="558" t="e">
        <f t="shared" si="90"/>
        <v>#REF!</v>
      </c>
      <c r="G111" s="558" t="e">
        <f t="shared" si="90"/>
        <v>#REF!</v>
      </c>
      <c r="H111" s="558" t="e">
        <f t="shared" si="90"/>
        <v>#REF!</v>
      </c>
      <c r="I111" s="558" t="e">
        <f t="shared" si="90"/>
        <v>#REF!</v>
      </c>
      <c r="J111" s="558" t="e">
        <f t="shared" si="90"/>
        <v>#REF!</v>
      </c>
      <c r="K111" s="558" t="e">
        <f t="shared" si="90"/>
        <v>#REF!</v>
      </c>
      <c r="L111" s="558" t="e">
        <f t="shared" si="90"/>
        <v>#REF!</v>
      </c>
      <c r="M111" s="558" t="e">
        <f t="shared" si="90"/>
        <v>#REF!</v>
      </c>
      <c r="N111" s="558" t="e">
        <f t="shared" si="90"/>
        <v>#REF!</v>
      </c>
      <c r="O111" s="558" t="e">
        <f t="shared" si="90"/>
        <v>#REF!</v>
      </c>
      <c r="P111" s="558" t="e">
        <f t="shared" si="90"/>
        <v>#REF!</v>
      </c>
      <c r="Q111" s="558" t="e">
        <f t="shared" si="90"/>
        <v>#REF!</v>
      </c>
      <c r="R111" s="558" t="e">
        <f t="shared" si="90"/>
        <v>#REF!</v>
      </c>
      <c r="S111" s="558" t="e">
        <f t="shared" si="90"/>
        <v>#REF!</v>
      </c>
      <c r="T111" s="558" t="e">
        <f t="shared" si="90"/>
        <v>#REF!</v>
      </c>
      <c r="U111" s="558" t="e">
        <f t="shared" si="90"/>
        <v>#REF!</v>
      </c>
      <c r="V111" s="558" t="e">
        <f t="shared" si="90"/>
        <v>#REF!</v>
      </c>
      <c r="W111" s="558" t="e">
        <f t="shared" si="90"/>
        <v>#REF!</v>
      </c>
      <c r="X111" s="558" t="e">
        <f t="shared" si="90"/>
        <v>#REF!</v>
      </c>
      <c r="Y111" s="558" t="e">
        <f t="shared" si="90"/>
        <v>#REF!</v>
      </c>
      <c r="Z111" s="558" t="e">
        <f t="shared" si="90"/>
        <v>#REF!</v>
      </c>
      <c r="AA111" s="558" t="e">
        <f t="shared" si="90"/>
        <v>#REF!</v>
      </c>
      <c r="AB111" s="558" t="e">
        <f t="shared" si="90"/>
        <v>#REF!</v>
      </c>
      <c r="AC111" s="558" t="e">
        <f t="shared" si="90"/>
        <v>#REF!</v>
      </c>
      <c r="AD111" s="558" t="e">
        <f t="shared" si="90"/>
        <v>#REF!</v>
      </c>
      <c r="AE111" s="558" t="e">
        <f t="shared" si="90"/>
        <v>#REF!</v>
      </c>
      <c r="AF111" s="558" t="e">
        <f t="shared" si="90"/>
        <v>#REF!</v>
      </c>
      <c r="AG111" s="558" t="e">
        <f t="shared" si="90"/>
        <v>#REF!</v>
      </c>
      <c r="AH111" s="558" t="e">
        <f t="shared" ref="AH111:AJ111" si="91">SUM(AH108:AH110)</f>
        <v>#REF!</v>
      </c>
      <c r="AI111" s="558" t="e">
        <f t="shared" si="91"/>
        <v>#REF!</v>
      </c>
      <c r="AJ111" s="558" t="e">
        <f t="shared" si="91"/>
        <v>#REF!</v>
      </c>
      <c r="AK111" s="529" t="str">
        <f t="shared" si="86"/>
        <v/>
      </c>
      <c r="AL111" s="529" t="str">
        <f>IFERROR(RATE(3,,AG111,-AJ111),"")</f>
        <v/>
      </c>
      <c r="AM111" s="559"/>
      <c r="AN111" s="558" t="e">
        <f t="shared" ref="AN111" si="92">SUM(AN108:AN110)</f>
        <v>#REF!</v>
      </c>
      <c r="AO111" s="558" t="e">
        <f t="shared" ref="AO111:AP111" si="93">SUM(AO108:AO110)</f>
        <v>#REF!</v>
      </c>
      <c r="AP111" s="558" t="e">
        <f t="shared" si="93"/>
        <v>#REF!</v>
      </c>
    </row>
    <row r="112" spans="1:42" ht="15.75" thickTop="1">
      <c r="B112" s="349"/>
      <c r="C112" s="349"/>
      <c r="AC112" s="295"/>
      <c r="AD112" s="295"/>
      <c r="AK112" s="295"/>
    </row>
    <row r="113" spans="1:69" s="562" customFormat="1">
      <c r="A113" s="560"/>
      <c r="B113" s="294"/>
      <c r="C113" s="294"/>
      <c r="D113" s="561" t="str">
        <f t="shared" ref="D113:AJ113" si="94">IFERROR(IF(ROUND(D42-D33-D111,3)=0,"",D42-D33),"")</f>
        <v/>
      </c>
      <c r="E113" s="561" t="str">
        <f t="shared" si="94"/>
        <v/>
      </c>
      <c r="F113" s="561" t="str">
        <f t="shared" si="94"/>
        <v/>
      </c>
      <c r="G113" s="561" t="str">
        <f t="shared" si="94"/>
        <v/>
      </c>
      <c r="H113" s="561" t="str">
        <f t="shared" si="94"/>
        <v/>
      </c>
      <c r="I113" s="561" t="str">
        <f t="shared" si="94"/>
        <v/>
      </c>
      <c r="J113" s="561" t="str">
        <f t="shared" si="94"/>
        <v/>
      </c>
      <c r="K113" s="561" t="str">
        <f t="shared" si="94"/>
        <v/>
      </c>
      <c r="L113" s="561" t="str">
        <f t="shared" si="94"/>
        <v/>
      </c>
      <c r="M113" s="561" t="str">
        <f t="shared" si="94"/>
        <v/>
      </c>
      <c r="N113" s="561" t="str">
        <f t="shared" si="94"/>
        <v/>
      </c>
      <c r="O113" s="561" t="str">
        <f t="shared" si="94"/>
        <v/>
      </c>
      <c r="P113" s="561" t="str">
        <f t="shared" si="94"/>
        <v/>
      </c>
      <c r="Q113" s="561" t="str">
        <f t="shared" si="94"/>
        <v/>
      </c>
      <c r="R113" s="561" t="str">
        <f t="shared" si="94"/>
        <v/>
      </c>
      <c r="S113" s="561" t="str">
        <f t="shared" si="94"/>
        <v/>
      </c>
      <c r="T113" s="561" t="str">
        <f t="shared" si="94"/>
        <v/>
      </c>
      <c r="U113" s="561" t="str">
        <f t="shared" si="94"/>
        <v/>
      </c>
      <c r="V113" s="561" t="str">
        <f t="shared" si="94"/>
        <v/>
      </c>
      <c r="W113" s="561" t="str">
        <f t="shared" si="94"/>
        <v/>
      </c>
      <c r="X113" s="561" t="str">
        <f t="shared" si="94"/>
        <v/>
      </c>
      <c r="Y113" s="561" t="str">
        <f t="shared" si="94"/>
        <v/>
      </c>
      <c r="Z113" s="561" t="str">
        <f t="shared" si="94"/>
        <v/>
      </c>
      <c r="AA113" s="561" t="str">
        <f t="shared" si="94"/>
        <v/>
      </c>
      <c r="AB113" s="561" t="str">
        <f t="shared" si="94"/>
        <v/>
      </c>
      <c r="AC113" s="561" t="str">
        <f t="shared" si="94"/>
        <v/>
      </c>
      <c r="AD113" s="561" t="str">
        <f t="shared" si="94"/>
        <v/>
      </c>
      <c r="AE113" s="561" t="str">
        <f t="shared" si="94"/>
        <v/>
      </c>
      <c r="AF113" s="561" t="str">
        <f t="shared" si="94"/>
        <v/>
      </c>
      <c r="AG113" s="561" t="str">
        <f t="shared" si="94"/>
        <v/>
      </c>
      <c r="AH113" s="561" t="str">
        <f t="shared" si="94"/>
        <v/>
      </c>
      <c r="AI113" s="561" t="str">
        <f t="shared" si="94"/>
        <v/>
      </c>
      <c r="AJ113" s="561" t="str">
        <f t="shared" si="94"/>
        <v/>
      </c>
      <c r="AN113" s="563"/>
      <c r="AO113" s="563"/>
      <c r="AP113" s="564"/>
      <c r="AQ113" s="52"/>
      <c r="AR113" s="52"/>
      <c r="AS113" s="52"/>
      <c r="AT113" s="52"/>
      <c r="AU113" s="52"/>
      <c r="AV113" s="52"/>
      <c r="AW113" s="565"/>
      <c r="AX113" s="52"/>
      <c r="AY113" s="52"/>
      <c r="AZ113" s="565"/>
      <c r="BA113" s="52"/>
      <c r="BB113" s="52"/>
      <c r="BC113" s="565"/>
      <c r="BD113" s="52"/>
      <c r="BE113" s="52"/>
      <c r="BF113" s="565"/>
      <c r="BG113" s="52"/>
      <c r="BH113" s="52"/>
      <c r="BI113" s="565"/>
      <c r="BJ113" s="52"/>
      <c r="BK113" s="52"/>
      <c r="BL113" s="565"/>
      <c r="BM113" s="52"/>
      <c r="BN113" s="52"/>
      <c r="BO113" s="565"/>
      <c r="BP113" s="52"/>
      <c r="BQ113" s="52"/>
    </row>
    <row r="114" spans="1:69">
      <c r="AC114" s="295"/>
      <c r="AD114" s="295"/>
      <c r="AK114" s="295"/>
    </row>
    <row r="115" spans="1:69">
      <c r="AC115" s="295"/>
      <c r="AD115" s="295"/>
      <c r="AK115" s="295"/>
    </row>
    <row r="116" spans="1:69">
      <c r="AK116" s="295"/>
    </row>
    <row r="117" spans="1:69">
      <c r="AK117" s="295"/>
    </row>
    <row r="118" spans="1:69">
      <c r="AK118" s="295"/>
    </row>
    <row r="119" spans="1:69">
      <c r="AK119" s="295"/>
    </row>
    <row r="120" spans="1:69">
      <c r="D120" s="566"/>
      <c r="E120" s="566"/>
      <c r="F120" s="566"/>
      <c r="G120" s="566"/>
      <c r="H120" s="566"/>
      <c r="I120" s="566"/>
      <c r="J120" s="566"/>
      <c r="K120" s="566"/>
      <c r="L120" s="566"/>
      <c r="M120" s="566"/>
      <c r="N120" s="566"/>
      <c r="O120" s="566"/>
      <c r="P120" s="566"/>
      <c r="Q120" s="566"/>
      <c r="R120" s="566"/>
      <c r="S120" s="566"/>
      <c r="T120" s="566"/>
      <c r="U120" s="566"/>
      <c r="V120" s="566"/>
      <c r="W120" s="566"/>
      <c r="X120" s="566"/>
      <c r="Y120" s="566"/>
      <c r="Z120" s="566"/>
      <c r="AA120" s="566"/>
      <c r="AB120" s="566"/>
      <c r="AE120" s="566"/>
      <c r="AF120" s="566"/>
      <c r="AG120" s="566"/>
      <c r="AH120" s="566"/>
      <c r="AI120" s="566"/>
      <c r="AJ120" s="566"/>
      <c r="AK120" s="52"/>
      <c r="AL120" s="52"/>
      <c r="AM120" s="52"/>
      <c r="AN120" s="566"/>
      <c r="AO120" s="566"/>
      <c r="AW120" s="565"/>
      <c r="AZ120" s="565"/>
      <c r="BC120" s="565"/>
      <c r="BF120" s="565"/>
      <c r="BI120" s="565"/>
      <c r="BL120" s="565"/>
      <c r="BO120" s="565"/>
    </row>
    <row r="121" spans="1:69">
      <c r="AK121" s="295"/>
    </row>
    <row r="122" spans="1:69">
      <c r="AK122" s="295"/>
    </row>
    <row r="123" spans="1:69">
      <c r="AK123" s="295"/>
    </row>
    <row r="124" spans="1:69" s="562" customFormat="1">
      <c r="A124" s="560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E124" s="48"/>
      <c r="AF124" s="48"/>
      <c r="AG124" s="48"/>
      <c r="AH124" s="48"/>
      <c r="AI124" s="48"/>
      <c r="AJ124" s="48"/>
      <c r="AN124" s="48"/>
      <c r="AO124" s="48"/>
      <c r="AP124" s="333"/>
      <c r="AQ124" s="52"/>
      <c r="AR124" s="52"/>
      <c r="AS124" s="52"/>
      <c r="AT124" s="52"/>
      <c r="AU124" s="52"/>
      <c r="AV124" s="52"/>
      <c r="AW124" s="565"/>
      <c r="AX124" s="52"/>
      <c r="AY124" s="52"/>
      <c r="AZ124" s="565"/>
      <c r="BA124" s="52"/>
      <c r="BB124" s="52"/>
      <c r="BC124" s="565"/>
      <c r="BD124" s="52"/>
      <c r="BE124" s="52"/>
      <c r="BF124" s="565"/>
      <c r="BG124" s="52"/>
      <c r="BH124" s="52"/>
      <c r="BI124" s="565"/>
      <c r="BJ124" s="52"/>
      <c r="BK124" s="52"/>
      <c r="BL124" s="565"/>
      <c r="BM124" s="52"/>
      <c r="BN124" s="52"/>
      <c r="BO124" s="565"/>
      <c r="BP124" s="52"/>
      <c r="BQ124" s="52"/>
    </row>
    <row r="125" spans="1:69">
      <c r="B125" s="567"/>
      <c r="C125" s="567"/>
      <c r="AC125" s="568"/>
      <c r="AD125" s="568"/>
      <c r="AK125" s="295"/>
    </row>
    <row r="126" spans="1:69">
      <c r="B126" s="567"/>
      <c r="C126" s="567"/>
      <c r="AC126" s="569"/>
      <c r="AD126" s="569"/>
      <c r="AK126" s="295"/>
    </row>
    <row r="127" spans="1:69">
      <c r="B127" s="570"/>
      <c r="C127" s="570"/>
      <c r="AC127" s="571"/>
      <c r="AD127" s="571"/>
      <c r="AK127" s="295"/>
    </row>
    <row r="128" spans="1:69">
      <c r="B128" s="570"/>
      <c r="C128" s="570"/>
      <c r="AK128" s="295"/>
    </row>
    <row r="129" spans="2:37">
      <c r="B129" s="567"/>
      <c r="C129" s="567"/>
      <c r="AK129" s="295"/>
    </row>
    <row r="130" spans="2:37">
      <c r="B130" s="567"/>
      <c r="C130" s="567"/>
      <c r="AC130" s="569"/>
      <c r="AD130" s="569"/>
      <c r="AK130" s="295"/>
    </row>
    <row r="131" spans="2:37">
      <c r="B131" s="570"/>
      <c r="C131" s="570"/>
      <c r="AK131" s="295"/>
    </row>
    <row r="132" spans="2:37">
      <c r="B132" s="570"/>
      <c r="C132" s="570"/>
    </row>
    <row r="133" spans="2:37">
      <c r="B133" s="570"/>
      <c r="C133" s="570"/>
      <c r="AC133" s="569"/>
      <c r="AD133" s="569"/>
    </row>
    <row r="134" spans="2:37">
      <c r="B134" s="567"/>
      <c r="C134" s="567"/>
      <c r="AC134" s="541"/>
      <c r="AD134" s="541"/>
    </row>
    <row r="135" spans="2:37">
      <c r="B135" s="570"/>
      <c r="C135" s="570"/>
      <c r="AC135" s="572"/>
      <c r="AD135" s="572"/>
    </row>
    <row r="136" spans="2:37">
      <c r="B136" s="570"/>
      <c r="C136" s="570"/>
      <c r="AC136" s="541"/>
      <c r="AD136" s="541"/>
    </row>
    <row r="137" spans="2:37">
      <c r="B137" s="570"/>
      <c r="C137" s="570"/>
      <c r="AC137" s="573"/>
      <c r="AD137" s="573"/>
    </row>
    <row r="138" spans="2:37">
      <c r="B138" s="570"/>
      <c r="C138" s="570"/>
      <c r="AC138" s="541"/>
      <c r="AD138" s="541"/>
    </row>
    <row r="139" spans="2:37">
      <c r="B139" s="570"/>
      <c r="C139" s="570"/>
      <c r="AC139" s="573"/>
      <c r="AD139" s="573"/>
    </row>
    <row r="140" spans="2:37">
      <c r="B140" s="570"/>
      <c r="C140" s="570"/>
      <c r="AC140" s="541"/>
      <c r="AD140" s="541"/>
    </row>
    <row r="141" spans="2:37">
      <c r="B141" s="570"/>
      <c r="C141" s="570"/>
    </row>
    <row r="142" spans="2:37">
      <c r="B142" s="570"/>
      <c r="C142" s="570"/>
    </row>
    <row r="143" spans="2:37">
      <c r="B143" s="570"/>
      <c r="C143" s="570"/>
    </row>
    <row r="144" spans="2:37">
      <c r="B144" s="570"/>
      <c r="C144" s="570"/>
    </row>
    <row r="145" spans="2:3">
      <c r="B145" s="570"/>
      <c r="C145" s="570"/>
    </row>
    <row r="146" spans="2:3">
      <c r="B146" s="570"/>
      <c r="C146" s="570"/>
    </row>
    <row r="147" spans="2:3">
      <c r="B147" s="574"/>
      <c r="C147" s="574"/>
    </row>
  </sheetData>
  <mergeCells count="2">
    <mergeCell ref="AH1:AJ1"/>
    <mergeCell ref="AN1:AP1"/>
  </mergeCells>
  <conditionalFormatting sqref="AN12:AP12 AN16:AP16">
    <cfRule type="cellIs" dxfId="2" priority="1" operator="notEqual">
      <formula>#REF!</formula>
    </cfRule>
  </conditionalFormatting>
  <conditionalFormatting sqref="AH12:AJ12 AH28:AJ29 AH34:AJ34">
    <cfRule type="expression" dxfId="1" priority="2">
      <formula>AH12&lt;&gt;AN12</formula>
    </cfRule>
  </conditionalFormatting>
  <pageMargins left="0.7" right="0.7" top="0.75" bottom="0.75" header="0.3" footer="0.3"/>
  <pageSetup orientation="portrait" r:id="rId1"/>
  <cellWatches>
    <cellWatch r="U134"/>
  </cellWatch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68B01-C142-5B40-A2D3-70CB02B77821}">
  <sheetPr published="0"/>
  <dimension ref="A1:BJ49"/>
  <sheetViews>
    <sheetView topLeftCell="A7" workbookViewId="0">
      <selection activeCell="A9" sqref="A9"/>
    </sheetView>
  </sheetViews>
  <sheetFormatPr defaultColWidth="11" defaultRowHeight="15.75"/>
  <cols>
    <col min="1" max="1" width="12.375" bestFit="1" customWidth="1"/>
    <col min="2" max="2" width="12.5" bestFit="1" customWidth="1"/>
    <col min="3" max="3" width="22.875" bestFit="1" customWidth="1"/>
    <col min="4" max="4" width="16" bestFit="1" customWidth="1"/>
    <col min="5" max="5" width="24.125" bestFit="1" customWidth="1"/>
    <col min="6" max="6" width="22.375" bestFit="1" customWidth="1"/>
    <col min="7" max="7" width="23.375" bestFit="1" customWidth="1"/>
    <col min="8" max="8" width="10.125" bestFit="1" customWidth="1"/>
    <col min="9" max="9" width="12.875" bestFit="1" customWidth="1"/>
    <col min="10" max="10" width="13.5" bestFit="1" customWidth="1"/>
    <col min="11" max="11" width="10.125" bestFit="1" customWidth="1"/>
    <col min="12" max="12" width="12.875" bestFit="1" customWidth="1"/>
    <col min="13" max="13" width="13.5" bestFit="1" customWidth="1"/>
    <col min="14" max="14" width="10.125" bestFit="1" customWidth="1"/>
    <col min="15" max="15" width="12.875" bestFit="1" customWidth="1"/>
    <col min="16" max="16" width="13.5" bestFit="1" customWidth="1"/>
    <col min="17" max="17" width="10.125" bestFit="1" customWidth="1"/>
    <col min="18" max="18" width="12.875" bestFit="1" customWidth="1"/>
    <col min="19" max="19" width="13.5" bestFit="1" customWidth="1"/>
    <col min="20" max="20" width="10.125" bestFit="1" customWidth="1"/>
    <col min="21" max="21" width="12.875" bestFit="1" customWidth="1"/>
    <col min="22" max="22" width="13.5" bestFit="1" customWidth="1"/>
    <col min="23" max="23" width="10.125" bestFit="1" customWidth="1"/>
    <col min="24" max="24" width="12.875" bestFit="1" customWidth="1"/>
    <col min="25" max="25" width="13.5" bestFit="1" customWidth="1"/>
    <col min="26" max="26" width="10.125" bestFit="1" customWidth="1"/>
    <col min="27" max="27" width="12.875" bestFit="1" customWidth="1"/>
    <col min="28" max="28" width="13.5" bestFit="1" customWidth="1"/>
    <col min="29" max="29" width="10.125" bestFit="1" customWidth="1"/>
    <col min="30" max="30" width="12.875" bestFit="1" customWidth="1"/>
    <col min="31" max="31" width="13.5" bestFit="1" customWidth="1"/>
    <col min="32" max="32" width="13.875" bestFit="1" customWidth="1"/>
    <col min="33" max="33" width="16.625" bestFit="1" customWidth="1"/>
    <col min="34" max="34" width="17.375" bestFit="1" customWidth="1"/>
  </cols>
  <sheetData>
    <row r="1" spans="1:62" s="10" customFormat="1" ht="18.75">
      <c r="A1" s="669" t="s">
        <v>259</v>
      </c>
      <c r="B1" s="668"/>
      <c r="C1" s="678"/>
      <c r="I1" s="757" t="s">
        <v>411</v>
      </c>
      <c r="N1" s="668"/>
      <c r="V1" s="575"/>
      <c r="W1" s="575"/>
      <c r="Y1" s="674"/>
      <c r="Z1" s="674"/>
      <c r="AA1" s="674"/>
      <c r="AB1" s="674"/>
      <c r="AC1" s="674"/>
      <c r="AD1" s="674"/>
      <c r="AE1" s="674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575"/>
      <c r="BB1" s="575"/>
      <c r="BC1" s="575"/>
      <c r="BD1" s="575"/>
      <c r="BE1" s="575"/>
      <c r="BF1" s="575"/>
      <c r="BG1" s="575"/>
      <c r="BH1" s="575"/>
      <c r="BI1" s="575"/>
      <c r="BJ1" s="12"/>
    </row>
    <row r="2" spans="1:62" s="10" customFormat="1" ht="12.75">
      <c r="A2" s="670" t="s">
        <v>260</v>
      </c>
      <c r="B2" s="668"/>
      <c r="C2" s="678"/>
      <c r="G2" s="11"/>
      <c r="N2" s="668"/>
      <c r="V2" s="575"/>
      <c r="W2" s="575"/>
      <c r="Y2" s="674"/>
      <c r="Z2" s="674"/>
      <c r="AA2" s="674"/>
      <c r="AB2" s="674"/>
      <c r="AC2" s="674"/>
      <c r="AD2" s="674"/>
      <c r="AE2" s="674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575"/>
      <c r="BB2" s="575"/>
      <c r="BC2" s="575"/>
      <c r="BD2" s="575"/>
      <c r="BE2" s="575"/>
      <c r="BF2" s="575"/>
      <c r="BG2" s="575"/>
      <c r="BH2" s="575"/>
      <c r="BI2" s="575"/>
      <c r="BJ2" s="12"/>
    </row>
    <row r="3" spans="1:62" s="10" customFormat="1">
      <c r="A3" s="5" t="s">
        <v>407</v>
      </c>
      <c r="B3" s="668"/>
      <c r="C3" s="678"/>
      <c r="E3"/>
      <c r="N3" s="668"/>
      <c r="V3" s="575"/>
      <c r="W3" s="575"/>
      <c r="Y3" s="674"/>
      <c r="Z3" s="674"/>
      <c r="AA3" s="674"/>
      <c r="AB3" s="674"/>
      <c r="AC3" s="674"/>
      <c r="AD3" s="674"/>
      <c r="AE3" s="674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5"/>
      <c r="BC3" s="575"/>
      <c r="BD3" s="575"/>
      <c r="BE3" s="575"/>
      <c r="BF3" s="575"/>
      <c r="BG3" s="575"/>
      <c r="BH3" s="575"/>
      <c r="BI3" s="575"/>
      <c r="BJ3" s="12"/>
    </row>
    <row r="4" spans="1:62" s="10" customFormat="1">
      <c r="A4" s="671" t="str">
        <f ca="1">"Sheet: "&amp;MID(CELL("filename",A1),FIND("]",CELL("filename",A1))+1,255)</f>
        <v>Sheet: Model</v>
      </c>
      <c r="B4" s="668"/>
      <c r="C4" s="678"/>
      <c r="E4"/>
      <c r="N4" s="668"/>
      <c r="V4" s="575"/>
      <c r="W4" s="575"/>
      <c r="Y4" s="674"/>
      <c r="Z4" s="674"/>
      <c r="AA4" s="674"/>
      <c r="AB4" s="674"/>
      <c r="AC4" s="674"/>
      <c r="AD4" s="674"/>
      <c r="AE4" s="674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575"/>
      <c r="BB4" s="575"/>
      <c r="BC4" s="575"/>
      <c r="BD4" s="575"/>
      <c r="BE4" s="575"/>
      <c r="BF4" s="575"/>
      <c r="BG4" s="575"/>
      <c r="BH4" s="575"/>
      <c r="BI4" s="575"/>
      <c r="BJ4" s="12"/>
    </row>
    <row r="9" spans="1:62">
      <c r="A9" s="759" t="s">
        <v>304</v>
      </c>
      <c r="B9" t="s">
        <v>351</v>
      </c>
      <c r="C9" t="s">
        <v>413</v>
      </c>
      <c r="D9" t="s">
        <v>414</v>
      </c>
    </row>
    <row r="10" spans="1:62">
      <c r="A10" s="760" t="s">
        <v>316</v>
      </c>
      <c r="B10" s="770">
        <v>137</v>
      </c>
      <c r="C10" s="770">
        <v>7376.4963503649633</v>
      </c>
      <c r="D10" s="770">
        <v>884</v>
      </c>
    </row>
    <row r="11" spans="1:62">
      <c r="A11" s="771" t="s">
        <v>319</v>
      </c>
      <c r="B11" s="770">
        <v>46</v>
      </c>
      <c r="C11" s="770">
        <v>2880</v>
      </c>
      <c r="D11" s="770">
        <v>138</v>
      </c>
    </row>
    <row r="12" spans="1:62">
      <c r="A12" s="771" t="s">
        <v>320</v>
      </c>
      <c r="B12" s="770">
        <v>46</v>
      </c>
      <c r="C12" s="770">
        <v>13200</v>
      </c>
      <c r="D12" s="770">
        <v>506</v>
      </c>
    </row>
    <row r="13" spans="1:62">
      <c r="A13" s="771" t="s">
        <v>321</v>
      </c>
      <c r="B13" s="770">
        <v>10</v>
      </c>
      <c r="C13" s="770">
        <v>8190</v>
      </c>
      <c r="D13" s="770">
        <v>65</v>
      </c>
    </row>
    <row r="14" spans="1:62">
      <c r="A14" s="771" t="s">
        <v>322</v>
      </c>
      <c r="B14" s="770">
        <v>35</v>
      </c>
      <c r="C14" s="770">
        <v>5400</v>
      </c>
      <c r="D14" s="770">
        <v>175</v>
      </c>
    </row>
    <row r="15" spans="1:62">
      <c r="A15" s="760" t="s">
        <v>317</v>
      </c>
      <c r="B15" s="770">
        <v>341</v>
      </c>
      <c r="C15" s="770">
        <v>6434.090909090909</v>
      </c>
      <c r="D15" s="770">
        <v>2189</v>
      </c>
    </row>
    <row r="16" spans="1:62">
      <c r="A16" s="771" t="s">
        <v>319</v>
      </c>
      <c r="B16" s="770">
        <v>112</v>
      </c>
      <c r="C16" s="770">
        <v>2464.2857142857142</v>
      </c>
      <c r="D16" s="770">
        <v>336</v>
      </c>
    </row>
    <row r="17" spans="1:4">
      <c r="A17" s="771" t="s">
        <v>320</v>
      </c>
      <c r="B17" s="770">
        <v>109</v>
      </c>
      <c r="C17" s="770">
        <v>11605.504587155963</v>
      </c>
      <c r="D17" s="770">
        <v>1199</v>
      </c>
    </row>
    <row r="18" spans="1:4">
      <c r="A18" s="771" t="s">
        <v>321</v>
      </c>
      <c r="B18" s="770">
        <v>36</v>
      </c>
      <c r="C18" s="770">
        <v>7014.583333333333</v>
      </c>
      <c r="D18" s="770">
        <v>234</v>
      </c>
    </row>
    <row r="19" spans="1:4">
      <c r="A19" s="771" t="s">
        <v>322</v>
      </c>
      <c r="B19" s="770">
        <v>84</v>
      </c>
      <c r="C19" s="770">
        <v>4767.8571428571431</v>
      </c>
      <c r="D19" s="770">
        <v>420</v>
      </c>
    </row>
    <row r="20" spans="1:4">
      <c r="A20" s="760" t="s">
        <v>318</v>
      </c>
      <c r="B20" s="770">
        <v>210</v>
      </c>
      <c r="C20" s="770">
        <v>5211.4285714285716</v>
      </c>
      <c r="D20" s="770">
        <v>1374.5</v>
      </c>
    </row>
    <row r="21" spans="1:4">
      <c r="A21" s="771" t="s">
        <v>319</v>
      </c>
      <c r="B21" s="770">
        <v>68</v>
      </c>
      <c r="C21" s="770">
        <v>1976.4705882352941</v>
      </c>
      <c r="D21" s="770">
        <v>204</v>
      </c>
    </row>
    <row r="22" spans="1:4">
      <c r="A22" s="771" t="s">
        <v>320</v>
      </c>
      <c r="B22" s="770">
        <v>72</v>
      </c>
      <c r="C22" s="770">
        <v>9166.6666666666661</v>
      </c>
      <c r="D22" s="770">
        <v>792</v>
      </c>
    </row>
    <row r="23" spans="1:4">
      <c r="A23" s="771" t="s">
        <v>321</v>
      </c>
      <c r="B23" s="770">
        <v>19</v>
      </c>
      <c r="C23" s="770">
        <v>5747.3684210526317</v>
      </c>
      <c r="D23" s="770">
        <v>123.5</v>
      </c>
    </row>
    <row r="24" spans="1:4">
      <c r="A24" s="771" t="s">
        <v>322</v>
      </c>
      <c r="B24" s="770">
        <v>51</v>
      </c>
      <c r="C24" s="770">
        <v>3741.1764705882351</v>
      </c>
      <c r="D24" s="770">
        <v>255</v>
      </c>
    </row>
    <row r="25" spans="1:4">
      <c r="A25" s="760" t="s">
        <v>306</v>
      </c>
      <c r="B25" s="770">
        <v>26</v>
      </c>
      <c r="C25" s="770">
        <v>8550.7692307692305</v>
      </c>
      <c r="D25" s="770">
        <v>150</v>
      </c>
    </row>
    <row r="26" spans="1:4">
      <c r="A26" s="771" t="s">
        <v>323</v>
      </c>
      <c r="B26" s="770">
        <v>11</v>
      </c>
      <c r="C26" s="770">
        <v>10080</v>
      </c>
      <c r="D26" s="770">
        <v>88</v>
      </c>
    </row>
    <row r="27" spans="1:4">
      <c r="A27" s="771" t="s">
        <v>324</v>
      </c>
      <c r="B27" s="770">
        <v>2</v>
      </c>
      <c r="C27" s="770">
        <v>8400</v>
      </c>
      <c r="D27" s="770">
        <v>10</v>
      </c>
    </row>
    <row r="28" spans="1:4">
      <c r="A28" s="771" t="s">
        <v>325</v>
      </c>
      <c r="B28" s="770">
        <v>13</v>
      </c>
      <c r="C28" s="770">
        <v>7279.9999999999991</v>
      </c>
      <c r="D28" s="770">
        <v>52</v>
      </c>
    </row>
    <row r="29" spans="1:4">
      <c r="A29" s="760" t="s">
        <v>307</v>
      </c>
      <c r="B29" s="770">
        <v>67</v>
      </c>
      <c r="C29" s="770">
        <v>5765.373134328358</v>
      </c>
      <c r="D29" s="770">
        <v>396</v>
      </c>
    </row>
    <row r="30" spans="1:4">
      <c r="A30" s="771" t="s">
        <v>323</v>
      </c>
      <c r="B30" s="770">
        <v>30</v>
      </c>
      <c r="C30" s="770">
        <v>6912</v>
      </c>
      <c r="D30" s="770">
        <v>240</v>
      </c>
    </row>
    <row r="31" spans="1:4">
      <c r="A31" s="771" t="s">
        <v>324</v>
      </c>
      <c r="B31" s="770">
        <v>8</v>
      </c>
      <c r="C31" s="770">
        <v>5400</v>
      </c>
      <c r="D31" s="770">
        <v>40</v>
      </c>
    </row>
    <row r="32" spans="1:4">
      <c r="A32" s="771" t="s">
        <v>325</v>
      </c>
      <c r="B32" s="770">
        <v>29</v>
      </c>
      <c r="C32" s="770">
        <v>4680</v>
      </c>
      <c r="D32" s="770">
        <v>116</v>
      </c>
    </row>
    <row r="33" spans="1:4">
      <c r="A33" s="760" t="s">
        <v>308</v>
      </c>
      <c r="B33" s="770">
        <v>35</v>
      </c>
      <c r="C33" s="770">
        <v>6137.1428571428569</v>
      </c>
      <c r="D33" s="770">
        <v>205</v>
      </c>
    </row>
    <row r="34" spans="1:4">
      <c r="A34" s="771" t="s">
        <v>323</v>
      </c>
      <c r="B34" s="770">
        <v>16</v>
      </c>
      <c r="C34" s="770">
        <v>7200</v>
      </c>
      <c r="D34" s="770">
        <v>128</v>
      </c>
    </row>
    <row r="35" spans="1:4">
      <c r="A35" s="771" t="s">
        <v>324</v>
      </c>
      <c r="B35" s="770">
        <v>1</v>
      </c>
      <c r="C35" s="770">
        <v>6000</v>
      </c>
      <c r="D35" s="770">
        <v>5</v>
      </c>
    </row>
    <row r="36" spans="1:4">
      <c r="A36" s="771" t="s">
        <v>325</v>
      </c>
      <c r="B36" s="770">
        <v>18</v>
      </c>
      <c r="C36" s="770">
        <v>5200</v>
      </c>
      <c r="D36" s="770">
        <v>72</v>
      </c>
    </row>
    <row r="37" spans="1:4">
      <c r="A37" s="760" t="s">
        <v>309</v>
      </c>
      <c r="B37" s="770">
        <v>37</v>
      </c>
      <c r="C37" s="770">
        <v>8717.8378378378384</v>
      </c>
      <c r="D37" s="770">
        <v>370</v>
      </c>
    </row>
    <row r="38" spans="1:4">
      <c r="A38" s="771" t="s">
        <v>326</v>
      </c>
      <c r="B38" s="770">
        <v>23</v>
      </c>
      <c r="C38" s="770">
        <v>10800</v>
      </c>
      <c r="D38" s="770">
        <v>276</v>
      </c>
    </row>
    <row r="39" spans="1:4">
      <c r="A39" s="771" t="s">
        <v>327</v>
      </c>
      <c r="B39" s="770">
        <v>12</v>
      </c>
      <c r="C39" s="770">
        <v>4860</v>
      </c>
      <c r="D39" s="770">
        <v>72</v>
      </c>
    </row>
    <row r="40" spans="1:4">
      <c r="A40" s="771" t="s">
        <v>328</v>
      </c>
      <c r="B40" s="770">
        <v>2</v>
      </c>
      <c r="C40" s="770">
        <v>7920</v>
      </c>
      <c r="D40" s="770">
        <v>22</v>
      </c>
    </row>
    <row r="41" spans="1:4">
      <c r="A41" s="760" t="s">
        <v>310</v>
      </c>
      <c r="B41" s="770">
        <v>92</v>
      </c>
      <c r="C41" s="770">
        <v>11069.347826086958</v>
      </c>
      <c r="D41" s="770">
        <v>921</v>
      </c>
    </row>
    <row r="42" spans="1:4">
      <c r="A42" s="771" t="s">
        <v>326</v>
      </c>
      <c r="B42" s="770">
        <v>59</v>
      </c>
      <c r="C42" s="770">
        <v>13647.457627118645</v>
      </c>
      <c r="D42" s="770">
        <v>708</v>
      </c>
    </row>
    <row r="43" spans="1:4">
      <c r="A43" s="771" t="s">
        <v>327</v>
      </c>
      <c r="B43" s="770">
        <v>30</v>
      </c>
      <c r="C43" s="770">
        <v>6138.0000000000009</v>
      </c>
      <c r="D43" s="770">
        <v>180</v>
      </c>
    </row>
    <row r="44" spans="1:4">
      <c r="A44" s="771" t="s">
        <v>328</v>
      </c>
      <c r="B44" s="770">
        <v>3</v>
      </c>
      <c r="C44" s="770">
        <v>9680</v>
      </c>
      <c r="D44" s="770">
        <v>33</v>
      </c>
    </row>
    <row r="45" spans="1:4">
      <c r="A45" s="760" t="s">
        <v>311</v>
      </c>
      <c r="B45" s="770">
        <v>55</v>
      </c>
      <c r="C45" s="770">
        <v>8081.454545454545</v>
      </c>
      <c r="D45" s="770">
        <v>555</v>
      </c>
    </row>
    <row r="46" spans="1:4">
      <c r="A46" s="771" t="s">
        <v>326</v>
      </c>
      <c r="B46" s="770">
        <v>35</v>
      </c>
      <c r="C46" s="770">
        <v>9874.2857142857138</v>
      </c>
      <c r="D46" s="770">
        <v>420</v>
      </c>
    </row>
    <row r="47" spans="1:4">
      <c r="A47" s="771" t="s">
        <v>327</v>
      </c>
      <c r="B47" s="770">
        <v>17</v>
      </c>
      <c r="C47" s="770">
        <v>4574.1176470588234</v>
      </c>
      <c r="D47" s="770">
        <v>102</v>
      </c>
    </row>
    <row r="48" spans="1:4">
      <c r="A48" s="771" t="s">
        <v>328</v>
      </c>
      <c r="B48" s="770">
        <v>3</v>
      </c>
      <c r="C48" s="770">
        <v>7040</v>
      </c>
      <c r="D48" s="770">
        <v>33</v>
      </c>
    </row>
    <row r="49" spans="1:4">
      <c r="A49" s="760" t="s">
        <v>305</v>
      </c>
      <c r="B49" s="770">
        <v>1000</v>
      </c>
      <c r="C49" s="770">
        <v>6907.8249999999998</v>
      </c>
      <c r="D49" s="770">
        <v>7044.5</v>
      </c>
    </row>
  </sheetData>
  <phoneticPr fontId="9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197-3800-5344-B4C8-C4C57A1DB74A}">
  <sheetPr published="0"/>
  <dimension ref="A1:BJ230"/>
  <sheetViews>
    <sheetView tabSelected="1" topLeftCell="A92" zoomScale="130" zoomScaleNormal="130" workbookViewId="0">
      <selection activeCell="B108" sqref="B108"/>
    </sheetView>
  </sheetViews>
  <sheetFormatPr defaultColWidth="11" defaultRowHeight="15.75"/>
  <cols>
    <col min="2" max="2" width="13" bestFit="1" customWidth="1"/>
    <col min="3" max="3" width="12.875" bestFit="1" customWidth="1"/>
  </cols>
  <sheetData>
    <row r="1" spans="1:62" s="10" customFormat="1" ht="18.75">
      <c r="A1" s="669" t="s">
        <v>259</v>
      </c>
      <c r="B1" s="668"/>
      <c r="C1" s="678"/>
      <c r="I1" s="757" t="s">
        <v>411</v>
      </c>
      <c r="N1" s="668"/>
      <c r="V1" s="575"/>
      <c r="W1" s="575"/>
      <c r="Y1" s="674"/>
      <c r="Z1" s="674"/>
      <c r="AA1" s="674"/>
      <c r="AB1" s="674"/>
      <c r="AC1" s="674"/>
      <c r="AD1" s="674"/>
      <c r="AE1" s="674"/>
      <c r="AO1" s="575"/>
      <c r="AP1" s="575"/>
      <c r="AQ1" s="575"/>
      <c r="AR1" s="575"/>
      <c r="AS1" s="575"/>
      <c r="AT1" s="575"/>
      <c r="AU1" s="575"/>
      <c r="AV1" s="575"/>
      <c r="AW1" s="575"/>
      <c r="AX1" s="575"/>
      <c r="AY1" s="575"/>
      <c r="AZ1" s="575"/>
      <c r="BA1" s="575"/>
      <c r="BB1" s="575"/>
      <c r="BC1" s="575"/>
      <c r="BD1" s="575"/>
      <c r="BE1" s="575"/>
      <c r="BF1" s="575"/>
      <c r="BG1" s="575"/>
      <c r="BH1" s="575"/>
      <c r="BI1" s="575"/>
      <c r="BJ1" s="12"/>
    </row>
    <row r="2" spans="1:62" s="10" customFormat="1" ht="12.75">
      <c r="A2" s="670" t="s">
        <v>260</v>
      </c>
      <c r="B2" s="668"/>
      <c r="C2" s="678"/>
      <c r="G2" s="11"/>
      <c r="N2" s="668"/>
      <c r="V2" s="575"/>
      <c r="W2" s="575"/>
      <c r="Y2" s="674"/>
      <c r="Z2" s="674"/>
      <c r="AA2" s="674"/>
      <c r="AB2" s="674"/>
      <c r="AC2" s="674"/>
      <c r="AD2" s="674"/>
      <c r="AE2" s="674"/>
      <c r="AO2" s="575"/>
      <c r="AP2" s="575"/>
      <c r="AQ2" s="575"/>
      <c r="AR2" s="575"/>
      <c r="AS2" s="575"/>
      <c r="AT2" s="575"/>
      <c r="AU2" s="575"/>
      <c r="AV2" s="575"/>
      <c r="AW2" s="575"/>
      <c r="AX2" s="575"/>
      <c r="AY2" s="575"/>
      <c r="AZ2" s="575"/>
      <c r="BA2" s="575"/>
      <c r="BB2" s="575"/>
      <c r="BC2" s="575"/>
      <c r="BD2" s="575"/>
      <c r="BE2" s="575"/>
      <c r="BF2" s="575"/>
      <c r="BG2" s="575"/>
      <c r="BH2" s="575"/>
      <c r="BI2" s="575"/>
      <c r="BJ2" s="12"/>
    </row>
    <row r="3" spans="1:62" s="10" customFormat="1">
      <c r="A3" s="5" t="s">
        <v>407</v>
      </c>
      <c r="B3" s="668"/>
      <c r="C3" s="678"/>
      <c r="E3"/>
      <c r="N3" s="668"/>
      <c r="V3" s="575"/>
      <c r="W3" s="575"/>
      <c r="Y3" s="674"/>
      <c r="Z3" s="674"/>
      <c r="AA3" s="674"/>
      <c r="AB3" s="674"/>
      <c r="AC3" s="674"/>
      <c r="AD3" s="674"/>
      <c r="AE3" s="674"/>
      <c r="AO3" s="575"/>
      <c r="AP3" s="575"/>
      <c r="AQ3" s="575"/>
      <c r="AR3" s="575"/>
      <c r="AS3" s="575"/>
      <c r="AT3" s="575"/>
      <c r="AU3" s="575"/>
      <c r="AV3" s="575"/>
      <c r="AW3" s="575"/>
      <c r="AX3" s="575"/>
      <c r="AY3" s="575"/>
      <c r="AZ3" s="575"/>
      <c r="BA3" s="575"/>
      <c r="BB3" s="575"/>
      <c r="BC3" s="575"/>
      <c r="BD3" s="575"/>
      <c r="BE3" s="575"/>
      <c r="BF3" s="575"/>
      <c r="BG3" s="575"/>
      <c r="BH3" s="575"/>
      <c r="BI3" s="575"/>
      <c r="BJ3" s="12"/>
    </row>
    <row r="4" spans="1:62" s="10" customFormat="1" ht="12.75">
      <c r="A4" s="671" t="str">
        <f ca="1">"Sheet: "&amp;MID(CELL("filename",A1),FIND("]",CELL("filename",A1))+1,255)</f>
        <v>Sheet: Analyze</v>
      </c>
      <c r="B4" s="668"/>
      <c r="C4" s="678"/>
      <c r="H4" s="732"/>
      <c r="N4" s="668"/>
      <c r="V4" s="575"/>
      <c r="W4" s="575"/>
      <c r="Y4" s="674"/>
      <c r="Z4" s="674"/>
      <c r="AA4" s="674"/>
      <c r="AB4" s="674"/>
      <c r="AC4" s="674"/>
      <c r="AD4" s="674"/>
      <c r="AE4" s="674"/>
      <c r="AO4" s="575"/>
      <c r="AP4" s="575"/>
      <c r="AQ4" s="575"/>
      <c r="AR4" s="575"/>
      <c r="AS4" s="575"/>
      <c r="AT4" s="575"/>
      <c r="AU4" s="575"/>
      <c r="AV4" s="575"/>
      <c r="AW4" s="575"/>
      <c r="AX4" s="575"/>
      <c r="AY4" s="575"/>
      <c r="AZ4" s="575"/>
      <c r="BA4" s="575"/>
      <c r="BB4" s="575"/>
      <c r="BC4" s="575"/>
      <c r="BD4" s="575"/>
      <c r="BE4" s="575"/>
      <c r="BF4" s="575"/>
      <c r="BG4" s="575"/>
      <c r="BH4" s="575"/>
      <c r="BI4" s="575"/>
      <c r="BJ4" s="12"/>
    </row>
    <row r="5" spans="1:62" s="10" customFormat="1" ht="12.75"/>
    <row r="6" spans="1:62" s="10" customFormat="1" ht="12.75">
      <c r="A6" s="10" t="s">
        <v>371</v>
      </c>
    </row>
    <row r="7" spans="1:62" s="10" customFormat="1" ht="12.75"/>
    <row r="8" spans="1:62" s="10" customFormat="1" ht="12.75">
      <c r="A8" s="10" t="s">
        <v>400</v>
      </c>
    </row>
    <row r="9" spans="1:62" s="10" customFormat="1" ht="12.75">
      <c r="B9" s="694"/>
      <c r="C9" s="699" t="s">
        <v>346</v>
      </c>
      <c r="D9" s="699" t="s">
        <v>314</v>
      </c>
    </row>
    <row r="10" spans="1:62" s="10" customFormat="1">
      <c r="B10" s="700" t="s">
        <v>316</v>
      </c>
      <c r="C10" s="694"/>
      <c r="D10" s="694"/>
    </row>
    <row r="11" spans="1:62" s="10" customFormat="1">
      <c r="B11" s="700" t="s">
        <v>317</v>
      </c>
      <c r="C11" s="694"/>
      <c r="D11" s="694"/>
    </row>
    <row r="12" spans="1:62" s="10" customFormat="1">
      <c r="B12" s="700" t="s">
        <v>318</v>
      </c>
      <c r="C12" s="694"/>
      <c r="D12" s="694"/>
    </row>
    <row r="13" spans="1:62" s="10" customFormat="1">
      <c r="B13" s="700" t="s">
        <v>306</v>
      </c>
      <c r="C13" s="694"/>
      <c r="D13" s="694"/>
    </row>
    <row r="14" spans="1:62" s="10" customFormat="1">
      <c r="B14" s="700" t="s">
        <v>307</v>
      </c>
      <c r="C14" s="694"/>
      <c r="D14" s="694"/>
    </row>
    <row r="15" spans="1:62" s="10" customFormat="1">
      <c r="B15" s="700" t="s">
        <v>308</v>
      </c>
      <c r="C15" s="694"/>
      <c r="D15" s="694"/>
    </row>
    <row r="16" spans="1:62" s="10" customFormat="1">
      <c r="B16" s="700" t="s">
        <v>309</v>
      </c>
      <c r="C16" s="694"/>
      <c r="D16" s="694"/>
    </row>
    <row r="17" spans="1:11" s="10" customFormat="1">
      <c r="B17" s="700" t="s">
        <v>310</v>
      </c>
      <c r="C17" s="694"/>
      <c r="D17" s="694"/>
    </row>
    <row r="18" spans="1:11" s="10" customFormat="1">
      <c r="B18" s="700" t="s">
        <v>311</v>
      </c>
      <c r="C18" s="694"/>
      <c r="D18" s="694"/>
    </row>
    <row r="19" spans="1:11" s="10" customFormat="1" ht="13.5" thickBot="1">
      <c r="A19" s="10" t="s">
        <v>385</v>
      </c>
    </row>
    <row r="20" spans="1:11" s="10" customFormat="1" ht="13.5" thickBot="1">
      <c r="B20" s="746" t="s">
        <v>318</v>
      </c>
    </row>
    <row r="21" spans="1:11" s="10" customFormat="1" ht="13.5" thickBot="1">
      <c r="A21" s="10" t="s">
        <v>386</v>
      </c>
      <c r="B21" s="668"/>
    </row>
    <row r="22" spans="1:11" s="10" customFormat="1" ht="13.5" thickBot="1">
      <c r="B22" s="747">
        <v>796</v>
      </c>
    </row>
    <row r="23" spans="1:11" s="10" customFormat="1" ht="13.5" thickBot="1">
      <c r="A23" s="10" t="s">
        <v>396</v>
      </c>
      <c r="B23" s="668"/>
    </row>
    <row r="24" spans="1:11" s="10" customFormat="1" ht="13.5" thickBot="1">
      <c r="B24" s="746" t="s">
        <v>306</v>
      </c>
    </row>
    <row r="25" spans="1:11" s="10" customFormat="1" ht="13.5" thickBot="1">
      <c r="A25" s="10" t="s">
        <v>401</v>
      </c>
      <c r="B25" s="668"/>
    </row>
    <row r="26" spans="1:11" s="10" customFormat="1" ht="13.5" thickBot="1">
      <c r="B26" s="747">
        <v>1482</v>
      </c>
    </row>
    <row r="27" spans="1:11" s="10" customFormat="1" ht="12.75"/>
    <row r="28" spans="1:11" s="10" customFormat="1" ht="12.75">
      <c r="A28" s="10" t="s">
        <v>368</v>
      </c>
    </row>
    <row r="29" spans="1:11" s="10" customFormat="1" ht="12.75">
      <c r="A29" s="10" t="s">
        <v>347</v>
      </c>
    </row>
    <row r="30" spans="1:11" s="10" customFormat="1" ht="25.5">
      <c r="B30" s="695" t="s">
        <v>304</v>
      </c>
      <c r="C30" s="704" t="s">
        <v>312</v>
      </c>
    </row>
    <row r="31" spans="1:11" s="10" customFormat="1" ht="12.75">
      <c r="B31" s="696" t="s">
        <v>329</v>
      </c>
      <c r="C31" s="702"/>
      <c r="K31" s="703" t="s">
        <v>348</v>
      </c>
    </row>
    <row r="32" spans="1:11" s="10" customFormat="1" ht="12.75">
      <c r="B32" s="697" t="s">
        <v>316</v>
      </c>
      <c r="C32" s="694"/>
      <c r="K32" s="703" t="s">
        <v>349</v>
      </c>
    </row>
    <row r="33" spans="1:11" s="10" customFormat="1" ht="12.75">
      <c r="B33" s="697" t="s">
        <v>317</v>
      </c>
      <c r="C33" s="694"/>
      <c r="K33" s="703" t="s">
        <v>350</v>
      </c>
    </row>
    <row r="34" spans="1:11" s="10" customFormat="1" ht="12.75">
      <c r="B34" s="697" t="s">
        <v>318</v>
      </c>
      <c r="C34" s="694"/>
    </row>
    <row r="35" spans="1:11" s="10" customFormat="1" ht="12.75">
      <c r="B35" s="696" t="s">
        <v>330</v>
      </c>
      <c r="C35" s="702"/>
    </row>
    <row r="36" spans="1:11" s="10" customFormat="1" ht="12.75">
      <c r="B36" s="697" t="s">
        <v>306</v>
      </c>
      <c r="C36" s="694"/>
    </row>
    <row r="37" spans="1:11" s="10" customFormat="1" ht="12.75">
      <c r="B37" s="697" t="s">
        <v>307</v>
      </c>
      <c r="C37" s="694"/>
    </row>
    <row r="38" spans="1:11" s="10" customFormat="1" ht="12.75">
      <c r="B38" s="697" t="s">
        <v>308</v>
      </c>
      <c r="C38" s="694"/>
    </row>
    <row r="39" spans="1:11" s="10" customFormat="1" ht="12.75">
      <c r="B39" s="696" t="s">
        <v>331</v>
      </c>
      <c r="C39" s="702"/>
    </row>
    <row r="40" spans="1:11" s="10" customFormat="1" ht="12.75">
      <c r="B40" s="697" t="s">
        <v>309</v>
      </c>
      <c r="C40" s="694"/>
    </row>
    <row r="41" spans="1:11" s="10" customFormat="1" ht="12.75">
      <c r="B41" s="697" t="s">
        <v>310</v>
      </c>
      <c r="C41" s="694"/>
    </row>
    <row r="42" spans="1:11" s="10" customFormat="1" ht="12.75">
      <c r="B42" s="697" t="s">
        <v>311</v>
      </c>
      <c r="C42" s="694"/>
    </row>
    <row r="43" spans="1:11" s="10" customFormat="1" ht="12.75">
      <c r="B43" s="698" t="s">
        <v>305</v>
      </c>
      <c r="C43" s="701"/>
    </row>
    <row r="44" spans="1:11" s="10" customFormat="1" ht="13.5" thickBot="1">
      <c r="A44" s="10" t="s">
        <v>398</v>
      </c>
      <c r="B44" s="668"/>
    </row>
    <row r="45" spans="1:11" s="10" customFormat="1" ht="13.5" thickBot="1">
      <c r="B45" s="768" t="s">
        <v>349</v>
      </c>
      <c r="C45" s="769"/>
    </row>
    <row r="46" spans="1:11" s="10" customFormat="1" ht="13.5" thickBot="1">
      <c r="A46" s="10" t="s">
        <v>397</v>
      </c>
      <c r="B46" s="668"/>
    </row>
    <row r="47" spans="1:11" s="10" customFormat="1" ht="13.5" thickBot="1">
      <c r="B47" s="747">
        <v>1482</v>
      </c>
    </row>
    <row r="48" spans="1:11" s="10" customFormat="1" ht="12.75"/>
    <row r="49" spans="1:3" s="10" customFormat="1" ht="12.75"/>
    <row r="50" spans="1:3" s="10" customFormat="1" ht="12.75">
      <c r="A50" s="649" t="s">
        <v>388</v>
      </c>
    </row>
    <row r="51" spans="1:3" s="10" customFormat="1" ht="12.75">
      <c r="A51" s="689" t="s">
        <v>352</v>
      </c>
    </row>
    <row r="52" spans="1:3" s="10" customFormat="1" ht="12.75">
      <c r="A52" s="689" t="s">
        <v>389</v>
      </c>
    </row>
    <row r="53" spans="1:3" s="10" customFormat="1" ht="12.75">
      <c r="A53" s="690" t="s">
        <v>353</v>
      </c>
    </row>
    <row r="54" spans="1:3" s="10" customFormat="1" ht="12.75">
      <c r="A54" s="690" t="s">
        <v>369</v>
      </c>
    </row>
    <row r="55" spans="1:3" s="10" customFormat="1" ht="12.75"/>
    <row r="56" spans="1:3" s="10" customFormat="1" ht="12.75">
      <c r="B56" s="707" t="s">
        <v>304</v>
      </c>
      <c r="C56" s="708" t="s">
        <v>351</v>
      </c>
    </row>
    <row r="57" spans="1:3" s="10" customFormat="1" ht="12.75">
      <c r="B57" s="709" t="s">
        <v>316</v>
      </c>
      <c r="C57" s="710">
        <v>102</v>
      </c>
    </row>
    <row r="58" spans="1:3" s="10" customFormat="1" ht="12.75">
      <c r="B58" s="711" t="s">
        <v>319</v>
      </c>
      <c r="C58" s="712">
        <v>10</v>
      </c>
    </row>
    <row r="59" spans="1:3" s="10" customFormat="1" ht="12.75">
      <c r="B59" s="711" t="s">
        <v>320</v>
      </c>
      <c r="C59" s="712">
        <v>11</v>
      </c>
    </row>
    <row r="60" spans="1:3" s="10" customFormat="1" ht="12.75">
      <c r="B60" s="711" t="s">
        <v>321</v>
      </c>
      <c r="C60" s="712">
        <v>35</v>
      </c>
    </row>
    <row r="61" spans="1:3" s="10" customFormat="1" ht="12.75">
      <c r="B61" s="711" t="s">
        <v>322</v>
      </c>
      <c r="C61" s="712">
        <v>46</v>
      </c>
    </row>
    <row r="62" spans="1:3" s="10" customFormat="1" ht="12.75">
      <c r="B62" s="709" t="s">
        <v>317</v>
      </c>
      <c r="C62" s="710">
        <v>259</v>
      </c>
    </row>
    <row r="63" spans="1:3" s="10" customFormat="1" ht="12.75">
      <c r="B63" s="711" t="s">
        <v>319</v>
      </c>
      <c r="C63" s="712">
        <v>36</v>
      </c>
    </row>
    <row r="64" spans="1:3" s="10" customFormat="1" ht="12.75">
      <c r="B64" s="711" t="s">
        <v>320</v>
      </c>
      <c r="C64" s="712">
        <v>30</v>
      </c>
    </row>
    <row r="65" spans="2:3" s="10" customFormat="1" ht="12.75">
      <c r="B65" s="711" t="s">
        <v>321</v>
      </c>
      <c r="C65" s="712">
        <v>84</v>
      </c>
    </row>
    <row r="66" spans="2:3" s="10" customFormat="1" ht="12.75">
      <c r="B66" s="711" t="s">
        <v>322</v>
      </c>
      <c r="C66" s="712">
        <v>109</v>
      </c>
    </row>
    <row r="67" spans="2:3" s="10" customFormat="1" ht="12.75">
      <c r="B67" s="709" t="s">
        <v>318</v>
      </c>
      <c r="C67" s="710">
        <v>158</v>
      </c>
    </row>
    <row r="68" spans="2:3" s="10" customFormat="1" ht="12.75">
      <c r="B68" s="711" t="s">
        <v>319</v>
      </c>
      <c r="C68" s="712">
        <v>19</v>
      </c>
    </row>
    <row r="69" spans="2:3" s="10" customFormat="1" ht="12.75">
      <c r="B69" s="711" t="s">
        <v>320</v>
      </c>
      <c r="C69" s="712">
        <v>16</v>
      </c>
    </row>
    <row r="70" spans="2:3" s="10" customFormat="1" ht="12.75">
      <c r="B70" s="711" t="s">
        <v>321</v>
      </c>
      <c r="C70" s="712">
        <v>51</v>
      </c>
    </row>
    <row r="71" spans="2:3" s="10" customFormat="1" ht="12.75">
      <c r="B71" s="711" t="s">
        <v>322</v>
      </c>
      <c r="C71" s="712">
        <v>72</v>
      </c>
    </row>
    <row r="72" spans="2:3" s="10" customFormat="1" ht="12.75">
      <c r="B72" s="709" t="s">
        <v>306</v>
      </c>
      <c r="C72" s="710">
        <v>71</v>
      </c>
    </row>
    <row r="73" spans="2:3" s="10" customFormat="1" ht="12.75">
      <c r="B73" s="711" t="s">
        <v>323</v>
      </c>
      <c r="C73" s="712">
        <v>23</v>
      </c>
    </row>
    <row r="74" spans="2:3" s="10" customFormat="1" ht="12.75">
      <c r="B74" s="711" t="s">
        <v>324</v>
      </c>
      <c r="C74" s="712">
        <v>2</v>
      </c>
    </row>
    <row r="75" spans="2:3" s="10" customFormat="1" ht="12.75">
      <c r="B75" s="711" t="s">
        <v>325</v>
      </c>
      <c r="C75" s="712">
        <v>46</v>
      </c>
    </row>
    <row r="76" spans="2:3" s="10" customFormat="1" ht="12.75">
      <c r="B76" s="713" t="s">
        <v>307</v>
      </c>
      <c r="C76" s="714">
        <v>174</v>
      </c>
    </row>
    <row r="77" spans="2:3" s="10" customFormat="1" ht="12.75">
      <c r="B77" s="711" t="s">
        <v>323</v>
      </c>
      <c r="C77" s="712">
        <v>59</v>
      </c>
    </row>
    <row r="78" spans="2:3" s="10" customFormat="1" ht="12.75">
      <c r="B78" s="711" t="s">
        <v>324</v>
      </c>
      <c r="C78" s="712">
        <v>3</v>
      </c>
    </row>
    <row r="79" spans="2:3" s="10" customFormat="1" ht="12.75">
      <c r="B79" s="711" t="s">
        <v>325</v>
      </c>
      <c r="C79" s="712">
        <v>112</v>
      </c>
    </row>
    <row r="80" spans="2:3" s="10" customFormat="1" ht="12.75">
      <c r="B80" s="709" t="s">
        <v>308</v>
      </c>
      <c r="C80" s="710">
        <v>106</v>
      </c>
    </row>
    <row r="81" spans="2:3" s="10" customFormat="1" ht="12.75">
      <c r="B81" s="711" t="s">
        <v>323</v>
      </c>
      <c r="C81" s="712">
        <v>35</v>
      </c>
    </row>
    <row r="82" spans="2:3" s="10" customFormat="1" ht="12.75">
      <c r="B82" s="711" t="s">
        <v>324</v>
      </c>
      <c r="C82" s="712">
        <v>3</v>
      </c>
    </row>
    <row r="83" spans="2:3" s="10" customFormat="1" ht="12.75">
      <c r="B83" s="711" t="s">
        <v>325</v>
      </c>
      <c r="C83" s="712">
        <v>68</v>
      </c>
    </row>
    <row r="84" spans="2:3" s="10" customFormat="1" ht="12.75">
      <c r="B84" s="709" t="s">
        <v>309</v>
      </c>
      <c r="C84" s="710">
        <v>27</v>
      </c>
    </row>
    <row r="85" spans="2:3" s="10" customFormat="1" ht="12.75">
      <c r="B85" s="711" t="s">
        <v>326</v>
      </c>
      <c r="C85" s="712">
        <v>2</v>
      </c>
    </row>
    <row r="86" spans="2:3" s="10" customFormat="1" ht="12.75">
      <c r="B86" s="711" t="s">
        <v>327</v>
      </c>
      <c r="C86" s="712">
        <v>13</v>
      </c>
    </row>
    <row r="87" spans="2:3" s="10" customFormat="1" ht="12.75">
      <c r="B87" s="711" t="s">
        <v>328</v>
      </c>
      <c r="C87" s="712">
        <v>12</v>
      </c>
    </row>
    <row r="88" spans="2:3" s="10" customFormat="1" ht="12.75">
      <c r="B88" s="709" t="s">
        <v>310</v>
      </c>
      <c r="C88" s="710">
        <v>67</v>
      </c>
    </row>
    <row r="89" spans="2:3" s="10" customFormat="1" ht="12.75">
      <c r="B89" s="711" t="s">
        <v>326</v>
      </c>
      <c r="C89" s="712">
        <v>8</v>
      </c>
    </row>
    <row r="90" spans="2:3" s="10" customFormat="1" ht="12.75">
      <c r="B90" s="711" t="s">
        <v>327</v>
      </c>
      <c r="C90" s="712">
        <v>29</v>
      </c>
    </row>
    <row r="91" spans="2:3" s="10" customFormat="1" ht="12.75">
      <c r="B91" s="711" t="s">
        <v>328</v>
      </c>
      <c r="C91" s="712">
        <v>30</v>
      </c>
    </row>
    <row r="92" spans="2:3" s="10" customFormat="1" ht="12.75">
      <c r="B92" s="709" t="s">
        <v>311</v>
      </c>
      <c r="C92" s="710">
        <v>36</v>
      </c>
    </row>
    <row r="93" spans="2:3" s="10" customFormat="1" ht="12.75">
      <c r="B93" s="711" t="s">
        <v>326</v>
      </c>
      <c r="C93" s="712">
        <v>1</v>
      </c>
    </row>
    <row r="94" spans="2:3" s="10" customFormat="1" ht="12.75">
      <c r="B94" s="711" t="s">
        <v>327</v>
      </c>
      <c r="C94" s="712">
        <v>18</v>
      </c>
    </row>
    <row r="95" spans="2:3" s="10" customFormat="1" ht="12.75">
      <c r="B95" s="715" t="s">
        <v>328</v>
      </c>
      <c r="C95" s="714">
        <v>17</v>
      </c>
    </row>
    <row r="96" spans="2:3" s="10" customFormat="1" ht="12.75">
      <c r="B96" s="716" t="s">
        <v>305</v>
      </c>
      <c r="C96" s="717">
        <v>1000</v>
      </c>
    </row>
    <row r="97" spans="1:2" s="10" customFormat="1" ht="12.75"/>
    <row r="98" spans="1:2" s="10" customFormat="1" ht="12.75">
      <c r="A98" s="10" t="s">
        <v>402</v>
      </c>
    </row>
    <row r="99" spans="1:2" s="10" customFormat="1" ht="13.5" thickBot="1">
      <c r="A99" s="10" t="s">
        <v>359</v>
      </c>
      <c r="B99" s="668"/>
    </row>
    <row r="100" spans="1:2" s="10" customFormat="1" ht="13.5" thickBot="1">
      <c r="B100" s="747" t="s">
        <v>320</v>
      </c>
    </row>
    <row r="101" spans="1:2" s="10" customFormat="1" ht="13.5" thickBot="1">
      <c r="A101" s="10" t="s">
        <v>356</v>
      </c>
      <c r="B101" s="668"/>
    </row>
    <row r="102" spans="1:2" s="10" customFormat="1" ht="13.5" thickBot="1">
      <c r="B102" s="748">
        <v>227</v>
      </c>
    </row>
    <row r="103" spans="1:2" s="10" customFormat="1" ht="13.5" thickBot="1">
      <c r="A103" s="10" t="s">
        <v>399</v>
      </c>
      <c r="B103" s="668"/>
    </row>
    <row r="104" spans="1:2" s="10" customFormat="1" ht="13.5" thickBot="1">
      <c r="B104" s="747" t="s">
        <v>318</v>
      </c>
    </row>
    <row r="105" spans="1:2" s="10" customFormat="1" ht="13.5" thickBot="1">
      <c r="A105" s="10" t="s">
        <v>390</v>
      </c>
      <c r="B105" s="668"/>
    </row>
    <row r="106" spans="1:2" s="10" customFormat="1" ht="13.5" thickBot="1">
      <c r="B106" s="749">
        <v>1199</v>
      </c>
    </row>
    <row r="107" spans="1:2" s="10" customFormat="1" ht="13.5" thickBot="1">
      <c r="A107" s="10" t="s">
        <v>358</v>
      </c>
      <c r="B107" s="668"/>
    </row>
    <row r="108" spans="1:2" s="10" customFormat="1" ht="13.5" thickBot="1">
      <c r="B108" s="747">
        <v>11605.504000000001</v>
      </c>
    </row>
    <row r="109" spans="1:2" s="10" customFormat="1" ht="12.75"/>
    <row r="110" spans="1:2" s="10" customFormat="1" ht="12.75">
      <c r="A110" s="10" t="str">
        <f>"You have now selected a "&amp;'Scratch Sheet'!U44&amp;" surgeon."</f>
        <v>You have now selected a Cardiac surgeon.</v>
      </c>
    </row>
    <row r="111" spans="1:2" s="10" customFormat="1" ht="12.75">
      <c r="A111" s="10" t="str">
        <f>"You must next select "&amp;'Scratch Sheet'!U49&amp;" and "&amp;'Scratch Sheet'!U56&amp;" surgeons that will generate the highest Hourly Rate for the OR."</f>
        <v>You must next select Orthopedic and Neuro surgeons that will generate the highest Hourly Rate for the OR.</v>
      </c>
    </row>
    <row r="112" spans="1:2" s="10" customFormat="1" ht="12.75"/>
    <row r="113" spans="1:2" s="10" customFormat="1" ht="13.5" thickBot="1">
      <c r="A113" s="10" t="str">
        <f>"Which is the "&amp;'Scratch Sheet'!U49&amp;" surgeon that generates the highest Hourly Rate?"</f>
        <v>Which is the Orthopedic surgeon that generates the highest Hourly Rate?</v>
      </c>
    </row>
    <row r="114" spans="1:2" s="10" customFormat="1" ht="13.5" thickBot="1">
      <c r="B114" s="747" t="s">
        <v>310</v>
      </c>
    </row>
    <row r="115" spans="1:2" s="10" customFormat="1" ht="13.5" thickBot="1">
      <c r="A115" s="10" t="str">
        <f>"What is the average Hourly Rate this "&amp;'Scratch Sheet'!U49&amp;" surgeon generates (enter a Value not a Formula)?"</f>
        <v>What is the average Hourly Rate this Orthopedic surgeon generates (enter a Value not a Formula)?</v>
      </c>
      <c r="B115" s="719"/>
    </row>
    <row r="116" spans="1:2" s="10" customFormat="1" ht="13.5" thickBot="1">
      <c r="B116" s="747">
        <v>1106</v>
      </c>
    </row>
    <row r="117" spans="1:2" s="10" customFormat="1" ht="13.5" thickBot="1">
      <c r="A117" s="10" t="str">
        <f>"How many OR Hours did this "&amp;'Scratch Sheet'!U49&amp;" surgeon require (enter a Value not a Formula)?"</f>
        <v>How many OR Hours did this Orthopedic surgeon require (enter a Value not a Formula)?</v>
      </c>
    </row>
    <row r="118" spans="1:2" s="10" customFormat="1" ht="13.5" thickBot="1">
      <c r="B118" s="748">
        <v>921</v>
      </c>
    </row>
    <row r="119" spans="1:2" s="10" customFormat="1" ht="12.75">
      <c r="B119" s="719"/>
    </row>
    <row r="120" spans="1:2" s="10" customFormat="1" ht="13.5" thickBot="1">
      <c r="A120" s="10" t="str">
        <f>"Which is the "&amp;'Scratch Sheet'!U56&amp;" surgeon that generates the highest Hourly Rate?"</f>
        <v>Which is the Neuro surgeon that generates the highest Hourly Rate?</v>
      </c>
    </row>
    <row r="121" spans="1:2" s="10" customFormat="1" ht="13.5" thickBot="1">
      <c r="B121" s="747" t="s">
        <v>306</v>
      </c>
    </row>
    <row r="122" spans="1:2" s="10" customFormat="1" ht="13.5" thickBot="1">
      <c r="A122" s="10" t="str">
        <f>"What is the average Hourly Rate this "&amp;'Scratch Sheet'!U56&amp;" surgeon generated (enter a Value not a Formula)?"</f>
        <v>What is the average Hourly Rate this Neuro surgeon generated (enter a Value not a Formula)?</v>
      </c>
    </row>
    <row r="123" spans="1:2" s="10" customFormat="1" ht="13.5" thickBot="1">
      <c r="B123" s="747">
        <v>1482</v>
      </c>
    </row>
    <row r="124" spans="1:2" s="10" customFormat="1" ht="13.5" thickBot="1">
      <c r="A124" s="10" t="str">
        <f>"How many OR Hours did this "&amp;'Scratch Sheet'!U56&amp;" surgeon require (enter a Value not a Formula)?"</f>
        <v>How many OR Hours did this Neuro surgeon require (enter a Value not a Formula)?</v>
      </c>
    </row>
    <row r="125" spans="1:2" s="10" customFormat="1" ht="13.5" thickBot="1">
      <c r="B125" s="748">
        <v>150</v>
      </c>
    </row>
    <row r="126" spans="1:2" s="10" customFormat="1" ht="12.75"/>
    <row r="127" spans="1:2" s="10" customFormat="1" ht="12.75">
      <c r="A127" s="10" t="s">
        <v>370</v>
      </c>
    </row>
    <row r="128" spans="1:2" s="10" customFormat="1" ht="12.75"/>
    <row r="129" spans="1:5" s="10" customFormat="1" ht="13.5" thickBot="1">
      <c r="B129" s="668"/>
      <c r="C129" s="668" t="str">
        <f>'Scratch Sheet'!N42</f>
        <v>O1</v>
      </c>
      <c r="D129" s="668" t="str">
        <f>'Scratch Sheet'!O42</f>
        <v>O2</v>
      </c>
      <c r="E129" s="668" t="str">
        <f>'Scratch Sheet'!P42</f>
        <v>O3</v>
      </c>
    </row>
    <row r="130" spans="1:5" s="10" customFormat="1" ht="12.75">
      <c r="B130" s="668" t="str">
        <f>'Scratch Sheet'!M43</f>
        <v>N1</v>
      </c>
      <c r="C130" s="724"/>
      <c r="D130" s="725"/>
      <c r="E130" s="726"/>
    </row>
    <row r="131" spans="1:5" s="10" customFormat="1" ht="12.75">
      <c r="B131" s="668" t="str">
        <f>'Scratch Sheet'!M44</f>
        <v>N2</v>
      </c>
      <c r="C131" s="727"/>
      <c r="D131" s="668"/>
      <c r="E131" s="728"/>
    </row>
    <row r="132" spans="1:5" s="10" customFormat="1" ht="13.5" thickBot="1">
      <c r="B132" s="668" t="str">
        <f>'Scratch Sheet'!M45</f>
        <v>N3</v>
      </c>
      <c r="C132" s="729"/>
      <c r="D132" s="730"/>
      <c r="E132" s="731"/>
    </row>
    <row r="133" spans="1:5" s="10" customFormat="1" ht="12.75">
      <c r="B133" s="668"/>
      <c r="C133" s="668"/>
      <c r="D133" s="668"/>
      <c r="E133" s="668"/>
    </row>
    <row r="134" spans="1:5" s="10" customFormat="1" ht="12.75">
      <c r="A134" s="10" t="str">
        <f>"There are a total of "&amp;'Scratch Sheet'!R48&amp;" OR Hours available in a year."</f>
        <v>There are a total of 2600 OR Hours available in a year.</v>
      </c>
    </row>
    <row r="135" spans="1:5" s="10" customFormat="1" ht="12.75">
      <c r="A135" s="10" t="str">
        <f>"The "&amp;'Scratch Sheet'!U44&amp;" surgeon that you have selected will require "&amp;ROUND(Analyze!B106,0)&amp;" hours"</f>
        <v>The Cardiac surgeon that you have selected will require 1199 hours</v>
      </c>
    </row>
    <row r="136" spans="1:5" s="10" customFormat="1" ht="12.75">
      <c r="A136" s="10" t="str">
        <f>"That leaves "&amp;ROUND('Scratch Sheet'!R48-'Scratch Sheet'!U40,0)&amp;" hours available for the "&amp;'Scratch Sheet'!U49&amp;" and "&amp;'Scratch Sheet'!U56&amp;" surgeons combined."</f>
        <v>That leaves 1226 hours available for the Orthopedic and Neuro surgeons combined.</v>
      </c>
    </row>
    <row r="137" spans="1:5" s="10" customFormat="1" ht="12.75">
      <c r="A137" s="10" t="s">
        <v>363</v>
      </c>
    </row>
    <row r="138" spans="1:5" s="10" customFormat="1" ht="13.5" thickBot="1">
      <c r="A138" s="689" t="str">
        <f>'Scratch Sheet'!U49&amp;" surgeon"</f>
        <v>Orthopedic surgeon</v>
      </c>
    </row>
    <row r="139" spans="1:5" s="10" customFormat="1" ht="13.5" thickBot="1">
      <c r="A139" s="689"/>
      <c r="B139" s="747" t="s">
        <v>310</v>
      </c>
    </row>
    <row r="140" spans="1:5" s="10" customFormat="1" ht="13.5" thickBot="1">
      <c r="A140" s="689" t="str">
        <f>'Scratch Sheet'!U56&amp;" surgeon"</f>
        <v>Neuro surgeon</v>
      </c>
    </row>
    <row r="141" spans="1:5" s="10" customFormat="1" ht="13.5" thickBot="1">
      <c r="B141" s="747" t="s">
        <v>308</v>
      </c>
    </row>
    <row r="142" spans="1:5" s="10" customFormat="1" ht="13.5" thickBot="1">
      <c r="A142" s="10" t="s">
        <v>391</v>
      </c>
    </row>
    <row r="143" spans="1:5" s="10" customFormat="1" ht="13.5" thickBot="1">
      <c r="B143" s="748">
        <v>100</v>
      </c>
    </row>
    <row r="144" spans="1:5" s="10" customFormat="1" ht="13.5" thickBot="1">
      <c r="A144" s="10" t="s">
        <v>392</v>
      </c>
    </row>
    <row r="145" spans="1:13" s="10" customFormat="1" ht="13.5" thickBot="1">
      <c r="B145" s="747">
        <v>1233180</v>
      </c>
    </row>
    <row r="146" spans="1:13" s="10" customFormat="1" ht="13.5" thickBot="1">
      <c r="A146" s="10" t="s">
        <v>395</v>
      </c>
    </row>
    <row r="147" spans="1:13" s="10" customFormat="1" ht="13.5" thickBot="1">
      <c r="B147" s="748" t="s">
        <v>394</v>
      </c>
      <c r="M147" s="703" t="s">
        <v>393</v>
      </c>
    </row>
    <row r="148" spans="1:13" s="10" customFormat="1" ht="12.75">
      <c r="M148" s="703" t="s">
        <v>394</v>
      </c>
    </row>
    <row r="149" spans="1:13" s="10" customFormat="1" ht="12.75"/>
    <row r="150" spans="1:13" s="10" customFormat="1" ht="12.75"/>
    <row r="151" spans="1:13" s="10" customFormat="1" ht="12.75"/>
    <row r="152" spans="1:13" s="10" customFormat="1" ht="12.75"/>
    <row r="153" spans="1:13" s="10" customFormat="1" ht="12.75"/>
    <row r="154" spans="1:13" s="10" customFormat="1" ht="12.75"/>
    <row r="155" spans="1:13" s="10" customFormat="1" ht="12.75"/>
    <row r="156" spans="1:13" s="10" customFormat="1" ht="12.75"/>
    <row r="157" spans="1:13" s="10" customFormat="1" ht="12.75"/>
    <row r="158" spans="1:13" s="10" customFormat="1" ht="12.75"/>
    <row r="159" spans="1:13" s="10" customFormat="1" ht="12.75"/>
    <row r="160" spans="1:13" s="10" customFormat="1" ht="12.75"/>
    <row r="161" s="10" customFormat="1" ht="12.75"/>
    <row r="162" s="10" customFormat="1" ht="12.75"/>
    <row r="163" s="10" customFormat="1" ht="12.75"/>
    <row r="164" s="10" customFormat="1" ht="12.75"/>
    <row r="165" s="10" customFormat="1" ht="12.75"/>
    <row r="166" s="10" customFormat="1" ht="12.75"/>
    <row r="167" s="10" customFormat="1" ht="12.75"/>
    <row r="168" s="10" customFormat="1" ht="12.75"/>
    <row r="169" s="10" customFormat="1" ht="12.75"/>
    <row r="170" s="10" customFormat="1" ht="12.75"/>
    <row r="171" s="10" customFormat="1" ht="12.75"/>
    <row r="172" s="10" customFormat="1" ht="12.75"/>
    <row r="173" s="10" customFormat="1" ht="12.75"/>
    <row r="174" s="10" customFormat="1" ht="12.75"/>
    <row r="175" s="10" customFormat="1" ht="12.75"/>
    <row r="176" s="10" customFormat="1" ht="12.75"/>
    <row r="177" s="10" customFormat="1" ht="12.75"/>
    <row r="178" s="10" customFormat="1" ht="12.75"/>
    <row r="179" s="10" customFormat="1" ht="12.75"/>
    <row r="180" s="10" customFormat="1" ht="12.75"/>
    <row r="181" s="10" customFormat="1" ht="12.75"/>
    <row r="182" s="10" customFormat="1" ht="12.75"/>
    <row r="183" s="10" customFormat="1" ht="12.75"/>
    <row r="184" s="10" customFormat="1" ht="12.75"/>
    <row r="185" s="10" customFormat="1" ht="12.75"/>
    <row r="186" s="10" customFormat="1" ht="12.75"/>
    <row r="187" s="10" customFormat="1" ht="12.75"/>
    <row r="188" s="10" customFormat="1" ht="12.75"/>
    <row r="189" s="10" customFormat="1" ht="12.75"/>
    <row r="190" s="10" customFormat="1" ht="12.75"/>
    <row r="191" s="10" customFormat="1" ht="12.75"/>
    <row r="192" s="10" customFormat="1" ht="12.75"/>
    <row r="193" s="10" customFormat="1" ht="12.75"/>
    <row r="194" s="10" customFormat="1" ht="12.75"/>
    <row r="195" s="10" customFormat="1" ht="12.75"/>
    <row r="196" s="10" customFormat="1" ht="12.75"/>
    <row r="197" s="10" customFormat="1" ht="12.75"/>
    <row r="198" s="10" customFormat="1" ht="12.75"/>
    <row r="199" s="10" customFormat="1" ht="12.75"/>
    <row r="200" s="10" customFormat="1" ht="12.75"/>
    <row r="201" s="10" customFormat="1" ht="12.75"/>
    <row r="202" s="10" customFormat="1" ht="12.75"/>
    <row r="203" s="10" customFormat="1" ht="12.75"/>
    <row r="204" s="10" customFormat="1" ht="12.75"/>
    <row r="205" s="10" customFormat="1" ht="12.75"/>
    <row r="206" s="10" customFormat="1" ht="12.75"/>
    <row r="207" s="10" customFormat="1" ht="12.75"/>
    <row r="208" s="10" customFormat="1" ht="12.75"/>
    <row r="209" s="10" customFormat="1" ht="12.75"/>
    <row r="210" s="10" customFormat="1" ht="12.75"/>
    <row r="211" s="10" customFormat="1" ht="12.75"/>
    <row r="212" s="10" customFormat="1" ht="12.75"/>
    <row r="213" s="10" customFormat="1" ht="12.75"/>
    <row r="214" s="10" customFormat="1" ht="12.75"/>
    <row r="215" s="10" customFormat="1" ht="12.75"/>
    <row r="216" s="10" customFormat="1" ht="12.75"/>
    <row r="217" s="10" customFormat="1" ht="12.75"/>
    <row r="218" s="10" customFormat="1" ht="12.75"/>
    <row r="219" s="10" customFormat="1" ht="12.75"/>
    <row r="220" s="10" customFormat="1" ht="12.75"/>
    <row r="221" s="10" customFormat="1" ht="12.75"/>
    <row r="222" s="10" customFormat="1" ht="12.75"/>
    <row r="223" s="10" customFormat="1" ht="12.75"/>
    <row r="224" s="10" customFormat="1" ht="12.75"/>
    <row r="225" s="10" customFormat="1" ht="12.75"/>
    <row r="226" s="10" customFormat="1" ht="12.75"/>
    <row r="227" s="10" customFormat="1" ht="12.75"/>
    <row r="228" s="10" customFormat="1" ht="12.75"/>
    <row r="229" s="10" customFormat="1" ht="12.75"/>
    <row r="230" s="10" customFormat="1" ht="12.75"/>
  </sheetData>
  <sheetProtection algorithmName="SHA-512" hashValue="bA1ajLSlbpwQE9OpvF9ZAzhY3RtOplaq6P/NgZhJUFfpErMjcvoIKS/ZqvLtwZomFIl3+Bn3lLR6hK3w1DmUHg==" saltValue="M+I2A34Y7LyFdWCgFyZWzA==" spinCount="100000" sheet="1" objects="1" scenarios="1"/>
  <mergeCells count="1">
    <mergeCell ref="B45:C45"/>
  </mergeCells>
  <dataValidations count="3">
    <dataValidation type="list" allowBlank="1" showInputMessage="1" showErrorMessage="1" sqref="B20 B24" xr:uid="{2CFA063B-6A50-4946-9581-908C9023BA69}">
      <formula1>$B$10:$B$18</formula1>
    </dataValidation>
    <dataValidation type="list" allowBlank="1" showInputMessage="1" showErrorMessage="1" sqref="B45" xr:uid="{E0468B63-2DD0-574B-836D-9E7125013797}">
      <formula1>$K$31:$K$33</formula1>
    </dataValidation>
    <dataValidation type="list" allowBlank="1" showInputMessage="1" showErrorMessage="1" sqref="B147" xr:uid="{779A9C35-3717-6D48-812D-C1FB790CA2F0}">
      <formula1>$M$147:$M$148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2FA5C6A-B016-2848-A4B2-612128D6927C}">
            <xm:f>X!$CC$1=TRUE</xm:f>
            <x14:dxf>
              <font>
                <color theme="1"/>
              </font>
              <fill>
                <patternFill>
                  <bgColor theme="1"/>
                </patternFill>
              </fill>
            </x14:dxf>
          </x14:cfRule>
          <xm:sqref>A1:XFD1048576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FB825A1-7349-9849-9C1C-AEC26B0611D4}">
          <x14:formula1>
            <xm:f>'Scratch Sheet'!$L$22:$L$30</xm:f>
          </x14:formula1>
          <xm:sqref>B141 B114 B104:B105 B139 B121:B122</xm:sqref>
        </x14:dataValidation>
        <x14:dataValidation type="list" allowBlank="1" showInputMessage="1" showErrorMessage="1" xr:uid="{96C6409C-32DD-234C-8469-BEA30B1D6C71}">
          <x14:formula1>
            <xm:f>'Scratch Sheet'!$U$23:$U$32</xm:f>
          </x14:formula1>
          <xm:sqref>B100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57FF5-939B-4748-AC32-5E780165E810}">
  <sheetPr published="0"/>
  <dimension ref="A1:Y1022"/>
  <sheetViews>
    <sheetView topLeftCell="H11" workbookViewId="0">
      <selection activeCell="U36" sqref="U36"/>
    </sheetView>
  </sheetViews>
  <sheetFormatPr defaultColWidth="11" defaultRowHeight="15.75"/>
  <cols>
    <col min="2" max="8" width="10.875" style="13"/>
    <col min="13" max="13" width="19.5" customWidth="1"/>
    <col min="14" max="14" width="15.125" bestFit="1" customWidth="1"/>
    <col min="15" max="18" width="13" bestFit="1" customWidth="1"/>
  </cols>
  <sheetData>
    <row r="1" spans="2:8">
      <c r="B1" s="10"/>
      <c r="C1" s="10"/>
      <c r="D1" s="10"/>
      <c r="E1" s="10"/>
      <c r="F1" s="10"/>
      <c r="G1" s="10"/>
      <c r="H1" s="10"/>
    </row>
    <row r="2" spans="2:8">
      <c r="B2" s="10"/>
      <c r="C2" s="10"/>
      <c r="D2" s="10"/>
      <c r="E2" s="10"/>
      <c r="F2" s="10"/>
      <c r="G2" s="10"/>
      <c r="H2" s="10"/>
    </row>
    <row r="3" spans="2:8">
      <c r="B3" s="10"/>
      <c r="C3" s="10"/>
      <c r="D3" s="10"/>
      <c r="E3" s="10"/>
      <c r="F3" s="10"/>
      <c r="G3" s="10"/>
      <c r="H3" s="10"/>
    </row>
    <row r="4" spans="2:8">
      <c r="B4" s="10"/>
      <c r="C4" s="10"/>
      <c r="D4" s="10"/>
      <c r="E4" s="10"/>
      <c r="F4" s="10"/>
      <c r="G4" s="10"/>
      <c r="H4" s="10"/>
    </row>
    <row r="19" spans="1:25">
      <c r="E19" s="13">
        <f>COUNTBLANK('Assemble Data'!D24:D1023)</f>
        <v>0</v>
      </c>
      <c r="F19" s="13">
        <f>COUNTBLANK('Assemble Data'!E24:E1023)</f>
        <v>0</v>
      </c>
      <c r="G19" s="13">
        <f>COUNTBLANK('Assemble Data'!F24:F1023)</f>
        <v>0</v>
      </c>
    </row>
    <row r="20" spans="1:25">
      <c r="E20" s="13">
        <f>SUM(E23:E1022)</f>
        <v>0</v>
      </c>
      <c r="F20" s="13">
        <f ca="1">SUM(F23:F1022)</f>
        <v>0</v>
      </c>
      <c r="G20" s="13">
        <f ca="1">SUM(G23:G1022)</f>
        <v>0</v>
      </c>
      <c r="P20" t="s">
        <v>387</v>
      </c>
    </row>
    <row r="21" spans="1:25">
      <c r="N21" t="s">
        <v>372</v>
      </c>
      <c r="O21" t="s">
        <v>373</v>
      </c>
      <c r="P21" t="s">
        <v>374</v>
      </c>
      <c r="Q21" t="s">
        <v>383</v>
      </c>
      <c r="W21" s="733" t="s">
        <v>379</v>
      </c>
      <c r="X21" s="733"/>
    </row>
    <row r="22" spans="1:25">
      <c r="B22" s="673" t="s">
        <v>285</v>
      </c>
      <c r="C22" s="679" t="s">
        <v>290</v>
      </c>
      <c r="D22" s="673" t="s">
        <v>299</v>
      </c>
      <c r="E22" s="673" t="s">
        <v>285</v>
      </c>
      <c r="F22" s="679" t="s">
        <v>290</v>
      </c>
      <c r="G22" s="673" t="s">
        <v>299</v>
      </c>
      <c r="H22" s="673" t="s">
        <v>303</v>
      </c>
      <c r="L22" t="s">
        <v>316</v>
      </c>
      <c r="M22">
        <v>1.2</v>
      </c>
      <c r="N22" s="681">
        <f>SUMIF('Assemble Data'!$E:$E,$L22,'Assemble Data'!D:D)</f>
        <v>1010580</v>
      </c>
      <c r="O22">
        <f>SUMIF('Assemble Data'!$E:$E,$L22,'Assemble Data'!F:F)</f>
        <v>884</v>
      </c>
      <c r="P22" s="681">
        <f t="shared" ref="P22:P30" si="0">N22/O22</f>
        <v>1143.1900452488687</v>
      </c>
      <c r="Q22">
        <f>IFERROR(AVERAGEIF(I:I,L22&amp;U$37,B:B),"")</f>
        <v>13200</v>
      </c>
      <c r="S22" s="15" t="s">
        <v>280</v>
      </c>
      <c r="T22" s="15" t="s">
        <v>298</v>
      </c>
      <c r="U22" s="15" t="s">
        <v>282</v>
      </c>
      <c r="V22" s="680" t="s">
        <v>355</v>
      </c>
      <c r="W22" s="680" t="s">
        <v>302</v>
      </c>
      <c r="X22" s="680" t="s">
        <v>354</v>
      </c>
      <c r="Y22" s="576" t="str">
        <f>IF('Assemble Data'!AG39='Assemble Data'!AH39,"",1)</f>
        <v/>
      </c>
    </row>
    <row r="23" spans="1:25">
      <c r="A23" t="str">
        <f>'Assemble Data'!B24</f>
        <v>P10</v>
      </c>
      <c r="B23" s="13">
        <f>IFERROR(SUMIF('Assemble Data'!K:K,'Assemble Data'!A24,'Assemble Data'!L:L),0)</f>
        <v>2880</v>
      </c>
      <c r="C23" s="13" t="str">
        <f>INDEX('Assemble Data'!$O$24:$O$1023,MATCH('Assemble Data'!A24,'Assemble Data'!$N$24:$N$1023,0))</f>
        <v>C1</v>
      </c>
      <c r="D23" s="13">
        <f>SUMIF('Assemble Data'!H:H,'Assemble Data'!A24,'Assemble Data'!I:I)</f>
        <v>3</v>
      </c>
      <c r="E23" s="13">
        <f>IFERROR(IF(AND('Assemble Data'!D24&lt;&gt;"",'Assemble Data'!D24&lt;&gt;B23),1,0),1)</f>
        <v>0</v>
      </c>
      <c r="F23" s="13">
        <f ca="1">IF('Assemble Data'!E24="",0,IF(ISERROR(FIND("INDEX",_xlfn.FORMULATEXT('Assemble Data'!E24),1)),1,0)+IFERROR(IF(AND('Assemble Data'!E24&lt;&gt;C23,'Assemble Data'!E24&lt;&gt;""),1,0),1))</f>
        <v>0</v>
      </c>
      <c r="G23" s="13">
        <f ca="1">IF('Assemble Data'!F24="",0,IF(ISERROR(FIND("VLOOKUP",_xlfn.FORMULATEXT('Assemble Data'!F24),1)),1,0)+IFERROR(IF(AND('Assemble Data'!F24&lt;&gt;D23,'Assemble Data'!F24&lt;&gt;""),1,0),1))</f>
        <v>0</v>
      </c>
      <c r="H23" s="13">
        <v>8</v>
      </c>
      <c r="I23" t="str">
        <f>C23&amp;A23</f>
        <v>C1P10</v>
      </c>
      <c r="L23" t="s">
        <v>317</v>
      </c>
      <c r="M23">
        <v>1</v>
      </c>
      <c r="N23" s="681">
        <f>SUMIF('Assemble Data'!$E:$E,$L23,'Assemble Data'!D:D)</f>
        <v>2194025</v>
      </c>
      <c r="O23">
        <f>SUMIF('Assemble Data'!$E:$E,$L23,'Assemble Data'!F:F)</f>
        <v>2189</v>
      </c>
      <c r="P23" s="681">
        <f t="shared" si="0"/>
        <v>1002.2955687528552</v>
      </c>
      <c r="Q23">
        <f t="shared" ref="Q23:Q30" si="1">IFERROR(AVERAGEIF(I:I,L23&amp;U$37,B:B),"")</f>
        <v>11605.504587155963</v>
      </c>
      <c r="S23" s="661" t="s">
        <v>283</v>
      </c>
      <c r="T23" s="661" t="s">
        <v>286</v>
      </c>
      <c r="U23" s="743" t="s">
        <v>319</v>
      </c>
      <c r="V23" s="675">
        <f t="shared" ref="V23:V32" si="2">COUNTIF(A:A,U23)</f>
        <v>226</v>
      </c>
      <c r="W23" s="744">
        <v>3</v>
      </c>
      <c r="X23" s="745">
        <v>800</v>
      </c>
      <c r="Y23" s="665">
        <f t="shared" ref="Y23:Y32" si="3">W23*X23</f>
        <v>2400</v>
      </c>
    </row>
    <row r="24" spans="1:25">
      <c r="A24" t="str">
        <f>'Assemble Data'!B25</f>
        <v>P16</v>
      </c>
      <c r="B24" s="13">
        <f>IFERROR(SUMIF('Assemble Data'!K:K,'Assemble Data'!A25,'Assemble Data'!L:L),0)</f>
        <v>7279.9999999999991</v>
      </c>
      <c r="C24" s="13" t="str">
        <f>INDEX('Assemble Data'!$O$24:$O$1023,MATCH('Assemble Data'!A25,'Assemble Data'!$N$24:$N$1023,0))</f>
        <v>N1</v>
      </c>
      <c r="D24" s="13">
        <f>SUMIF('Assemble Data'!H:H,'Assemble Data'!A25,'Assemble Data'!I:I)</f>
        <v>4</v>
      </c>
      <c r="E24" s="13">
        <f>IFERROR(IF(AND('Assemble Data'!D25&lt;&gt;"",'Assemble Data'!D25&lt;&gt;B24),1,0),1)</f>
        <v>0</v>
      </c>
      <c r="F24" s="13">
        <f ca="1">IF('Assemble Data'!E25="",0,IF(ISERROR(FIND("INDEX",_xlfn.FORMULATEXT('Assemble Data'!E25),1)),1,0)+IFERROR(IF(AND('Assemble Data'!E25&lt;&gt;C24,'Assemble Data'!E25&lt;&gt;""),1,0),1))</f>
        <v>0</v>
      </c>
      <c r="G24" s="13">
        <f ca="1">IF('Assemble Data'!F25="",0,IF(ISERROR(FIND("VLOOKUP",_xlfn.FORMULATEXT('Assemble Data'!F25),1)),1,0)+IFERROR(IF(AND('Assemble Data'!F25&lt;&gt;D24,'Assemble Data'!F25&lt;&gt;""),1,0),1))</f>
        <v>0</v>
      </c>
      <c r="H24" s="13">
        <v>0</v>
      </c>
      <c r="I24" t="str">
        <f t="shared" ref="I24:I87" si="4">C24&amp;A24</f>
        <v>N1P16</v>
      </c>
      <c r="L24" t="s">
        <v>318</v>
      </c>
      <c r="M24">
        <v>0.8</v>
      </c>
      <c r="N24" s="681">
        <f>SUMIF('Assemble Data'!$E:$E,$L24,'Assemble Data'!D:D)</f>
        <v>1094400</v>
      </c>
      <c r="O24">
        <f>SUMIF('Assemble Data'!$E:$E,$L24,'Assemble Data'!F:F)</f>
        <v>1374.5</v>
      </c>
      <c r="P24" s="681">
        <f t="shared" si="0"/>
        <v>796.21680611131319</v>
      </c>
      <c r="Q24">
        <f t="shared" si="1"/>
        <v>9166.6666666666661</v>
      </c>
      <c r="S24" s="661" t="s">
        <v>283</v>
      </c>
      <c r="T24" s="661" t="s">
        <v>287</v>
      </c>
      <c r="U24" s="743" t="s">
        <v>320</v>
      </c>
      <c r="V24" s="675">
        <f t="shared" si="2"/>
        <v>227</v>
      </c>
      <c r="W24" s="744">
        <v>11</v>
      </c>
      <c r="X24" s="745">
        <v>1000</v>
      </c>
      <c r="Y24" s="665">
        <f t="shared" si="3"/>
        <v>11000</v>
      </c>
    </row>
    <row r="25" spans="1:25">
      <c r="A25" t="str">
        <f>'Assemble Data'!B26</f>
        <v>P18</v>
      </c>
      <c r="B25" s="13">
        <f>IFERROR(SUMIF('Assemble Data'!K:K,'Assemble Data'!A26,'Assemble Data'!L:L),0)</f>
        <v>4860</v>
      </c>
      <c r="C25" s="13" t="str">
        <f>INDEX('Assemble Data'!$O$24:$O$1023,MATCH('Assemble Data'!A26,'Assemble Data'!$N$24:$N$1023,0))</f>
        <v>O1</v>
      </c>
      <c r="D25" s="13">
        <f>SUMIF('Assemble Data'!H:H,'Assemble Data'!A26,'Assemble Data'!I:I)</f>
        <v>6</v>
      </c>
      <c r="E25" s="13">
        <f>IFERROR(IF(AND('Assemble Data'!D26&lt;&gt;"",'Assemble Data'!D26&lt;&gt;B25),1,0),1)</f>
        <v>0</v>
      </c>
      <c r="F25" s="13">
        <f ca="1">IF('Assemble Data'!E26="",0,IF(ISERROR(FIND("INDEX",_xlfn.FORMULATEXT('Assemble Data'!E26),1)),1,0)+IFERROR(IF(AND('Assemble Data'!E26&lt;&gt;C25,'Assemble Data'!E26&lt;&gt;""),1,0),1))</f>
        <v>0</v>
      </c>
      <c r="G25" s="13">
        <f ca="1">IF('Assemble Data'!F26="",0,IF(ISERROR(FIND("VLOOKUP",_xlfn.FORMULATEXT('Assemble Data'!F26),1)),1,0)+IFERROR(IF(AND('Assemble Data'!F26&lt;&gt;D25,'Assemble Data'!F26&lt;&gt;""),1,0),1))</f>
        <v>0</v>
      </c>
      <c r="H25" s="13">
        <v>2</v>
      </c>
      <c r="I25" t="str">
        <f t="shared" si="4"/>
        <v>O1P18</v>
      </c>
      <c r="L25" t="s">
        <v>306</v>
      </c>
      <c r="M25">
        <v>1.4</v>
      </c>
      <c r="N25" s="681">
        <f>SUMIF('Assemble Data'!$E:$E,$L25,'Assemble Data'!D:D)</f>
        <v>222320</v>
      </c>
      <c r="O25">
        <f>SUMIF('Assemble Data'!$E:$E,$L25,'Assemble Data'!F:F)</f>
        <v>150</v>
      </c>
      <c r="P25" s="681">
        <f t="shared" si="0"/>
        <v>1482.1333333333334</v>
      </c>
      <c r="Q25" t="str">
        <f t="shared" si="1"/>
        <v/>
      </c>
      <c r="S25" s="661" t="s">
        <v>283</v>
      </c>
      <c r="T25" s="661" t="s">
        <v>288</v>
      </c>
      <c r="U25" s="743" t="s">
        <v>321</v>
      </c>
      <c r="V25" s="675">
        <f t="shared" si="2"/>
        <v>65</v>
      </c>
      <c r="W25" s="744">
        <v>6.5</v>
      </c>
      <c r="X25" s="745">
        <v>1050</v>
      </c>
      <c r="Y25" s="665">
        <f t="shared" si="3"/>
        <v>6825</v>
      </c>
    </row>
    <row r="26" spans="1:25">
      <c r="A26" t="str">
        <f>'Assemble Data'!B27</f>
        <v>P11</v>
      </c>
      <c r="B26" s="13">
        <f>IFERROR(SUMIF('Assemble Data'!K:K,'Assemble Data'!A27,'Assemble Data'!L:L),0)</f>
        <v>13200</v>
      </c>
      <c r="C26" s="13" t="str">
        <f>INDEX('Assemble Data'!$O$24:$O$1023,MATCH('Assemble Data'!A27,'Assemble Data'!$N$24:$N$1023,0))</f>
        <v>C1</v>
      </c>
      <c r="D26" s="13">
        <f>SUMIF('Assemble Data'!H:H,'Assemble Data'!A27,'Assemble Data'!I:I)</f>
        <v>11</v>
      </c>
      <c r="E26" s="13">
        <f>IFERROR(IF(AND('Assemble Data'!D27&lt;&gt;"",'Assemble Data'!D27&lt;&gt;B26),1,0),1)</f>
        <v>0</v>
      </c>
      <c r="F26" s="13">
        <f ca="1">IF('Assemble Data'!E27="",0,IF(ISERROR(FIND("INDEX",_xlfn.FORMULATEXT('Assemble Data'!E27),1)),1,0)+IFERROR(IF(AND('Assemble Data'!E27&lt;&gt;C26,'Assemble Data'!E27&lt;&gt;""),1,0),1))</f>
        <v>0</v>
      </c>
      <c r="G26" s="13">
        <f ca="1">IF('Assemble Data'!F27="",0,IF(ISERROR(FIND("VLOOKUP",_xlfn.FORMULATEXT('Assemble Data'!F27),1)),1,0)+IFERROR(IF(AND('Assemble Data'!F27&lt;&gt;D26,'Assemble Data'!F27&lt;&gt;""),1,0),1))</f>
        <v>0</v>
      </c>
      <c r="H26" s="13">
        <v>9</v>
      </c>
      <c r="I26" t="str">
        <f t="shared" si="4"/>
        <v>C1P11</v>
      </c>
      <c r="L26" t="s">
        <v>307</v>
      </c>
      <c r="M26">
        <v>0.9</v>
      </c>
      <c r="N26" s="681">
        <f>SUMIF('Assemble Data'!$E:$E,$L26,'Assemble Data'!D:D)</f>
        <v>386280</v>
      </c>
      <c r="O26">
        <f>SUMIF('Assemble Data'!$E:$E,$L26,'Assemble Data'!F:F)</f>
        <v>396</v>
      </c>
      <c r="P26" s="681">
        <f t="shared" si="0"/>
        <v>975.4545454545455</v>
      </c>
      <c r="Q26" t="str">
        <f t="shared" si="1"/>
        <v/>
      </c>
      <c r="S26" s="661" t="s">
        <v>283</v>
      </c>
      <c r="T26" s="661" t="s">
        <v>289</v>
      </c>
      <c r="U26" s="743" t="s">
        <v>322</v>
      </c>
      <c r="V26" s="675">
        <f t="shared" si="2"/>
        <v>170</v>
      </c>
      <c r="W26" s="744">
        <v>5</v>
      </c>
      <c r="X26" s="745">
        <v>900</v>
      </c>
      <c r="Y26" s="665">
        <f t="shared" si="3"/>
        <v>4500</v>
      </c>
    </row>
    <row r="27" spans="1:25">
      <c r="A27" t="str">
        <f>'Assemble Data'!B28</f>
        <v>P15</v>
      </c>
      <c r="B27" s="13">
        <f>IFERROR(SUMIF('Assemble Data'!K:K,'Assemble Data'!A28,'Assemble Data'!L:L),0)</f>
        <v>8400</v>
      </c>
      <c r="C27" s="13" t="str">
        <f>INDEX('Assemble Data'!$O$24:$O$1023,MATCH('Assemble Data'!A28,'Assemble Data'!$N$24:$N$1023,0))</f>
        <v>N1</v>
      </c>
      <c r="D27" s="13">
        <f>SUMIF('Assemble Data'!H:H,'Assemble Data'!A28,'Assemble Data'!I:I)</f>
        <v>5</v>
      </c>
      <c r="E27" s="13">
        <f>IFERROR(IF(AND('Assemble Data'!D28&lt;&gt;"",'Assemble Data'!D28&lt;&gt;B27),1,0),1)</f>
        <v>0</v>
      </c>
      <c r="F27" s="13">
        <f ca="1">IF('Assemble Data'!E28="",0,IF(ISERROR(FIND("INDEX",_xlfn.FORMULATEXT('Assemble Data'!E28),1)),1,0)+IFERROR(IF(AND('Assemble Data'!E28&lt;&gt;C27,'Assemble Data'!E28&lt;&gt;""),1,0),1))</f>
        <v>0</v>
      </c>
      <c r="G27" s="13">
        <f ca="1">IF('Assemble Data'!F28="",0,IF(ISERROR(FIND("VLOOKUP",_xlfn.FORMULATEXT('Assemble Data'!F28),1)),1,0)+IFERROR(IF(AND('Assemble Data'!F28&lt;&gt;D27,'Assemble Data'!F28&lt;&gt;""),1,0),1))</f>
        <v>0</v>
      </c>
      <c r="H27" s="13">
        <v>4</v>
      </c>
      <c r="I27" t="str">
        <f t="shared" si="4"/>
        <v>N1P15</v>
      </c>
      <c r="L27" t="s">
        <v>308</v>
      </c>
      <c r="M27">
        <v>1</v>
      </c>
      <c r="N27" s="681">
        <f>SUMIF('Assemble Data'!$E:$E,$L27,'Assemble Data'!D:D)</f>
        <v>214800</v>
      </c>
      <c r="O27">
        <f>SUMIF('Assemble Data'!$E:$E,$L27,'Assemble Data'!F:F)</f>
        <v>205</v>
      </c>
      <c r="P27" s="681">
        <f t="shared" si="0"/>
        <v>1047.8048780487804</v>
      </c>
      <c r="Q27" t="str">
        <f t="shared" si="1"/>
        <v/>
      </c>
      <c r="S27" s="661" t="s">
        <v>357</v>
      </c>
      <c r="T27" s="661" t="s">
        <v>291</v>
      </c>
      <c r="U27" s="743" t="s">
        <v>323</v>
      </c>
      <c r="V27" s="675">
        <f t="shared" si="2"/>
        <v>57</v>
      </c>
      <c r="W27" s="744">
        <v>8</v>
      </c>
      <c r="X27" s="745">
        <v>900</v>
      </c>
      <c r="Y27" s="665">
        <f t="shared" si="3"/>
        <v>7200</v>
      </c>
    </row>
    <row r="28" spans="1:25">
      <c r="A28" t="str">
        <f>'Assemble Data'!B29</f>
        <v>P10</v>
      </c>
      <c r="B28" s="13">
        <f>IFERROR(SUMIF('Assemble Data'!K:K,'Assemble Data'!A29,'Assemble Data'!L:L),0)</f>
        <v>2880</v>
      </c>
      <c r="C28" s="13" t="str">
        <f>INDEX('Assemble Data'!$O$24:$O$1023,MATCH('Assemble Data'!A29,'Assemble Data'!$N$24:$N$1023,0))</f>
        <v>C1</v>
      </c>
      <c r="D28" s="13">
        <f>SUMIF('Assemble Data'!H:H,'Assemble Data'!A29,'Assemble Data'!I:I)</f>
        <v>3</v>
      </c>
      <c r="E28" s="13">
        <f>IFERROR(IF(AND('Assemble Data'!D29&lt;&gt;"",'Assemble Data'!D29&lt;&gt;B28),1,0),1)</f>
        <v>0</v>
      </c>
      <c r="F28" s="13">
        <f ca="1">IF('Assemble Data'!E29="",0,IF(ISERROR(FIND("INDEX",_xlfn.FORMULATEXT('Assemble Data'!E29),1)),1,0)+IFERROR(IF(AND('Assemble Data'!E29&lt;&gt;C28,'Assemble Data'!E29&lt;&gt;""),1,0),1))</f>
        <v>0</v>
      </c>
      <c r="G28" s="13">
        <f ca="1">IF('Assemble Data'!F29="",0,IF(ISERROR(FIND("VLOOKUP",_xlfn.FORMULATEXT('Assemble Data'!F29),1)),1,0)+IFERROR(IF(AND('Assemble Data'!F29&lt;&gt;D28,'Assemble Data'!F29&lt;&gt;""),1,0),1))</f>
        <v>0</v>
      </c>
      <c r="H28" s="13">
        <v>8</v>
      </c>
      <c r="I28" t="str">
        <f t="shared" si="4"/>
        <v>C1P10</v>
      </c>
      <c r="L28" t="s">
        <v>309</v>
      </c>
      <c r="M28">
        <v>0.9</v>
      </c>
      <c r="N28" s="681">
        <f>SUMIF('Assemble Data'!$E:$E,$L28,'Assemble Data'!D:D)</f>
        <v>322560</v>
      </c>
      <c r="O28">
        <f>SUMIF('Assemble Data'!$E:$E,$L28,'Assemble Data'!F:F)</f>
        <v>370</v>
      </c>
      <c r="P28" s="681">
        <f t="shared" si="0"/>
        <v>871.78378378378375</v>
      </c>
      <c r="Q28" t="str">
        <f t="shared" si="1"/>
        <v/>
      </c>
      <c r="S28" s="661" t="s">
        <v>357</v>
      </c>
      <c r="T28" s="661" t="s">
        <v>292</v>
      </c>
      <c r="U28" s="743" t="s">
        <v>324</v>
      </c>
      <c r="V28" s="675">
        <f t="shared" si="2"/>
        <v>11</v>
      </c>
      <c r="W28" s="744">
        <v>5</v>
      </c>
      <c r="X28" s="745">
        <v>1200</v>
      </c>
      <c r="Y28" s="665">
        <f t="shared" si="3"/>
        <v>6000</v>
      </c>
    </row>
    <row r="29" spans="1:25">
      <c r="A29" t="str">
        <f>'Assemble Data'!B30</f>
        <v>P19</v>
      </c>
      <c r="B29" s="13">
        <f>IFERROR(SUMIF('Assemble Data'!K:K,'Assemble Data'!A30,'Assemble Data'!L:L),0)</f>
        <v>7920</v>
      </c>
      <c r="C29" s="13" t="str">
        <f>INDEX('Assemble Data'!$O$24:$O$1023,MATCH('Assemble Data'!A30,'Assemble Data'!$N$24:$N$1023,0))</f>
        <v>O1</v>
      </c>
      <c r="D29" s="13">
        <f>SUMIF('Assemble Data'!H:H,'Assemble Data'!A30,'Assemble Data'!I:I)</f>
        <v>11</v>
      </c>
      <c r="E29" s="13">
        <f>IFERROR(IF(AND('Assemble Data'!D30&lt;&gt;"",'Assemble Data'!D30&lt;&gt;B29),1,0),1)</f>
        <v>0</v>
      </c>
      <c r="F29" s="13">
        <f ca="1">IF('Assemble Data'!E30="",0,IF(ISERROR(FIND("INDEX",_xlfn.FORMULATEXT('Assemble Data'!E30),1)),1,0)+IFERROR(IF(AND('Assemble Data'!E30&lt;&gt;C29,'Assemble Data'!E30&lt;&gt;""),1,0),1))</f>
        <v>0</v>
      </c>
      <c r="G29" s="13">
        <f ca="1">IF('Assemble Data'!F30="",0,IF(ISERROR(FIND("VLOOKUP",_xlfn.FORMULATEXT('Assemble Data'!F30),1)),1,0)+IFERROR(IF(AND('Assemble Data'!F30&lt;&gt;D29,'Assemble Data'!F30&lt;&gt;""),1,0),1))</f>
        <v>0</v>
      </c>
      <c r="H29" s="13">
        <v>1</v>
      </c>
      <c r="I29" t="str">
        <f t="shared" si="4"/>
        <v>O1P19</v>
      </c>
      <c r="L29" t="s">
        <v>310</v>
      </c>
      <c r="M29">
        <v>1.1000000000000001</v>
      </c>
      <c r="N29" s="681">
        <f>SUMIF('Assemble Data'!$E:$E,$L29,'Assemble Data'!D:D)</f>
        <v>1018380</v>
      </c>
      <c r="O29">
        <f>SUMIF('Assemble Data'!$E:$E,$L29,'Assemble Data'!F:F)</f>
        <v>921</v>
      </c>
      <c r="P29" s="681">
        <f t="shared" si="0"/>
        <v>1105.7328990228013</v>
      </c>
      <c r="Q29" t="str">
        <f t="shared" si="1"/>
        <v/>
      </c>
      <c r="S29" s="661" t="s">
        <v>357</v>
      </c>
      <c r="T29" s="661" t="s">
        <v>293</v>
      </c>
      <c r="U29" s="743" t="s">
        <v>325</v>
      </c>
      <c r="V29" s="675">
        <f t="shared" si="2"/>
        <v>60</v>
      </c>
      <c r="W29" s="744">
        <v>4</v>
      </c>
      <c r="X29" s="745">
        <v>1300</v>
      </c>
      <c r="Y29" s="665">
        <f t="shared" si="3"/>
        <v>5200</v>
      </c>
    </row>
    <row r="30" spans="1:25">
      <c r="A30" t="str">
        <f>'Assemble Data'!B31</f>
        <v>P11</v>
      </c>
      <c r="B30" s="13">
        <f>IFERROR(SUMIF('Assemble Data'!K:K,'Assemble Data'!A31,'Assemble Data'!L:L),0)</f>
        <v>13200</v>
      </c>
      <c r="C30" s="13" t="str">
        <f>INDEX('Assemble Data'!$O$24:$O$1023,MATCH('Assemble Data'!A31,'Assemble Data'!$N$24:$N$1023,0))</f>
        <v>C1</v>
      </c>
      <c r="D30" s="13">
        <f>SUMIF('Assemble Data'!H:H,'Assemble Data'!A31,'Assemble Data'!I:I)</f>
        <v>11</v>
      </c>
      <c r="E30" s="13">
        <f>IFERROR(IF(AND('Assemble Data'!D31&lt;&gt;"",'Assemble Data'!D31&lt;&gt;B30),1,0),1)</f>
        <v>0</v>
      </c>
      <c r="F30" s="13">
        <f ca="1">IF('Assemble Data'!E31="",0,IF(ISERROR(FIND("INDEX",_xlfn.FORMULATEXT('Assemble Data'!E31),1)),1,0)+IFERROR(IF(AND('Assemble Data'!E31&lt;&gt;C30,'Assemble Data'!E31&lt;&gt;""),1,0),1))</f>
        <v>0</v>
      </c>
      <c r="G30" s="13">
        <f ca="1">IF('Assemble Data'!F31="",0,IF(ISERROR(FIND("VLOOKUP",_xlfn.FORMULATEXT('Assemble Data'!F31),1)),1,0)+IFERROR(IF(AND('Assemble Data'!F31&lt;&gt;D30,'Assemble Data'!F31&lt;&gt;""),1,0),1))</f>
        <v>0</v>
      </c>
      <c r="H30" s="13">
        <v>9</v>
      </c>
      <c r="I30" t="str">
        <f t="shared" si="4"/>
        <v>C1P11</v>
      </c>
      <c r="L30" t="s">
        <v>311</v>
      </c>
      <c r="M30">
        <v>0.8</v>
      </c>
      <c r="N30" s="681">
        <f>SUMIF('Assemble Data'!$E:$E,$L30,'Assemble Data'!D:D)</f>
        <v>444480</v>
      </c>
      <c r="O30">
        <f>SUMIF('Assemble Data'!$E:$E,$L30,'Assemble Data'!F:F)</f>
        <v>555</v>
      </c>
      <c r="P30" s="681">
        <f t="shared" si="0"/>
        <v>800.8648648648649</v>
      </c>
      <c r="Q30" t="str">
        <f t="shared" si="1"/>
        <v/>
      </c>
      <c r="S30" s="661" t="s">
        <v>284</v>
      </c>
      <c r="T30" s="661" t="s">
        <v>296</v>
      </c>
      <c r="U30" s="743" t="s">
        <v>326</v>
      </c>
      <c r="V30" s="675">
        <f t="shared" si="2"/>
        <v>117</v>
      </c>
      <c r="W30" s="744">
        <v>12</v>
      </c>
      <c r="X30" s="745">
        <v>1000</v>
      </c>
      <c r="Y30" s="665">
        <f t="shared" si="3"/>
        <v>12000</v>
      </c>
    </row>
    <row r="31" spans="1:25">
      <c r="A31" t="str">
        <f>'Assemble Data'!B32</f>
        <v>P13</v>
      </c>
      <c r="B31" s="13">
        <f>IFERROR(SUMIF('Assemble Data'!K:K,'Assemble Data'!A32,'Assemble Data'!L:L),0)</f>
        <v>5400</v>
      </c>
      <c r="C31" s="13" t="str">
        <f>INDEX('Assemble Data'!$O$24:$O$1023,MATCH('Assemble Data'!A32,'Assemble Data'!$N$24:$N$1023,0))</f>
        <v>C1</v>
      </c>
      <c r="D31" s="13">
        <f>SUMIF('Assemble Data'!H:H,'Assemble Data'!A32,'Assemble Data'!I:I)</f>
        <v>5</v>
      </c>
      <c r="E31" s="13">
        <f>IFERROR(IF(AND('Assemble Data'!D32&lt;&gt;"",'Assemble Data'!D32&lt;&gt;B31),1,0),1)</f>
        <v>0</v>
      </c>
      <c r="F31" s="13">
        <f ca="1">IF('Assemble Data'!E32="",0,IF(ISERROR(FIND("INDEX",_xlfn.FORMULATEXT('Assemble Data'!E32),1)),1,0)+IFERROR(IF(AND('Assemble Data'!E32&lt;&gt;C31,'Assemble Data'!E32&lt;&gt;""),1,0),1))</f>
        <v>0</v>
      </c>
      <c r="G31" s="13">
        <f ca="1">IF('Assemble Data'!F32="",0,IF(ISERROR(FIND("VLOOKUP",_xlfn.FORMULATEXT('Assemble Data'!F32),1)),1,0)+IFERROR(IF(AND('Assemble Data'!F32&lt;&gt;D31,'Assemble Data'!F32&lt;&gt;""),1,0),1))</f>
        <v>0</v>
      </c>
      <c r="H31" s="13">
        <v>3</v>
      </c>
      <c r="I31" t="str">
        <f t="shared" si="4"/>
        <v>C1P13</v>
      </c>
      <c r="S31" s="661" t="s">
        <v>284</v>
      </c>
      <c r="T31" s="661" t="s">
        <v>297</v>
      </c>
      <c r="U31" s="743" t="s">
        <v>327</v>
      </c>
      <c r="V31" s="675">
        <f t="shared" si="2"/>
        <v>59</v>
      </c>
      <c r="W31" s="744">
        <v>6</v>
      </c>
      <c r="X31" s="745">
        <v>900</v>
      </c>
      <c r="Y31" s="665">
        <f t="shared" si="3"/>
        <v>5400</v>
      </c>
    </row>
    <row r="32" spans="1:25">
      <c r="A32" t="str">
        <f>'Assemble Data'!B33</f>
        <v>P16</v>
      </c>
      <c r="B32" s="13">
        <f>IFERROR(SUMIF('Assemble Data'!K:K,'Assemble Data'!A33,'Assemble Data'!L:L),0)</f>
        <v>7279.9999999999991</v>
      </c>
      <c r="C32" s="13" t="str">
        <f>INDEX('Assemble Data'!$O$24:$O$1023,MATCH('Assemble Data'!A33,'Assemble Data'!$N$24:$N$1023,0))</f>
        <v>N1</v>
      </c>
      <c r="D32" s="13">
        <f>SUMIF('Assemble Data'!H:H,'Assemble Data'!A33,'Assemble Data'!I:I)</f>
        <v>4</v>
      </c>
      <c r="E32" s="13">
        <f>IFERROR(IF(AND('Assemble Data'!D33&lt;&gt;"",'Assemble Data'!D33&lt;&gt;B32),1,0),1)</f>
        <v>0</v>
      </c>
      <c r="F32" s="13">
        <f ca="1">IF('Assemble Data'!E33="",0,IF(ISERROR(FIND("INDEX",_xlfn.FORMULATEXT('Assemble Data'!E33),1)),1,0)+IFERROR(IF(AND('Assemble Data'!E33&lt;&gt;C32,'Assemble Data'!E33&lt;&gt;""),1,0),1))</f>
        <v>0</v>
      </c>
      <c r="G32" s="13">
        <f ca="1">IF('Assemble Data'!F33="",0,IF(ISERROR(FIND("VLOOKUP",_xlfn.FORMULATEXT('Assemble Data'!F33),1)),1,0)+IFERROR(IF(AND('Assemble Data'!F33&lt;&gt;D32,'Assemble Data'!F33&lt;&gt;""),1,0),1))</f>
        <v>0</v>
      </c>
      <c r="H32" s="13">
        <v>0</v>
      </c>
      <c r="I32" t="str">
        <f t="shared" si="4"/>
        <v>N1P16</v>
      </c>
      <c r="N32">
        <f>SUM(N22:N30)</f>
        <v>6907825</v>
      </c>
      <c r="O32">
        <f>SUM(O22:O30)</f>
        <v>7044.5</v>
      </c>
      <c r="S32" s="661" t="s">
        <v>284</v>
      </c>
      <c r="T32" s="661" t="s">
        <v>294</v>
      </c>
      <c r="U32" s="743" t="s">
        <v>328</v>
      </c>
      <c r="V32" s="675">
        <f t="shared" si="2"/>
        <v>8</v>
      </c>
      <c r="W32" s="744">
        <v>11</v>
      </c>
      <c r="X32" s="745">
        <v>800</v>
      </c>
      <c r="Y32" s="665">
        <f t="shared" si="3"/>
        <v>8800</v>
      </c>
    </row>
    <row r="33" spans="1:25">
      <c r="A33" t="str">
        <f>'Assemble Data'!B34</f>
        <v>P15</v>
      </c>
      <c r="B33" s="13">
        <f>IFERROR(SUMIF('Assemble Data'!K:K,'Assemble Data'!A34,'Assemble Data'!L:L),0)</f>
        <v>8400</v>
      </c>
      <c r="C33" s="13" t="str">
        <f>INDEX('Assemble Data'!$O$24:$O$1023,MATCH('Assemble Data'!A34,'Assemble Data'!$N$24:$N$1023,0))</f>
        <v>N1</v>
      </c>
      <c r="D33" s="13">
        <f>SUMIF('Assemble Data'!H:H,'Assemble Data'!A34,'Assemble Data'!I:I)</f>
        <v>5</v>
      </c>
      <c r="E33" s="13">
        <f>IFERROR(IF(AND('Assemble Data'!D34&lt;&gt;"",'Assemble Data'!D34&lt;&gt;B33),1,0),1)</f>
        <v>0</v>
      </c>
      <c r="F33" s="13">
        <f ca="1">IF('Assemble Data'!E34="",0,IF(ISERROR(FIND("INDEX",_xlfn.FORMULATEXT('Assemble Data'!E34),1)),1,0)+IFERROR(IF(AND('Assemble Data'!E34&lt;&gt;C33,'Assemble Data'!E34&lt;&gt;""),1,0),1))</f>
        <v>0</v>
      </c>
      <c r="G33" s="13">
        <f ca="1">IF('Assemble Data'!F34="",0,IF(ISERROR(FIND("VLOOKUP",_xlfn.FORMULATEXT('Assemble Data'!F34),1)),1,0)+IFERROR(IF(AND('Assemble Data'!F34&lt;&gt;D33,'Assemble Data'!F34&lt;&gt;""),1,0),1))</f>
        <v>0</v>
      </c>
      <c r="H33" s="13">
        <v>4</v>
      </c>
      <c r="I33" t="str">
        <f t="shared" si="4"/>
        <v>N1P15</v>
      </c>
    </row>
    <row r="34" spans="1:25">
      <c r="A34" t="str">
        <f>'Assemble Data'!B35</f>
        <v>P17</v>
      </c>
      <c r="B34" s="13">
        <f>IFERROR(SUMIF('Assemble Data'!K:K,'Assemble Data'!A35,'Assemble Data'!L:L),0)</f>
        <v>10800</v>
      </c>
      <c r="C34" s="13" t="str">
        <f>INDEX('Assemble Data'!$O$24:$O$1023,MATCH('Assemble Data'!A35,'Assemble Data'!$N$24:$N$1023,0))</f>
        <v>O1</v>
      </c>
      <c r="D34" s="13">
        <f>SUMIF('Assemble Data'!H:H,'Assemble Data'!A35,'Assemble Data'!I:I)</f>
        <v>12</v>
      </c>
      <c r="E34" s="13">
        <f>IFERROR(IF(AND('Assemble Data'!D35&lt;&gt;"",'Assemble Data'!D35&lt;&gt;B34),1,0),1)</f>
        <v>0</v>
      </c>
      <c r="F34" s="13">
        <f ca="1">IF('Assemble Data'!E35="",0,IF(ISERROR(FIND("INDEX",_xlfn.FORMULATEXT('Assemble Data'!E35),1)),1,0)+IFERROR(IF(AND('Assemble Data'!E35&lt;&gt;C34,'Assemble Data'!E35&lt;&gt;""),1,0),1))</f>
        <v>0</v>
      </c>
      <c r="G34" s="13">
        <f ca="1">IF('Assemble Data'!F35="",0,IF(ISERROR(FIND("VLOOKUP",_xlfn.FORMULATEXT('Assemble Data'!F35),1)),1,0)+IFERROR(IF(AND('Assemble Data'!F35&lt;&gt;D34,'Assemble Data'!F35&lt;&gt;""),1,0),1))</f>
        <v>0</v>
      </c>
      <c r="H34" s="13">
        <v>6</v>
      </c>
      <c r="I34" t="str">
        <f t="shared" si="4"/>
        <v>O1P17</v>
      </c>
      <c r="N34" t="s">
        <v>376</v>
      </c>
      <c r="O34" t="s">
        <v>375</v>
      </c>
      <c r="P34" t="s">
        <v>377</v>
      </c>
      <c r="Q34" t="s">
        <v>378</v>
      </c>
    </row>
    <row r="35" spans="1:25">
      <c r="A35" t="str">
        <f>'Assemble Data'!B36</f>
        <v>P11</v>
      </c>
      <c r="B35" s="13">
        <f>IFERROR(SUMIF('Assemble Data'!K:K,'Assemble Data'!A36,'Assemble Data'!L:L),0)</f>
        <v>13200</v>
      </c>
      <c r="C35" s="13" t="str">
        <f>INDEX('Assemble Data'!$O$24:$O$1023,MATCH('Assemble Data'!A36,'Assemble Data'!$N$24:$N$1023,0))</f>
        <v>C1</v>
      </c>
      <c r="D35" s="13">
        <f>SUMIF('Assemble Data'!H:H,'Assemble Data'!A36,'Assemble Data'!I:I)</f>
        <v>11</v>
      </c>
      <c r="E35" s="13">
        <f>IFERROR(IF(AND('Assemble Data'!D36&lt;&gt;"",'Assemble Data'!D36&lt;&gt;B35),1,0),1)</f>
        <v>0</v>
      </c>
      <c r="F35" s="13">
        <f ca="1">IF('Assemble Data'!E36="",0,IF(ISERROR(FIND("INDEX",_xlfn.FORMULATEXT('Assemble Data'!E36),1)),1,0)+IFERROR(IF(AND('Assemble Data'!E36&lt;&gt;C35,'Assemble Data'!E36&lt;&gt;""),1,0),1))</f>
        <v>0</v>
      </c>
      <c r="G35" s="13">
        <f ca="1">IF('Assemble Data'!F36="",0,IF(ISERROR(FIND("VLOOKUP",_xlfn.FORMULATEXT('Assemble Data'!F36),1)),1,0)+IFERROR(IF(AND('Assemble Data'!F36&lt;&gt;D35,'Assemble Data'!F36&lt;&gt;""),1,0),1))</f>
        <v>0</v>
      </c>
      <c r="H35" s="13">
        <v>9</v>
      </c>
      <c r="I35" t="str">
        <f t="shared" si="4"/>
        <v>C1P11</v>
      </c>
      <c r="M35" t="str">
        <f>Analyze!K31</f>
        <v>Group 1 (C!, C2 and C3)</v>
      </c>
      <c r="N35" s="667">
        <f>SUM(N22:N24)/SUM(O22:O24)</f>
        <v>966.61157953906684</v>
      </c>
      <c r="O35" s="718">
        <f>MAX(P22:P24)</f>
        <v>1143.1900452488687</v>
      </c>
      <c r="P35">
        <f>MATCH(O35,P22:P24,0)</f>
        <v>1</v>
      </c>
      <c r="Q35" cm="1">
        <f t="array" ref="Q35">INDEX(O22:O24,P35)</f>
        <v>884</v>
      </c>
      <c r="T35" s="661" t="s">
        <v>380</v>
      </c>
      <c r="U35">
        <f>MAX(V23:V32)</f>
        <v>227</v>
      </c>
      <c r="X35" t="s">
        <v>228</v>
      </c>
      <c r="Y35" t="s">
        <v>283</v>
      </c>
    </row>
    <row r="36" spans="1:25">
      <c r="A36" t="str">
        <f>'Assemble Data'!B37</f>
        <v>P17</v>
      </c>
      <c r="B36" s="13">
        <f>IFERROR(SUMIF('Assemble Data'!K:K,'Assemble Data'!A37,'Assemble Data'!L:L),0)</f>
        <v>10800</v>
      </c>
      <c r="C36" s="13" t="str">
        <f>INDEX('Assemble Data'!$O$24:$O$1023,MATCH('Assemble Data'!A37,'Assemble Data'!$N$24:$N$1023,0))</f>
        <v>O1</v>
      </c>
      <c r="D36" s="13">
        <f>SUMIF('Assemble Data'!H:H,'Assemble Data'!A37,'Assemble Data'!I:I)</f>
        <v>12</v>
      </c>
      <c r="E36" s="13">
        <f>IFERROR(IF(AND('Assemble Data'!D37&lt;&gt;"",'Assemble Data'!D37&lt;&gt;B36),1,0),1)</f>
        <v>0</v>
      </c>
      <c r="F36" s="13">
        <f ca="1">IF('Assemble Data'!E37="",0,IF(ISERROR(FIND("INDEX",_xlfn.FORMULATEXT('Assemble Data'!E37),1)),1,0)+IFERROR(IF(AND('Assemble Data'!E37&lt;&gt;C36,'Assemble Data'!E37&lt;&gt;""),1,0),1))</f>
        <v>0</v>
      </c>
      <c r="G36" s="13">
        <f ca="1">IF('Assemble Data'!F37="",0,IF(ISERROR(FIND("VLOOKUP",_xlfn.FORMULATEXT('Assemble Data'!F37),1)),1,0)+IFERROR(IF(AND('Assemble Data'!F37&lt;&gt;D36,'Assemble Data'!F37&lt;&gt;""),1,0),1))</f>
        <v>0</v>
      </c>
      <c r="H36" s="13">
        <v>6</v>
      </c>
      <c r="I36" t="str">
        <f t="shared" si="4"/>
        <v>O1P17</v>
      </c>
      <c r="M36" t="str">
        <f>Analyze!K32</f>
        <v>Group 2 (N!, N2 and N3)</v>
      </c>
      <c r="N36" s="667">
        <f>SUM(N25:N27)/SUM(O25:O27)</f>
        <v>1096.4047936085219</v>
      </c>
      <c r="O36" s="718">
        <f>MAX(P25:P27)</f>
        <v>1482.1333333333334</v>
      </c>
      <c r="P36">
        <f>MATCH(O36,P25:P27,0)</f>
        <v>1</v>
      </c>
      <c r="Q36" cm="1">
        <f t="array" ref="Q36">INDEX(O25:O27,P36,0)</f>
        <v>150</v>
      </c>
      <c r="U36">
        <f>MATCH(U35,V23:V32,0)</f>
        <v>2</v>
      </c>
      <c r="X36" t="s">
        <v>234</v>
      </c>
      <c r="Y36" s="661" t="s">
        <v>357</v>
      </c>
    </row>
    <row r="37" spans="1:25">
      <c r="A37" t="str">
        <f>'Assemble Data'!B38</f>
        <v>P13</v>
      </c>
      <c r="B37" s="13">
        <f>IFERROR(SUMIF('Assemble Data'!K:K,'Assemble Data'!A38,'Assemble Data'!L:L),0)</f>
        <v>5400</v>
      </c>
      <c r="C37" s="13" t="str">
        <f>INDEX('Assemble Data'!$O$24:$O$1023,MATCH('Assemble Data'!A38,'Assemble Data'!$N$24:$N$1023,0))</f>
        <v>C1</v>
      </c>
      <c r="D37" s="13">
        <f>SUMIF('Assemble Data'!H:H,'Assemble Data'!A38,'Assemble Data'!I:I)</f>
        <v>5</v>
      </c>
      <c r="E37" s="13">
        <f>IFERROR(IF(AND('Assemble Data'!D38&lt;&gt;"",'Assemble Data'!D38&lt;&gt;B37),1,0),1)</f>
        <v>0</v>
      </c>
      <c r="F37" s="13">
        <f ca="1">IF('Assemble Data'!E38="",0,IF(ISERROR(FIND("INDEX",_xlfn.FORMULATEXT('Assemble Data'!E38),1)),1,0)+IFERROR(IF(AND('Assemble Data'!E38&lt;&gt;C37,'Assemble Data'!E38&lt;&gt;""),1,0),1))</f>
        <v>0</v>
      </c>
      <c r="G37" s="13">
        <f ca="1">IF('Assemble Data'!F38="",0,IF(ISERROR(FIND("VLOOKUP",_xlfn.FORMULATEXT('Assemble Data'!F38),1)),1,0)+IFERROR(IF(AND('Assemble Data'!F38&lt;&gt;D37,'Assemble Data'!F38&lt;&gt;""),1,0),1))</f>
        <v>0</v>
      </c>
      <c r="H37" s="13">
        <v>3</v>
      </c>
      <c r="I37" t="str">
        <f t="shared" si="4"/>
        <v>C1P13</v>
      </c>
      <c r="M37" t="str">
        <f>Analyze!K33</f>
        <v>Group 3 (O!, O2 and O3)</v>
      </c>
      <c r="N37" s="667" cm="1">
        <f t="array" ref="N37">SUM(N28:N30/SUM(O28:O30))</f>
        <v>967.1830985915492</v>
      </c>
      <c r="O37" s="718">
        <f>MAX(P28:P30)</f>
        <v>1105.7328990228013</v>
      </c>
      <c r="P37">
        <f>MATCH(O37,P28:P30,0)</f>
        <v>2</v>
      </c>
      <c r="Q37" cm="1">
        <f t="array" ref="Q37">INDEX(O28:O30,P37,0)</f>
        <v>921</v>
      </c>
      <c r="U37" t="str" cm="1">
        <f t="array" ref="U37">INDEX(U23:U32,U36)</f>
        <v>P11</v>
      </c>
      <c r="X37" t="s">
        <v>235</v>
      </c>
      <c r="Y37" t="s">
        <v>284</v>
      </c>
    </row>
    <row r="38" spans="1:25">
      <c r="A38" t="str">
        <f>'Assemble Data'!B39</f>
        <v>P16</v>
      </c>
      <c r="B38" s="13">
        <f>IFERROR(SUMIF('Assemble Data'!K:K,'Assemble Data'!A39,'Assemble Data'!L:L),0)</f>
        <v>7279.9999999999991</v>
      </c>
      <c r="C38" s="13" t="str">
        <f>INDEX('Assemble Data'!$O$24:$O$1023,MATCH('Assemble Data'!A39,'Assemble Data'!$N$24:$N$1023,0))</f>
        <v>N1</v>
      </c>
      <c r="D38" s="13">
        <f>SUMIF('Assemble Data'!H:H,'Assemble Data'!A39,'Assemble Data'!I:I)</f>
        <v>4</v>
      </c>
      <c r="E38" s="13">
        <f>IFERROR(IF(AND('Assemble Data'!D39&lt;&gt;"",'Assemble Data'!D39&lt;&gt;B38),1,0),1)</f>
        <v>0</v>
      </c>
      <c r="F38" s="13">
        <f ca="1">IF('Assemble Data'!E39="",0,IF(ISERROR(FIND("INDEX",_xlfn.FORMULATEXT('Assemble Data'!E39),1)),1,0)+IFERROR(IF(AND('Assemble Data'!E39&lt;&gt;C38,'Assemble Data'!E39&lt;&gt;""),1,0),1))</f>
        <v>0</v>
      </c>
      <c r="G38" s="13">
        <f ca="1">IF('Assemble Data'!F39="",0,IF(ISERROR(FIND("VLOOKUP",_xlfn.FORMULATEXT('Assemble Data'!F39),1)),1,0)+IFERROR(IF(AND('Assemble Data'!F39&lt;&gt;D38,'Assemble Data'!F39&lt;&gt;""),1,0),1))</f>
        <v>0</v>
      </c>
      <c r="H38" s="13">
        <v>0</v>
      </c>
      <c r="I38" t="str">
        <f t="shared" si="4"/>
        <v>N1P16</v>
      </c>
      <c r="T38" s="660" t="s">
        <v>384</v>
      </c>
      <c r="U38">
        <f>MIN(Q22:Q30)</f>
        <v>9166.6666666666661</v>
      </c>
    </row>
    <row r="39" spans="1:25">
      <c r="A39" t="str">
        <f>'Assemble Data'!B40</f>
        <v>P10</v>
      </c>
      <c r="B39" s="13">
        <f>IFERROR(SUMIF('Assemble Data'!K:K,'Assemble Data'!A40,'Assemble Data'!L:L),0)</f>
        <v>2880</v>
      </c>
      <c r="C39" s="13" t="str">
        <f>INDEX('Assemble Data'!$O$24:$O$1023,MATCH('Assemble Data'!A40,'Assemble Data'!$N$24:$N$1023,0))</f>
        <v>C1</v>
      </c>
      <c r="D39" s="13">
        <f>SUMIF('Assemble Data'!H:H,'Assemble Data'!A40,'Assemble Data'!I:I)</f>
        <v>3</v>
      </c>
      <c r="E39" s="13">
        <f>IFERROR(IF(AND('Assemble Data'!D40&lt;&gt;"",'Assemble Data'!D40&lt;&gt;B39),1,0),1)</f>
        <v>0</v>
      </c>
      <c r="F39" s="13">
        <f ca="1">IF('Assemble Data'!E40="",0,IF(ISERROR(FIND("INDEX",_xlfn.FORMULATEXT('Assemble Data'!E40),1)),1,0)+IFERROR(IF(AND('Assemble Data'!E40&lt;&gt;C39,'Assemble Data'!E40&lt;&gt;""),1,0),1))</f>
        <v>0</v>
      </c>
      <c r="G39" s="13">
        <f ca="1">IF('Assemble Data'!F40="",0,IF(ISERROR(FIND("VLOOKUP",_xlfn.FORMULATEXT('Assemble Data'!F40),1)),1,0)+IFERROR(IF(AND('Assemble Data'!F40&lt;&gt;D39,'Assemble Data'!F40&lt;&gt;""),1,0),1))</f>
        <v>0</v>
      </c>
      <c r="H39" s="13">
        <v>8</v>
      </c>
      <c r="I39" t="str">
        <f t="shared" si="4"/>
        <v>C1P10</v>
      </c>
      <c r="T39" t="s">
        <v>381</v>
      </c>
      <c r="U39">
        <f>MATCH(U38,Q22:Q30,0)</f>
        <v>3</v>
      </c>
    </row>
    <row r="40" spans="1:25">
      <c r="A40" t="str">
        <f>'Assemble Data'!B41</f>
        <v>P10</v>
      </c>
      <c r="B40" s="13">
        <f>IFERROR(SUMIF('Assemble Data'!K:K,'Assemble Data'!A41,'Assemble Data'!L:L),0)</f>
        <v>2880</v>
      </c>
      <c r="C40" s="13" t="str">
        <f>INDEX('Assemble Data'!$O$24:$O$1023,MATCH('Assemble Data'!A41,'Assemble Data'!$N$24:$N$1023,0))</f>
        <v>C1</v>
      </c>
      <c r="D40" s="13">
        <f>SUMIF('Assemble Data'!H:H,'Assemble Data'!A41,'Assemble Data'!I:I)</f>
        <v>3</v>
      </c>
      <c r="E40" s="13">
        <f>IFERROR(IF(AND('Assemble Data'!D41&lt;&gt;"",'Assemble Data'!D41&lt;&gt;B40),1,0),1)</f>
        <v>0</v>
      </c>
      <c r="F40" s="13">
        <f ca="1">IF('Assemble Data'!E41="",0,IF(ISERROR(FIND("INDEX",_xlfn.FORMULATEXT('Assemble Data'!E41),1)),1,0)+IFERROR(IF(AND('Assemble Data'!E41&lt;&gt;C40,'Assemble Data'!E41&lt;&gt;""),1,0),1))</f>
        <v>0</v>
      </c>
      <c r="G40" s="13">
        <f ca="1">IF('Assemble Data'!F41="",0,IF(ISERROR(FIND("VLOOKUP",_xlfn.FORMULATEXT('Assemble Data'!F41),1)),1,0)+IFERROR(IF(AND('Assemble Data'!F41&lt;&gt;D40,'Assemble Data'!F41&lt;&gt;""),1,0),1))</f>
        <v>0</v>
      </c>
      <c r="H40" s="13">
        <v>8</v>
      </c>
      <c r="I40" t="str">
        <f t="shared" si="4"/>
        <v>C1P10</v>
      </c>
      <c r="T40" s="660" t="s">
        <v>382</v>
      </c>
      <c r="U40" cm="1">
        <f t="array" ref="U40">INDEX(O22:O30,U39,0)</f>
        <v>1374.5</v>
      </c>
    </row>
    <row r="41" spans="1:25">
      <c r="A41" t="str">
        <f>'Assemble Data'!B42</f>
        <v>P19</v>
      </c>
      <c r="B41" s="13">
        <f>IFERROR(SUMIF('Assemble Data'!K:K,'Assemble Data'!A42,'Assemble Data'!L:L),0)</f>
        <v>7920</v>
      </c>
      <c r="C41" s="13" t="str">
        <f>INDEX('Assemble Data'!$O$24:$O$1023,MATCH('Assemble Data'!A42,'Assemble Data'!$N$24:$N$1023,0))</f>
        <v>O1</v>
      </c>
      <c r="D41" s="13">
        <f>SUMIF('Assemble Data'!H:H,'Assemble Data'!A42,'Assemble Data'!I:I)</f>
        <v>11</v>
      </c>
      <c r="E41" s="13">
        <f>IFERROR(IF(AND('Assemble Data'!D42&lt;&gt;"",'Assemble Data'!D42&lt;&gt;B41),1,0),1)</f>
        <v>0</v>
      </c>
      <c r="F41" s="13">
        <f ca="1">IF('Assemble Data'!E42="",0,IF(ISERROR(FIND("INDEX",_xlfn.FORMULATEXT('Assemble Data'!E42),1)),1,0)+IFERROR(IF(AND('Assemble Data'!E42&lt;&gt;C41,'Assemble Data'!E42&lt;&gt;""),1,0),1))</f>
        <v>0</v>
      </c>
      <c r="G41" s="13">
        <f ca="1">IF('Assemble Data'!F42="",0,IF(ISERROR(FIND("VLOOKUP",_xlfn.FORMULATEXT('Assemble Data'!F42),1)),1,0)+IFERROR(IF(AND('Assemble Data'!F42&lt;&gt;D41,'Assemble Data'!F42&lt;&gt;""),1,0),1))</f>
        <v>0</v>
      </c>
      <c r="H41" s="13">
        <v>1</v>
      </c>
      <c r="I41" t="str">
        <f t="shared" si="4"/>
        <v>O1P19</v>
      </c>
      <c r="R41" t="s">
        <v>361</v>
      </c>
      <c r="U41" t="str" cm="1">
        <f t="array" ref="U41">INDEX(L22:L30,U39,0)</f>
        <v>C3</v>
      </c>
    </row>
    <row r="42" spans="1:25">
      <c r="A42" t="str">
        <f>'Assemble Data'!B43</f>
        <v>P17</v>
      </c>
      <c r="B42" s="13">
        <f>IFERROR(SUMIF('Assemble Data'!K:K,'Assemble Data'!A43,'Assemble Data'!L:L),0)</f>
        <v>13200.000000000002</v>
      </c>
      <c r="C42" s="13" t="str">
        <f>INDEX('Assemble Data'!$O$24:$O$1023,MATCH('Assemble Data'!A43,'Assemble Data'!$N$24:$N$1023,0))</f>
        <v>O2</v>
      </c>
      <c r="D42" s="13">
        <f>SUMIF('Assemble Data'!H:H,'Assemble Data'!A43,'Assemble Data'!I:I)</f>
        <v>12</v>
      </c>
      <c r="E42" s="13">
        <f>IFERROR(IF(AND('Assemble Data'!D43&lt;&gt;"",'Assemble Data'!D43&lt;&gt;B42),1,0),1)</f>
        <v>0</v>
      </c>
      <c r="F42" s="13">
        <f ca="1">IF('Assemble Data'!E43="",0,IF(ISERROR(FIND("INDEX",_xlfn.FORMULATEXT('Assemble Data'!E43),1)),1,0)+IFERROR(IF(AND('Assemble Data'!E43&lt;&gt;C42,'Assemble Data'!E43&lt;&gt;""),1,0),1))</f>
        <v>0</v>
      </c>
      <c r="G42" s="13">
        <f ca="1">IF('Assemble Data'!F43="",0,IF(ISERROR(FIND("VLOOKUP",_xlfn.FORMULATEXT('Assemble Data'!F43),1)),1,0)+IFERROR(IF(AND('Assemble Data'!F43&lt;&gt;D42,'Assemble Data'!F43&lt;&gt;""),1,0),1))</f>
        <v>0</v>
      </c>
      <c r="H42" s="13">
        <v>6</v>
      </c>
      <c r="I42" t="str">
        <f t="shared" si="4"/>
        <v>O2P17</v>
      </c>
      <c r="M42" t="s">
        <v>314</v>
      </c>
      <c r="N42" t="str">
        <f>$U$47&amp;"1"</f>
        <v>O1</v>
      </c>
      <c r="O42" t="str">
        <f>$U$47&amp;"2"</f>
        <v>O2</v>
      </c>
      <c r="P42" t="str">
        <f>$U$47&amp;"3"</f>
        <v>O3</v>
      </c>
      <c r="R42">
        <f>LARGE(N43:P45,2)</f>
        <v>1126</v>
      </c>
      <c r="U42" t="str">
        <f>LEFT(U41,1)</f>
        <v>C</v>
      </c>
    </row>
    <row r="43" spans="1:25">
      <c r="A43" t="str">
        <f>'Assemble Data'!B44</f>
        <v>P13</v>
      </c>
      <c r="B43" s="13">
        <f>IFERROR(SUMIF('Assemble Data'!K:K,'Assemble Data'!A44,'Assemble Data'!L:L),0)</f>
        <v>4500</v>
      </c>
      <c r="C43" s="13" t="str">
        <f>INDEX('Assemble Data'!$O$24:$O$1023,MATCH('Assemble Data'!A44,'Assemble Data'!$N$24:$N$1023,0))</f>
        <v>C2</v>
      </c>
      <c r="D43" s="13">
        <f>SUMIF('Assemble Data'!H:H,'Assemble Data'!A44,'Assemble Data'!I:I)</f>
        <v>5</v>
      </c>
      <c r="E43" s="13">
        <f>IFERROR(IF(AND('Assemble Data'!D44&lt;&gt;"",'Assemble Data'!D44&lt;&gt;B43),1,0),1)</f>
        <v>0</v>
      </c>
      <c r="F43" s="13">
        <f ca="1">IF('Assemble Data'!E44="",0,IF(ISERROR(FIND("INDEX",_xlfn.FORMULATEXT('Assemble Data'!E44),1)),1,0)+IFERROR(IF(AND('Assemble Data'!E44&lt;&gt;C43,'Assemble Data'!E44&lt;&gt;""),1,0),1))</f>
        <v>0</v>
      </c>
      <c r="G43" s="13">
        <f ca="1">IF('Assemble Data'!F44="",0,IF(ISERROR(FIND("VLOOKUP",_xlfn.FORMULATEXT('Assemble Data'!F44),1)),1,0)+IFERROR(IF(AND('Assemble Data'!F44&lt;&gt;D43,'Assemble Data'!F44&lt;&gt;""),1,0),1))</f>
        <v>0</v>
      </c>
      <c r="H43" s="13">
        <v>3</v>
      </c>
      <c r="I43" t="str">
        <f t="shared" si="4"/>
        <v>C2P13</v>
      </c>
      <c r="M43" s="722" t="str">
        <f>$U$54&amp;"1"</f>
        <v>N1</v>
      </c>
      <c r="N43" s="681">
        <f>VLOOKUP(N$42,$L$22:$O$30,4,FALSE)+VLOOKUP($M43,$L$22:$O$30,4,FALSE)</f>
        <v>520</v>
      </c>
      <c r="O43" s="681">
        <f t="shared" ref="O43:P43" si="5">VLOOKUP(O$42,$L$22:$O$30,4,FALSE)+VLOOKUP($M43,$L$22:$O$30,4,FALSE)</f>
        <v>1071</v>
      </c>
      <c r="P43" s="681">
        <f t="shared" si="5"/>
        <v>705</v>
      </c>
      <c r="U43">
        <f>MATCH(U42,X35:X37)</f>
        <v>1</v>
      </c>
    </row>
    <row r="44" spans="1:25">
      <c r="A44" t="str">
        <f>'Assemble Data'!B45</f>
        <v>P12</v>
      </c>
      <c r="B44" s="13">
        <f>IFERROR(SUMIF('Assemble Data'!K:K,'Assemble Data'!A45,'Assemble Data'!L:L),0)</f>
        <v>6825</v>
      </c>
      <c r="C44" s="13" t="str">
        <f>INDEX('Assemble Data'!$O$24:$O$1023,MATCH('Assemble Data'!A45,'Assemble Data'!$N$24:$N$1023,0))</f>
        <v>C2</v>
      </c>
      <c r="D44" s="13">
        <f>SUMIF('Assemble Data'!H:H,'Assemble Data'!A45,'Assemble Data'!I:I)</f>
        <v>6.5</v>
      </c>
      <c r="E44" s="13">
        <f>IFERROR(IF(AND('Assemble Data'!D45&lt;&gt;"",'Assemble Data'!D45&lt;&gt;B44),1,0),1)</f>
        <v>0</v>
      </c>
      <c r="F44" s="13">
        <f ca="1">IF('Assemble Data'!E45="",0,IF(ISERROR(FIND("INDEX",_xlfn.FORMULATEXT('Assemble Data'!E45),1)),1,0)+IFERROR(IF(AND('Assemble Data'!E45&lt;&gt;C44,'Assemble Data'!E45&lt;&gt;""),1,0),1))</f>
        <v>0</v>
      </c>
      <c r="G44" s="13">
        <f ca="1">IF('Assemble Data'!F45="",0,IF(ISERROR(FIND("VLOOKUP",_xlfn.FORMULATEXT('Assemble Data'!F45),1)),1,0)+IFERROR(IF(AND('Assemble Data'!F45&lt;&gt;D44,'Assemble Data'!F45&lt;&gt;""),1,0),1))</f>
        <v>0</v>
      </c>
      <c r="H44" s="13">
        <v>7</v>
      </c>
      <c r="I44" t="str">
        <f t="shared" si="4"/>
        <v>C2P12</v>
      </c>
      <c r="M44" s="722" t="str">
        <f>$U$54&amp;"2"</f>
        <v>N2</v>
      </c>
      <c r="N44" s="681">
        <f t="shared" ref="N44:P45" si="6">VLOOKUP(N$42,$L$22:$O$30,4,FALSE)+VLOOKUP($M44,$L$22:$O$30,4,FALSE)</f>
        <v>766</v>
      </c>
      <c r="O44" s="681">
        <f t="shared" si="6"/>
        <v>1317</v>
      </c>
      <c r="P44" s="681">
        <f t="shared" si="6"/>
        <v>951</v>
      </c>
      <c r="R44" t="s">
        <v>362</v>
      </c>
      <c r="U44" t="str" cm="1">
        <f t="array" ref="U44">INDEX(Y35:Y37,U43,0)</f>
        <v>Cardiac</v>
      </c>
    </row>
    <row r="45" spans="1:25">
      <c r="A45" t="str">
        <f>'Assemble Data'!B46</f>
        <v>P15</v>
      </c>
      <c r="B45" s="13">
        <f>IFERROR(SUMIF('Assemble Data'!K:K,'Assemble Data'!A46,'Assemble Data'!L:L),0)</f>
        <v>5400</v>
      </c>
      <c r="C45" s="13" t="str">
        <f>INDEX('Assemble Data'!$O$24:$O$1023,MATCH('Assemble Data'!A46,'Assemble Data'!$N$24:$N$1023,0))</f>
        <v>N2</v>
      </c>
      <c r="D45" s="13">
        <f>SUMIF('Assemble Data'!H:H,'Assemble Data'!A46,'Assemble Data'!I:I)</f>
        <v>5</v>
      </c>
      <c r="E45" s="13">
        <f>IFERROR(IF(AND('Assemble Data'!D46&lt;&gt;"",'Assemble Data'!D46&lt;&gt;B45),1,0),1)</f>
        <v>0</v>
      </c>
      <c r="F45" s="13">
        <f ca="1">IF('Assemble Data'!E46="",0,IF(ISERROR(FIND("INDEX",_xlfn.FORMULATEXT('Assemble Data'!E46),1)),1,0)+IFERROR(IF(AND('Assemble Data'!E46&lt;&gt;C45,'Assemble Data'!E46&lt;&gt;""),1,0),1))</f>
        <v>0</v>
      </c>
      <c r="G45" s="13">
        <f ca="1">IF('Assemble Data'!F46="",0,IF(ISERROR(FIND("VLOOKUP",_xlfn.FORMULATEXT('Assemble Data'!F46),1)),1,0)+IFERROR(IF(AND('Assemble Data'!F46&lt;&gt;D45,'Assemble Data'!F46&lt;&gt;""),1,0),1))</f>
        <v>0</v>
      </c>
      <c r="H45" s="13">
        <v>4</v>
      </c>
      <c r="I45" t="str">
        <f t="shared" si="4"/>
        <v>N2P15</v>
      </c>
      <c r="M45" s="722" t="str">
        <f>$U$54&amp;"3"</f>
        <v>N3</v>
      </c>
      <c r="N45" s="681">
        <f t="shared" si="6"/>
        <v>575</v>
      </c>
      <c r="O45" s="681">
        <f t="shared" si="6"/>
        <v>1126</v>
      </c>
      <c r="P45" s="681">
        <f t="shared" si="6"/>
        <v>760</v>
      </c>
      <c r="R45" s="718">
        <f>MAX(N43:P45)</f>
        <v>1317</v>
      </c>
    </row>
    <row r="46" spans="1:25">
      <c r="A46" t="str">
        <f>'Assemble Data'!B47</f>
        <v>P12</v>
      </c>
      <c r="B46" s="13">
        <f>IFERROR(SUMIF('Assemble Data'!K:K,'Assemble Data'!A47,'Assemble Data'!L:L),0)</f>
        <v>6825</v>
      </c>
      <c r="C46" s="13" t="str">
        <f>INDEX('Assemble Data'!$O$24:$O$1023,MATCH('Assemble Data'!A47,'Assemble Data'!$N$24:$N$1023,0))</f>
        <v>C2</v>
      </c>
      <c r="D46" s="13">
        <f>SUMIF('Assemble Data'!H:H,'Assemble Data'!A47,'Assemble Data'!I:I)</f>
        <v>6.5</v>
      </c>
      <c r="E46" s="13">
        <f>IFERROR(IF(AND('Assemble Data'!D47&lt;&gt;"",'Assemble Data'!D47&lt;&gt;B46),1,0),1)</f>
        <v>0</v>
      </c>
      <c r="F46" s="13">
        <f ca="1">IF('Assemble Data'!E47="",0,IF(ISERROR(FIND("INDEX",_xlfn.FORMULATEXT('Assemble Data'!E47),1)),1,0)+IFERROR(IF(AND('Assemble Data'!E47&lt;&gt;C46,'Assemble Data'!E47&lt;&gt;""),1,0),1))</f>
        <v>0</v>
      </c>
      <c r="G46" s="13">
        <f ca="1">IF('Assemble Data'!F47="",0,IF(ISERROR(FIND("VLOOKUP",_xlfn.FORMULATEXT('Assemble Data'!F47),1)),1,0)+IFERROR(IF(AND('Assemble Data'!F47&lt;&gt;D46,'Assemble Data'!F47&lt;&gt;""),1,0),1))</f>
        <v>0</v>
      </c>
      <c r="H46" s="13">
        <v>7</v>
      </c>
      <c r="I46" t="str">
        <f t="shared" si="4"/>
        <v>C2P12</v>
      </c>
      <c r="U46">
        <f>MOD(U43+1,3)+1</f>
        <v>3</v>
      </c>
    </row>
    <row r="47" spans="1:25">
      <c r="A47" t="str">
        <f>'Assemble Data'!B48</f>
        <v>P12</v>
      </c>
      <c r="B47" s="13">
        <f>IFERROR(SUMIF('Assemble Data'!K:K,'Assemble Data'!A48,'Assemble Data'!L:L),0)</f>
        <v>6825</v>
      </c>
      <c r="C47" s="13" t="str">
        <f>INDEX('Assemble Data'!$O$24:$O$1023,MATCH('Assemble Data'!A48,'Assemble Data'!$N$24:$N$1023,0))</f>
        <v>C2</v>
      </c>
      <c r="D47" s="13">
        <f>SUMIF('Assemble Data'!H:H,'Assemble Data'!A48,'Assemble Data'!I:I)</f>
        <v>6.5</v>
      </c>
      <c r="E47" s="13">
        <f>IFERROR(IF(AND('Assemble Data'!D48&lt;&gt;"",'Assemble Data'!D48&lt;&gt;B47),1,0),1)</f>
        <v>0</v>
      </c>
      <c r="F47" s="13">
        <f ca="1">IF('Assemble Data'!E48="",0,IF(ISERROR(FIND("INDEX",_xlfn.FORMULATEXT('Assemble Data'!E48),1)),1,0)+IFERROR(IF(AND('Assemble Data'!E48&lt;&gt;C47,'Assemble Data'!E48&lt;&gt;""),1,0),1))</f>
        <v>0</v>
      </c>
      <c r="G47" s="13">
        <f ca="1">IF('Assemble Data'!F48="",0,IF(ISERROR(FIND("VLOOKUP",_xlfn.FORMULATEXT('Assemble Data'!F48),1)),1,0)+IFERROR(IF(AND('Assemble Data'!F48&lt;&gt;D47,'Assemble Data'!F48&lt;&gt;""),1,0),1))</f>
        <v>0</v>
      </c>
      <c r="H47" s="13">
        <v>7</v>
      </c>
      <c r="I47" t="str">
        <f t="shared" si="4"/>
        <v>C2P12</v>
      </c>
      <c r="M47" t="s">
        <v>360</v>
      </c>
      <c r="N47" t="str">
        <f>N42</f>
        <v>O1</v>
      </c>
      <c r="O47" t="str">
        <f t="shared" ref="O47:P47" si="7">O42</f>
        <v>O2</v>
      </c>
      <c r="P47" t="str">
        <f t="shared" si="7"/>
        <v>O3</v>
      </c>
      <c r="R47">
        <f>R42+U40</f>
        <v>2500.5</v>
      </c>
      <c r="U47" t="str" cm="1">
        <f t="array" ref="U47">INDEX(X35:X37,U46,0)</f>
        <v>O</v>
      </c>
    </row>
    <row r="48" spans="1:25">
      <c r="A48" t="str">
        <f>'Assemble Data'!B49</f>
        <v>P15</v>
      </c>
      <c r="B48" s="13">
        <f>IFERROR(SUMIF('Assemble Data'!K:K,'Assemble Data'!A49,'Assemble Data'!L:L),0)</f>
        <v>5400</v>
      </c>
      <c r="C48" s="13" t="str">
        <f>INDEX('Assemble Data'!$O$24:$O$1023,MATCH('Assemble Data'!A49,'Assemble Data'!$N$24:$N$1023,0))</f>
        <v>N2</v>
      </c>
      <c r="D48" s="13">
        <f>SUMIF('Assemble Data'!H:H,'Assemble Data'!A49,'Assemble Data'!I:I)</f>
        <v>5</v>
      </c>
      <c r="E48" s="13">
        <f>IFERROR(IF(AND('Assemble Data'!D49&lt;&gt;"",'Assemble Data'!D49&lt;&gt;B48),1,0),1)</f>
        <v>0</v>
      </c>
      <c r="F48" s="13">
        <f ca="1">IF('Assemble Data'!E49="",0,IF(ISERROR(FIND("INDEX",_xlfn.FORMULATEXT('Assemble Data'!E49),1)),1,0)+IFERROR(IF(AND('Assemble Data'!E49&lt;&gt;C48,'Assemble Data'!E49&lt;&gt;""),1,0),1))</f>
        <v>0</v>
      </c>
      <c r="G48" s="13">
        <f ca="1">IF('Assemble Data'!F49="",0,IF(ISERROR(FIND("VLOOKUP",_xlfn.FORMULATEXT('Assemble Data'!F49),1)),1,0)+IFERROR(IF(AND('Assemble Data'!F49&lt;&gt;D48,'Assemble Data'!F49&lt;&gt;""),1,0),1))</f>
        <v>0</v>
      </c>
      <c r="H48" s="13">
        <v>4</v>
      </c>
      <c r="I48" t="str">
        <f t="shared" si="4"/>
        <v>N2P15</v>
      </c>
      <c r="M48" s="723" t="str">
        <f>M43</f>
        <v>N1</v>
      </c>
      <c r="N48" s="681">
        <f>VLOOKUP(N$47,$L$22:$O$30,3,FALSE)+VLOOKUP($M48,$L$22:$O$30,3,FALSE)</f>
        <v>544880</v>
      </c>
      <c r="O48" s="681">
        <f t="shared" ref="O48:P50" si="8">VLOOKUP(O$47,$L$22:$O$30,3,FALSE)+VLOOKUP($M48,$L$22:$O$30,3,FALSE)</f>
        <v>1240700</v>
      </c>
      <c r="P48" s="681">
        <f t="shared" si="8"/>
        <v>666800</v>
      </c>
      <c r="R48">
        <f>ROUNDUP(R47,-2)</f>
        <v>2600</v>
      </c>
      <c r="U48" t="str" cm="1">
        <f t="array" ref="U48">U47&amp;INDEX(P35:P37,U46,0)</f>
        <v>O2</v>
      </c>
    </row>
    <row r="49" spans="1:21">
      <c r="A49" t="str">
        <f>'Assemble Data'!B50</f>
        <v>P16</v>
      </c>
      <c r="B49" s="13">
        <f>IFERROR(SUMIF('Assemble Data'!K:K,'Assemble Data'!A50,'Assemble Data'!L:L),0)</f>
        <v>4680</v>
      </c>
      <c r="C49" s="13" t="str">
        <f>INDEX('Assemble Data'!$O$24:$O$1023,MATCH('Assemble Data'!A50,'Assemble Data'!$N$24:$N$1023,0))</f>
        <v>N2</v>
      </c>
      <c r="D49" s="13">
        <f>SUMIF('Assemble Data'!H:H,'Assemble Data'!A50,'Assemble Data'!I:I)</f>
        <v>4</v>
      </c>
      <c r="E49" s="13">
        <f>IFERROR(IF(AND('Assemble Data'!D50&lt;&gt;"",'Assemble Data'!D50&lt;&gt;B49),1,0),1)</f>
        <v>0</v>
      </c>
      <c r="F49" s="13">
        <f ca="1">IF('Assemble Data'!E50="",0,IF(ISERROR(FIND("INDEX",_xlfn.FORMULATEXT('Assemble Data'!E50),1)),1,0)+IFERROR(IF(AND('Assemble Data'!E50&lt;&gt;C49,'Assemble Data'!E50&lt;&gt;""),1,0),1))</f>
        <v>0</v>
      </c>
      <c r="G49" s="13">
        <f ca="1">IF('Assemble Data'!F50="",0,IF(ISERROR(FIND("VLOOKUP",_xlfn.FORMULATEXT('Assemble Data'!F50),1)),1,0)+IFERROR(IF(AND('Assemble Data'!F50&lt;&gt;D49,'Assemble Data'!F50&lt;&gt;""),1,0),1))</f>
        <v>0</v>
      </c>
      <c r="H49" s="13">
        <v>0</v>
      </c>
      <c r="I49" t="str">
        <f t="shared" si="4"/>
        <v>N2P16</v>
      </c>
      <c r="M49" s="723" t="str">
        <f t="shared" ref="M49:M50" si="9">M44</f>
        <v>N2</v>
      </c>
      <c r="N49" s="681">
        <f t="shared" ref="N49:N50" si="10">VLOOKUP(N$47,$L$22:$O$30,3,FALSE)+VLOOKUP($M49,$L$22:$O$30,3,FALSE)</f>
        <v>708840</v>
      </c>
      <c r="O49" s="681">
        <f t="shared" si="8"/>
        <v>1404660</v>
      </c>
      <c r="P49" s="681">
        <f t="shared" si="8"/>
        <v>830760</v>
      </c>
      <c r="U49" t="str" cm="1">
        <f t="array" ref="U49">INDEX(Y35:Y37,U46,0)</f>
        <v>Orthopedic</v>
      </c>
    </row>
    <row r="50" spans="1:21">
      <c r="A50" t="str">
        <f>'Assemble Data'!B51</f>
        <v>P11</v>
      </c>
      <c r="B50" s="13">
        <f>IFERROR(SUMIF('Assemble Data'!K:K,'Assemble Data'!A51,'Assemble Data'!L:L),0)</f>
        <v>11000</v>
      </c>
      <c r="C50" s="13" t="str">
        <f>INDEX('Assemble Data'!$O$24:$O$1023,MATCH('Assemble Data'!A51,'Assemble Data'!$N$24:$N$1023,0))</f>
        <v>C2</v>
      </c>
      <c r="D50" s="13">
        <f>SUMIF('Assemble Data'!H:H,'Assemble Data'!A51,'Assemble Data'!I:I)</f>
        <v>11</v>
      </c>
      <c r="E50" s="13">
        <f>IFERROR(IF(AND('Assemble Data'!D51&lt;&gt;"",'Assemble Data'!D51&lt;&gt;B50),1,0),1)</f>
        <v>0</v>
      </c>
      <c r="F50" s="13">
        <f ca="1">IF('Assemble Data'!E51="",0,IF(ISERROR(FIND("INDEX",_xlfn.FORMULATEXT('Assemble Data'!E51),1)),1,0)+IFERROR(IF(AND('Assemble Data'!E51&lt;&gt;C50,'Assemble Data'!E51&lt;&gt;""),1,0),1))</f>
        <v>0</v>
      </c>
      <c r="G50" s="13">
        <f ca="1">IF('Assemble Data'!F51="",0,IF(ISERROR(FIND("VLOOKUP",_xlfn.FORMULATEXT('Assemble Data'!F51),1)),1,0)+IFERROR(IF(AND('Assemble Data'!F51&lt;&gt;D50,'Assemble Data'!F51&lt;&gt;""),1,0),1))</f>
        <v>0</v>
      </c>
      <c r="H50" s="13">
        <v>9</v>
      </c>
      <c r="I50" t="str">
        <f t="shared" si="4"/>
        <v>C2P11</v>
      </c>
      <c r="M50" s="723" t="str">
        <f t="shared" si="9"/>
        <v>N3</v>
      </c>
      <c r="N50" s="681">
        <f t="shared" si="10"/>
        <v>537360</v>
      </c>
      <c r="O50" s="681">
        <f t="shared" si="8"/>
        <v>1233180</v>
      </c>
      <c r="P50" s="681">
        <f t="shared" si="8"/>
        <v>659280</v>
      </c>
      <c r="T50" s="660" t="s">
        <v>378</v>
      </c>
      <c r="U50" cm="1">
        <f t="array" ref="U50">INDEX(Q35:Q37,U46,0)</f>
        <v>921</v>
      </c>
    </row>
    <row r="51" spans="1:21" ht="16.5" thickBot="1">
      <c r="A51" t="str">
        <f>'Assemble Data'!B52</f>
        <v>P10</v>
      </c>
      <c r="B51" s="13">
        <f>IFERROR(SUMIF('Assemble Data'!K:K,'Assemble Data'!A52,'Assemble Data'!L:L),0)</f>
        <v>2400</v>
      </c>
      <c r="C51" s="13" t="str">
        <f>INDEX('Assemble Data'!$O$24:$O$1023,MATCH('Assemble Data'!A52,'Assemble Data'!$N$24:$N$1023,0))</f>
        <v>C2</v>
      </c>
      <c r="D51" s="13">
        <f>SUMIF('Assemble Data'!H:H,'Assemble Data'!A52,'Assemble Data'!I:I)</f>
        <v>3</v>
      </c>
      <c r="E51" s="13">
        <f>IFERROR(IF(AND('Assemble Data'!D52&lt;&gt;"",'Assemble Data'!D52&lt;&gt;B51),1,0),1)</f>
        <v>0</v>
      </c>
      <c r="F51" s="13">
        <f ca="1">IF('Assemble Data'!E52="",0,IF(ISERROR(FIND("INDEX",_xlfn.FORMULATEXT('Assemble Data'!E52),1)),1,0)+IFERROR(IF(AND('Assemble Data'!E52&lt;&gt;C51,'Assemble Data'!E52&lt;&gt;""),1,0),1))</f>
        <v>0</v>
      </c>
      <c r="G51" s="13">
        <f ca="1">IF('Assemble Data'!F52="",0,IF(ISERROR(FIND("VLOOKUP",_xlfn.FORMULATEXT('Assemble Data'!F52),1)),1,0)+IFERROR(IF(AND('Assemble Data'!F52&lt;&gt;D51,'Assemble Data'!F52&lt;&gt;""),1,0),1))</f>
        <v>0</v>
      </c>
      <c r="H51" s="13">
        <v>8</v>
      </c>
      <c r="I51" t="str">
        <f t="shared" si="4"/>
        <v>C2P10</v>
      </c>
      <c r="T51" t="s">
        <v>375</v>
      </c>
      <c r="U51" cm="1">
        <f t="array" ref="U51">INDEX(O35:O37,U46,0)</f>
        <v>1105.7328990228013</v>
      </c>
    </row>
    <row r="52" spans="1:21">
      <c r="A52" t="str">
        <f>'Assemble Data'!B53</f>
        <v>P13</v>
      </c>
      <c r="B52" s="13">
        <f>IFERROR(SUMIF('Assemble Data'!K:K,'Assemble Data'!A53,'Assemble Data'!L:L),0)</f>
        <v>4500</v>
      </c>
      <c r="C52" s="13" t="str">
        <f>INDEX('Assemble Data'!$O$24:$O$1023,MATCH('Assemble Data'!A53,'Assemble Data'!$N$24:$N$1023,0))</f>
        <v>C2</v>
      </c>
      <c r="D52" s="13">
        <f>SUMIF('Assemble Data'!H:H,'Assemble Data'!A53,'Assemble Data'!I:I)</f>
        <v>5</v>
      </c>
      <c r="E52" s="13">
        <f>IFERROR(IF(AND('Assemble Data'!D53&lt;&gt;"",'Assemble Data'!D53&lt;&gt;B52),1,0),1)</f>
        <v>0</v>
      </c>
      <c r="F52" s="13">
        <f ca="1">IF('Assemble Data'!E53="",0,IF(ISERROR(FIND("INDEX",_xlfn.FORMULATEXT('Assemble Data'!E53),1)),1,0)+IFERROR(IF(AND('Assemble Data'!E53&lt;&gt;C52,'Assemble Data'!E53&lt;&gt;""),1,0),1))</f>
        <v>0</v>
      </c>
      <c r="G52" s="13">
        <f ca="1">IF('Assemble Data'!F53="",0,IF(ISERROR(FIND("VLOOKUP",_xlfn.FORMULATEXT('Assemble Data'!F53),1)),1,0)+IFERROR(IF(AND('Assemble Data'!F53&lt;&gt;D52,'Assemble Data'!F53&lt;&gt;""),1,0),1))</f>
        <v>0</v>
      </c>
      <c r="H52" s="13">
        <v>3</v>
      </c>
      <c r="I52" t="str">
        <f t="shared" si="4"/>
        <v>C2P13</v>
      </c>
      <c r="N52" s="734">
        <f>IF(OR(N43=$R$42,N43=$R$45),"",N48)</f>
        <v>544880</v>
      </c>
      <c r="O52" s="735">
        <f t="shared" ref="O52:P52" si="11">IF(OR(O43=$R$42,O43=$R$45),"",O48)</f>
        <v>1240700</v>
      </c>
      <c r="P52" s="736">
        <f t="shared" si="11"/>
        <v>666800</v>
      </c>
      <c r="Q52" s="681"/>
      <c r="R52" s="681">
        <f>MAX(N52:P54)</f>
        <v>1240700</v>
      </c>
    </row>
    <row r="53" spans="1:21">
      <c r="A53" t="str">
        <f>'Assemble Data'!B54</f>
        <v>P13</v>
      </c>
      <c r="B53" s="13">
        <f>IFERROR(SUMIF('Assemble Data'!K:K,'Assemble Data'!A54,'Assemble Data'!L:L),0)</f>
        <v>4500</v>
      </c>
      <c r="C53" s="13" t="str">
        <f>INDEX('Assemble Data'!$O$24:$O$1023,MATCH('Assemble Data'!A54,'Assemble Data'!$N$24:$N$1023,0))</f>
        <v>C2</v>
      </c>
      <c r="D53" s="13">
        <f>SUMIF('Assemble Data'!H:H,'Assemble Data'!A54,'Assemble Data'!I:I)</f>
        <v>5</v>
      </c>
      <c r="E53" s="13">
        <f>IFERROR(IF(AND('Assemble Data'!D54&lt;&gt;"",'Assemble Data'!D54&lt;&gt;B53),1,0),1)</f>
        <v>0</v>
      </c>
      <c r="F53" s="13">
        <f ca="1">IF('Assemble Data'!E54="",0,IF(ISERROR(FIND("INDEX",_xlfn.FORMULATEXT('Assemble Data'!E54),1)),1,0)+IFERROR(IF(AND('Assemble Data'!E54&lt;&gt;C53,'Assemble Data'!E54&lt;&gt;""),1,0),1))</f>
        <v>0</v>
      </c>
      <c r="G53" s="13">
        <f ca="1">IF('Assemble Data'!F54="",0,IF(ISERROR(FIND("VLOOKUP",_xlfn.FORMULATEXT('Assemble Data'!F54),1)),1,0)+IFERROR(IF(AND('Assemble Data'!F54&lt;&gt;D53,'Assemble Data'!F54&lt;&gt;""),1,0),1))</f>
        <v>0</v>
      </c>
      <c r="H53" s="13">
        <v>3</v>
      </c>
      <c r="I53" t="str">
        <f t="shared" si="4"/>
        <v>C2P13</v>
      </c>
      <c r="N53" s="737">
        <f t="shared" ref="N53:P53" si="12">IF(OR(N44=$R$42,N44=$R$45),"",N49)</f>
        <v>708840</v>
      </c>
      <c r="O53" s="681" t="str">
        <f t="shared" si="12"/>
        <v/>
      </c>
      <c r="P53" s="738">
        <f t="shared" si="12"/>
        <v>830760</v>
      </c>
      <c r="Q53" s="681"/>
      <c r="R53" s="742" t="str">
        <f>IF(R52&lt;R57,"Yes","No")</f>
        <v>No</v>
      </c>
      <c r="U53">
        <f>MOD(U43+3,3)+1</f>
        <v>2</v>
      </c>
    </row>
    <row r="54" spans="1:21" ht="16.5" thickBot="1">
      <c r="A54" t="str">
        <f>'Assemble Data'!B55</f>
        <v>P12</v>
      </c>
      <c r="B54" s="13">
        <f>IFERROR(SUMIF('Assemble Data'!K:K,'Assemble Data'!A55,'Assemble Data'!L:L),0)</f>
        <v>6825</v>
      </c>
      <c r="C54" s="13" t="str">
        <f>INDEX('Assemble Data'!$O$24:$O$1023,MATCH('Assemble Data'!A55,'Assemble Data'!$N$24:$N$1023,0))</f>
        <v>C2</v>
      </c>
      <c r="D54" s="13">
        <f>SUMIF('Assemble Data'!H:H,'Assemble Data'!A55,'Assemble Data'!I:I)</f>
        <v>6.5</v>
      </c>
      <c r="E54" s="13">
        <f>IFERROR(IF(AND('Assemble Data'!D55&lt;&gt;"",'Assemble Data'!D55&lt;&gt;B54),1,0),1)</f>
        <v>0</v>
      </c>
      <c r="F54" s="13">
        <f ca="1">IF('Assemble Data'!E55="",0,IF(ISERROR(FIND("INDEX",_xlfn.FORMULATEXT('Assemble Data'!E55),1)),1,0)+IFERROR(IF(AND('Assemble Data'!E55&lt;&gt;C54,'Assemble Data'!E55&lt;&gt;""),1,0),1))</f>
        <v>0</v>
      </c>
      <c r="G54" s="13">
        <f ca="1">IF('Assemble Data'!F55="",0,IF(ISERROR(FIND("VLOOKUP",_xlfn.FORMULATEXT('Assemble Data'!F55),1)),1,0)+IFERROR(IF(AND('Assemble Data'!F55&lt;&gt;D54,'Assemble Data'!F55&lt;&gt;""),1,0),1))</f>
        <v>0</v>
      </c>
      <c r="H54" s="13">
        <v>7</v>
      </c>
      <c r="I54" t="str">
        <f t="shared" si="4"/>
        <v>C2P12</v>
      </c>
      <c r="N54" s="739">
        <f t="shared" ref="N54:P54" si="13">IF(OR(N45=$R$42,N45=$R$45),"",N50)</f>
        <v>537360</v>
      </c>
      <c r="O54" s="740" t="str">
        <f t="shared" si="13"/>
        <v/>
      </c>
      <c r="P54" s="741">
        <f t="shared" si="13"/>
        <v>659280</v>
      </c>
      <c r="Q54" s="681"/>
      <c r="R54" s="681"/>
      <c r="U54" t="str" cm="1">
        <f t="array" ref="U54">INDEX(X35:X37,U53,0)</f>
        <v>N</v>
      </c>
    </row>
    <row r="55" spans="1:21">
      <c r="A55" t="str">
        <f>'Assemble Data'!B56</f>
        <v>P17</v>
      </c>
      <c r="B55" s="13">
        <f>IFERROR(SUMIF('Assemble Data'!K:K,'Assemble Data'!A56,'Assemble Data'!L:L),0)</f>
        <v>13200.000000000002</v>
      </c>
      <c r="C55" s="13" t="str">
        <f>INDEX('Assemble Data'!$O$24:$O$1023,MATCH('Assemble Data'!A56,'Assemble Data'!$N$24:$N$1023,0))</f>
        <v>O2</v>
      </c>
      <c r="D55" s="13">
        <f>SUMIF('Assemble Data'!H:H,'Assemble Data'!A56,'Assemble Data'!I:I)</f>
        <v>12</v>
      </c>
      <c r="E55" s="13">
        <f>IFERROR(IF(AND('Assemble Data'!D56&lt;&gt;"",'Assemble Data'!D56&lt;&gt;B55),1,0),1)</f>
        <v>0</v>
      </c>
      <c r="F55" s="13">
        <f ca="1">IF('Assemble Data'!E56="",0,IF(ISERROR(FIND("INDEX",_xlfn.FORMULATEXT('Assemble Data'!E56),1)),1,0)+IFERROR(IF(AND('Assemble Data'!E56&lt;&gt;C55,'Assemble Data'!E56&lt;&gt;""),1,0),1))</f>
        <v>0</v>
      </c>
      <c r="G55" s="13">
        <f ca="1">IF('Assemble Data'!F56="",0,IF(ISERROR(FIND("VLOOKUP",_xlfn.FORMULATEXT('Assemble Data'!F56),1)),1,0)+IFERROR(IF(AND('Assemble Data'!F56&lt;&gt;D55,'Assemble Data'!F56&lt;&gt;""),1,0),1))</f>
        <v>0</v>
      </c>
      <c r="H55" s="13">
        <v>6</v>
      </c>
      <c r="I55" t="str">
        <f t="shared" si="4"/>
        <v>O2P17</v>
      </c>
      <c r="N55" s="681"/>
      <c r="O55" s="681"/>
      <c r="P55" s="681"/>
      <c r="Q55" s="681"/>
      <c r="R55" s="681"/>
      <c r="U55" t="str" cm="1">
        <f t="array" ref="U55">U54&amp;INDEX(P35:P37,U53,0)</f>
        <v>N1</v>
      </c>
    </row>
    <row r="56" spans="1:21" ht="16.5" thickBot="1">
      <c r="A56" t="str">
        <f>'Assemble Data'!B57</f>
        <v>P18</v>
      </c>
      <c r="B56" s="13">
        <f>IFERROR(SUMIF('Assemble Data'!K:K,'Assemble Data'!A57,'Assemble Data'!L:L),0)</f>
        <v>5940.0000000000009</v>
      </c>
      <c r="C56" s="13" t="str">
        <f>INDEX('Assemble Data'!$O$24:$O$1023,MATCH('Assemble Data'!A57,'Assemble Data'!$N$24:$N$1023,0))</f>
        <v>O2</v>
      </c>
      <c r="D56" s="13">
        <f>SUMIF('Assemble Data'!H:H,'Assemble Data'!A57,'Assemble Data'!I:I)</f>
        <v>6</v>
      </c>
      <c r="E56" s="13">
        <f>IFERROR(IF(AND('Assemble Data'!D57&lt;&gt;"",'Assemble Data'!D57&lt;&gt;B56),1,0),1)</f>
        <v>0</v>
      </c>
      <c r="F56" s="13">
        <f ca="1">IF('Assemble Data'!E57="",0,IF(ISERROR(FIND("INDEX",_xlfn.FORMULATEXT('Assemble Data'!E57),1)),1,0)+IFERROR(IF(AND('Assemble Data'!E57&lt;&gt;C56,'Assemble Data'!E57&lt;&gt;""),1,0),1))</f>
        <v>0</v>
      </c>
      <c r="G56" s="13">
        <f ca="1">IF('Assemble Data'!F57="",0,IF(ISERROR(FIND("VLOOKUP",_xlfn.FORMULATEXT('Assemble Data'!F57),1)),1,0)+IFERROR(IF(AND('Assemble Data'!F57&lt;&gt;D56,'Assemble Data'!F57&lt;&gt;""),1,0),1))</f>
        <v>0</v>
      </c>
      <c r="H56" s="13">
        <v>2</v>
      </c>
      <c r="I56" t="str">
        <f t="shared" si="4"/>
        <v>O2P18</v>
      </c>
      <c r="N56" s="681" t="str">
        <f>N47</f>
        <v>O1</v>
      </c>
      <c r="O56" s="681" t="str">
        <f t="shared" ref="O56:P56" si="14">O47</f>
        <v>O2</v>
      </c>
      <c r="P56" s="681" t="str">
        <f t="shared" si="14"/>
        <v>O3</v>
      </c>
      <c r="Q56" s="681"/>
      <c r="R56" s="681"/>
      <c r="U56" t="str" cm="1">
        <f t="array" ref="U56">INDEX(Y35:Y37,U53,0)</f>
        <v>Neuro</v>
      </c>
    </row>
    <row r="57" spans="1:21">
      <c r="A57" t="str">
        <f>'Assemble Data'!B58</f>
        <v>P15</v>
      </c>
      <c r="B57" s="13">
        <f>IFERROR(SUMIF('Assemble Data'!K:K,'Assemble Data'!A58,'Assemble Data'!L:L),0)</f>
        <v>5400</v>
      </c>
      <c r="C57" s="13" t="str">
        <f>INDEX('Assemble Data'!$O$24:$O$1023,MATCH('Assemble Data'!A58,'Assemble Data'!$N$24:$N$1023,0))</f>
        <v>N2</v>
      </c>
      <c r="D57" s="13">
        <f>SUMIF('Assemble Data'!H:H,'Assemble Data'!A58,'Assemble Data'!I:I)</f>
        <v>5</v>
      </c>
      <c r="E57" s="13">
        <f>IFERROR(IF(AND('Assemble Data'!D58&lt;&gt;"",'Assemble Data'!D58&lt;&gt;B57),1,0),1)</f>
        <v>0</v>
      </c>
      <c r="F57" s="13">
        <f ca="1">IF('Assemble Data'!E58="",0,IF(ISERROR(FIND("INDEX",_xlfn.FORMULATEXT('Assemble Data'!E58),1)),1,0)+IFERROR(IF(AND('Assemble Data'!E58&lt;&gt;C57,'Assemble Data'!E58&lt;&gt;""),1,0),1))</f>
        <v>0</v>
      </c>
      <c r="G57" s="13">
        <f ca="1">IF('Assemble Data'!F58="",0,IF(ISERROR(FIND("VLOOKUP",_xlfn.FORMULATEXT('Assemble Data'!F58),1)),1,0)+IFERROR(IF(AND('Assemble Data'!F58&lt;&gt;D57,'Assemble Data'!F58&lt;&gt;""),1,0),1))</f>
        <v>0</v>
      </c>
      <c r="H57" s="13">
        <v>4</v>
      </c>
      <c r="I57" t="str">
        <f t="shared" si="4"/>
        <v>N2P15</v>
      </c>
      <c r="M57" s="723" t="str">
        <f>M48</f>
        <v>N1</v>
      </c>
      <c r="N57" s="734" t="str">
        <f t="shared" ref="N57:P59" si="15">IF(N43=$R$42,N48,"")</f>
        <v/>
      </c>
      <c r="O57" s="735" t="str">
        <f t="shared" si="15"/>
        <v/>
      </c>
      <c r="P57" s="736" t="str">
        <f t="shared" si="15"/>
        <v/>
      </c>
      <c r="Q57" s="681">
        <f>SUM(N57:P57)</f>
        <v>0</v>
      </c>
      <c r="R57" s="681">
        <f>MAX(N57:P59)</f>
        <v>1233180</v>
      </c>
      <c r="T57" s="660" t="s">
        <v>378</v>
      </c>
      <c r="U57" cm="1">
        <f t="array" ref="U57">INDEX(Q35:Q37,U53,0)</f>
        <v>150</v>
      </c>
    </row>
    <row r="58" spans="1:21">
      <c r="A58" t="str">
        <f>'Assemble Data'!B59</f>
        <v>P19</v>
      </c>
      <c r="B58" s="13">
        <f>IFERROR(SUMIF('Assemble Data'!K:K,'Assemble Data'!A59,'Assemble Data'!L:L),0)</f>
        <v>9680</v>
      </c>
      <c r="C58" s="13" t="str">
        <f>INDEX('Assemble Data'!$O$24:$O$1023,MATCH('Assemble Data'!A59,'Assemble Data'!$N$24:$N$1023,0))</f>
        <v>O2</v>
      </c>
      <c r="D58" s="13">
        <f>SUMIF('Assemble Data'!H:H,'Assemble Data'!A59,'Assemble Data'!I:I)</f>
        <v>11</v>
      </c>
      <c r="E58" s="13">
        <f>IFERROR(IF(AND('Assemble Data'!D59&lt;&gt;"",'Assemble Data'!D59&lt;&gt;B58),1,0),1)</f>
        <v>0</v>
      </c>
      <c r="F58" s="13">
        <f ca="1">IF('Assemble Data'!E59="",0,IF(ISERROR(FIND("INDEX",_xlfn.FORMULATEXT('Assemble Data'!E59),1)),1,0)+IFERROR(IF(AND('Assemble Data'!E59&lt;&gt;C58,'Assemble Data'!E59&lt;&gt;""),1,0),1))</f>
        <v>0</v>
      </c>
      <c r="G58" s="13">
        <f ca="1">IF('Assemble Data'!F59="",0,IF(ISERROR(FIND("VLOOKUP",_xlfn.FORMULATEXT('Assemble Data'!F59),1)),1,0)+IFERROR(IF(AND('Assemble Data'!F59&lt;&gt;D58,'Assemble Data'!F59&lt;&gt;""),1,0),1))</f>
        <v>0</v>
      </c>
      <c r="H58" s="13">
        <v>1</v>
      </c>
      <c r="I58" t="str">
        <f t="shared" si="4"/>
        <v>O2P19</v>
      </c>
      <c r="M58" s="723" t="str">
        <f t="shared" ref="M58:M59" si="16">M49</f>
        <v>N2</v>
      </c>
      <c r="N58" s="737" t="str">
        <f t="shared" si="15"/>
        <v/>
      </c>
      <c r="O58" s="681" t="str">
        <f t="shared" si="15"/>
        <v/>
      </c>
      <c r="P58" s="738" t="str">
        <f t="shared" si="15"/>
        <v/>
      </c>
      <c r="Q58" s="681">
        <f t="shared" ref="Q58:Q59" si="17">SUM(N58:P58)</f>
        <v>0</v>
      </c>
      <c r="R58" s="681"/>
      <c r="T58" t="s">
        <v>375</v>
      </c>
      <c r="U58" cm="1">
        <f t="array" ref="U58">INDEX(O35:O37,U53,0)</f>
        <v>1482.1333333333334</v>
      </c>
    </row>
    <row r="59" spans="1:21" ht="16.5" thickBot="1">
      <c r="A59" t="str">
        <f>'Assemble Data'!B60</f>
        <v>P12</v>
      </c>
      <c r="B59" s="13">
        <f>IFERROR(SUMIF('Assemble Data'!K:K,'Assemble Data'!A60,'Assemble Data'!L:L),0)</f>
        <v>6825</v>
      </c>
      <c r="C59" s="13" t="str">
        <f>INDEX('Assemble Data'!$O$24:$O$1023,MATCH('Assemble Data'!A60,'Assemble Data'!$N$24:$N$1023,0))</f>
        <v>C2</v>
      </c>
      <c r="D59" s="13">
        <f>SUMIF('Assemble Data'!H:H,'Assemble Data'!A60,'Assemble Data'!I:I)</f>
        <v>6.5</v>
      </c>
      <c r="E59" s="13">
        <f>IFERROR(IF(AND('Assemble Data'!D60&lt;&gt;"",'Assemble Data'!D60&lt;&gt;B59),1,0),1)</f>
        <v>0</v>
      </c>
      <c r="F59" s="13">
        <f ca="1">IF('Assemble Data'!E60="",0,IF(ISERROR(FIND("INDEX",_xlfn.FORMULATEXT('Assemble Data'!E60),1)),1,0)+IFERROR(IF(AND('Assemble Data'!E60&lt;&gt;C59,'Assemble Data'!E60&lt;&gt;""),1,0),1))</f>
        <v>0</v>
      </c>
      <c r="G59" s="13">
        <f ca="1">IF('Assemble Data'!F60="",0,IF(ISERROR(FIND("VLOOKUP",_xlfn.FORMULATEXT('Assemble Data'!F60),1)),1,0)+IFERROR(IF(AND('Assemble Data'!F60&lt;&gt;D59,'Assemble Data'!F60&lt;&gt;""),1,0),1))</f>
        <v>0</v>
      </c>
      <c r="H59" s="13">
        <v>7</v>
      </c>
      <c r="I59" t="str">
        <f t="shared" si="4"/>
        <v>C2P12</v>
      </c>
      <c r="M59" s="723" t="str">
        <f t="shared" si="16"/>
        <v>N3</v>
      </c>
      <c r="N59" s="739" t="str">
        <f t="shared" si="15"/>
        <v/>
      </c>
      <c r="O59" s="740">
        <f t="shared" si="15"/>
        <v>1233180</v>
      </c>
      <c r="P59" s="741" t="str">
        <f t="shared" si="15"/>
        <v/>
      </c>
      <c r="Q59" s="681">
        <f t="shared" si="17"/>
        <v>1233180</v>
      </c>
      <c r="R59" s="681"/>
    </row>
    <row r="60" spans="1:21">
      <c r="A60" t="str">
        <f>'Assemble Data'!B61</f>
        <v>P12</v>
      </c>
      <c r="B60" s="13">
        <f>IFERROR(SUMIF('Assemble Data'!K:K,'Assemble Data'!A61,'Assemble Data'!L:L),0)</f>
        <v>13650</v>
      </c>
      <c r="C60" s="13" t="str">
        <f>INDEX('Assemble Data'!$O$24:$O$1023,MATCH('Assemble Data'!A61,'Assemble Data'!$N$24:$N$1023,0))</f>
        <v>C2</v>
      </c>
      <c r="D60" s="13">
        <f>SUMIF('Assemble Data'!H:H,'Assemble Data'!A61,'Assemble Data'!I:I)</f>
        <v>6.5</v>
      </c>
      <c r="E60" s="13">
        <f>IFERROR(IF(AND('Assemble Data'!D61&lt;&gt;"",'Assemble Data'!D61&lt;&gt;B60),1,0),1)</f>
        <v>0</v>
      </c>
      <c r="F60" s="13">
        <f ca="1">IF('Assemble Data'!E61="",0,IF(ISERROR(FIND("INDEX",_xlfn.FORMULATEXT('Assemble Data'!E61),1)),1,0)+IFERROR(IF(AND('Assemble Data'!E61&lt;&gt;C60,'Assemble Data'!E61&lt;&gt;""),1,0),1))</f>
        <v>0</v>
      </c>
      <c r="G60" s="13">
        <f ca="1">IF('Assemble Data'!F61="",0,IF(ISERROR(FIND("VLOOKUP",_xlfn.FORMULATEXT('Assemble Data'!F61),1)),1,0)+IFERROR(IF(AND('Assemble Data'!F61&lt;&gt;D60,'Assemble Data'!F61&lt;&gt;""),1,0),1))</f>
        <v>0</v>
      </c>
      <c r="H60" s="13">
        <v>7</v>
      </c>
      <c r="I60" t="str">
        <f t="shared" si="4"/>
        <v>C2P12</v>
      </c>
      <c r="N60" s="681">
        <f>SUM(N57:N59)</f>
        <v>0</v>
      </c>
      <c r="O60" s="681">
        <f t="shared" ref="O60:P60" si="18">SUM(O57:O59)</f>
        <v>1233180</v>
      </c>
      <c r="P60" s="681">
        <f t="shared" si="18"/>
        <v>0</v>
      </c>
      <c r="Q60" s="681"/>
      <c r="R60" s="681"/>
    </row>
    <row r="61" spans="1:21">
      <c r="A61" t="str">
        <f>'Assemble Data'!B62</f>
        <v>P17</v>
      </c>
      <c r="B61" s="13">
        <f>IFERROR(SUMIF('Assemble Data'!K:K,'Assemble Data'!A62,'Assemble Data'!L:L),0)</f>
        <v>13200.000000000002</v>
      </c>
      <c r="C61" s="13" t="str">
        <f>INDEX('Assemble Data'!$O$24:$O$1023,MATCH('Assemble Data'!A62,'Assemble Data'!$N$24:$N$1023,0))</f>
        <v>O2</v>
      </c>
      <c r="D61" s="13">
        <f>SUMIF('Assemble Data'!H:H,'Assemble Data'!A62,'Assemble Data'!I:I)</f>
        <v>12</v>
      </c>
      <c r="E61" s="13">
        <f>IFERROR(IF(AND('Assemble Data'!D62&lt;&gt;"",'Assemble Data'!D62&lt;&gt;B61),1,0),1)</f>
        <v>0</v>
      </c>
      <c r="F61" s="13">
        <f ca="1">IF('Assemble Data'!E62="",0,IF(ISERROR(FIND("INDEX",_xlfn.FORMULATEXT('Assemble Data'!E62),1)),1,0)+IFERROR(IF(AND('Assemble Data'!E62&lt;&gt;C61,'Assemble Data'!E62&lt;&gt;""),1,0),1))</f>
        <v>0</v>
      </c>
      <c r="G61" s="13">
        <f ca="1">IF('Assemble Data'!F62="",0,IF(ISERROR(FIND("VLOOKUP",_xlfn.FORMULATEXT('Assemble Data'!F62),1)),1,0)+IFERROR(IF(AND('Assemble Data'!F62&lt;&gt;D61,'Assemble Data'!F62&lt;&gt;""),1,0),1))</f>
        <v>0</v>
      </c>
      <c r="H61" s="13">
        <v>6</v>
      </c>
      <c r="I61" t="str">
        <f t="shared" si="4"/>
        <v>O2P17</v>
      </c>
      <c r="R61" t="str">
        <f>IF(N60&gt;0,N56,IF(O60&gt;0,O56,P56))</f>
        <v>O2</v>
      </c>
    </row>
    <row r="62" spans="1:21">
      <c r="A62" t="str">
        <f>'Assemble Data'!B63</f>
        <v>P11</v>
      </c>
      <c r="B62" s="13">
        <f>IFERROR(SUMIF('Assemble Data'!K:K,'Assemble Data'!A63,'Assemble Data'!L:L),0)</f>
        <v>11000</v>
      </c>
      <c r="C62" s="13" t="str">
        <f>INDEX('Assemble Data'!$O$24:$O$1023,MATCH('Assemble Data'!A63,'Assemble Data'!$N$24:$N$1023,0))</f>
        <v>C2</v>
      </c>
      <c r="D62" s="13">
        <f>SUMIF('Assemble Data'!H:H,'Assemble Data'!A63,'Assemble Data'!I:I)</f>
        <v>11</v>
      </c>
      <c r="E62" s="13">
        <f>IFERROR(IF(AND('Assemble Data'!D63&lt;&gt;"",'Assemble Data'!D63&lt;&gt;B62),1,0),1)</f>
        <v>0</v>
      </c>
      <c r="F62" s="13">
        <f ca="1">IF('Assemble Data'!E63="",0,IF(ISERROR(FIND("INDEX",_xlfn.FORMULATEXT('Assemble Data'!E63),1)),1,0)+IFERROR(IF(AND('Assemble Data'!E63&lt;&gt;C62,'Assemble Data'!E63&lt;&gt;""),1,0),1))</f>
        <v>0</v>
      </c>
      <c r="G62" s="13">
        <f ca="1">IF('Assemble Data'!F63="",0,IF(ISERROR(FIND("VLOOKUP",_xlfn.FORMULATEXT('Assemble Data'!F63),1)),1,0)+IFERROR(IF(AND('Assemble Data'!F63&lt;&gt;D62,'Assemble Data'!F63&lt;&gt;""),1,0),1))</f>
        <v>0</v>
      </c>
      <c r="H62" s="13">
        <v>9</v>
      </c>
      <c r="I62" t="str">
        <f t="shared" si="4"/>
        <v>C2P11</v>
      </c>
      <c r="R62" t="str">
        <f>IF(Q57&gt;0,M57,IF(Q58&gt;0,M58,M59))</f>
        <v>N3</v>
      </c>
    </row>
    <row r="63" spans="1:21">
      <c r="A63" t="str">
        <f>'Assemble Data'!B64</f>
        <v>P16</v>
      </c>
      <c r="B63" s="13">
        <f>IFERROR(SUMIF('Assemble Data'!K:K,'Assemble Data'!A64,'Assemble Data'!L:L),0)</f>
        <v>4680</v>
      </c>
      <c r="C63" s="13" t="str">
        <f>INDEX('Assemble Data'!$O$24:$O$1023,MATCH('Assemble Data'!A64,'Assemble Data'!$N$24:$N$1023,0))</f>
        <v>N2</v>
      </c>
      <c r="D63" s="13">
        <f>SUMIF('Assemble Data'!H:H,'Assemble Data'!A64,'Assemble Data'!I:I)</f>
        <v>4</v>
      </c>
      <c r="E63" s="13">
        <f>IFERROR(IF(AND('Assemble Data'!D64&lt;&gt;"",'Assemble Data'!D64&lt;&gt;B63),1,0),1)</f>
        <v>0</v>
      </c>
      <c r="F63" s="13">
        <f ca="1">IF('Assemble Data'!E64="",0,IF(ISERROR(FIND("INDEX",_xlfn.FORMULATEXT('Assemble Data'!E64),1)),1,0)+IFERROR(IF(AND('Assemble Data'!E64&lt;&gt;C63,'Assemble Data'!E64&lt;&gt;""),1,0),1))</f>
        <v>0</v>
      </c>
      <c r="G63" s="13">
        <f ca="1">IF('Assemble Data'!F64="",0,IF(ISERROR(FIND("VLOOKUP",_xlfn.FORMULATEXT('Assemble Data'!F64),1)),1,0)+IFERROR(IF(AND('Assemble Data'!F64&lt;&gt;D63,'Assemble Data'!F64&lt;&gt;""),1,0),1))</f>
        <v>0</v>
      </c>
      <c r="H63" s="13">
        <v>0</v>
      </c>
      <c r="I63" t="str">
        <f t="shared" si="4"/>
        <v>N2P16</v>
      </c>
    </row>
    <row r="64" spans="1:21">
      <c r="A64" t="str">
        <f>'Assemble Data'!B65</f>
        <v>P11</v>
      </c>
      <c r="B64" s="13">
        <f>IFERROR(SUMIF('Assemble Data'!K:K,'Assemble Data'!A65,'Assemble Data'!L:L),0)</f>
        <v>11000</v>
      </c>
      <c r="C64" s="13" t="str">
        <f>INDEX('Assemble Data'!$O$24:$O$1023,MATCH('Assemble Data'!A65,'Assemble Data'!$N$24:$N$1023,0))</f>
        <v>C2</v>
      </c>
      <c r="D64" s="13">
        <f>SUMIF('Assemble Data'!H:H,'Assemble Data'!A65,'Assemble Data'!I:I)</f>
        <v>11</v>
      </c>
      <c r="E64" s="13">
        <f>IFERROR(IF(AND('Assemble Data'!D65&lt;&gt;"",'Assemble Data'!D65&lt;&gt;B64),1,0),1)</f>
        <v>0</v>
      </c>
      <c r="F64" s="13">
        <f ca="1">IF('Assemble Data'!E65="",0,IF(ISERROR(FIND("INDEX",_xlfn.FORMULATEXT('Assemble Data'!E65),1)),1,0)+IFERROR(IF(AND('Assemble Data'!E65&lt;&gt;C64,'Assemble Data'!E65&lt;&gt;""),1,0),1))</f>
        <v>0</v>
      </c>
      <c r="G64" s="13">
        <f ca="1">IF('Assemble Data'!F65="",0,IF(ISERROR(FIND("VLOOKUP",_xlfn.FORMULATEXT('Assemble Data'!F65),1)),1,0)+IFERROR(IF(AND('Assemble Data'!F65&lt;&gt;D64,'Assemble Data'!F65&lt;&gt;""),1,0),1))</f>
        <v>0</v>
      </c>
      <c r="H64" s="13">
        <v>9</v>
      </c>
      <c r="I64" t="str">
        <f t="shared" si="4"/>
        <v>C2P11</v>
      </c>
    </row>
    <row r="65" spans="1:9">
      <c r="A65" t="str">
        <f>'Assemble Data'!B66</f>
        <v>P14</v>
      </c>
      <c r="B65" s="13">
        <f>IFERROR(SUMIF('Assemble Data'!K:K,'Assemble Data'!A66,'Assemble Data'!L:L),0)</f>
        <v>6480</v>
      </c>
      <c r="C65" s="13" t="str">
        <f>INDEX('Assemble Data'!$O$24:$O$1023,MATCH('Assemble Data'!A66,'Assemble Data'!$N$24:$N$1023,0))</f>
        <v>N2</v>
      </c>
      <c r="D65" s="13">
        <f>SUMIF('Assemble Data'!H:H,'Assemble Data'!A66,'Assemble Data'!I:I)</f>
        <v>8</v>
      </c>
      <c r="E65" s="13">
        <f>IFERROR(IF(AND('Assemble Data'!D66&lt;&gt;"",'Assemble Data'!D66&lt;&gt;B65),1,0),1)</f>
        <v>0</v>
      </c>
      <c r="F65" s="13">
        <f ca="1">IF('Assemble Data'!E66="",0,IF(ISERROR(FIND("INDEX",_xlfn.FORMULATEXT('Assemble Data'!E66),1)),1,0)+IFERROR(IF(AND('Assemble Data'!E66&lt;&gt;C65,'Assemble Data'!E66&lt;&gt;""),1,0),1))</f>
        <v>0</v>
      </c>
      <c r="G65" s="13">
        <f ca="1">IF('Assemble Data'!F66="",0,IF(ISERROR(FIND("VLOOKUP",_xlfn.FORMULATEXT('Assemble Data'!F66),1)),1,0)+IFERROR(IF(AND('Assemble Data'!F66&lt;&gt;D65,'Assemble Data'!F66&lt;&gt;""),1,0),1))</f>
        <v>0</v>
      </c>
      <c r="H65" s="13">
        <v>5</v>
      </c>
      <c r="I65" t="str">
        <f t="shared" si="4"/>
        <v>N2P14</v>
      </c>
    </row>
    <row r="66" spans="1:9">
      <c r="A66" t="str">
        <f>'Assemble Data'!B67</f>
        <v>P10</v>
      </c>
      <c r="B66" s="13">
        <f>IFERROR(SUMIF('Assemble Data'!K:K,'Assemble Data'!A67,'Assemble Data'!L:L),0)</f>
        <v>2400</v>
      </c>
      <c r="C66" s="13" t="str">
        <f>INDEX('Assemble Data'!$O$24:$O$1023,MATCH('Assemble Data'!A67,'Assemble Data'!$N$24:$N$1023,0))</f>
        <v>C2</v>
      </c>
      <c r="D66" s="13">
        <f>SUMIF('Assemble Data'!H:H,'Assemble Data'!A67,'Assemble Data'!I:I)</f>
        <v>3</v>
      </c>
      <c r="E66" s="13">
        <f>IFERROR(IF(AND('Assemble Data'!D67&lt;&gt;"",'Assemble Data'!D67&lt;&gt;B66),1,0),1)</f>
        <v>0</v>
      </c>
      <c r="F66" s="13">
        <f ca="1">IF('Assemble Data'!E67="",0,IF(ISERROR(FIND("INDEX",_xlfn.FORMULATEXT('Assemble Data'!E67),1)),1,0)+IFERROR(IF(AND('Assemble Data'!E67&lt;&gt;C66,'Assemble Data'!E67&lt;&gt;""),1,0),1))</f>
        <v>0</v>
      </c>
      <c r="G66" s="13">
        <f ca="1">IF('Assemble Data'!F67="",0,IF(ISERROR(FIND("VLOOKUP",_xlfn.FORMULATEXT('Assemble Data'!F67),1)),1,0)+IFERROR(IF(AND('Assemble Data'!F67&lt;&gt;D66,'Assemble Data'!F67&lt;&gt;""),1,0),1))</f>
        <v>0</v>
      </c>
      <c r="H66" s="13">
        <v>8</v>
      </c>
      <c r="I66" t="str">
        <f t="shared" si="4"/>
        <v>C2P10</v>
      </c>
    </row>
    <row r="67" spans="1:9">
      <c r="A67" t="str">
        <f>'Assemble Data'!B68</f>
        <v>P11</v>
      </c>
      <c r="B67" s="13">
        <f>IFERROR(SUMIF('Assemble Data'!K:K,'Assemble Data'!A68,'Assemble Data'!L:L),0)</f>
        <v>11000</v>
      </c>
      <c r="C67" s="13" t="str">
        <f>INDEX('Assemble Data'!$O$24:$O$1023,MATCH('Assemble Data'!A68,'Assemble Data'!$N$24:$N$1023,0))</f>
        <v>C2</v>
      </c>
      <c r="D67" s="13">
        <f>SUMIF('Assemble Data'!H:H,'Assemble Data'!A68,'Assemble Data'!I:I)</f>
        <v>11</v>
      </c>
      <c r="E67" s="13">
        <f>IFERROR(IF(AND('Assemble Data'!D68&lt;&gt;"",'Assemble Data'!D68&lt;&gt;B67),1,0),1)</f>
        <v>0</v>
      </c>
      <c r="F67" s="13">
        <f ca="1">IF('Assemble Data'!E68="",0,IF(ISERROR(FIND("INDEX",_xlfn.FORMULATEXT('Assemble Data'!E68),1)),1,0)+IFERROR(IF(AND('Assemble Data'!E68&lt;&gt;C67,'Assemble Data'!E68&lt;&gt;""),1,0),1))</f>
        <v>0</v>
      </c>
      <c r="G67" s="13">
        <f ca="1">IF('Assemble Data'!F68="",0,IF(ISERROR(FIND("VLOOKUP",_xlfn.FORMULATEXT('Assemble Data'!F68),1)),1,0)+IFERROR(IF(AND('Assemble Data'!F68&lt;&gt;D67,'Assemble Data'!F68&lt;&gt;""),1,0),1))</f>
        <v>0</v>
      </c>
      <c r="H67" s="13">
        <v>9</v>
      </c>
      <c r="I67" t="str">
        <f t="shared" si="4"/>
        <v>C2P11</v>
      </c>
    </row>
    <row r="68" spans="1:9">
      <c r="A68" t="str">
        <f>'Assemble Data'!B69</f>
        <v>P17</v>
      </c>
      <c r="B68" s="13">
        <f>IFERROR(SUMIF('Assemble Data'!K:K,'Assemble Data'!A69,'Assemble Data'!L:L),0)</f>
        <v>13200.000000000002</v>
      </c>
      <c r="C68" s="13" t="str">
        <f>INDEX('Assemble Data'!$O$24:$O$1023,MATCH('Assemble Data'!A69,'Assemble Data'!$N$24:$N$1023,0))</f>
        <v>O2</v>
      </c>
      <c r="D68" s="13">
        <f>SUMIF('Assemble Data'!H:H,'Assemble Data'!A69,'Assemble Data'!I:I)</f>
        <v>12</v>
      </c>
      <c r="E68" s="13">
        <f>IFERROR(IF(AND('Assemble Data'!D69&lt;&gt;"",'Assemble Data'!D69&lt;&gt;B68),1,0),1)</f>
        <v>0</v>
      </c>
      <c r="F68" s="13">
        <f ca="1">IF('Assemble Data'!E69="",0,IF(ISERROR(FIND("INDEX",_xlfn.FORMULATEXT('Assemble Data'!E69),1)),1,0)+IFERROR(IF(AND('Assemble Data'!E69&lt;&gt;C68,'Assemble Data'!E69&lt;&gt;""),1,0),1))</f>
        <v>0</v>
      </c>
      <c r="G68" s="13">
        <f ca="1">IF('Assemble Data'!F69="",0,IF(ISERROR(FIND("VLOOKUP",_xlfn.FORMULATEXT('Assemble Data'!F69),1)),1,0)+IFERROR(IF(AND('Assemble Data'!F69&lt;&gt;D68,'Assemble Data'!F69&lt;&gt;""),1,0),1))</f>
        <v>0</v>
      </c>
      <c r="H68" s="13">
        <v>6</v>
      </c>
      <c r="I68" t="str">
        <f t="shared" si="4"/>
        <v>O2P17</v>
      </c>
    </row>
    <row r="69" spans="1:9">
      <c r="A69" t="str">
        <f>'Assemble Data'!B70</f>
        <v>P14</v>
      </c>
      <c r="B69" s="13">
        <f>IFERROR(SUMIF('Assemble Data'!K:K,'Assemble Data'!A70,'Assemble Data'!L:L),0)</f>
        <v>6480</v>
      </c>
      <c r="C69" s="13" t="str">
        <f>INDEX('Assemble Data'!$O$24:$O$1023,MATCH('Assemble Data'!A70,'Assemble Data'!$N$24:$N$1023,0))</f>
        <v>N2</v>
      </c>
      <c r="D69" s="13">
        <f>SUMIF('Assemble Data'!H:H,'Assemble Data'!A70,'Assemble Data'!I:I)</f>
        <v>8</v>
      </c>
      <c r="E69" s="13">
        <f>IFERROR(IF(AND('Assemble Data'!D70&lt;&gt;"",'Assemble Data'!D70&lt;&gt;B69),1,0),1)</f>
        <v>0</v>
      </c>
      <c r="F69" s="13">
        <f ca="1">IF('Assemble Data'!E70="",0,IF(ISERROR(FIND("INDEX",_xlfn.FORMULATEXT('Assemble Data'!E70),1)),1,0)+IFERROR(IF(AND('Assemble Data'!E70&lt;&gt;C69,'Assemble Data'!E70&lt;&gt;""),1,0),1))</f>
        <v>0</v>
      </c>
      <c r="G69" s="13">
        <f ca="1">IF('Assemble Data'!F70="",0,IF(ISERROR(FIND("VLOOKUP",_xlfn.FORMULATEXT('Assemble Data'!F70),1)),1,0)+IFERROR(IF(AND('Assemble Data'!F70&lt;&gt;D69,'Assemble Data'!F70&lt;&gt;""),1,0),1))</f>
        <v>0</v>
      </c>
      <c r="H69" s="13">
        <v>5</v>
      </c>
      <c r="I69" t="str">
        <f t="shared" si="4"/>
        <v>N2P14</v>
      </c>
    </row>
    <row r="70" spans="1:9">
      <c r="A70" t="str">
        <f>'Assemble Data'!B71</f>
        <v>P14</v>
      </c>
      <c r="B70" s="13">
        <f>IFERROR(SUMIF('Assemble Data'!K:K,'Assemble Data'!A71,'Assemble Data'!L:L),0)</f>
        <v>6480</v>
      </c>
      <c r="C70" s="13" t="str">
        <f>INDEX('Assemble Data'!$O$24:$O$1023,MATCH('Assemble Data'!A71,'Assemble Data'!$N$24:$N$1023,0))</f>
        <v>N2</v>
      </c>
      <c r="D70" s="13">
        <f>SUMIF('Assemble Data'!H:H,'Assemble Data'!A71,'Assemble Data'!I:I)</f>
        <v>8</v>
      </c>
      <c r="E70" s="13">
        <f>IFERROR(IF(AND('Assemble Data'!D71&lt;&gt;"",'Assemble Data'!D71&lt;&gt;B70),1,0),1)</f>
        <v>0</v>
      </c>
      <c r="F70" s="13">
        <f ca="1">IF('Assemble Data'!E71="",0,IF(ISERROR(FIND("INDEX",_xlfn.FORMULATEXT('Assemble Data'!E71),1)),1,0)+IFERROR(IF(AND('Assemble Data'!E71&lt;&gt;C70,'Assemble Data'!E71&lt;&gt;""),1,0),1))</f>
        <v>0</v>
      </c>
      <c r="G70" s="13">
        <f ca="1">IF('Assemble Data'!F71="",0,IF(ISERROR(FIND("VLOOKUP",_xlfn.FORMULATEXT('Assemble Data'!F71),1)),1,0)+IFERROR(IF(AND('Assemble Data'!F71&lt;&gt;D70,'Assemble Data'!F71&lt;&gt;""),1,0),1))</f>
        <v>0</v>
      </c>
      <c r="H70" s="13">
        <v>5</v>
      </c>
      <c r="I70" t="str">
        <f t="shared" si="4"/>
        <v>N2P14</v>
      </c>
    </row>
    <row r="71" spans="1:9">
      <c r="A71" t="str">
        <f>'Assemble Data'!B72</f>
        <v>P10</v>
      </c>
      <c r="B71" s="13">
        <f>IFERROR(SUMIF('Assemble Data'!K:K,'Assemble Data'!A72,'Assemble Data'!L:L),0)</f>
        <v>2400</v>
      </c>
      <c r="C71" s="13" t="str">
        <f>INDEX('Assemble Data'!$O$24:$O$1023,MATCH('Assemble Data'!A72,'Assemble Data'!$N$24:$N$1023,0))</f>
        <v>C2</v>
      </c>
      <c r="D71" s="13">
        <f>SUMIF('Assemble Data'!H:H,'Assemble Data'!A72,'Assemble Data'!I:I)</f>
        <v>3</v>
      </c>
      <c r="E71" s="13">
        <f>IFERROR(IF(AND('Assemble Data'!D72&lt;&gt;"",'Assemble Data'!D72&lt;&gt;B71),1,0),1)</f>
        <v>0</v>
      </c>
      <c r="F71" s="13">
        <f ca="1">IF('Assemble Data'!E72="",0,IF(ISERROR(FIND("INDEX",_xlfn.FORMULATEXT('Assemble Data'!E72),1)),1,0)+IFERROR(IF(AND('Assemble Data'!E72&lt;&gt;C71,'Assemble Data'!E72&lt;&gt;""),1,0),1))</f>
        <v>0</v>
      </c>
      <c r="G71" s="13">
        <f ca="1">IF('Assemble Data'!F72="",0,IF(ISERROR(FIND("VLOOKUP",_xlfn.FORMULATEXT('Assemble Data'!F72),1)),1,0)+IFERROR(IF(AND('Assemble Data'!F72&lt;&gt;D71,'Assemble Data'!F72&lt;&gt;""),1,0),1))</f>
        <v>0</v>
      </c>
      <c r="H71" s="13">
        <v>8</v>
      </c>
      <c r="I71" t="str">
        <f t="shared" si="4"/>
        <v>C2P10</v>
      </c>
    </row>
    <row r="72" spans="1:9">
      <c r="A72" t="str">
        <f>'Assemble Data'!B73</f>
        <v>P13</v>
      </c>
      <c r="B72" s="13">
        <f>IFERROR(SUMIF('Assemble Data'!K:K,'Assemble Data'!A73,'Assemble Data'!L:L),0)</f>
        <v>4500</v>
      </c>
      <c r="C72" s="13" t="str">
        <f>INDEX('Assemble Data'!$O$24:$O$1023,MATCH('Assemble Data'!A73,'Assemble Data'!$N$24:$N$1023,0))</f>
        <v>C2</v>
      </c>
      <c r="D72" s="13">
        <f>SUMIF('Assemble Data'!H:H,'Assemble Data'!A73,'Assemble Data'!I:I)</f>
        <v>5</v>
      </c>
      <c r="E72" s="13">
        <f>IFERROR(IF(AND('Assemble Data'!D73&lt;&gt;"",'Assemble Data'!D73&lt;&gt;B72),1,0),1)</f>
        <v>0</v>
      </c>
      <c r="F72" s="13">
        <f ca="1">IF('Assemble Data'!E73="",0,IF(ISERROR(FIND("INDEX",_xlfn.FORMULATEXT('Assemble Data'!E73),1)),1,0)+IFERROR(IF(AND('Assemble Data'!E73&lt;&gt;C72,'Assemble Data'!E73&lt;&gt;""),1,0),1))</f>
        <v>0</v>
      </c>
      <c r="G72" s="13">
        <f ca="1">IF('Assemble Data'!F73="",0,IF(ISERROR(FIND("VLOOKUP",_xlfn.FORMULATEXT('Assemble Data'!F73),1)),1,0)+IFERROR(IF(AND('Assemble Data'!F73&lt;&gt;D72,'Assemble Data'!F73&lt;&gt;""),1,0),1))</f>
        <v>0</v>
      </c>
      <c r="H72" s="13">
        <v>3</v>
      </c>
      <c r="I72" t="str">
        <f t="shared" si="4"/>
        <v>C2P13</v>
      </c>
    </row>
    <row r="73" spans="1:9">
      <c r="A73" t="str">
        <f>'Assemble Data'!B74</f>
        <v>P17</v>
      </c>
      <c r="B73" s="13">
        <f>IFERROR(SUMIF('Assemble Data'!K:K,'Assemble Data'!A74,'Assemble Data'!L:L),0)</f>
        <v>13200.000000000002</v>
      </c>
      <c r="C73" s="13" t="str">
        <f>INDEX('Assemble Data'!$O$24:$O$1023,MATCH('Assemble Data'!A74,'Assemble Data'!$N$24:$N$1023,0))</f>
        <v>O2</v>
      </c>
      <c r="D73" s="13">
        <f>SUMIF('Assemble Data'!H:H,'Assemble Data'!A74,'Assemble Data'!I:I)</f>
        <v>12</v>
      </c>
      <c r="E73" s="13">
        <f>IFERROR(IF(AND('Assemble Data'!D74&lt;&gt;"",'Assemble Data'!D74&lt;&gt;B73),1,0),1)</f>
        <v>0</v>
      </c>
      <c r="F73" s="13">
        <f ca="1">IF('Assemble Data'!E74="",0,IF(ISERROR(FIND("INDEX",_xlfn.FORMULATEXT('Assemble Data'!E74),1)),1,0)+IFERROR(IF(AND('Assemble Data'!E74&lt;&gt;C73,'Assemble Data'!E74&lt;&gt;""),1,0),1))</f>
        <v>0</v>
      </c>
      <c r="G73" s="13">
        <f ca="1">IF('Assemble Data'!F74="",0,IF(ISERROR(FIND("VLOOKUP",_xlfn.FORMULATEXT('Assemble Data'!F74),1)),1,0)+IFERROR(IF(AND('Assemble Data'!F74&lt;&gt;D73,'Assemble Data'!F74&lt;&gt;""),1,0),1))</f>
        <v>0</v>
      </c>
      <c r="H73" s="13">
        <v>6</v>
      </c>
      <c r="I73" t="str">
        <f t="shared" si="4"/>
        <v>O2P17</v>
      </c>
    </row>
    <row r="74" spans="1:9">
      <c r="A74" t="str">
        <f>'Assemble Data'!B75</f>
        <v>P10</v>
      </c>
      <c r="B74" s="13">
        <f>IFERROR(SUMIF('Assemble Data'!K:K,'Assemble Data'!A75,'Assemble Data'!L:L),0)</f>
        <v>2400</v>
      </c>
      <c r="C74" s="13" t="str">
        <f>INDEX('Assemble Data'!$O$24:$O$1023,MATCH('Assemble Data'!A75,'Assemble Data'!$N$24:$N$1023,0))</f>
        <v>C2</v>
      </c>
      <c r="D74" s="13">
        <f>SUMIF('Assemble Data'!H:H,'Assemble Data'!A75,'Assemble Data'!I:I)</f>
        <v>3</v>
      </c>
      <c r="E74" s="13">
        <f>IFERROR(IF(AND('Assemble Data'!D75&lt;&gt;"",'Assemble Data'!D75&lt;&gt;B74),1,0),1)</f>
        <v>0</v>
      </c>
      <c r="F74" s="13">
        <f ca="1">IF('Assemble Data'!E75="",0,IF(ISERROR(FIND("INDEX",_xlfn.FORMULATEXT('Assemble Data'!E75),1)),1,0)+IFERROR(IF(AND('Assemble Data'!E75&lt;&gt;C74,'Assemble Data'!E75&lt;&gt;""),1,0),1))</f>
        <v>0</v>
      </c>
      <c r="G74" s="13">
        <f ca="1">IF('Assemble Data'!F75="",0,IF(ISERROR(FIND("VLOOKUP",_xlfn.FORMULATEXT('Assemble Data'!F75),1)),1,0)+IFERROR(IF(AND('Assemble Data'!F75&lt;&gt;D74,'Assemble Data'!F75&lt;&gt;""),1,0),1))</f>
        <v>0</v>
      </c>
      <c r="H74" s="13">
        <v>8</v>
      </c>
      <c r="I74" t="str">
        <f t="shared" si="4"/>
        <v>C2P10</v>
      </c>
    </row>
    <row r="75" spans="1:9">
      <c r="A75" t="str">
        <f>'Assemble Data'!B76</f>
        <v>P18</v>
      </c>
      <c r="B75" s="13">
        <f>IFERROR(SUMIF('Assemble Data'!K:K,'Assemble Data'!A76,'Assemble Data'!L:L),0)</f>
        <v>11880.000000000002</v>
      </c>
      <c r="C75" s="13" t="str">
        <f>INDEX('Assemble Data'!$O$24:$O$1023,MATCH('Assemble Data'!A76,'Assemble Data'!$N$24:$N$1023,0))</f>
        <v>O2</v>
      </c>
      <c r="D75" s="13">
        <f>SUMIF('Assemble Data'!H:H,'Assemble Data'!A76,'Assemble Data'!I:I)</f>
        <v>6</v>
      </c>
      <c r="E75" s="13">
        <f>IFERROR(IF(AND('Assemble Data'!D76&lt;&gt;"",'Assemble Data'!D76&lt;&gt;B75),1,0),1)</f>
        <v>0</v>
      </c>
      <c r="F75" s="13">
        <f ca="1">IF('Assemble Data'!E76="",0,IF(ISERROR(FIND("INDEX",_xlfn.FORMULATEXT('Assemble Data'!E76),1)),1,0)+IFERROR(IF(AND('Assemble Data'!E76&lt;&gt;C75,'Assemble Data'!E76&lt;&gt;""),1,0),1))</f>
        <v>0</v>
      </c>
      <c r="G75" s="13">
        <f ca="1">IF('Assemble Data'!F76="",0,IF(ISERROR(FIND("VLOOKUP",_xlfn.FORMULATEXT('Assemble Data'!F76),1)),1,0)+IFERROR(IF(AND('Assemble Data'!F76&lt;&gt;D75,'Assemble Data'!F76&lt;&gt;""),1,0),1))</f>
        <v>0</v>
      </c>
      <c r="H75" s="13">
        <v>2</v>
      </c>
      <c r="I75" t="str">
        <f t="shared" si="4"/>
        <v>O2P18</v>
      </c>
    </row>
    <row r="76" spans="1:9">
      <c r="A76" t="str">
        <f>'Assemble Data'!B77</f>
        <v>P13</v>
      </c>
      <c r="B76" s="13">
        <f>IFERROR(SUMIF('Assemble Data'!K:K,'Assemble Data'!A77,'Assemble Data'!L:L),0)</f>
        <v>4500</v>
      </c>
      <c r="C76" s="13" t="str">
        <f>INDEX('Assemble Data'!$O$24:$O$1023,MATCH('Assemble Data'!A77,'Assemble Data'!$N$24:$N$1023,0))</f>
        <v>C2</v>
      </c>
      <c r="D76" s="13">
        <f>SUMIF('Assemble Data'!H:H,'Assemble Data'!A77,'Assemble Data'!I:I)</f>
        <v>5</v>
      </c>
      <c r="E76" s="13">
        <f>IFERROR(IF(AND('Assemble Data'!D77&lt;&gt;"",'Assemble Data'!D77&lt;&gt;B76),1,0),1)</f>
        <v>0</v>
      </c>
      <c r="F76" s="13">
        <f ca="1">IF('Assemble Data'!E77="",0,IF(ISERROR(FIND("INDEX",_xlfn.FORMULATEXT('Assemble Data'!E77),1)),1,0)+IFERROR(IF(AND('Assemble Data'!E77&lt;&gt;C76,'Assemble Data'!E77&lt;&gt;""),1,0),1))</f>
        <v>0</v>
      </c>
      <c r="G76" s="13">
        <f ca="1">IF('Assemble Data'!F77="",0,IF(ISERROR(FIND("VLOOKUP",_xlfn.FORMULATEXT('Assemble Data'!F77),1)),1,0)+IFERROR(IF(AND('Assemble Data'!F77&lt;&gt;D76,'Assemble Data'!F77&lt;&gt;""),1,0),1))</f>
        <v>0</v>
      </c>
      <c r="H76" s="13">
        <v>3</v>
      </c>
      <c r="I76" t="str">
        <f t="shared" si="4"/>
        <v>C2P13</v>
      </c>
    </row>
    <row r="77" spans="1:9">
      <c r="A77" t="str">
        <f>'Assemble Data'!B78</f>
        <v>P10</v>
      </c>
      <c r="B77" s="13">
        <f>IFERROR(SUMIF('Assemble Data'!K:K,'Assemble Data'!A78,'Assemble Data'!L:L),0)</f>
        <v>2400</v>
      </c>
      <c r="C77" s="13" t="str">
        <f>INDEX('Assemble Data'!$O$24:$O$1023,MATCH('Assemble Data'!A78,'Assemble Data'!$N$24:$N$1023,0))</f>
        <v>C2</v>
      </c>
      <c r="D77" s="13">
        <f>SUMIF('Assemble Data'!H:H,'Assemble Data'!A78,'Assemble Data'!I:I)</f>
        <v>3</v>
      </c>
      <c r="E77" s="13">
        <f>IFERROR(IF(AND('Assemble Data'!D78&lt;&gt;"",'Assemble Data'!D78&lt;&gt;B77),1,0),1)</f>
        <v>0</v>
      </c>
      <c r="F77" s="13">
        <f ca="1">IF('Assemble Data'!E78="",0,IF(ISERROR(FIND("INDEX",_xlfn.FORMULATEXT('Assemble Data'!E78),1)),1,0)+IFERROR(IF(AND('Assemble Data'!E78&lt;&gt;C77,'Assemble Data'!E78&lt;&gt;""),1,0),1))</f>
        <v>0</v>
      </c>
      <c r="G77" s="13">
        <f ca="1">IF('Assemble Data'!F78="",0,IF(ISERROR(FIND("VLOOKUP",_xlfn.FORMULATEXT('Assemble Data'!F78),1)),1,0)+IFERROR(IF(AND('Assemble Data'!F78&lt;&gt;D77,'Assemble Data'!F78&lt;&gt;""),1,0),1))</f>
        <v>0</v>
      </c>
      <c r="H77" s="13">
        <v>8</v>
      </c>
      <c r="I77" t="str">
        <f t="shared" si="4"/>
        <v>C2P10</v>
      </c>
    </row>
    <row r="78" spans="1:9">
      <c r="A78" t="str">
        <f>'Assemble Data'!B79</f>
        <v>P15</v>
      </c>
      <c r="B78" s="13">
        <f>IFERROR(SUMIF('Assemble Data'!K:K,'Assemble Data'!A79,'Assemble Data'!L:L),0)</f>
        <v>5400</v>
      </c>
      <c r="C78" s="13" t="str">
        <f>INDEX('Assemble Data'!$O$24:$O$1023,MATCH('Assemble Data'!A79,'Assemble Data'!$N$24:$N$1023,0))</f>
        <v>N2</v>
      </c>
      <c r="D78" s="13">
        <f>SUMIF('Assemble Data'!H:H,'Assemble Data'!A79,'Assemble Data'!I:I)</f>
        <v>5</v>
      </c>
      <c r="E78" s="13">
        <f>IFERROR(IF(AND('Assemble Data'!D79&lt;&gt;"",'Assemble Data'!D79&lt;&gt;B78),1,0),1)</f>
        <v>0</v>
      </c>
      <c r="F78" s="13">
        <f ca="1">IF('Assemble Data'!E79="",0,IF(ISERROR(FIND("INDEX",_xlfn.FORMULATEXT('Assemble Data'!E79),1)),1,0)+IFERROR(IF(AND('Assemble Data'!E79&lt;&gt;C78,'Assemble Data'!E79&lt;&gt;""),1,0),1))</f>
        <v>0</v>
      </c>
      <c r="G78" s="13">
        <f ca="1">IF('Assemble Data'!F79="",0,IF(ISERROR(FIND("VLOOKUP",_xlfn.FORMULATEXT('Assemble Data'!F79),1)),1,0)+IFERROR(IF(AND('Assemble Data'!F79&lt;&gt;D78,'Assemble Data'!F79&lt;&gt;""),1,0),1))</f>
        <v>0</v>
      </c>
      <c r="H78" s="13">
        <v>4</v>
      </c>
      <c r="I78" t="str">
        <f t="shared" si="4"/>
        <v>N2P15</v>
      </c>
    </row>
    <row r="79" spans="1:9">
      <c r="A79" t="str">
        <f>'Assemble Data'!B80</f>
        <v>P15</v>
      </c>
      <c r="B79" s="13">
        <f>IFERROR(SUMIF('Assemble Data'!K:K,'Assemble Data'!A80,'Assemble Data'!L:L),0)</f>
        <v>5400</v>
      </c>
      <c r="C79" s="13" t="str">
        <f>INDEX('Assemble Data'!$O$24:$O$1023,MATCH('Assemble Data'!A80,'Assemble Data'!$N$24:$N$1023,0))</f>
        <v>N2</v>
      </c>
      <c r="D79" s="13">
        <f>SUMIF('Assemble Data'!H:H,'Assemble Data'!A80,'Assemble Data'!I:I)</f>
        <v>5</v>
      </c>
      <c r="E79" s="13">
        <f>IFERROR(IF(AND('Assemble Data'!D80&lt;&gt;"",'Assemble Data'!D80&lt;&gt;B79),1,0),1)</f>
        <v>0</v>
      </c>
      <c r="F79" s="13">
        <f ca="1">IF('Assemble Data'!E80="",0,IF(ISERROR(FIND("INDEX",_xlfn.FORMULATEXT('Assemble Data'!E80),1)),1,0)+IFERROR(IF(AND('Assemble Data'!E80&lt;&gt;C79,'Assemble Data'!E80&lt;&gt;""),1,0),1))</f>
        <v>0</v>
      </c>
      <c r="G79" s="13">
        <f ca="1">IF('Assemble Data'!F80="",0,IF(ISERROR(FIND("VLOOKUP",_xlfn.FORMULATEXT('Assemble Data'!F80),1)),1,0)+IFERROR(IF(AND('Assemble Data'!F80&lt;&gt;D79,'Assemble Data'!F80&lt;&gt;""),1,0),1))</f>
        <v>0</v>
      </c>
      <c r="H79" s="13">
        <v>4</v>
      </c>
      <c r="I79" t="str">
        <f t="shared" si="4"/>
        <v>N2P15</v>
      </c>
    </row>
    <row r="80" spans="1:9">
      <c r="A80" t="str">
        <f>'Assemble Data'!B81</f>
        <v>P14</v>
      </c>
      <c r="B80" s="13">
        <f>IFERROR(SUMIF('Assemble Data'!K:K,'Assemble Data'!A81,'Assemble Data'!L:L),0)</f>
        <v>6480</v>
      </c>
      <c r="C80" s="13" t="str">
        <f>INDEX('Assemble Data'!$O$24:$O$1023,MATCH('Assemble Data'!A81,'Assemble Data'!$N$24:$N$1023,0))</f>
        <v>N2</v>
      </c>
      <c r="D80" s="13">
        <f>SUMIF('Assemble Data'!H:H,'Assemble Data'!A81,'Assemble Data'!I:I)</f>
        <v>8</v>
      </c>
      <c r="E80" s="13">
        <f>IFERROR(IF(AND('Assemble Data'!D81&lt;&gt;"",'Assemble Data'!D81&lt;&gt;B80),1,0),1)</f>
        <v>0</v>
      </c>
      <c r="F80" s="13">
        <f ca="1">IF('Assemble Data'!E81="",0,IF(ISERROR(FIND("INDEX",_xlfn.FORMULATEXT('Assemble Data'!E81),1)),1,0)+IFERROR(IF(AND('Assemble Data'!E81&lt;&gt;C80,'Assemble Data'!E81&lt;&gt;""),1,0),1))</f>
        <v>0</v>
      </c>
      <c r="G80" s="13">
        <f ca="1">IF('Assemble Data'!F81="",0,IF(ISERROR(FIND("VLOOKUP",_xlfn.FORMULATEXT('Assemble Data'!F81),1)),1,0)+IFERROR(IF(AND('Assemble Data'!F81&lt;&gt;D80,'Assemble Data'!F81&lt;&gt;""),1,0),1))</f>
        <v>0</v>
      </c>
      <c r="H80" s="13">
        <v>5</v>
      </c>
      <c r="I80" t="str">
        <f t="shared" si="4"/>
        <v>N2P14</v>
      </c>
    </row>
    <row r="81" spans="1:9">
      <c r="A81" t="str">
        <f>'Assemble Data'!B82</f>
        <v>P15</v>
      </c>
      <c r="B81" s="13">
        <f>IFERROR(SUMIF('Assemble Data'!K:K,'Assemble Data'!A82,'Assemble Data'!L:L),0)</f>
        <v>5400</v>
      </c>
      <c r="C81" s="13" t="str">
        <f>INDEX('Assemble Data'!$O$24:$O$1023,MATCH('Assemble Data'!A82,'Assemble Data'!$N$24:$N$1023,0))</f>
        <v>N2</v>
      </c>
      <c r="D81" s="13">
        <f>SUMIF('Assemble Data'!H:H,'Assemble Data'!A82,'Assemble Data'!I:I)</f>
        <v>5</v>
      </c>
      <c r="E81" s="13">
        <f>IFERROR(IF(AND('Assemble Data'!D82&lt;&gt;"",'Assemble Data'!D82&lt;&gt;B81),1,0),1)</f>
        <v>0</v>
      </c>
      <c r="F81" s="13">
        <f ca="1">IF('Assemble Data'!E82="",0,IF(ISERROR(FIND("INDEX",_xlfn.FORMULATEXT('Assemble Data'!E82),1)),1,0)+IFERROR(IF(AND('Assemble Data'!E82&lt;&gt;C81,'Assemble Data'!E82&lt;&gt;""),1,0),1))</f>
        <v>0</v>
      </c>
      <c r="G81" s="13">
        <f ca="1">IF('Assemble Data'!F82="",0,IF(ISERROR(FIND("VLOOKUP",_xlfn.FORMULATEXT('Assemble Data'!F82),1)),1,0)+IFERROR(IF(AND('Assemble Data'!F82&lt;&gt;D81,'Assemble Data'!F82&lt;&gt;""),1,0),1))</f>
        <v>0</v>
      </c>
      <c r="H81" s="13">
        <v>4</v>
      </c>
      <c r="I81" t="str">
        <f t="shared" si="4"/>
        <v>N2P15</v>
      </c>
    </row>
    <row r="82" spans="1:9">
      <c r="A82" t="str">
        <f>'Assemble Data'!B83</f>
        <v>P13</v>
      </c>
      <c r="B82" s="13">
        <f>IFERROR(SUMIF('Assemble Data'!K:K,'Assemble Data'!A83,'Assemble Data'!L:L),0)</f>
        <v>4500</v>
      </c>
      <c r="C82" s="13" t="str">
        <f>INDEX('Assemble Data'!$O$24:$O$1023,MATCH('Assemble Data'!A83,'Assemble Data'!$N$24:$N$1023,0))</f>
        <v>C2</v>
      </c>
      <c r="D82" s="13">
        <f>SUMIF('Assemble Data'!H:H,'Assemble Data'!A83,'Assemble Data'!I:I)</f>
        <v>5</v>
      </c>
      <c r="E82" s="13">
        <f>IFERROR(IF(AND('Assemble Data'!D83&lt;&gt;"",'Assemble Data'!D83&lt;&gt;B82),1,0),1)</f>
        <v>0</v>
      </c>
      <c r="F82" s="13">
        <f ca="1">IF('Assemble Data'!E83="",0,IF(ISERROR(FIND("INDEX",_xlfn.FORMULATEXT('Assemble Data'!E83),1)),1,0)+IFERROR(IF(AND('Assemble Data'!E83&lt;&gt;C82,'Assemble Data'!E83&lt;&gt;""),1,0),1))</f>
        <v>0</v>
      </c>
      <c r="G82" s="13">
        <f ca="1">IF('Assemble Data'!F83="",0,IF(ISERROR(FIND("VLOOKUP",_xlfn.FORMULATEXT('Assemble Data'!F83),1)),1,0)+IFERROR(IF(AND('Assemble Data'!F83&lt;&gt;D82,'Assemble Data'!F83&lt;&gt;""),1,0),1))</f>
        <v>0</v>
      </c>
      <c r="H82" s="13">
        <v>3</v>
      </c>
      <c r="I82" t="str">
        <f t="shared" si="4"/>
        <v>C2P13</v>
      </c>
    </row>
    <row r="83" spans="1:9">
      <c r="A83" t="str">
        <f>'Assemble Data'!B84</f>
        <v>P19</v>
      </c>
      <c r="B83" s="13">
        <f>IFERROR(SUMIF('Assemble Data'!K:K,'Assemble Data'!A84,'Assemble Data'!L:L),0)</f>
        <v>9680</v>
      </c>
      <c r="C83" s="13" t="str">
        <f>INDEX('Assemble Data'!$O$24:$O$1023,MATCH('Assemble Data'!A84,'Assemble Data'!$N$24:$N$1023,0))</f>
        <v>O2</v>
      </c>
      <c r="D83" s="13">
        <f>SUMIF('Assemble Data'!H:H,'Assemble Data'!A84,'Assemble Data'!I:I)</f>
        <v>11</v>
      </c>
      <c r="E83" s="13">
        <f>IFERROR(IF(AND('Assemble Data'!D84&lt;&gt;"",'Assemble Data'!D84&lt;&gt;B83),1,0),1)</f>
        <v>0</v>
      </c>
      <c r="F83" s="13">
        <f ca="1">IF('Assemble Data'!E84="",0,IF(ISERROR(FIND("INDEX",_xlfn.FORMULATEXT('Assemble Data'!E84),1)),1,0)+IFERROR(IF(AND('Assemble Data'!E84&lt;&gt;C83,'Assemble Data'!E84&lt;&gt;""),1,0),1))</f>
        <v>0</v>
      </c>
      <c r="G83" s="13">
        <f ca="1">IF('Assemble Data'!F84="",0,IF(ISERROR(FIND("VLOOKUP",_xlfn.FORMULATEXT('Assemble Data'!F84),1)),1,0)+IFERROR(IF(AND('Assemble Data'!F84&lt;&gt;D83,'Assemble Data'!F84&lt;&gt;""),1,0),1))</f>
        <v>0</v>
      </c>
      <c r="H83" s="13">
        <v>1</v>
      </c>
      <c r="I83" t="str">
        <f t="shared" si="4"/>
        <v>O2P19</v>
      </c>
    </row>
    <row r="84" spans="1:9">
      <c r="A84" t="str">
        <f>'Assemble Data'!B85</f>
        <v>P12</v>
      </c>
      <c r="B84" s="13">
        <f>IFERROR(SUMIF('Assemble Data'!K:K,'Assemble Data'!A85,'Assemble Data'!L:L),0)</f>
        <v>6825</v>
      </c>
      <c r="C84" s="13" t="str">
        <f>INDEX('Assemble Data'!$O$24:$O$1023,MATCH('Assemble Data'!A85,'Assemble Data'!$N$24:$N$1023,0))</f>
        <v>C2</v>
      </c>
      <c r="D84" s="13">
        <f>SUMIF('Assemble Data'!H:H,'Assemble Data'!A85,'Assemble Data'!I:I)</f>
        <v>6.5</v>
      </c>
      <c r="E84" s="13">
        <f>IFERROR(IF(AND('Assemble Data'!D85&lt;&gt;"",'Assemble Data'!D85&lt;&gt;B84),1,0),1)</f>
        <v>0</v>
      </c>
      <c r="F84" s="13">
        <f ca="1">IF('Assemble Data'!E85="",0,IF(ISERROR(FIND("INDEX",_xlfn.FORMULATEXT('Assemble Data'!E85),1)),1,0)+IFERROR(IF(AND('Assemble Data'!E85&lt;&gt;C84,'Assemble Data'!E85&lt;&gt;""),1,0),1))</f>
        <v>0</v>
      </c>
      <c r="G84" s="13">
        <f ca="1">IF('Assemble Data'!F85="",0,IF(ISERROR(FIND("VLOOKUP",_xlfn.FORMULATEXT('Assemble Data'!F85),1)),1,0)+IFERROR(IF(AND('Assemble Data'!F85&lt;&gt;D84,'Assemble Data'!F85&lt;&gt;""),1,0),1))</f>
        <v>0</v>
      </c>
      <c r="H84" s="13">
        <v>7</v>
      </c>
      <c r="I84" t="str">
        <f t="shared" si="4"/>
        <v>C2P12</v>
      </c>
    </row>
    <row r="85" spans="1:9">
      <c r="A85" t="str">
        <f>'Assemble Data'!B86</f>
        <v>P12</v>
      </c>
      <c r="B85" s="13">
        <f>IFERROR(SUMIF('Assemble Data'!K:K,'Assemble Data'!A86,'Assemble Data'!L:L),0)</f>
        <v>6825</v>
      </c>
      <c r="C85" s="13" t="str">
        <f>INDEX('Assemble Data'!$O$24:$O$1023,MATCH('Assemble Data'!A86,'Assemble Data'!$N$24:$N$1023,0))</f>
        <v>C2</v>
      </c>
      <c r="D85" s="13">
        <f>SUMIF('Assemble Data'!H:H,'Assemble Data'!A86,'Assemble Data'!I:I)</f>
        <v>6.5</v>
      </c>
      <c r="E85" s="13">
        <f>IFERROR(IF(AND('Assemble Data'!D86&lt;&gt;"",'Assemble Data'!D86&lt;&gt;B85),1,0),1)</f>
        <v>0</v>
      </c>
      <c r="F85" s="13">
        <f ca="1">IF('Assemble Data'!E86="",0,IF(ISERROR(FIND("INDEX",_xlfn.FORMULATEXT('Assemble Data'!E86),1)),1,0)+IFERROR(IF(AND('Assemble Data'!E86&lt;&gt;C85,'Assemble Data'!E86&lt;&gt;""),1,0),1))</f>
        <v>0</v>
      </c>
      <c r="G85" s="13">
        <f ca="1">IF('Assemble Data'!F86="",0,IF(ISERROR(FIND("VLOOKUP",_xlfn.FORMULATEXT('Assemble Data'!F86),1)),1,0)+IFERROR(IF(AND('Assemble Data'!F86&lt;&gt;D85,'Assemble Data'!F86&lt;&gt;""),1,0),1))</f>
        <v>0</v>
      </c>
      <c r="H85" s="13">
        <v>7</v>
      </c>
      <c r="I85" t="str">
        <f t="shared" si="4"/>
        <v>C2P12</v>
      </c>
    </row>
    <row r="86" spans="1:9">
      <c r="A86" t="str">
        <f>'Assemble Data'!B87</f>
        <v>P17</v>
      </c>
      <c r="B86" s="13">
        <f>IFERROR(SUMIF('Assemble Data'!K:K,'Assemble Data'!A87,'Assemble Data'!L:L),0)</f>
        <v>13200.000000000002</v>
      </c>
      <c r="C86" s="13" t="str">
        <f>INDEX('Assemble Data'!$O$24:$O$1023,MATCH('Assemble Data'!A87,'Assemble Data'!$N$24:$N$1023,0))</f>
        <v>O2</v>
      </c>
      <c r="D86" s="13">
        <f>SUMIF('Assemble Data'!H:H,'Assemble Data'!A87,'Assemble Data'!I:I)</f>
        <v>12</v>
      </c>
      <c r="E86" s="13">
        <f>IFERROR(IF(AND('Assemble Data'!D87&lt;&gt;"",'Assemble Data'!D87&lt;&gt;B86),1,0),1)</f>
        <v>0</v>
      </c>
      <c r="F86" s="13">
        <f ca="1">IF('Assemble Data'!E87="",0,IF(ISERROR(FIND("INDEX",_xlfn.FORMULATEXT('Assemble Data'!E87),1)),1,0)+IFERROR(IF(AND('Assemble Data'!E87&lt;&gt;C86,'Assemble Data'!E87&lt;&gt;""),1,0),1))</f>
        <v>0</v>
      </c>
      <c r="G86" s="13">
        <f ca="1">IF('Assemble Data'!F87="",0,IF(ISERROR(FIND("VLOOKUP",_xlfn.FORMULATEXT('Assemble Data'!F87),1)),1,0)+IFERROR(IF(AND('Assemble Data'!F87&lt;&gt;D86,'Assemble Data'!F87&lt;&gt;""),1,0),1))</f>
        <v>0</v>
      </c>
      <c r="H86" s="13">
        <v>6</v>
      </c>
      <c r="I86" t="str">
        <f t="shared" si="4"/>
        <v>O2P17</v>
      </c>
    </row>
    <row r="87" spans="1:9">
      <c r="A87" t="str">
        <f>'Assemble Data'!B88</f>
        <v>P12</v>
      </c>
      <c r="B87" s="13">
        <f>IFERROR(SUMIF('Assemble Data'!K:K,'Assemble Data'!A88,'Assemble Data'!L:L),0)</f>
        <v>6825</v>
      </c>
      <c r="C87" s="13" t="str">
        <f>INDEX('Assemble Data'!$O$24:$O$1023,MATCH('Assemble Data'!A88,'Assemble Data'!$N$24:$N$1023,0))</f>
        <v>C2</v>
      </c>
      <c r="D87" s="13">
        <f>SUMIF('Assemble Data'!H:H,'Assemble Data'!A88,'Assemble Data'!I:I)</f>
        <v>6.5</v>
      </c>
      <c r="E87" s="13">
        <f>IFERROR(IF(AND('Assemble Data'!D88&lt;&gt;"",'Assemble Data'!D88&lt;&gt;B87),1,0),1)</f>
        <v>0</v>
      </c>
      <c r="F87" s="13">
        <f ca="1">IF('Assemble Data'!E88="",0,IF(ISERROR(FIND("INDEX",_xlfn.FORMULATEXT('Assemble Data'!E88),1)),1,0)+IFERROR(IF(AND('Assemble Data'!E88&lt;&gt;C87,'Assemble Data'!E88&lt;&gt;""),1,0),1))</f>
        <v>0</v>
      </c>
      <c r="G87" s="13">
        <f ca="1">IF('Assemble Data'!F88="",0,IF(ISERROR(FIND("VLOOKUP",_xlfn.FORMULATEXT('Assemble Data'!F88),1)),1,0)+IFERROR(IF(AND('Assemble Data'!F88&lt;&gt;D87,'Assemble Data'!F88&lt;&gt;""),1,0),1))</f>
        <v>0</v>
      </c>
      <c r="H87" s="13">
        <v>7</v>
      </c>
      <c r="I87" t="str">
        <f t="shared" si="4"/>
        <v>C2P12</v>
      </c>
    </row>
    <row r="88" spans="1:9">
      <c r="A88" t="str">
        <f>'Assemble Data'!B89</f>
        <v>P15</v>
      </c>
      <c r="B88" s="13">
        <f>IFERROR(SUMIF('Assemble Data'!K:K,'Assemble Data'!A89,'Assemble Data'!L:L),0)</f>
        <v>5400</v>
      </c>
      <c r="C88" s="13" t="str">
        <f>INDEX('Assemble Data'!$O$24:$O$1023,MATCH('Assemble Data'!A89,'Assemble Data'!$N$24:$N$1023,0))</f>
        <v>N2</v>
      </c>
      <c r="D88" s="13">
        <f>SUMIF('Assemble Data'!H:H,'Assemble Data'!A89,'Assemble Data'!I:I)</f>
        <v>5</v>
      </c>
      <c r="E88" s="13">
        <f>IFERROR(IF(AND('Assemble Data'!D89&lt;&gt;"",'Assemble Data'!D89&lt;&gt;B88),1,0),1)</f>
        <v>0</v>
      </c>
      <c r="F88" s="13">
        <f ca="1">IF('Assemble Data'!E89="",0,IF(ISERROR(FIND("INDEX",_xlfn.FORMULATEXT('Assemble Data'!E89),1)),1,0)+IFERROR(IF(AND('Assemble Data'!E89&lt;&gt;C88,'Assemble Data'!E89&lt;&gt;""),1,0),1))</f>
        <v>0</v>
      </c>
      <c r="G88" s="13">
        <f ca="1">IF('Assemble Data'!F89="",0,IF(ISERROR(FIND("VLOOKUP",_xlfn.FORMULATEXT('Assemble Data'!F89),1)),1,0)+IFERROR(IF(AND('Assemble Data'!F89&lt;&gt;D88,'Assemble Data'!F89&lt;&gt;""),1,0),1))</f>
        <v>0</v>
      </c>
      <c r="H88" s="13">
        <v>4</v>
      </c>
      <c r="I88" t="str">
        <f t="shared" ref="I88:I151" si="19">C88&amp;A88</f>
        <v>N2P15</v>
      </c>
    </row>
    <row r="89" spans="1:9">
      <c r="A89" t="str">
        <f>'Assemble Data'!B90</f>
        <v>P18</v>
      </c>
      <c r="B89" s="13">
        <f>IFERROR(SUMIF('Assemble Data'!K:K,'Assemble Data'!A90,'Assemble Data'!L:L),0)</f>
        <v>5940.0000000000009</v>
      </c>
      <c r="C89" s="13" t="str">
        <f>INDEX('Assemble Data'!$O$24:$O$1023,MATCH('Assemble Data'!A90,'Assemble Data'!$N$24:$N$1023,0))</f>
        <v>O2</v>
      </c>
      <c r="D89" s="13">
        <f>SUMIF('Assemble Data'!H:H,'Assemble Data'!A90,'Assemble Data'!I:I)</f>
        <v>6</v>
      </c>
      <c r="E89" s="13">
        <f>IFERROR(IF(AND('Assemble Data'!D90&lt;&gt;"",'Assemble Data'!D90&lt;&gt;B89),1,0),1)</f>
        <v>0</v>
      </c>
      <c r="F89" s="13">
        <f ca="1">IF('Assemble Data'!E90="",0,IF(ISERROR(FIND("INDEX",_xlfn.FORMULATEXT('Assemble Data'!E90),1)),1,0)+IFERROR(IF(AND('Assemble Data'!E90&lt;&gt;C89,'Assemble Data'!E90&lt;&gt;""),1,0),1))</f>
        <v>0</v>
      </c>
      <c r="G89" s="13">
        <f ca="1">IF('Assemble Data'!F90="",0,IF(ISERROR(FIND("VLOOKUP",_xlfn.FORMULATEXT('Assemble Data'!F90),1)),1,0)+IFERROR(IF(AND('Assemble Data'!F90&lt;&gt;D89,'Assemble Data'!F90&lt;&gt;""),1,0),1))</f>
        <v>0</v>
      </c>
      <c r="H89" s="13">
        <v>2</v>
      </c>
      <c r="I89" t="str">
        <f t="shared" si="19"/>
        <v>O2P18</v>
      </c>
    </row>
    <row r="90" spans="1:9">
      <c r="A90" t="str">
        <f>'Assemble Data'!B91</f>
        <v>P19</v>
      </c>
      <c r="B90" s="13">
        <f>IFERROR(SUMIF('Assemble Data'!K:K,'Assemble Data'!A91,'Assemble Data'!L:L),0)</f>
        <v>9680</v>
      </c>
      <c r="C90" s="13" t="str">
        <f>INDEX('Assemble Data'!$O$24:$O$1023,MATCH('Assemble Data'!A91,'Assemble Data'!$N$24:$N$1023,0))</f>
        <v>O2</v>
      </c>
      <c r="D90" s="13">
        <f>SUMIF('Assemble Data'!H:H,'Assemble Data'!A91,'Assemble Data'!I:I)</f>
        <v>11</v>
      </c>
      <c r="E90" s="13">
        <f>IFERROR(IF(AND('Assemble Data'!D91&lt;&gt;"",'Assemble Data'!D91&lt;&gt;B90),1,0),1)</f>
        <v>0</v>
      </c>
      <c r="F90" s="13">
        <f ca="1">IF('Assemble Data'!E91="",0,IF(ISERROR(FIND("INDEX",_xlfn.FORMULATEXT('Assemble Data'!E91),1)),1,0)+IFERROR(IF(AND('Assemble Data'!E91&lt;&gt;C90,'Assemble Data'!E91&lt;&gt;""),1,0),1))</f>
        <v>0</v>
      </c>
      <c r="G90" s="13">
        <f ca="1">IF('Assemble Data'!F91="",0,IF(ISERROR(FIND("VLOOKUP",_xlfn.FORMULATEXT('Assemble Data'!F91),1)),1,0)+IFERROR(IF(AND('Assemble Data'!F91&lt;&gt;D90,'Assemble Data'!F91&lt;&gt;""),1,0),1))</f>
        <v>0</v>
      </c>
      <c r="H90" s="13">
        <v>1</v>
      </c>
      <c r="I90" t="str">
        <f t="shared" si="19"/>
        <v>O2P19</v>
      </c>
    </row>
    <row r="91" spans="1:9">
      <c r="A91" t="str">
        <f>'Assemble Data'!B92</f>
        <v>P15</v>
      </c>
      <c r="B91" s="13">
        <f>IFERROR(SUMIF('Assemble Data'!K:K,'Assemble Data'!A92,'Assemble Data'!L:L),0)</f>
        <v>5400</v>
      </c>
      <c r="C91" s="13" t="str">
        <f>INDEX('Assemble Data'!$O$24:$O$1023,MATCH('Assemble Data'!A92,'Assemble Data'!$N$24:$N$1023,0))</f>
        <v>N2</v>
      </c>
      <c r="D91" s="13">
        <f>SUMIF('Assemble Data'!H:H,'Assemble Data'!A92,'Assemble Data'!I:I)</f>
        <v>5</v>
      </c>
      <c r="E91" s="13">
        <f>IFERROR(IF(AND('Assemble Data'!D92&lt;&gt;"",'Assemble Data'!D92&lt;&gt;B91),1,0),1)</f>
        <v>0</v>
      </c>
      <c r="F91" s="13">
        <f ca="1">IF('Assemble Data'!E92="",0,IF(ISERROR(FIND("INDEX",_xlfn.FORMULATEXT('Assemble Data'!E92),1)),1,0)+IFERROR(IF(AND('Assemble Data'!E92&lt;&gt;C91,'Assemble Data'!E92&lt;&gt;""),1,0),1))</f>
        <v>0</v>
      </c>
      <c r="G91" s="13">
        <f ca="1">IF('Assemble Data'!F92="",0,IF(ISERROR(FIND("VLOOKUP",_xlfn.FORMULATEXT('Assemble Data'!F92),1)),1,0)+IFERROR(IF(AND('Assemble Data'!F92&lt;&gt;D91,'Assemble Data'!F92&lt;&gt;""),1,0),1))</f>
        <v>0</v>
      </c>
      <c r="H91" s="13">
        <v>4</v>
      </c>
      <c r="I91" t="str">
        <f t="shared" si="19"/>
        <v>N2P15</v>
      </c>
    </row>
    <row r="92" spans="1:9">
      <c r="A92" t="str">
        <f>'Assemble Data'!B93</f>
        <v>P11</v>
      </c>
      <c r="B92" s="13">
        <f>IFERROR(SUMIF('Assemble Data'!K:K,'Assemble Data'!A93,'Assemble Data'!L:L),0)</f>
        <v>8800</v>
      </c>
      <c r="C92" s="13" t="str">
        <f>INDEX('Assemble Data'!$O$24:$O$1023,MATCH('Assemble Data'!A93,'Assemble Data'!$N$24:$N$1023,0))</f>
        <v>C3</v>
      </c>
      <c r="D92" s="13">
        <f>SUMIF('Assemble Data'!H:H,'Assemble Data'!A93,'Assemble Data'!I:I)</f>
        <v>11</v>
      </c>
      <c r="E92" s="13">
        <f>IFERROR(IF(AND('Assemble Data'!D93&lt;&gt;"",'Assemble Data'!D93&lt;&gt;B92),1,0),1)</f>
        <v>0</v>
      </c>
      <c r="F92" s="13">
        <f ca="1">IF('Assemble Data'!E93="",0,IF(ISERROR(FIND("INDEX",_xlfn.FORMULATEXT('Assemble Data'!E93),1)),1,0)+IFERROR(IF(AND('Assemble Data'!E93&lt;&gt;C92,'Assemble Data'!E93&lt;&gt;""),1,0),1))</f>
        <v>0</v>
      </c>
      <c r="G92" s="13">
        <f ca="1">IF('Assemble Data'!F93="",0,IF(ISERROR(FIND("VLOOKUP",_xlfn.FORMULATEXT('Assemble Data'!F93),1)),1,0)+IFERROR(IF(AND('Assemble Data'!F93&lt;&gt;D92,'Assemble Data'!F93&lt;&gt;""),1,0),1))</f>
        <v>0</v>
      </c>
      <c r="H92" s="13">
        <v>9</v>
      </c>
      <c r="I92" t="str">
        <f t="shared" si="19"/>
        <v>C3P11</v>
      </c>
    </row>
    <row r="93" spans="1:9">
      <c r="A93" t="str">
        <f>'Assemble Data'!B94</f>
        <v>P19</v>
      </c>
      <c r="B93" s="13">
        <f>IFERROR(SUMIF('Assemble Data'!K:K,'Assemble Data'!A94,'Assemble Data'!L:L),0)</f>
        <v>7040</v>
      </c>
      <c r="C93" s="13" t="str">
        <f>INDEX('Assemble Data'!$O$24:$O$1023,MATCH('Assemble Data'!A94,'Assemble Data'!$N$24:$N$1023,0))</f>
        <v>O3</v>
      </c>
      <c r="D93" s="13">
        <f>SUMIF('Assemble Data'!H:H,'Assemble Data'!A94,'Assemble Data'!I:I)</f>
        <v>11</v>
      </c>
      <c r="E93" s="13">
        <f>IFERROR(IF(AND('Assemble Data'!D94&lt;&gt;"",'Assemble Data'!D94&lt;&gt;B93),1,0),1)</f>
        <v>0</v>
      </c>
      <c r="F93" s="13">
        <f ca="1">IF('Assemble Data'!E94="",0,IF(ISERROR(FIND("INDEX",_xlfn.FORMULATEXT('Assemble Data'!E94),1)),1,0)+IFERROR(IF(AND('Assemble Data'!E94&lt;&gt;C93,'Assemble Data'!E94&lt;&gt;""),1,0),1))</f>
        <v>0</v>
      </c>
      <c r="G93" s="13">
        <f ca="1">IF('Assemble Data'!F94="",0,IF(ISERROR(FIND("VLOOKUP",_xlfn.FORMULATEXT('Assemble Data'!F94),1)),1,0)+IFERROR(IF(AND('Assemble Data'!F94&lt;&gt;D93,'Assemble Data'!F94&lt;&gt;""),1,0),1))</f>
        <v>0</v>
      </c>
      <c r="H93" s="13">
        <v>1</v>
      </c>
      <c r="I93" t="str">
        <f t="shared" si="19"/>
        <v>O3P19</v>
      </c>
    </row>
    <row r="94" spans="1:9">
      <c r="A94" t="str">
        <f>'Assemble Data'!B95</f>
        <v>P11</v>
      </c>
      <c r="B94" s="13">
        <f>IFERROR(SUMIF('Assemble Data'!K:K,'Assemble Data'!A95,'Assemble Data'!L:L),0)</f>
        <v>8800</v>
      </c>
      <c r="C94" s="13" t="str">
        <f>INDEX('Assemble Data'!$O$24:$O$1023,MATCH('Assemble Data'!A95,'Assemble Data'!$N$24:$N$1023,0))</f>
        <v>C3</v>
      </c>
      <c r="D94" s="13">
        <f>SUMIF('Assemble Data'!H:H,'Assemble Data'!A95,'Assemble Data'!I:I)</f>
        <v>11</v>
      </c>
      <c r="E94" s="13">
        <f>IFERROR(IF(AND('Assemble Data'!D95&lt;&gt;"",'Assemble Data'!D95&lt;&gt;B94),1,0),1)</f>
        <v>0</v>
      </c>
      <c r="F94" s="13">
        <f ca="1">IF('Assemble Data'!E95="",0,IF(ISERROR(FIND("INDEX",_xlfn.FORMULATEXT('Assemble Data'!E95),1)),1,0)+IFERROR(IF(AND('Assemble Data'!E95&lt;&gt;C94,'Assemble Data'!E95&lt;&gt;""),1,0),1))</f>
        <v>0</v>
      </c>
      <c r="G94" s="13">
        <f ca="1">IF('Assemble Data'!F95="",0,IF(ISERROR(FIND("VLOOKUP",_xlfn.FORMULATEXT('Assemble Data'!F95),1)),1,0)+IFERROR(IF(AND('Assemble Data'!F95&lt;&gt;D94,'Assemble Data'!F95&lt;&gt;""),1,0),1))</f>
        <v>0</v>
      </c>
      <c r="H94" s="13">
        <v>9</v>
      </c>
      <c r="I94" t="str">
        <f t="shared" si="19"/>
        <v>C3P11</v>
      </c>
    </row>
    <row r="95" spans="1:9">
      <c r="A95" t="str">
        <f>'Assemble Data'!B96</f>
        <v>P12</v>
      </c>
      <c r="B95" s="13">
        <f>IFERROR(SUMIF('Assemble Data'!K:K,'Assemble Data'!A96,'Assemble Data'!L:L),0)</f>
        <v>5460</v>
      </c>
      <c r="C95" s="13" t="str">
        <f>INDEX('Assemble Data'!$O$24:$O$1023,MATCH('Assemble Data'!A96,'Assemble Data'!$N$24:$N$1023,0))</f>
        <v>C3</v>
      </c>
      <c r="D95" s="13">
        <f>SUMIF('Assemble Data'!H:H,'Assemble Data'!A96,'Assemble Data'!I:I)</f>
        <v>6.5</v>
      </c>
      <c r="E95" s="13">
        <f>IFERROR(IF(AND('Assemble Data'!D96&lt;&gt;"",'Assemble Data'!D96&lt;&gt;B95),1,0),1)</f>
        <v>0</v>
      </c>
      <c r="F95" s="13">
        <f ca="1">IF('Assemble Data'!E96="",0,IF(ISERROR(FIND("INDEX",_xlfn.FORMULATEXT('Assemble Data'!E96),1)),1,0)+IFERROR(IF(AND('Assemble Data'!E96&lt;&gt;C95,'Assemble Data'!E96&lt;&gt;""),1,0),1))</f>
        <v>0</v>
      </c>
      <c r="G95" s="13">
        <f ca="1">IF('Assemble Data'!F96="",0,IF(ISERROR(FIND("VLOOKUP",_xlfn.FORMULATEXT('Assemble Data'!F96),1)),1,0)+IFERROR(IF(AND('Assemble Data'!F96&lt;&gt;D95,'Assemble Data'!F96&lt;&gt;""),1,0),1))</f>
        <v>0</v>
      </c>
      <c r="H95" s="13">
        <v>7</v>
      </c>
      <c r="I95" t="str">
        <f t="shared" si="19"/>
        <v>C3P12</v>
      </c>
    </row>
    <row r="96" spans="1:9">
      <c r="A96" t="str">
        <f>'Assemble Data'!B97</f>
        <v>P15</v>
      </c>
      <c r="B96" s="13">
        <f>IFERROR(SUMIF('Assemble Data'!K:K,'Assemble Data'!A97,'Assemble Data'!L:L),0)</f>
        <v>6000</v>
      </c>
      <c r="C96" s="13" t="str">
        <f>INDEX('Assemble Data'!$O$24:$O$1023,MATCH('Assemble Data'!A97,'Assemble Data'!$N$24:$N$1023,0))</f>
        <v>N3</v>
      </c>
      <c r="D96" s="13">
        <f>SUMIF('Assemble Data'!H:H,'Assemble Data'!A97,'Assemble Data'!I:I)</f>
        <v>5</v>
      </c>
      <c r="E96" s="13">
        <f>IFERROR(IF(AND('Assemble Data'!D97&lt;&gt;"",'Assemble Data'!D97&lt;&gt;B96),1,0),1)</f>
        <v>0</v>
      </c>
      <c r="F96" s="13">
        <f ca="1">IF('Assemble Data'!E97="",0,IF(ISERROR(FIND("INDEX",_xlfn.FORMULATEXT('Assemble Data'!E97),1)),1,0)+IFERROR(IF(AND('Assemble Data'!E97&lt;&gt;C96,'Assemble Data'!E97&lt;&gt;""),1,0),1))</f>
        <v>0</v>
      </c>
      <c r="G96" s="13">
        <f ca="1">IF('Assemble Data'!F97="",0,IF(ISERROR(FIND("VLOOKUP",_xlfn.FORMULATEXT('Assemble Data'!F97),1)),1,0)+IFERROR(IF(AND('Assemble Data'!F97&lt;&gt;D96,'Assemble Data'!F97&lt;&gt;""),1,0),1))</f>
        <v>0</v>
      </c>
      <c r="H96" s="13">
        <v>4</v>
      </c>
      <c r="I96" t="str">
        <f t="shared" si="19"/>
        <v>N3P15</v>
      </c>
    </row>
    <row r="97" spans="1:9">
      <c r="A97" t="str">
        <f>'Assemble Data'!B98</f>
        <v>P17</v>
      </c>
      <c r="B97" s="13">
        <f>IFERROR(SUMIF('Assemble Data'!K:K,'Assemble Data'!A98,'Assemble Data'!L:L),0)</f>
        <v>9600</v>
      </c>
      <c r="C97" s="13" t="str">
        <f>INDEX('Assemble Data'!$O$24:$O$1023,MATCH('Assemble Data'!A98,'Assemble Data'!$N$24:$N$1023,0))</f>
        <v>O3</v>
      </c>
      <c r="D97" s="13">
        <f>SUMIF('Assemble Data'!H:H,'Assemble Data'!A98,'Assemble Data'!I:I)</f>
        <v>12</v>
      </c>
      <c r="E97" s="13">
        <f>IFERROR(IF(AND('Assemble Data'!D98&lt;&gt;"",'Assemble Data'!D98&lt;&gt;B97),1,0),1)</f>
        <v>0</v>
      </c>
      <c r="F97" s="13">
        <f ca="1">IF('Assemble Data'!E98="",0,IF(ISERROR(FIND("INDEX",_xlfn.FORMULATEXT('Assemble Data'!E98),1)),1,0)+IFERROR(IF(AND('Assemble Data'!E98&lt;&gt;C97,'Assemble Data'!E98&lt;&gt;""),1,0),1))</f>
        <v>0</v>
      </c>
      <c r="G97" s="13">
        <f ca="1">IF('Assemble Data'!F98="",0,IF(ISERROR(FIND("VLOOKUP",_xlfn.FORMULATEXT('Assemble Data'!F98),1)),1,0)+IFERROR(IF(AND('Assemble Data'!F98&lt;&gt;D97,'Assemble Data'!F98&lt;&gt;""),1,0),1))</f>
        <v>0</v>
      </c>
      <c r="H97" s="13">
        <v>6</v>
      </c>
      <c r="I97" t="str">
        <f t="shared" si="19"/>
        <v>O3P17</v>
      </c>
    </row>
    <row r="98" spans="1:9">
      <c r="A98" t="str">
        <f>'Assemble Data'!B99</f>
        <v>P11</v>
      </c>
      <c r="B98" s="13">
        <f>IFERROR(SUMIF('Assemble Data'!K:K,'Assemble Data'!A99,'Assemble Data'!L:L),0)</f>
        <v>8800</v>
      </c>
      <c r="C98" s="13" t="str">
        <f>INDEX('Assemble Data'!$O$24:$O$1023,MATCH('Assemble Data'!A99,'Assemble Data'!$N$24:$N$1023,0))</f>
        <v>C3</v>
      </c>
      <c r="D98" s="13">
        <f>SUMIF('Assemble Data'!H:H,'Assemble Data'!A99,'Assemble Data'!I:I)</f>
        <v>11</v>
      </c>
      <c r="E98" s="13">
        <f>IFERROR(IF(AND('Assemble Data'!D99&lt;&gt;"",'Assemble Data'!D99&lt;&gt;B98),1,0),1)</f>
        <v>0</v>
      </c>
      <c r="F98" s="13">
        <f ca="1">IF('Assemble Data'!E99="",0,IF(ISERROR(FIND("INDEX",_xlfn.FORMULATEXT('Assemble Data'!E99),1)),1,0)+IFERROR(IF(AND('Assemble Data'!E99&lt;&gt;C98,'Assemble Data'!E99&lt;&gt;""),1,0),1))</f>
        <v>0</v>
      </c>
      <c r="G98" s="13">
        <f ca="1">IF('Assemble Data'!F99="",0,IF(ISERROR(FIND("VLOOKUP",_xlfn.FORMULATEXT('Assemble Data'!F99),1)),1,0)+IFERROR(IF(AND('Assemble Data'!F99&lt;&gt;D98,'Assemble Data'!F99&lt;&gt;""),1,0),1))</f>
        <v>0</v>
      </c>
      <c r="H98" s="13">
        <v>9</v>
      </c>
      <c r="I98" t="str">
        <f t="shared" si="19"/>
        <v>C3P11</v>
      </c>
    </row>
    <row r="99" spans="1:9">
      <c r="A99" t="str">
        <f>'Assemble Data'!B100</f>
        <v>P19</v>
      </c>
      <c r="B99" s="13">
        <f>IFERROR(SUMIF('Assemble Data'!K:K,'Assemble Data'!A100,'Assemble Data'!L:L),0)</f>
        <v>7040</v>
      </c>
      <c r="C99" s="13" t="str">
        <f>INDEX('Assemble Data'!$O$24:$O$1023,MATCH('Assemble Data'!A100,'Assemble Data'!$N$24:$N$1023,0))</f>
        <v>O3</v>
      </c>
      <c r="D99" s="13">
        <f>SUMIF('Assemble Data'!H:H,'Assemble Data'!A100,'Assemble Data'!I:I)</f>
        <v>11</v>
      </c>
      <c r="E99" s="13">
        <f>IFERROR(IF(AND('Assemble Data'!D100&lt;&gt;"",'Assemble Data'!D100&lt;&gt;B99),1,0),1)</f>
        <v>0</v>
      </c>
      <c r="F99" s="13">
        <f ca="1">IF('Assemble Data'!E100="",0,IF(ISERROR(FIND("INDEX",_xlfn.FORMULATEXT('Assemble Data'!E100),1)),1,0)+IFERROR(IF(AND('Assemble Data'!E100&lt;&gt;C99,'Assemble Data'!E100&lt;&gt;""),1,0),1))</f>
        <v>0</v>
      </c>
      <c r="G99" s="13">
        <f ca="1">IF('Assemble Data'!F100="",0,IF(ISERROR(FIND("VLOOKUP",_xlfn.FORMULATEXT('Assemble Data'!F100),1)),1,0)+IFERROR(IF(AND('Assemble Data'!F100&lt;&gt;D99,'Assemble Data'!F100&lt;&gt;""),1,0),1))</f>
        <v>0</v>
      </c>
      <c r="H99" s="13">
        <v>1</v>
      </c>
      <c r="I99" t="str">
        <f t="shared" si="19"/>
        <v>O3P19</v>
      </c>
    </row>
    <row r="100" spans="1:9">
      <c r="A100" t="str">
        <f>'Assemble Data'!B101</f>
        <v>P19</v>
      </c>
      <c r="B100" s="13">
        <f>IFERROR(SUMIF('Assemble Data'!K:K,'Assemble Data'!A101,'Assemble Data'!L:L),0)</f>
        <v>7040</v>
      </c>
      <c r="C100" s="13" t="str">
        <f>INDEX('Assemble Data'!$O$24:$O$1023,MATCH('Assemble Data'!A101,'Assemble Data'!$N$24:$N$1023,0))</f>
        <v>O3</v>
      </c>
      <c r="D100" s="13">
        <f>SUMIF('Assemble Data'!H:H,'Assemble Data'!A101,'Assemble Data'!I:I)</f>
        <v>11</v>
      </c>
      <c r="E100" s="13">
        <f>IFERROR(IF(AND('Assemble Data'!D101&lt;&gt;"",'Assemble Data'!D101&lt;&gt;B100),1,0),1)</f>
        <v>0</v>
      </c>
      <c r="F100" s="13">
        <f ca="1">IF('Assemble Data'!E101="",0,IF(ISERROR(FIND("INDEX",_xlfn.FORMULATEXT('Assemble Data'!E101),1)),1,0)+IFERROR(IF(AND('Assemble Data'!E101&lt;&gt;C100,'Assemble Data'!E101&lt;&gt;""),1,0),1))</f>
        <v>0</v>
      </c>
      <c r="G100" s="13">
        <f ca="1">IF('Assemble Data'!F101="",0,IF(ISERROR(FIND("VLOOKUP",_xlfn.FORMULATEXT('Assemble Data'!F101),1)),1,0)+IFERROR(IF(AND('Assemble Data'!F101&lt;&gt;D100,'Assemble Data'!F101&lt;&gt;""),1,0),1))</f>
        <v>0</v>
      </c>
      <c r="H100" s="13">
        <v>1</v>
      </c>
      <c r="I100" t="str">
        <f t="shared" si="19"/>
        <v>O3P19</v>
      </c>
    </row>
    <row r="101" spans="1:9">
      <c r="A101" t="str">
        <f>'Assemble Data'!B102</f>
        <v>P11</v>
      </c>
      <c r="B101" s="13">
        <f>IFERROR(SUMIF('Assemble Data'!K:K,'Assemble Data'!A102,'Assemble Data'!L:L),0)</f>
        <v>8800</v>
      </c>
      <c r="C101" s="13" t="str">
        <f>INDEX('Assemble Data'!$O$24:$O$1023,MATCH('Assemble Data'!A102,'Assemble Data'!$N$24:$N$1023,0))</f>
        <v>C3</v>
      </c>
      <c r="D101" s="13">
        <f>SUMIF('Assemble Data'!H:H,'Assemble Data'!A102,'Assemble Data'!I:I)</f>
        <v>11</v>
      </c>
      <c r="E101" s="13">
        <f>IFERROR(IF(AND('Assemble Data'!D102&lt;&gt;"",'Assemble Data'!D102&lt;&gt;B101),1,0),1)</f>
        <v>0</v>
      </c>
      <c r="F101" s="13">
        <f ca="1">IF('Assemble Data'!E102="",0,IF(ISERROR(FIND("INDEX",_xlfn.FORMULATEXT('Assemble Data'!E102),1)),1,0)+IFERROR(IF(AND('Assemble Data'!E102&lt;&gt;C101,'Assemble Data'!E102&lt;&gt;""),1,0),1))</f>
        <v>0</v>
      </c>
      <c r="G101" s="13">
        <f ca="1">IF('Assemble Data'!F102="",0,IF(ISERROR(FIND("VLOOKUP",_xlfn.FORMULATEXT('Assemble Data'!F102),1)),1,0)+IFERROR(IF(AND('Assemble Data'!F102&lt;&gt;D101,'Assemble Data'!F102&lt;&gt;""),1,0),1))</f>
        <v>0</v>
      </c>
      <c r="H101" s="13">
        <v>9</v>
      </c>
      <c r="I101" t="str">
        <f t="shared" si="19"/>
        <v>C3P11</v>
      </c>
    </row>
    <row r="102" spans="1:9">
      <c r="A102" t="str">
        <f>'Assemble Data'!B103</f>
        <v>P10</v>
      </c>
      <c r="B102" s="13">
        <f>IFERROR(SUMIF('Assemble Data'!K:K,'Assemble Data'!A103,'Assemble Data'!L:L),0)</f>
        <v>1920</v>
      </c>
      <c r="C102" s="13" t="str">
        <f>INDEX('Assemble Data'!$O$24:$O$1023,MATCH('Assemble Data'!A103,'Assemble Data'!$N$24:$N$1023,0))</f>
        <v>C3</v>
      </c>
      <c r="D102" s="13">
        <f>SUMIF('Assemble Data'!H:H,'Assemble Data'!A103,'Assemble Data'!I:I)</f>
        <v>3</v>
      </c>
      <c r="E102" s="13">
        <f>IFERROR(IF(AND('Assemble Data'!D103&lt;&gt;"",'Assemble Data'!D103&lt;&gt;B102),1,0),1)</f>
        <v>0</v>
      </c>
      <c r="F102" s="13">
        <f ca="1">IF('Assemble Data'!E103="",0,IF(ISERROR(FIND("INDEX",_xlfn.FORMULATEXT('Assemble Data'!E103),1)),1,0)+IFERROR(IF(AND('Assemble Data'!E103&lt;&gt;C102,'Assemble Data'!E103&lt;&gt;""),1,0),1))</f>
        <v>0</v>
      </c>
      <c r="G102" s="13">
        <f ca="1">IF('Assemble Data'!F103="",0,IF(ISERROR(FIND("VLOOKUP",_xlfn.FORMULATEXT('Assemble Data'!F103),1)),1,0)+IFERROR(IF(AND('Assemble Data'!F103&lt;&gt;D102,'Assemble Data'!F103&lt;&gt;""),1,0),1))</f>
        <v>0</v>
      </c>
      <c r="H102" s="13">
        <v>8</v>
      </c>
      <c r="I102" t="str">
        <f t="shared" si="19"/>
        <v>C3P10</v>
      </c>
    </row>
    <row r="103" spans="1:9">
      <c r="A103" t="str">
        <f>'Assemble Data'!B104</f>
        <v>P18</v>
      </c>
      <c r="B103" s="13">
        <f>IFERROR(SUMIF('Assemble Data'!K:K,'Assemble Data'!A104,'Assemble Data'!L:L),0)</f>
        <v>4320</v>
      </c>
      <c r="C103" s="13" t="str">
        <f>INDEX('Assemble Data'!$O$24:$O$1023,MATCH('Assemble Data'!A104,'Assemble Data'!$N$24:$N$1023,0))</f>
        <v>O3</v>
      </c>
      <c r="D103" s="13">
        <f>SUMIF('Assemble Data'!H:H,'Assemble Data'!A104,'Assemble Data'!I:I)</f>
        <v>6</v>
      </c>
      <c r="E103" s="13">
        <f>IFERROR(IF(AND('Assemble Data'!D104&lt;&gt;"",'Assemble Data'!D104&lt;&gt;B103),1,0),1)</f>
        <v>0</v>
      </c>
      <c r="F103" s="13">
        <f ca="1">IF('Assemble Data'!E104="",0,IF(ISERROR(FIND("INDEX",_xlfn.FORMULATEXT('Assemble Data'!E104),1)),1,0)+IFERROR(IF(AND('Assemble Data'!E104&lt;&gt;C103,'Assemble Data'!E104&lt;&gt;""),1,0),1))</f>
        <v>0</v>
      </c>
      <c r="G103" s="13">
        <f ca="1">IF('Assemble Data'!F104="",0,IF(ISERROR(FIND("VLOOKUP",_xlfn.FORMULATEXT('Assemble Data'!F104),1)),1,0)+IFERROR(IF(AND('Assemble Data'!F104&lt;&gt;D103,'Assemble Data'!F104&lt;&gt;""),1,0),1))</f>
        <v>0</v>
      </c>
      <c r="H103" s="13">
        <v>2</v>
      </c>
      <c r="I103" t="str">
        <f t="shared" si="19"/>
        <v>O3P18</v>
      </c>
    </row>
    <row r="104" spans="1:9">
      <c r="A104" t="str">
        <f>'Assemble Data'!B105</f>
        <v>P12</v>
      </c>
      <c r="B104" s="13">
        <f>IFERROR(SUMIF('Assemble Data'!K:K,'Assemble Data'!A105,'Assemble Data'!L:L),0)</f>
        <v>5460</v>
      </c>
      <c r="C104" s="13" t="str">
        <f>INDEX('Assemble Data'!$O$24:$O$1023,MATCH('Assemble Data'!A105,'Assemble Data'!$N$24:$N$1023,0))</f>
        <v>C3</v>
      </c>
      <c r="D104" s="13">
        <f>SUMIF('Assemble Data'!H:H,'Assemble Data'!A105,'Assemble Data'!I:I)</f>
        <v>6.5</v>
      </c>
      <c r="E104" s="13">
        <f>IFERROR(IF(AND('Assemble Data'!D105&lt;&gt;"",'Assemble Data'!D105&lt;&gt;B104),1,0),1)</f>
        <v>0</v>
      </c>
      <c r="F104" s="13">
        <f ca="1">IF('Assemble Data'!E105="",0,IF(ISERROR(FIND("INDEX",_xlfn.FORMULATEXT('Assemble Data'!E105),1)),1,0)+IFERROR(IF(AND('Assemble Data'!E105&lt;&gt;C104,'Assemble Data'!E105&lt;&gt;""),1,0),1))</f>
        <v>0</v>
      </c>
      <c r="G104" s="13">
        <f ca="1">IF('Assemble Data'!F105="",0,IF(ISERROR(FIND("VLOOKUP",_xlfn.FORMULATEXT('Assemble Data'!F105),1)),1,0)+IFERROR(IF(AND('Assemble Data'!F105&lt;&gt;D104,'Assemble Data'!F105&lt;&gt;""),1,0),1))</f>
        <v>0</v>
      </c>
      <c r="H104" s="13">
        <v>7</v>
      </c>
      <c r="I104" t="str">
        <f t="shared" si="19"/>
        <v>C3P12</v>
      </c>
    </row>
    <row r="105" spans="1:9">
      <c r="A105" t="str">
        <f>'Assemble Data'!B106</f>
        <v>P16</v>
      </c>
      <c r="B105" s="13">
        <f>IFERROR(SUMIF('Assemble Data'!K:K,'Assemble Data'!A106,'Assemble Data'!L:L),0)</f>
        <v>5200</v>
      </c>
      <c r="C105" s="13" t="str">
        <f>INDEX('Assemble Data'!$O$24:$O$1023,MATCH('Assemble Data'!A106,'Assemble Data'!$N$24:$N$1023,0))</f>
        <v>N3</v>
      </c>
      <c r="D105" s="13">
        <f>SUMIF('Assemble Data'!H:H,'Assemble Data'!A106,'Assemble Data'!I:I)</f>
        <v>4</v>
      </c>
      <c r="E105" s="13">
        <f>IFERROR(IF(AND('Assemble Data'!D106&lt;&gt;"",'Assemble Data'!D106&lt;&gt;B105),1,0),1)</f>
        <v>0</v>
      </c>
      <c r="F105" s="13">
        <f ca="1">IF('Assemble Data'!E106="",0,IF(ISERROR(FIND("INDEX",_xlfn.FORMULATEXT('Assemble Data'!E106),1)),1,0)+IFERROR(IF(AND('Assemble Data'!E106&lt;&gt;C105,'Assemble Data'!E106&lt;&gt;""),1,0),1))</f>
        <v>0</v>
      </c>
      <c r="G105" s="13">
        <f ca="1">IF('Assemble Data'!F106="",0,IF(ISERROR(FIND("VLOOKUP",_xlfn.FORMULATEXT('Assemble Data'!F106),1)),1,0)+IFERROR(IF(AND('Assemble Data'!F106&lt;&gt;D105,'Assemble Data'!F106&lt;&gt;""),1,0),1))</f>
        <v>0</v>
      </c>
      <c r="H105" s="13">
        <v>0</v>
      </c>
      <c r="I105" t="str">
        <f t="shared" si="19"/>
        <v>N3P16</v>
      </c>
    </row>
    <row r="106" spans="1:9">
      <c r="A106" t="str">
        <f>'Assemble Data'!B107</f>
        <v>P10</v>
      </c>
      <c r="B106" s="13">
        <f>IFERROR(SUMIF('Assemble Data'!K:K,'Assemble Data'!A107,'Assemble Data'!L:L),0)</f>
        <v>1920</v>
      </c>
      <c r="C106" s="13" t="str">
        <f>INDEX('Assemble Data'!$O$24:$O$1023,MATCH('Assemble Data'!A107,'Assemble Data'!$N$24:$N$1023,0))</f>
        <v>C3</v>
      </c>
      <c r="D106" s="13">
        <f>SUMIF('Assemble Data'!H:H,'Assemble Data'!A107,'Assemble Data'!I:I)</f>
        <v>3</v>
      </c>
      <c r="E106" s="13">
        <f>IFERROR(IF(AND('Assemble Data'!D107&lt;&gt;"",'Assemble Data'!D107&lt;&gt;B106),1,0),1)</f>
        <v>0</v>
      </c>
      <c r="F106" s="13">
        <f ca="1">IF('Assemble Data'!E107="",0,IF(ISERROR(FIND("INDEX",_xlfn.FORMULATEXT('Assemble Data'!E107),1)),1,0)+IFERROR(IF(AND('Assemble Data'!E107&lt;&gt;C106,'Assemble Data'!E107&lt;&gt;""),1,0),1))</f>
        <v>0</v>
      </c>
      <c r="G106" s="13">
        <f ca="1">IF('Assemble Data'!F107="",0,IF(ISERROR(FIND("VLOOKUP",_xlfn.FORMULATEXT('Assemble Data'!F107),1)),1,0)+IFERROR(IF(AND('Assemble Data'!F107&lt;&gt;D106,'Assemble Data'!F107&lt;&gt;""),1,0),1))</f>
        <v>0</v>
      </c>
      <c r="H106" s="13">
        <v>8</v>
      </c>
      <c r="I106" t="str">
        <f t="shared" si="19"/>
        <v>C3P10</v>
      </c>
    </row>
    <row r="107" spans="1:9">
      <c r="A107" t="str">
        <f>'Assemble Data'!B108</f>
        <v>P13</v>
      </c>
      <c r="B107" s="13">
        <f>IFERROR(SUMIF('Assemble Data'!K:K,'Assemble Data'!A108,'Assemble Data'!L:L),0)</f>
        <v>3600</v>
      </c>
      <c r="C107" s="13" t="str">
        <f>INDEX('Assemble Data'!$O$24:$O$1023,MATCH('Assemble Data'!A108,'Assemble Data'!$N$24:$N$1023,0))</f>
        <v>C3</v>
      </c>
      <c r="D107" s="13">
        <f>SUMIF('Assemble Data'!H:H,'Assemble Data'!A108,'Assemble Data'!I:I)</f>
        <v>5</v>
      </c>
      <c r="E107" s="13">
        <f>IFERROR(IF(AND('Assemble Data'!D108&lt;&gt;"",'Assemble Data'!D108&lt;&gt;B107),1,0),1)</f>
        <v>0</v>
      </c>
      <c r="F107" s="13">
        <f ca="1">IF('Assemble Data'!E108="",0,IF(ISERROR(FIND("INDEX",_xlfn.FORMULATEXT('Assemble Data'!E108),1)),1,0)+IFERROR(IF(AND('Assemble Data'!E108&lt;&gt;C107,'Assemble Data'!E108&lt;&gt;""),1,0),1))</f>
        <v>0</v>
      </c>
      <c r="G107" s="13">
        <f ca="1">IF('Assemble Data'!F108="",0,IF(ISERROR(FIND("VLOOKUP",_xlfn.FORMULATEXT('Assemble Data'!F108),1)),1,0)+IFERROR(IF(AND('Assemble Data'!F108&lt;&gt;D107,'Assemble Data'!F108&lt;&gt;""),1,0),1))</f>
        <v>0</v>
      </c>
      <c r="H107" s="13">
        <v>3</v>
      </c>
      <c r="I107" t="str">
        <f t="shared" si="19"/>
        <v>C3P13</v>
      </c>
    </row>
    <row r="108" spans="1:9">
      <c r="A108" t="str">
        <f>'Assemble Data'!B109</f>
        <v>P13</v>
      </c>
      <c r="B108" s="13">
        <f>IFERROR(SUMIF('Assemble Data'!K:K,'Assemble Data'!A109,'Assemble Data'!L:L),0)</f>
        <v>3600</v>
      </c>
      <c r="C108" s="13" t="str">
        <f>INDEX('Assemble Data'!$O$24:$O$1023,MATCH('Assemble Data'!A109,'Assemble Data'!$N$24:$N$1023,0))</f>
        <v>C3</v>
      </c>
      <c r="D108" s="13">
        <f>SUMIF('Assemble Data'!H:H,'Assemble Data'!A109,'Assemble Data'!I:I)</f>
        <v>5</v>
      </c>
      <c r="E108" s="13">
        <f>IFERROR(IF(AND('Assemble Data'!D109&lt;&gt;"",'Assemble Data'!D109&lt;&gt;B108),1,0),1)</f>
        <v>0</v>
      </c>
      <c r="F108" s="13">
        <f ca="1">IF('Assemble Data'!E109="",0,IF(ISERROR(FIND("INDEX",_xlfn.FORMULATEXT('Assemble Data'!E109),1)),1,0)+IFERROR(IF(AND('Assemble Data'!E109&lt;&gt;C108,'Assemble Data'!E109&lt;&gt;""),1,0),1))</f>
        <v>0</v>
      </c>
      <c r="G108" s="13">
        <f ca="1">IF('Assemble Data'!F109="",0,IF(ISERROR(FIND("VLOOKUP",_xlfn.FORMULATEXT('Assemble Data'!F109),1)),1,0)+IFERROR(IF(AND('Assemble Data'!F109&lt;&gt;D108,'Assemble Data'!F109&lt;&gt;""),1,0),1))</f>
        <v>0</v>
      </c>
      <c r="H108" s="13">
        <v>3</v>
      </c>
      <c r="I108" t="str">
        <f t="shared" si="19"/>
        <v>C3P13</v>
      </c>
    </row>
    <row r="109" spans="1:9">
      <c r="A109" t="str">
        <f>'Assemble Data'!B110</f>
        <v>P10</v>
      </c>
      <c r="B109" s="13">
        <f>IFERROR(SUMIF('Assemble Data'!K:K,'Assemble Data'!A110,'Assemble Data'!L:L),0)</f>
        <v>1920</v>
      </c>
      <c r="C109" s="13" t="str">
        <f>INDEX('Assemble Data'!$O$24:$O$1023,MATCH('Assemble Data'!A110,'Assemble Data'!$N$24:$N$1023,0))</f>
        <v>C3</v>
      </c>
      <c r="D109" s="13">
        <f>SUMIF('Assemble Data'!H:H,'Assemble Data'!A110,'Assemble Data'!I:I)</f>
        <v>3</v>
      </c>
      <c r="E109" s="13">
        <f>IFERROR(IF(AND('Assemble Data'!D110&lt;&gt;"",'Assemble Data'!D110&lt;&gt;B109),1,0),1)</f>
        <v>0</v>
      </c>
      <c r="F109" s="13">
        <f ca="1">IF('Assemble Data'!E110="",0,IF(ISERROR(FIND("INDEX",_xlfn.FORMULATEXT('Assemble Data'!E110),1)),1,0)+IFERROR(IF(AND('Assemble Data'!E110&lt;&gt;C109,'Assemble Data'!E110&lt;&gt;""),1,0),1))</f>
        <v>0</v>
      </c>
      <c r="G109" s="13">
        <f ca="1">IF('Assemble Data'!F110="",0,IF(ISERROR(FIND("VLOOKUP",_xlfn.FORMULATEXT('Assemble Data'!F110),1)),1,0)+IFERROR(IF(AND('Assemble Data'!F110&lt;&gt;D109,'Assemble Data'!F110&lt;&gt;""),1,0),1))</f>
        <v>0</v>
      </c>
      <c r="H109" s="13">
        <v>8</v>
      </c>
      <c r="I109" t="str">
        <f t="shared" si="19"/>
        <v>C3P10</v>
      </c>
    </row>
    <row r="110" spans="1:9">
      <c r="A110" t="str">
        <f>'Assemble Data'!B111</f>
        <v>P11</v>
      </c>
      <c r="B110" s="13">
        <f>IFERROR(SUMIF('Assemble Data'!K:K,'Assemble Data'!A111,'Assemble Data'!L:L),0)</f>
        <v>8800</v>
      </c>
      <c r="C110" s="13" t="str">
        <f>INDEX('Assemble Data'!$O$24:$O$1023,MATCH('Assemble Data'!A111,'Assemble Data'!$N$24:$N$1023,0))</f>
        <v>C3</v>
      </c>
      <c r="D110" s="13">
        <f>SUMIF('Assemble Data'!H:H,'Assemble Data'!A111,'Assemble Data'!I:I)</f>
        <v>11</v>
      </c>
      <c r="E110" s="13">
        <f>IFERROR(IF(AND('Assemble Data'!D111&lt;&gt;"",'Assemble Data'!D111&lt;&gt;B110),1,0),1)</f>
        <v>0</v>
      </c>
      <c r="F110" s="13">
        <f ca="1">IF('Assemble Data'!E111="",0,IF(ISERROR(FIND("INDEX",_xlfn.FORMULATEXT('Assemble Data'!E111),1)),1,0)+IFERROR(IF(AND('Assemble Data'!E111&lt;&gt;C110,'Assemble Data'!E111&lt;&gt;""),1,0),1))</f>
        <v>0</v>
      </c>
      <c r="G110" s="13">
        <f ca="1">IF('Assemble Data'!F111="",0,IF(ISERROR(FIND("VLOOKUP",_xlfn.FORMULATEXT('Assemble Data'!F111),1)),1,0)+IFERROR(IF(AND('Assemble Data'!F111&lt;&gt;D110,'Assemble Data'!F111&lt;&gt;""),1,0),1))</f>
        <v>0</v>
      </c>
      <c r="H110" s="13">
        <v>9</v>
      </c>
      <c r="I110" t="str">
        <f t="shared" si="19"/>
        <v>C3P11</v>
      </c>
    </row>
    <row r="111" spans="1:9">
      <c r="A111" t="str">
        <f>'Assemble Data'!B112</f>
        <v>P16</v>
      </c>
      <c r="B111" s="13">
        <f>IFERROR(SUMIF('Assemble Data'!K:K,'Assemble Data'!A112,'Assemble Data'!L:L),0)</f>
        <v>5200</v>
      </c>
      <c r="C111" s="13" t="str">
        <f>INDEX('Assemble Data'!$O$24:$O$1023,MATCH('Assemble Data'!A112,'Assemble Data'!$N$24:$N$1023,0))</f>
        <v>N3</v>
      </c>
      <c r="D111" s="13">
        <f>SUMIF('Assemble Data'!H:H,'Assemble Data'!A112,'Assemble Data'!I:I)</f>
        <v>4</v>
      </c>
      <c r="E111" s="13">
        <f>IFERROR(IF(AND('Assemble Data'!D112&lt;&gt;"",'Assemble Data'!D112&lt;&gt;B111),1,0),1)</f>
        <v>0</v>
      </c>
      <c r="F111" s="13">
        <f ca="1">IF('Assemble Data'!E112="",0,IF(ISERROR(FIND("INDEX",_xlfn.FORMULATEXT('Assemble Data'!E112),1)),1,0)+IFERROR(IF(AND('Assemble Data'!E112&lt;&gt;C111,'Assemble Data'!E112&lt;&gt;""),1,0),1))</f>
        <v>0</v>
      </c>
      <c r="G111" s="13">
        <f ca="1">IF('Assemble Data'!F112="",0,IF(ISERROR(FIND("VLOOKUP",_xlfn.FORMULATEXT('Assemble Data'!F112),1)),1,0)+IFERROR(IF(AND('Assemble Data'!F112&lt;&gt;D111,'Assemble Data'!F112&lt;&gt;""),1,0),1))</f>
        <v>0</v>
      </c>
      <c r="H111" s="13">
        <v>0</v>
      </c>
      <c r="I111" t="str">
        <f t="shared" si="19"/>
        <v>N3P16</v>
      </c>
    </row>
    <row r="112" spans="1:9">
      <c r="A112" t="str">
        <f>'Assemble Data'!B113</f>
        <v>P17</v>
      </c>
      <c r="B112" s="13">
        <f>IFERROR(SUMIF('Assemble Data'!K:K,'Assemble Data'!A113,'Assemble Data'!L:L),0)</f>
        <v>9600</v>
      </c>
      <c r="C112" s="13" t="str">
        <f>INDEX('Assemble Data'!$O$24:$O$1023,MATCH('Assemble Data'!A113,'Assemble Data'!$N$24:$N$1023,0))</f>
        <v>O3</v>
      </c>
      <c r="D112" s="13">
        <f>SUMIF('Assemble Data'!H:H,'Assemble Data'!A113,'Assemble Data'!I:I)</f>
        <v>12</v>
      </c>
      <c r="E112" s="13">
        <f>IFERROR(IF(AND('Assemble Data'!D113&lt;&gt;"",'Assemble Data'!D113&lt;&gt;B112),1,0),1)</f>
        <v>0</v>
      </c>
      <c r="F112" s="13">
        <f ca="1">IF('Assemble Data'!E113="",0,IF(ISERROR(FIND("INDEX",_xlfn.FORMULATEXT('Assemble Data'!E113),1)),1,0)+IFERROR(IF(AND('Assemble Data'!E113&lt;&gt;C112,'Assemble Data'!E113&lt;&gt;""),1,0),1))</f>
        <v>0</v>
      </c>
      <c r="G112" s="13">
        <f ca="1">IF('Assemble Data'!F113="",0,IF(ISERROR(FIND("VLOOKUP",_xlfn.FORMULATEXT('Assemble Data'!F113),1)),1,0)+IFERROR(IF(AND('Assemble Data'!F113&lt;&gt;D112,'Assemble Data'!F113&lt;&gt;""),1,0),1))</f>
        <v>0</v>
      </c>
      <c r="H112" s="13">
        <v>6</v>
      </c>
      <c r="I112" t="str">
        <f t="shared" si="19"/>
        <v>O3P17</v>
      </c>
    </row>
    <row r="113" spans="1:9">
      <c r="A113" t="str">
        <f>'Assemble Data'!B114</f>
        <v>P17</v>
      </c>
      <c r="B113" s="13">
        <f>IFERROR(SUMIF('Assemble Data'!K:K,'Assemble Data'!A114,'Assemble Data'!L:L),0)</f>
        <v>9600</v>
      </c>
      <c r="C113" s="13" t="str">
        <f>INDEX('Assemble Data'!$O$24:$O$1023,MATCH('Assemble Data'!A114,'Assemble Data'!$N$24:$N$1023,0))</f>
        <v>O3</v>
      </c>
      <c r="D113" s="13">
        <f>SUMIF('Assemble Data'!H:H,'Assemble Data'!A114,'Assemble Data'!I:I)</f>
        <v>12</v>
      </c>
      <c r="E113" s="13">
        <f>IFERROR(IF(AND('Assemble Data'!D114&lt;&gt;"",'Assemble Data'!D114&lt;&gt;B113),1,0),1)</f>
        <v>0</v>
      </c>
      <c r="F113" s="13">
        <f ca="1">IF('Assemble Data'!E114="",0,IF(ISERROR(FIND("INDEX",_xlfn.FORMULATEXT('Assemble Data'!E114),1)),1,0)+IFERROR(IF(AND('Assemble Data'!E114&lt;&gt;C113,'Assemble Data'!E114&lt;&gt;""),1,0),1))</f>
        <v>0</v>
      </c>
      <c r="G113" s="13">
        <f ca="1">IF('Assemble Data'!F114="",0,IF(ISERROR(FIND("VLOOKUP",_xlfn.FORMULATEXT('Assemble Data'!F114),1)),1,0)+IFERROR(IF(AND('Assemble Data'!F114&lt;&gt;D113,'Assemble Data'!F114&lt;&gt;""),1,0),1))</f>
        <v>0</v>
      </c>
      <c r="H113" s="13">
        <v>6</v>
      </c>
      <c r="I113" t="str">
        <f t="shared" si="19"/>
        <v>O3P17</v>
      </c>
    </row>
    <row r="114" spans="1:9">
      <c r="A114" t="str">
        <f>'Assemble Data'!B115</f>
        <v>P13</v>
      </c>
      <c r="B114" s="13">
        <f>IFERROR(SUMIF('Assemble Data'!K:K,'Assemble Data'!A115,'Assemble Data'!L:L),0)</f>
        <v>3600</v>
      </c>
      <c r="C114" s="13" t="str">
        <f>INDEX('Assemble Data'!$O$24:$O$1023,MATCH('Assemble Data'!A115,'Assemble Data'!$N$24:$N$1023,0))</f>
        <v>C3</v>
      </c>
      <c r="D114" s="13">
        <f>SUMIF('Assemble Data'!H:H,'Assemble Data'!A115,'Assemble Data'!I:I)</f>
        <v>5</v>
      </c>
      <c r="E114" s="13">
        <f>IFERROR(IF(AND('Assemble Data'!D115&lt;&gt;"",'Assemble Data'!D115&lt;&gt;B114),1,0),1)</f>
        <v>0</v>
      </c>
      <c r="F114" s="13">
        <f ca="1">IF('Assemble Data'!E115="",0,IF(ISERROR(FIND("INDEX",_xlfn.FORMULATEXT('Assemble Data'!E115),1)),1,0)+IFERROR(IF(AND('Assemble Data'!E115&lt;&gt;C114,'Assemble Data'!E115&lt;&gt;""),1,0),1))</f>
        <v>0</v>
      </c>
      <c r="G114" s="13">
        <f ca="1">IF('Assemble Data'!F115="",0,IF(ISERROR(FIND("VLOOKUP",_xlfn.FORMULATEXT('Assemble Data'!F115),1)),1,0)+IFERROR(IF(AND('Assemble Data'!F115&lt;&gt;D114,'Assemble Data'!F115&lt;&gt;""),1,0),1))</f>
        <v>0</v>
      </c>
      <c r="H114" s="13">
        <v>3</v>
      </c>
      <c r="I114" t="str">
        <f t="shared" si="19"/>
        <v>C3P13</v>
      </c>
    </row>
    <row r="115" spans="1:9">
      <c r="A115" t="str">
        <f>'Assemble Data'!B116</f>
        <v>P11</v>
      </c>
      <c r="B115" s="13">
        <f>IFERROR(SUMIF('Assemble Data'!K:K,'Assemble Data'!A116,'Assemble Data'!L:L),0)</f>
        <v>8800</v>
      </c>
      <c r="C115" s="13" t="str">
        <f>INDEX('Assemble Data'!$O$24:$O$1023,MATCH('Assemble Data'!A116,'Assemble Data'!$N$24:$N$1023,0))</f>
        <v>C3</v>
      </c>
      <c r="D115" s="13">
        <f>SUMIF('Assemble Data'!H:H,'Assemble Data'!A116,'Assemble Data'!I:I)</f>
        <v>11</v>
      </c>
      <c r="E115" s="13">
        <f>IFERROR(IF(AND('Assemble Data'!D116&lt;&gt;"",'Assemble Data'!D116&lt;&gt;B115),1,0),1)</f>
        <v>0</v>
      </c>
      <c r="F115" s="13">
        <f ca="1">IF('Assemble Data'!E116="",0,IF(ISERROR(FIND("INDEX",_xlfn.FORMULATEXT('Assemble Data'!E116),1)),1,0)+IFERROR(IF(AND('Assemble Data'!E116&lt;&gt;C115,'Assemble Data'!E116&lt;&gt;""),1,0),1))</f>
        <v>0</v>
      </c>
      <c r="G115" s="13">
        <f ca="1">IF('Assemble Data'!F116="",0,IF(ISERROR(FIND("VLOOKUP",_xlfn.FORMULATEXT('Assemble Data'!F116),1)),1,0)+IFERROR(IF(AND('Assemble Data'!F116&lt;&gt;D115,'Assemble Data'!F116&lt;&gt;""),1,0),1))</f>
        <v>0</v>
      </c>
      <c r="H115" s="13">
        <v>9</v>
      </c>
      <c r="I115" t="str">
        <f t="shared" si="19"/>
        <v>C3P11</v>
      </c>
    </row>
    <row r="116" spans="1:9">
      <c r="A116" t="str">
        <f>'Assemble Data'!B117</f>
        <v>P11</v>
      </c>
      <c r="B116" s="13">
        <f>IFERROR(SUMIF('Assemble Data'!K:K,'Assemble Data'!A117,'Assemble Data'!L:L),0)</f>
        <v>17600</v>
      </c>
      <c r="C116" s="13" t="str">
        <f>INDEX('Assemble Data'!$O$24:$O$1023,MATCH('Assemble Data'!A117,'Assemble Data'!$N$24:$N$1023,0))</f>
        <v>C3</v>
      </c>
      <c r="D116" s="13">
        <f>SUMIF('Assemble Data'!H:H,'Assemble Data'!A117,'Assemble Data'!I:I)</f>
        <v>11</v>
      </c>
      <c r="E116" s="13">
        <f>IFERROR(IF(AND('Assemble Data'!D117&lt;&gt;"",'Assemble Data'!D117&lt;&gt;B116),1,0),1)</f>
        <v>0</v>
      </c>
      <c r="F116" s="13">
        <f ca="1">IF('Assemble Data'!E117="",0,IF(ISERROR(FIND("INDEX",_xlfn.FORMULATEXT('Assemble Data'!E117),1)),1,0)+IFERROR(IF(AND('Assemble Data'!E117&lt;&gt;C116,'Assemble Data'!E117&lt;&gt;""),1,0),1))</f>
        <v>0</v>
      </c>
      <c r="G116" s="13">
        <f ca="1">IF('Assemble Data'!F117="",0,IF(ISERROR(FIND("VLOOKUP",_xlfn.FORMULATEXT('Assemble Data'!F117),1)),1,0)+IFERROR(IF(AND('Assemble Data'!F117&lt;&gt;D116,'Assemble Data'!F117&lt;&gt;""),1,0),1))</f>
        <v>0</v>
      </c>
      <c r="H116" s="13">
        <v>9</v>
      </c>
      <c r="I116" t="str">
        <f t="shared" si="19"/>
        <v>C3P11</v>
      </c>
    </row>
    <row r="117" spans="1:9">
      <c r="A117" t="str">
        <f>'Assemble Data'!B118</f>
        <v>P12</v>
      </c>
      <c r="B117" s="13">
        <f>IFERROR(SUMIF('Assemble Data'!K:K,'Assemble Data'!A118,'Assemble Data'!L:L),0)</f>
        <v>5460</v>
      </c>
      <c r="C117" s="13" t="str">
        <f>INDEX('Assemble Data'!$O$24:$O$1023,MATCH('Assemble Data'!A118,'Assemble Data'!$N$24:$N$1023,0))</f>
        <v>C3</v>
      </c>
      <c r="D117" s="13">
        <f>SUMIF('Assemble Data'!H:H,'Assemble Data'!A118,'Assemble Data'!I:I)</f>
        <v>6.5</v>
      </c>
      <c r="E117" s="13">
        <f>IFERROR(IF(AND('Assemble Data'!D118&lt;&gt;"",'Assemble Data'!D118&lt;&gt;B117),1,0),1)</f>
        <v>0</v>
      </c>
      <c r="F117" s="13">
        <f ca="1">IF('Assemble Data'!E118="",0,IF(ISERROR(FIND("INDEX",_xlfn.FORMULATEXT('Assemble Data'!E118),1)),1,0)+IFERROR(IF(AND('Assemble Data'!E118&lt;&gt;C117,'Assemble Data'!E118&lt;&gt;""),1,0),1))</f>
        <v>0</v>
      </c>
      <c r="G117" s="13">
        <f ca="1">IF('Assemble Data'!F118="",0,IF(ISERROR(FIND("VLOOKUP",_xlfn.FORMULATEXT('Assemble Data'!F118),1)),1,0)+IFERROR(IF(AND('Assemble Data'!F118&lt;&gt;D117,'Assemble Data'!F118&lt;&gt;""),1,0),1))</f>
        <v>0</v>
      </c>
      <c r="H117" s="13">
        <v>7</v>
      </c>
      <c r="I117" t="str">
        <f t="shared" si="19"/>
        <v>C3P12</v>
      </c>
    </row>
    <row r="118" spans="1:9">
      <c r="A118" t="str">
        <f>'Assemble Data'!B119</f>
        <v>P10</v>
      </c>
      <c r="B118" s="13">
        <f>IFERROR(SUMIF('Assemble Data'!K:K,'Assemble Data'!A119,'Assemble Data'!L:L),0)</f>
        <v>1920</v>
      </c>
      <c r="C118" s="13" t="str">
        <f>INDEX('Assemble Data'!$O$24:$O$1023,MATCH('Assemble Data'!A119,'Assemble Data'!$N$24:$N$1023,0))</f>
        <v>C3</v>
      </c>
      <c r="D118" s="13">
        <f>SUMIF('Assemble Data'!H:H,'Assemble Data'!A119,'Assemble Data'!I:I)</f>
        <v>3</v>
      </c>
      <c r="E118" s="13">
        <f>IFERROR(IF(AND('Assemble Data'!D119&lt;&gt;"",'Assemble Data'!D119&lt;&gt;B118),1,0),1)</f>
        <v>0</v>
      </c>
      <c r="F118" s="13">
        <f ca="1">IF('Assemble Data'!E119="",0,IF(ISERROR(FIND("INDEX",_xlfn.FORMULATEXT('Assemble Data'!E119),1)),1,0)+IFERROR(IF(AND('Assemble Data'!E119&lt;&gt;C118,'Assemble Data'!E119&lt;&gt;""),1,0),1))</f>
        <v>0</v>
      </c>
      <c r="G118" s="13">
        <f ca="1">IF('Assemble Data'!F119="",0,IF(ISERROR(FIND("VLOOKUP",_xlfn.FORMULATEXT('Assemble Data'!F119),1)),1,0)+IFERROR(IF(AND('Assemble Data'!F119&lt;&gt;D118,'Assemble Data'!F119&lt;&gt;""),1,0),1))</f>
        <v>0</v>
      </c>
      <c r="H118" s="13">
        <v>8</v>
      </c>
      <c r="I118" t="str">
        <f t="shared" si="19"/>
        <v>C3P10</v>
      </c>
    </row>
    <row r="119" spans="1:9">
      <c r="A119" t="str">
        <f>'Assemble Data'!B120</f>
        <v>P10</v>
      </c>
      <c r="B119" s="13">
        <f>IFERROR(SUMIF('Assemble Data'!K:K,'Assemble Data'!A120,'Assemble Data'!L:L),0)</f>
        <v>1920</v>
      </c>
      <c r="C119" s="13" t="str">
        <f>INDEX('Assemble Data'!$O$24:$O$1023,MATCH('Assemble Data'!A120,'Assemble Data'!$N$24:$N$1023,0))</f>
        <v>C3</v>
      </c>
      <c r="D119" s="13">
        <f>SUMIF('Assemble Data'!H:H,'Assemble Data'!A120,'Assemble Data'!I:I)</f>
        <v>3</v>
      </c>
      <c r="E119" s="13">
        <f>IFERROR(IF(AND('Assemble Data'!D120&lt;&gt;"",'Assemble Data'!D120&lt;&gt;B119),1,0),1)</f>
        <v>0</v>
      </c>
      <c r="F119" s="13">
        <f ca="1">IF('Assemble Data'!E120="",0,IF(ISERROR(FIND("INDEX",_xlfn.FORMULATEXT('Assemble Data'!E120),1)),1,0)+IFERROR(IF(AND('Assemble Data'!E120&lt;&gt;C119,'Assemble Data'!E120&lt;&gt;""),1,0),1))</f>
        <v>0</v>
      </c>
      <c r="G119" s="13">
        <f ca="1">IF('Assemble Data'!F120="",0,IF(ISERROR(FIND("VLOOKUP",_xlfn.FORMULATEXT('Assemble Data'!F120),1)),1,0)+IFERROR(IF(AND('Assemble Data'!F120&lt;&gt;D119,'Assemble Data'!F120&lt;&gt;""),1,0),1))</f>
        <v>0</v>
      </c>
      <c r="H119" s="13">
        <v>8</v>
      </c>
      <c r="I119" t="str">
        <f t="shared" si="19"/>
        <v>C3P10</v>
      </c>
    </row>
    <row r="120" spans="1:9">
      <c r="A120" t="str">
        <f>'Assemble Data'!B121</f>
        <v>P11</v>
      </c>
      <c r="B120" s="13">
        <f>IFERROR(SUMIF('Assemble Data'!K:K,'Assemble Data'!A121,'Assemble Data'!L:L),0)</f>
        <v>8800</v>
      </c>
      <c r="C120" s="13" t="str">
        <f>INDEX('Assemble Data'!$O$24:$O$1023,MATCH('Assemble Data'!A121,'Assemble Data'!$N$24:$N$1023,0))</f>
        <v>C3</v>
      </c>
      <c r="D120" s="13">
        <f>SUMIF('Assemble Data'!H:H,'Assemble Data'!A121,'Assemble Data'!I:I)</f>
        <v>11</v>
      </c>
      <c r="E120" s="13">
        <f>IFERROR(IF(AND('Assemble Data'!D121&lt;&gt;"",'Assemble Data'!D121&lt;&gt;B120),1,0),1)</f>
        <v>0</v>
      </c>
      <c r="F120" s="13">
        <f ca="1">IF('Assemble Data'!E121="",0,IF(ISERROR(FIND("INDEX",_xlfn.FORMULATEXT('Assemble Data'!E121),1)),1,0)+IFERROR(IF(AND('Assemble Data'!E121&lt;&gt;C120,'Assemble Data'!E121&lt;&gt;""),1,0),1))</f>
        <v>0</v>
      </c>
      <c r="G120" s="13">
        <f ca="1">IF('Assemble Data'!F121="",0,IF(ISERROR(FIND("VLOOKUP",_xlfn.FORMULATEXT('Assemble Data'!F121),1)),1,0)+IFERROR(IF(AND('Assemble Data'!F121&lt;&gt;D120,'Assemble Data'!F121&lt;&gt;""),1,0),1))</f>
        <v>0</v>
      </c>
      <c r="H120" s="13">
        <v>9</v>
      </c>
      <c r="I120" t="str">
        <f t="shared" si="19"/>
        <v>C3P11</v>
      </c>
    </row>
    <row r="121" spans="1:9">
      <c r="A121" t="str">
        <f>'Assemble Data'!B122</f>
        <v>P18</v>
      </c>
      <c r="B121" s="13">
        <f>IFERROR(SUMIF('Assemble Data'!K:K,'Assemble Data'!A122,'Assemble Data'!L:L),0)</f>
        <v>4320</v>
      </c>
      <c r="C121" s="13" t="str">
        <f>INDEX('Assemble Data'!$O$24:$O$1023,MATCH('Assemble Data'!A122,'Assemble Data'!$N$24:$N$1023,0))</f>
        <v>O3</v>
      </c>
      <c r="D121" s="13">
        <f>SUMIF('Assemble Data'!H:H,'Assemble Data'!A122,'Assemble Data'!I:I)</f>
        <v>6</v>
      </c>
      <c r="E121" s="13">
        <f>IFERROR(IF(AND('Assemble Data'!D122&lt;&gt;"",'Assemble Data'!D122&lt;&gt;B121),1,0),1)</f>
        <v>0</v>
      </c>
      <c r="F121" s="13">
        <f ca="1">IF('Assemble Data'!E122="",0,IF(ISERROR(FIND("INDEX",_xlfn.FORMULATEXT('Assemble Data'!E122),1)),1,0)+IFERROR(IF(AND('Assemble Data'!E122&lt;&gt;C121,'Assemble Data'!E122&lt;&gt;""),1,0),1))</f>
        <v>0</v>
      </c>
      <c r="G121" s="13">
        <f ca="1">IF('Assemble Data'!F122="",0,IF(ISERROR(FIND("VLOOKUP",_xlfn.FORMULATEXT('Assemble Data'!F122),1)),1,0)+IFERROR(IF(AND('Assemble Data'!F122&lt;&gt;D121,'Assemble Data'!F122&lt;&gt;""),1,0),1))</f>
        <v>0</v>
      </c>
      <c r="H121" s="13">
        <v>2</v>
      </c>
      <c r="I121" t="str">
        <f t="shared" si="19"/>
        <v>O3P18</v>
      </c>
    </row>
    <row r="122" spans="1:9">
      <c r="A122" t="str">
        <f>'Assemble Data'!B123</f>
        <v>P14</v>
      </c>
      <c r="B122" s="13">
        <f>IFERROR(SUMIF('Assemble Data'!K:K,'Assemble Data'!A123,'Assemble Data'!L:L),0)</f>
        <v>10080</v>
      </c>
      <c r="C122" s="13" t="str">
        <f>INDEX('Assemble Data'!$O$24:$O$1023,MATCH('Assemble Data'!A123,'Assemble Data'!$N$24:$N$1023,0))</f>
        <v>N1</v>
      </c>
      <c r="D122" s="13">
        <f>SUMIF('Assemble Data'!H:H,'Assemble Data'!A123,'Assemble Data'!I:I)</f>
        <v>8</v>
      </c>
      <c r="E122" s="13">
        <f>IFERROR(IF(AND('Assemble Data'!D123&lt;&gt;"",'Assemble Data'!D123&lt;&gt;B122),1,0),1)</f>
        <v>0</v>
      </c>
      <c r="F122" s="13">
        <f ca="1">IF('Assemble Data'!E123="",0,IF(ISERROR(FIND("INDEX",_xlfn.FORMULATEXT('Assemble Data'!E123),1)),1,0)+IFERROR(IF(AND('Assemble Data'!E123&lt;&gt;C122,'Assemble Data'!E123&lt;&gt;""),1,0),1))</f>
        <v>0</v>
      </c>
      <c r="G122" s="13">
        <f ca="1">IF('Assemble Data'!F123="",0,IF(ISERROR(FIND("VLOOKUP",_xlfn.FORMULATEXT('Assemble Data'!F123),1)),1,0)+IFERROR(IF(AND('Assemble Data'!F123&lt;&gt;D122,'Assemble Data'!F123&lt;&gt;""),1,0),1))</f>
        <v>0</v>
      </c>
      <c r="H122" s="13">
        <v>5</v>
      </c>
      <c r="I122" t="str">
        <f t="shared" si="19"/>
        <v>N1P14</v>
      </c>
    </row>
    <row r="123" spans="1:9">
      <c r="A123" t="str">
        <f>'Assemble Data'!B124</f>
        <v>P10</v>
      </c>
      <c r="B123" s="13">
        <f>IFERROR(SUMIF('Assemble Data'!K:K,'Assemble Data'!A124,'Assemble Data'!L:L),0)</f>
        <v>2880</v>
      </c>
      <c r="C123" s="13" t="str">
        <f>INDEX('Assemble Data'!$O$24:$O$1023,MATCH('Assemble Data'!A124,'Assemble Data'!$N$24:$N$1023,0))</f>
        <v>C1</v>
      </c>
      <c r="D123" s="13">
        <f>SUMIF('Assemble Data'!H:H,'Assemble Data'!A124,'Assemble Data'!I:I)</f>
        <v>3</v>
      </c>
      <c r="E123" s="13">
        <f>IFERROR(IF(AND('Assemble Data'!D124&lt;&gt;"",'Assemble Data'!D124&lt;&gt;B123),1,0),1)</f>
        <v>0</v>
      </c>
      <c r="F123" s="13">
        <f ca="1">IF('Assemble Data'!E124="",0,IF(ISERROR(FIND("INDEX",_xlfn.FORMULATEXT('Assemble Data'!E124),1)),1,0)+IFERROR(IF(AND('Assemble Data'!E124&lt;&gt;C123,'Assemble Data'!E124&lt;&gt;""),1,0),1))</f>
        <v>0</v>
      </c>
      <c r="G123" s="13">
        <f ca="1">IF('Assemble Data'!F124="",0,IF(ISERROR(FIND("VLOOKUP",_xlfn.FORMULATEXT('Assemble Data'!F124),1)),1,0)+IFERROR(IF(AND('Assemble Data'!F124&lt;&gt;D123,'Assemble Data'!F124&lt;&gt;""),1,0),1))</f>
        <v>0</v>
      </c>
      <c r="H123" s="13">
        <f t="shared" ref="H123:H186" si="20">H106</f>
        <v>8</v>
      </c>
      <c r="I123" t="str">
        <f t="shared" si="19"/>
        <v>C1P10</v>
      </c>
    </row>
    <row r="124" spans="1:9">
      <c r="A124" t="str">
        <f>'Assemble Data'!B125</f>
        <v>P13</v>
      </c>
      <c r="B124" s="13">
        <f>IFERROR(SUMIF('Assemble Data'!K:K,'Assemble Data'!A125,'Assemble Data'!L:L),0)</f>
        <v>5400</v>
      </c>
      <c r="C124" s="13" t="str">
        <f>INDEX('Assemble Data'!$O$24:$O$1023,MATCH('Assemble Data'!A125,'Assemble Data'!$N$24:$N$1023,0))</f>
        <v>C1</v>
      </c>
      <c r="D124" s="13">
        <f>SUMIF('Assemble Data'!H:H,'Assemble Data'!A125,'Assemble Data'!I:I)</f>
        <v>5</v>
      </c>
      <c r="E124" s="13">
        <f>IFERROR(IF(AND('Assemble Data'!D125&lt;&gt;"",'Assemble Data'!D125&lt;&gt;B124),1,0),1)</f>
        <v>0</v>
      </c>
      <c r="F124" s="13">
        <f ca="1">IF('Assemble Data'!E125="",0,IF(ISERROR(FIND("INDEX",_xlfn.FORMULATEXT('Assemble Data'!E125),1)),1,0)+IFERROR(IF(AND('Assemble Data'!E125&lt;&gt;C124,'Assemble Data'!E125&lt;&gt;""),1,0),1))</f>
        <v>0</v>
      </c>
      <c r="G124" s="13">
        <f ca="1">IF('Assemble Data'!F125="",0,IF(ISERROR(FIND("VLOOKUP",_xlfn.FORMULATEXT('Assemble Data'!F125),1)),1,0)+IFERROR(IF(AND('Assemble Data'!F125&lt;&gt;D124,'Assemble Data'!F125&lt;&gt;""),1,0),1))</f>
        <v>0</v>
      </c>
      <c r="H124" s="13">
        <f t="shared" si="20"/>
        <v>3</v>
      </c>
      <c r="I124" t="str">
        <f t="shared" si="19"/>
        <v>C1P13</v>
      </c>
    </row>
    <row r="125" spans="1:9">
      <c r="A125" t="str">
        <f>'Assemble Data'!B126</f>
        <v>P13</v>
      </c>
      <c r="B125" s="13">
        <f>IFERROR(SUMIF('Assemble Data'!K:K,'Assemble Data'!A126,'Assemble Data'!L:L),0)</f>
        <v>5400</v>
      </c>
      <c r="C125" s="13" t="str">
        <f>INDEX('Assemble Data'!$O$24:$O$1023,MATCH('Assemble Data'!A126,'Assemble Data'!$N$24:$N$1023,0))</f>
        <v>C1</v>
      </c>
      <c r="D125" s="13">
        <f>SUMIF('Assemble Data'!H:H,'Assemble Data'!A126,'Assemble Data'!I:I)</f>
        <v>5</v>
      </c>
      <c r="E125" s="13">
        <f>IFERROR(IF(AND('Assemble Data'!D126&lt;&gt;"",'Assemble Data'!D126&lt;&gt;B125),1,0),1)</f>
        <v>0</v>
      </c>
      <c r="F125" s="13">
        <f ca="1">IF('Assemble Data'!E126="",0,IF(ISERROR(FIND("INDEX",_xlfn.FORMULATEXT('Assemble Data'!E126),1)),1,0)+IFERROR(IF(AND('Assemble Data'!E126&lt;&gt;C125,'Assemble Data'!E126&lt;&gt;""),1,0),1))</f>
        <v>0</v>
      </c>
      <c r="G125" s="13">
        <f ca="1">IF('Assemble Data'!F126="",0,IF(ISERROR(FIND("VLOOKUP",_xlfn.FORMULATEXT('Assemble Data'!F126),1)),1,0)+IFERROR(IF(AND('Assemble Data'!F126&lt;&gt;D125,'Assemble Data'!F126&lt;&gt;""),1,0),1))</f>
        <v>0</v>
      </c>
      <c r="H125" s="13">
        <f t="shared" si="20"/>
        <v>3</v>
      </c>
      <c r="I125" t="str">
        <f t="shared" si="19"/>
        <v>C1P13</v>
      </c>
    </row>
    <row r="126" spans="1:9">
      <c r="A126" t="str">
        <f>'Assemble Data'!B127</f>
        <v>P10</v>
      </c>
      <c r="B126" s="13">
        <f>IFERROR(SUMIF('Assemble Data'!K:K,'Assemble Data'!A127,'Assemble Data'!L:L),0)</f>
        <v>2880</v>
      </c>
      <c r="C126" s="13" t="str">
        <f>INDEX('Assemble Data'!$O$24:$O$1023,MATCH('Assemble Data'!A127,'Assemble Data'!$N$24:$N$1023,0))</f>
        <v>C1</v>
      </c>
      <c r="D126" s="13">
        <f>SUMIF('Assemble Data'!H:H,'Assemble Data'!A127,'Assemble Data'!I:I)</f>
        <v>3</v>
      </c>
      <c r="E126" s="13">
        <f>IFERROR(IF(AND('Assemble Data'!D127&lt;&gt;"",'Assemble Data'!D127&lt;&gt;B126),1,0),1)</f>
        <v>0</v>
      </c>
      <c r="F126" s="13">
        <f ca="1">IF('Assemble Data'!E127="",0,IF(ISERROR(FIND("INDEX",_xlfn.FORMULATEXT('Assemble Data'!E127),1)),1,0)+IFERROR(IF(AND('Assemble Data'!E127&lt;&gt;C126,'Assemble Data'!E127&lt;&gt;""),1,0),1))</f>
        <v>0</v>
      </c>
      <c r="G126" s="13">
        <f ca="1">IF('Assemble Data'!F127="",0,IF(ISERROR(FIND("VLOOKUP",_xlfn.FORMULATEXT('Assemble Data'!F127),1)),1,0)+IFERROR(IF(AND('Assemble Data'!F127&lt;&gt;D126,'Assemble Data'!F127&lt;&gt;""),1,0),1))</f>
        <v>0</v>
      </c>
      <c r="H126" s="13">
        <f t="shared" si="20"/>
        <v>8</v>
      </c>
      <c r="I126" t="str">
        <f t="shared" si="19"/>
        <v>C1P10</v>
      </c>
    </row>
    <row r="127" spans="1:9">
      <c r="A127" t="str">
        <f>'Assemble Data'!B128</f>
        <v>P11</v>
      </c>
      <c r="B127" s="13">
        <f>IFERROR(SUMIF('Assemble Data'!K:K,'Assemble Data'!A128,'Assemble Data'!L:L),0)</f>
        <v>13200</v>
      </c>
      <c r="C127" s="13" t="str">
        <f>INDEX('Assemble Data'!$O$24:$O$1023,MATCH('Assemble Data'!A128,'Assemble Data'!$N$24:$N$1023,0))</f>
        <v>C1</v>
      </c>
      <c r="D127" s="13">
        <f>SUMIF('Assemble Data'!H:H,'Assemble Data'!A128,'Assemble Data'!I:I)</f>
        <v>11</v>
      </c>
      <c r="E127" s="13">
        <f>IFERROR(IF(AND('Assemble Data'!D128&lt;&gt;"",'Assemble Data'!D128&lt;&gt;B127),1,0),1)</f>
        <v>0</v>
      </c>
      <c r="F127" s="13">
        <f ca="1">IF('Assemble Data'!E128="",0,IF(ISERROR(FIND("INDEX",_xlfn.FORMULATEXT('Assemble Data'!E128),1)),1,0)+IFERROR(IF(AND('Assemble Data'!E128&lt;&gt;C127,'Assemble Data'!E128&lt;&gt;""),1,0),1))</f>
        <v>0</v>
      </c>
      <c r="G127" s="13">
        <f ca="1">IF('Assemble Data'!F128="",0,IF(ISERROR(FIND("VLOOKUP",_xlfn.FORMULATEXT('Assemble Data'!F128),1)),1,0)+IFERROR(IF(AND('Assemble Data'!F128&lt;&gt;D127,'Assemble Data'!F128&lt;&gt;""),1,0),1))</f>
        <v>0</v>
      </c>
      <c r="H127" s="13">
        <f t="shared" si="20"/>
        <v>9</v>
      </c>
      <c r="I127" t="str">
        <f t="shared" si="19"/>
        <v>C1P11</v>
      </c>
    </row>
    <row r="128" spans="1:9">
      <c r="A128" t="str">
        <f>'Assemble Data'!B129</f>
        <v>P16</v>
      </c>
      <c r="B128" s="13">
        <f>IFERROR(SUMIF('Assemble Data'!K:K,'Assemble Data'!A129,'Assemble Data'!L:L),0)</f>
        <v>7279.9999999999991</v>
      </c>
      <c r="C128" s="13" t="str">
        <f>INDEX('Assemble Data'!$O$24:$O$1023,MATCH('Assemble Data'!A129,'Assemble Data'!$N$24:$N$1023,0))</f>
        <v>N1</v>
      </c>
      <c r="D128" s="13">
        <f>SUMIF('Assemble Data'!H:H,'Assemble Data'!A129,'Assemble Data'!I:I)</f>
        <v>4</v>
      </c>
      <c r="E128" s="13">
        <f>IFERROR(IF(AND('Assemble Data'!D129&lt;&gt;"",'Assemble Data'!D129&lt;&gt;B128),1,0),1)</f>
        <v>0</v>
      </c>
      <c r="F128" s="13">
        <f ca="1">IF('Assemble Data'!E129="",0,IF(ISERROR(FIND("INDEX",_xlfn.FORMULATEXT('Assemble Data'!E129),1)),1,0)+IFERROR(IF(AND('Assemble Data'!E129&lt;&gt;C128,'Assemble Data'!E129&lt;&gt;""),1,0),1))</f>
        <v>0</v>
      </c>
      <c r="G128" s="13">
        <f ca="1">IF('Assemble Data'!F129="",0,IF(ISERROR(FIND("VLOOKUP",_xlfn.FORMULATEXT('Assemble Data'!F129),1)),1,0)+IFERROR(IF(AND('Assemble Data'!F129&lt;&gt;D128,'Assemble Data'!F129&lt;&gt;""),1,0),1))</f>
        <v>0</v>
      </c>
      <c r="H128" s="13">
        <f t="shared" si="20"/>
        <v>0</v>
      </c>
      <c r="I128" t="str">
        <f t="shared" si="19"/>
        <v>N1P16</v>
      </c>
    </row>
    <row r="129" spans="1:9">
      <c r="A129" t="str">
        <f>'Assemble Data'!B130</f>
        <v>P17</v>
      </c>
      <c r="B129" s="13">
        <f>IFERROR(SUMIF('Assemble Data'!K:K,'Assemble Data'!A130,'Assemble Data'!L:L),0)</f>
        <v>10800</v>
      </c>
      <c r="C129" s="13" t="str">
        <f>INDEX('Assemble Data'!$O$24:$O$1023,MATCH('Assemble Data'!A130,'Assemble Data'!$N$24:$N$1023,0))</f>
        <v>O1</v>
      </c>
      <c r="D129" s="13">
        <f>SUMIF('Assemble Data'!H:H,'Assemble Data'!A130,'Assemble Data'!I:I)</f>
        <v>12</v>
      </c>
      <c r="E129" s="13">
        <f>IFERROR(IF(AND('Assemble Data'!D130&lt;&gt;"",'Assemble Data'!D130&lt;&gt;B129),1,0),1)</f>
        <v>0</v>
      </c>
      <c r="F129" s="13">
        <f ca="1">IF('Assemble Data'!E130="",0,IF(ISERROR(FIND("INDEX",_xlfn.FORMULATEXT('Assemble Data'!E130),1)),1,0)+IFERROR(IF(AND('Assemble Data'!E130&lt;&gt;C129,'Assemble Data'!E130&lt;&gt;""),1,0),1))</f>
        <v>0</v>
      </c>
      <c r="G129" s="13">
        <f ca="1">IF('Assemble Data'!F130="",0,IF(ISERROR(FIND("VLOOKUP",_xlfn.FORMULATEXT('Assemble Data'!F130),1)),1,0)+IFERROR(IF(AND('Assemble Data'!F130&lt;&gt;D129,'Assemble Data'!F130&lt;&gt;""),1,0),1))</f>
        <v>0</v>
      </c>
      <c r="H129" s="13">
        <f t="shared" si="20"/>
        <v>6</v>
      </c>
      <c r="I129" t="str">
        <f t="shared" si="19"/>
        <v>O1P17</v>
      </c>
    </row>
    <row r="130" spans="1:9">
      <c r="A130" t="str">
        <f>'Assemble Data'!B131</f>
        <v>P17</v>
      </c>
      <c r="B130" s="13">
        <f>IFERROR(SUMIF('Assemble Data'!K:K,'Assemble Data'!A131,'Assemble Data'!L:L),0)</f>
        <v>10800</v>
      </c>
      <c r="C130" s="13" t="str">
        <f>INDEX('Assemble Data'!$O$24:$O$1023,MATCH('Assemble Data'!A131,'Assemble Data'!$N$24:$N$1023,0))</f>
        <v>O1</v>
      </c>
      <c r="D130" s="13">
        <f>SUMIF('Assemble Data'!H:H,'Assemble Data'!A131,'Assemble Data'!I:I)</f>
        <v>12</v>
      </c>
      <c r="E130" s="13">
        <f>IFERROR(IF(AND('Assemble Data'!D131&lt;&gt;"",'Assemble Data'!D131&lt;&gt;B130),1,0),1)</f>
        <v>0</v>
      </c>
      <c r="F130" s="13">
        <f ca="1">IF('Assemble Data'!E131="",0,IF(ISERROR(FIND("INDEX",_xlfn.FORMULATEXT('Assemble Data'!E131),1)),1,0)+IFERROR(IF(AND('Assemble Data'!E131&lt;&gt;C130,'Assemble Data'!E131&lt;&gt;""),1,0),1))</f>
        <v>0</v>
      </c>
      <c r="G130" s="13">
        <f ca="1">IF('Assemble Data'!F131="",0,IF(ISERROR(FIND("VLOOKUP",_xlfn.FORMULATEXT('Assemble Data'!F131),1)),1,0)+IFERROR(IF(AND('Assemble Data'!F131&lt;&gt;D130,'Assemble Data'!F131&lt;&gt;""),1,0),1))</f>
        <v>0</v>
      </c>
      <c r="H130" s="13">
        <f t="shared" si="20"/>
        <v>6</v>
      </c>
      <c r="I130" t="str">
        <f t="shared" si="19"/>
        <v>O1P17</v>
      </c>
    </row>
    <row r="131" spans="1:9">
      <c r="A131" t="str">
        <f>'Assemble Data'!B132</f>
        <v>P13</v>
      </c>
      <c r="B131" s="13">
        <f>IFERROR(SUMIF('Assemble Data'!K:K,'Assemble Data'!A132,'Assemble Data'!L:L),0)</f>
        <v>5400</v>
      </c>
      <c r="C131" s="13" t="str">
        <f>INDEX('Assemble Data'!$O$24:$O$1023,MATCH('Assemble Data'!A132,'Assemble Data'!$N$24:$N$1023,0))</f>
        <v>C1</v>
      </c>
      <c r="D131" s="13">
        <f>SUMIF('Assemble Data'!H:H,'Assemble Data'!A132,'Assemble Data'!I:I)</f>
        <v>5</v>
      </c>
      <c r="E131" s="13">
        <f>IFERROR(IF(AND('Assemble Data'!D132&lt;&gt;"",'Assemble Data'!D132&lt;&gt;B131),1,0),1)</f>
        <v>0</v>
      </c>
      <c r="F131" s="13">
        <f ca="1">IF('Assemble Data'!E132="",0,IF(ISERROR(FIND("INDEX",_xlfn.FORMULATEXT('Assemble Data'!E132),1)),1,0)+IFERROR(IF(AND('Assemble Data'!E132&lt;&gt;C131,'Assemble Data'!E132&lt;&gt;""),1,0),1))</f>
        <v>0</v>
      </c>
      <c r="G131" s="13">
        <f ca="1">IF('Assemble Data'!F132="",0,IF(ISERROR(FIND("VLOOKUP",_xlfn.FORMULATEXT('Assemble Data'!F132),1)),1,0)+IFERROR(IF(AND('Assemble Data'!F132&lt;&gt;D131,'Assemble Data'!F132&lt;&gt;""),1,0),1))</f>
        <v>0</v>
      </c>
      <c r="H131" s="13">
        <f t="shared" si="20"/>
        <v>3</v>
      </c>
      <c r="I131" t="str">
        <f t="shared" si="19"/>
        <v>C1P13</v>
      </c>
    </row>
    <row r="132" spans="1:9">
      <c r="A132" t="str">
        <f>'Assemble Data'!B133</f>
        <v>P11</v>
      </c>
      <c r="B132" s="13">
        <f>IFERROR(SUMIF('Assemble Data'!K:K,'Assemble Data'!A133,'Assemble Data'!L:L),0)</f>
        <v>13200</v>
      </c>
      <c r="C132" s="13" t="str">
        <f>INDEX('Assemble Data'!$O$24:$O$1023,MATCH('Assemble Data'!A133,'Assemble Data'!$N$24:$N$1023,0))</f>
        <v>C1</v>
      </c>
      <c r="D132" s="13">
        <f>SUMIF('Assemble Data'!H:H,'Assemble Data'!A133,'Assemble Data'!I:I)</f>
        <v>11</v>
      </c>
      <c r="E132" s="13">
        <f>IFERROR(IF(AND('Assemble Data'!D133&lt;&gt;"",'Assemble Data'!D133&lt;&gt;B132),1,0),1)</f>
        <v>0</v>
      </c>
      <c r="F132" s="13">
        <f ca="1">IF('Assemble Data'!E133="",0,IF(ISERROR(FIND("INDEX",_xlfn.FORMULATEXT('Assemble Data'!E133),1)),1,0)+IFERROR(IF(AND('Assemble Data'!E133&lt;&gt;C132,'Assemble Data'!E133&lt;&gt;""),1,0),1))</f>
        <v>0</v>
      </c>
      <c r="G132" s="13">
        <f ca="1">IF('Assemble Data'!F133="",0,IF(ISERROR(FIND("VLOOKUP",_xlfn.FORMULATEXT('Assemble Data'!F133),1)),1,0)+IFERROR(IF(AND('Assemble Data'!F133&lt;&gt;D132,'Assemble Data'!F133&lt;&gt;""),1,0),1))</f>
        <v>0</v>
      </c>
      <c r="H132" s="13">
        <f t="shared" si="20"/>
        <v>9</v>
      </c>
      <c r="I132" t="str">
        <f t="shared" si="19"/>
        <v>C1P11</v>
      </c>
    </row>
    <row r="133" spans="1:9">
      <c r="A133" t="str">
        <f>'Assemble Data'!B134</f>
        <v>P11</v>
      </c>
      <c r="B133" s="13">
        <f>IFERROR(SUMIF('Assemble Data'!K:K,'Assemble Data'!A134,'Assemble Data'!L:L),0)</f>
        <v>13200</v>
      </c>
      <c r="C133" s="13" t="str">
        <f>INDEX('Assemble Data'!$O$24:$O$1023,MATCH('Assemble Data'!A134,'Assemble Data'!$N$24:$N$1023,0))</f>
        <v>C1</v>
      </c>
      <c r="D133" s="13">
        <f>SUMIF('Assemble Data'!H:H,'Assemble Data'!A134,'Assemble Data'!I:I)</f>
        <v>11</v>
      </c>
      <c r="E133" s="13">
        <f>IFERROR(IF(AND('Assemble Data'!D134&lt;&gt;"",'Assemble Data'!D134&lt;&gt;B133),1,0),1)</f>
        <v>0</v>
      </c>
      <c r="F133" s="13">
        <f ca="1">IF('Assemble Data'!E134="",0,IF(ISERROR(FIND("INDEX",_xlfn.FORMULATEXT('Assemble Data'!E134),1)),1,0)+IFERROR(IF(AND('Assemble Data'!E134&lt;&gt;C133,'Assemble Data'!E134&lt;&gt;""),1,0),1))</f>
        <v>0</v>
      </c>
      <c r="G133" s="13">
        <f ca="1">IF('Assemble Data'!F134="",0,IF(ISERROR(FIND("VLOOKUP",_xlfn.FORMULATEXT('Assemble Data'!F134),1)),1,0)+IFERROR(IF(AND('Assemble Data'!F134&lt;&gt;D133,'Assemble Data'!F134&lt;&gt;""),1,0),1))</f>
        <v>0</v>
      </c>
      <c r="H133" s="13">
        <f t="shared" si="20"/>
        <v>9</v>
      </c>
      <c r="I133" t="str">
        <f t="shared" si="19"/>
        <v>C1P11</v>
      </c>
    </row>
    <row r="134" spans="1:9">
      <c r="A134" t="str">
        <f>'Assemble Data'!B135</f>
        <v>P12</v>
      </c>
      <c r="B134" s="13">
        <f>IFERROR(SUMIF('Assemble Data'!K:K,'Assemble Data'!A135,'Assemble Data'!L:L),0)</f>
        <v>8190</v>
      </c>
      <c r="C134" s="13" t="str">
        <f>INDEX('Assemble Data'!$O$24:$O$1023,MATCH('Assemble Data'!A135,'Assemble Data'!$N$24:$N$1023,0))</f>
        <v>C1</v>
      </c>
      <c r="D134" s="13">
        <f>SUMIF('Assemble Data'!H:H,'Assemble Data'!A135,'Assemble Data'!I:I)</f>
        <v>6.5</v>
      </c>
      <c r="E134" s="13">
        <f>IFERROR(IF(AND('Assemble Data'!D135&lt;&gt;"",'Assemble Data'!D135&lt;&gt;B134),1,0),1)</f>
        <v>0</v>
      </c>
      <c r="F134" s="13">
        <f ca="1">IF('Assemble Data'!E135="",0,IF(ISERROR(FIND("INDEX",_xlfn.FORMULATEXT('Assemble Data'!E135),1)),1,0)+IFERROR(IF(AND('Assemble Data'!E135&lt;&gt;C134,'Assemble Data'!E135&lt;&gt;""),1,0),1))</f>
        <v>0</v>
      </c>
      <c r="G134" s="13">
        <f ca="1">IF('Assemble Data'!F135="",0,IF(ISERROR(FIND("VLOOKUP",_xlfn.FORMULATEXT('Assemble Data'!F135),1)),1,0)+IFERROR(IF(AND('Assemble Data'!F135&lt;&gt;D134,'Assemble Data'!F135&lt;&gt;""),1,0),1))</f>
        <v>0</v>
      </c>
      <c r="H134" s="13">
        <f t="shared" si="20"/>
        <v>7</v>
      </c>
      <c r="I134" t="str">
        <f t="shared" si="19"/>
        <v>C1P12</v>
      </c>
    </row>
    <row r="135" spans="1:9">
      <c r="A135" t="str">
        <f>'Assemble Data'!B136</f>
        <v>P10</v>
      </c>
      <c r="B135" s="13">
        <f>IFERROR(SUMIF('Assemble Data'!K:K,'Assemble Data'!A136,'Assemble Data'!L:L),0)</f>
        <v>2880</v>
      </c>
      <c r="C135" s="13" t="str">
        <f>INDEX('Assemble Data'!$O$24:$O$1023,MATCH('Assemble Data'!A136,'Assemble Data'!$N$24:$N$1023,0))</f>
        <v>C1</v>
      </c>
      <c r="D135" s="13">
        <f>SUMIF('Assemble Data'!H:H,'Assemble Data'!A136,'Assemble Data'!I:I)</f>
        <v>3</v>
      </c>
      <c r="E135" s="13">
        <f>IFERROR(IF(AND('Assemble Data'!D136&lt;&gt;"",'Assemble Data'!D136&lt;&gt;B135),1,0),1)</f>
        <v>0</v>
      </c>
      <c r="F135" s="13">
        <f ca="1">IF('Assemble Data'!E136="",0,IF(ISERROR(FIND("INDEX",_xlfn.FORMULATEXT('Assemble Data'!E136),1)),1,0)+IFERROR(IF(AND('Assemble Data'!E136&lt;&gt;C135,'Assemble Data'!E136&lt;&gt;""),1,0),1))</f>
        <v>0</v>
      </c>
      <c r="G135" s="13">
        <f ca="1">IF('Assemble Data'!F136="",0,IF(ISERROR(FIND("VLOOKUP",_xlfn.FORMULATEXT('Assemble Data'!F136),1)),1,0)+IFERROR(IF(AND('Assemble Data'!F136&lt;&gt;D135,'Assemble Data'!F136&lt;&gt;""),1,0),1))</f>
        <v>0</v>
      </c>
      <c r="H135" s="13">
        <f t="shared" si="20"/>
        <v>8</v>
      </c>
      <c r="I135" t="str">
        <f t="shared" si="19"/>
        <v>C1P10</v>
      </c>
    </row>
    <row r="136" spans="1:9">
      <c r="A136" t="str">
        <f>'Assemble Data'!B137</f>
        <v>P10</v>
      </c>
      <c r="B136" s="13">
        <f>IFERROR(SUMIF('Assemble Data'!K:K,'Assemble Data'!A137,'Assemble Data'!L:L),0)</f>
        <v>2880</v>
      </c>
      <c r="C136" s="13" t="str">
        <f>INDEX('Assemble Data'!$O$24:$O$1023,MATCH('Assemble Data'!A137,'Assemble Data'!$N$24:$N$1023,0))</f>
        <v>C1</v>
      </c>
      <c r="D136" s="13">
        <f>SUMIF('Assemble Data'!H:H,'Assemble Data'!A137,'Assemble Data'!I:I)</f>
        <v>3</v>
      </c>
      <c r="E136" s="13">
        <f>IFERROR(IF(AND('Assemble Data'!D137&lt;&gt;"",'Assemble Data'!D137&lt;&gt;B136),1,0),1)</f>
        <v>0</v>
      </c>
      <c r="F136" s="13">
        <f ca="1">IF('Assemble Data'!E137="",0,IF(ISERROR(FIND("INDEX",_xlfn.FORMULATEXT('Assemble Data'!E137),1)),1,0)+IFERROR(IF(AND('Assemble Data'!E137&lt;&gt;C136,'Assemble Data'!E137&lt;&gt;""),1,0),1))</f>
        <v>0</v>
      </c>
      <c r="G136" s="13">
        <f ca="1">IF('Assemble Data'!F137="",0,IF(ISERROR(FIND("VLOOKUP",_xlfn.FORMULATEXT('Assemble Data'!F137),1)),1,0)+IFERROR(IF(AND('Assemble Data'!F137&lt;&gt;D136,'Assemble Data'!F137&lt;&gt;""),1,0),1))</f>
        <v>0</v>
      </c>
      <c r="H136" s="13">
        <f t="shared" si="20"/>
        <v>8</v>
      </c>
      <c r="I136" t="str">
        <f t="shared" si="19"/>
        <v>C1P10</v>
      </c>
    </row>
    <row r="137" spans="1:9">
      <c r="A137" t="str">
        <f>'Assemble Data'!B138</f>
        <v>P11</v>
      </c>
      <c r="B137" s="13">
        <f>IFERROR(SUMIF('Assemble Data'!K:K,'Assemble Data'!A138,'Assemble Data'!L:L),0)</f>
        <v>13200</v>
      </c>
      <c r="C137" s="13" t="str">
        <f>INDEX('Assemble Data'!$O$24:$O$1023,MATCH('Assemble Data'!A138,'Assemble Data'!$N$24:$N$1023,0))</f>
        <v>C1</v>
      </c>
      <c r="D137" s="13">
        <f>SUMIF('Assemble Data'!H:H,'Assemble Data'!A138,'Assemble Data'!I:I)</f>
        <v>11</v>
      </c>
      <c r="E137" s="13">
        <f>IFERROR(IF(AND('Assemble Data'!D138&lt;&gt;"",'Assemble Data'!D138&lt;&gt;B137),1,0),1)</f>
        <v>0</v>
      </c>
      <c r="F137" s="13">
        <f ca="1">IF('Assemble Data'!E138="",0,IF(ISERROR(FIND("INDEX",_xlfn.FORMULATEXT('Assemble Data'!E138),1)),1,0)+IFERROR(IF(AND('Assemble Data'!E138&lt;&gt;C137,'Assemble Data'!E138&lt;&gt;""),1,0),1))</f>
        <v>0</v>
      </c>
      <c r="G137" s="13">
        <f ca="1">IF('Assemble Data'!F138="",0,IF(ISERROR(FIND("VLOOKUP",_xlfn.FORMULATEXT('Assemble Data'!F138),1)),1,0)+IFERROR(IF(AND('Assemble Data'!F138&lt;&gt;D137,'Assemble Data'!F138&lt;&gt;""),1,0),1))</f>
        <v>0</v>
      </c>
      <c r="H137" s="13">
        <f t="shared" si="20"/>
        <v>9</v>
      </c>
      <c r="I137" t="str">
        <f t="shared" si="19"/>
        <v>C1P11</v>
      </c>
    </row>
    <row r="138" spans="1:9">
      <c r="A138" t="str">
        <f>'Assemble Data'!B139</f>
        <v>P18</v>
      </c>
      <c r="B138" s="13">
        <f>IFERROR(SUMIF('Assemble Data'!K:K,'Assemble Data'!A139,'Assemble Data'!L:L),0)</f>
        <v>4860</v>
      </c>
      <c r="C138" s="13" t="str">
        <f>INDEX('Assemble Data'!$O$24:$O$1023,MATCH('Assemble Data'!A139,'Assemble Data'!$N$24:$N$1023,0))</f>
        <v>O1</v>
      </c>
      <c r="D138" s="13">
        <f>SUMIF('Assemble Data'!H:H,'Assemble Data'!A139,'Assemble Data'!I:I)</f>
        <v>6</v>
      </c>
      <c r="E138" s="13">
        <f>IFERROR(IF(AND('Assemble Data'!D139&lt;&gt;"",'Assemble Data'!D139&lt;&gt;B138),1,0),1)</f>
        <v>0</v>
      </c>
      <c r="F138" s="13">
        <f ca="1">IF('Assemble Data'!E139="",0,IF(ISERROR(FIND("INDEX",_xlfn.FORMULATEXT('Assemble Data'!E139),1)),1,0)+IFERROR(IF(AND('Assemble Data'!E139&lt;&gt;C138,'Assemble Data'!E139&lt;&gt;""),1,0),1))</f>
        <v>0</v>
      </c>
      <c r="G138" s="13">
        <f ca="1">IF('Assemble Data'!F139="",0,IF(ISERROR(FIND("VLOOKUP",_xlfn.FORMULATEXT('Assemble Data'!F139),1)),1,0)+IFERROR(IF(AND('Assemble Data'!F139&lt;&gt;D138,'Assemble Data'!F139&lt;&gt;""),1,0),1))</f>
        <v>0</v>
      </c>
      <c r="H138" s="13">
        <f t="shared" si="20"/>
        <v>2</v>
      </c>
      <c r="I138" t="str">
        <f t="shared" si="19"/>
        <v>O1P18</v>
      </c>
    </row>
    <row r="139" spans="1:9">
      <c r="A139" t="str">
        <f>'Assemble Data'!B140</f>
        <v>P14</v>
      </c>
      <c r="B139" s="13">
        <f>IFERROR(SUMIF('Assemble Data'!K:K,'Assemble Data'!A140,'Assemble Data'!L:L),0)</f>
        <v>10080</v>
      </c>
      <c r="C139" s="13" t="str">
        <f>INDEX('Assemble Data'!$O$24:$O$1023,MATCH('Assemble Data'!A140,'Assemble Data'!$N$24:$N$1023,0))</f>
        <v>N1</v>
      </c>
      <c r="D139" s="13">
        <f>SUMIF('Assemble Data'!H:H,'Assemble Data'!A140,'Assemble Data'!I:I)</f>
        <v>8</v>
      </c>
      <c r="E139" s="13">
        <f>IFERROR(IF(AND('Assemble Data'!D140&lt;&gt;"",'Assemble Data'!D140&lt;&gt;B139),1,0),1)</f>
        <v>0</v>
      </c>
      <c r="F139" s="13">
        <f ca="1">IF('Assemble Data'!E140="",0,IF(ISERROR(FIND("INDEX",_xlfn.FORMULATEXT('Assemble Data'!E140),1)),1,0)+IFERROR(IF(AND('Assemble Data'!E140&lt;&gt;C139,'Assemble Data'!E140&lt;&gt;""),1,0),1))</f>
        <v>0</v>
      </c>
      <c r="G139" s="13">
        <f ca="1">IF('Assemble Data'!F140="",0,IF(ISERROR(FIND("VLOOKUP",_xlfn.FORMULATEXT('Assemble Data'!F140),1)),1,0)+IFERROR(IF(AND('Assemble Data'!F140&lt;&gt;D139,'Assemble Data'!F140&lt;&gt;""),1,0),1))</f>
        <v>0</v>
      </c>
      <c r="H139" s="13">
        <f t="shared" si="20"/>
        <v>5</v>
      </c>
      <c r="I139" t="str">
        <f t="shared" si="19"/>
        <v>N1P14</v>
      </c>
    </row>
    <row r="140" spans="1:9">
      <c r="A140" t="str">
        <f>'Assemble Data'!B141</f>
        <v>P10</v>
      </c>
      <c r="B140" s="13">
        <f>IFERROR(SUMIF('Assemble Data'!K:K,'Assemble Data'!A141,'Assemble Data'!L:L),0)</f>
        <v>2880</v>
      </c>
      <c r="C140" s="13" t="str">
        <f>INDEX('Assemble Data'!$O$24:$O$1023,MATCH('Assemble Data'!A141,'Assemble Data'!$N$24:$N$1023,0))</f>
        <v>C1</v>
      </c>
      <c r="D140" s="13">
        <f>SUMIF('Assemble Data'!H:H,'Assemble Data'!A141,'Assemble Data'!I:I)</f>
        <v>3</v>
      </c>
      <c r="E140" s="13">
        <f>IFERROR(IF(AND('Assemble Data'!D141&lt;&gt;"",'Assemble Data'!D141&lt;&gt;B140),1,0),1)</f>
        <v>0</v>
      </c>
      <c r="F140" s="13">
        <f ca="1">IF('Assemble Data'!E141="",0,IF(ISERROR(FIND("INDEX",_xlfn.FORMULATEXT('Assemble Data'!E141),1)),1,0)+IFERROR(IF(AND('Assemble Data'!E141&lt;&gt;C140,'Assemble Data'!E141&lt;&gt;""),1,0),1))</f>
        <v>0</v>
      </c>
      <c r="G140" s="13">
        <f ca="1">IF('Assemble Data'!F141="",0,IF(ISERROR(FIND("VLOOKUP",_xlfn.FORMULATEXT('Assemble Data'!F141),1)),1,0)+IFERROR(IF(AND('Assemble Data'!F141&lt;&gt;D140,'Assemble Data'!F141&lt;&gt;""),1,0),1))</f>
        <v>0</v>
      </c>
      <c r="H140" s="13">
        <f t="shared" si="20"/>
        <v>8</v>
      </c>
      <c r="I140" t="str">
        <f t="shared" si="19"/>
        <v>C1P10</v>
      </c>
    </row>
    <row r="141" spans="1:9">
      <c r="A141" t="str">
        <f>'Assemble Data'!B142</f>
        <v>P13</v>
      </c>
      <c r="B141" s="13">
        <f>IFERROR(SUMIF('Assemble Data'!K:K,'Assemble Data'!A142,'Assemble Data'!L:L),0)</f>
        <v>5400</v>
      </c>
      <c r="C141" s="13" t="str">
        <f>INDEX('Assemble Data'!$O$24:$O$1023,MATCH('Assemble Data'!A142,'Assemble Data'!$N$24:$N$1023,0))</f>
        <v>C1</v>
      </c>
      <c r="D141" s="13">
        <f>SUMIF('Assemble Data'!H:H,'Assemble Data'!A142,'Assemble Data'!I:I)</f>
        <v>5</v>
      </c>
      <c r="E141" s="13">
        <f>IFERROR(IF(AND('Assemble Data'!D142&lt;&gt;"",'Assemble Data'!D142&lt;&gt;B141),1,0),1)</f>
        <v>0</v>
      </c>
      <c r="F141" s="13">
        <f ca="1">IF('Assemble Data'!E142="",0,IF(ISERROR(FIND("INDEX",_xlfn.FORMULATEXT('Assemble Data'!E142),1)),1,0)+IFERROR(IF(AND('Assemble Data'!E142&lt;&gt;C141,'Assemble Data'!E142&lt;&gt;""),1,0),1))</f>
        <v>0</v>
      </c>
      <c r="G141" s="13">
        <f ca="1">IF('Assemble Data'!F142="",0,IF(ISERROR(FIND("VLOOKUP",_xlfn.FORMULATEXT('Assemble Data'!F142),1)),1,0)+IFERROR(IF(AND('Assemble Data'!F142&lt;&gt;D141,'Assemble Data'!F142&lt;&gt;""),1,0),1))</f>
        <v>0</v>
      </c>
      <c r="H141" s="13">
        <f t="shared" si="20"/>
        <v>3</v>
      </c>
      <c r="I141" t="str">
        <f t="shared" si="19"/>
        <v>C1P13</v>
      </c>
    </row>
    <row r="142" spans="1:9">
      <c r="A142" t="str">
        <f>'Assemble Data'!B143</f>
        <v>P13</v>
      </c>
      <c r="B142" s="13">
        <f>IFERROR(SUMIF('Assemble Data'!K:K,'Assemble Data'!A143,'Assemble Data'!L:L),0)</f>
        <v>4500</v>
      </c>
      <c r="C142" s="13" t="str">
        <f>INDEX('Assemble Data'!$O$24:$O$1023,MATCH('Assemble Data'!A143,'Assemble Data'!$N$24:$N$1023,0))</f>
        <v>C2</v>
      </c>
      <c r="D142" s="13">
        <f>SUMIF('Assemble Data'!H:H,'Assemble Data'!A143,'Assemble Data'!I:I)</f>
        <v>5</v>
      </c>
      <c r="E142" s="13">
        <f>IFERROR(IF(AND('Assemble Data'!D143&lt;&gt;"",'Assemble Data'!D143&lt;&gt;B142),1,0),1)</f>
        <v>0</v>
      </c>
      <c r="F142" s="13">
        <f ca="1">IF('Assemble Data'!E143="",0,IF(ISERROR(FIND("INDEX",_xlfn.FORMULATEXT('Assemble Data'!E143),1)),1,0)+IFERROR(IF(AND('Assemble Data'!E143&lt;&gt;C142,'Assemble Data'!E143&lt;&gt;""),1,0),1))</f>
        <v>0</v>
      </c>
      <c r="G142" s="13">
        <f ca="1">IF('Assemble Data'!F143="",0,IF(ISERROR(FIND("VLOOKUP",_xlfn.FORMULATEXT('Assemble Data'!F143),1)),1,0)+IFERROR(IF(AND('Assemble Data'!F143&lt;&gt;D142,'Assemble Data'!F143&lt;&gt;""),1,0),1))</f>
        <v>0</v>
      </c>
      <c r="H142" s="13">
        <f t="shared" si="20"/>
        <v>3</v>
      </c>
      <c r="I142" t="str">
        <f t="shared" si="19"/>
        <v>C2P13</v>
      </c>
    </row>
    <row r="143" spans="1:9">
      <c r="A143" t="str">
        <f>'Assemble Data'!B144</f>
        <v>P10</v>
      </c>
      <c r="B143" s="13">
        <f>IFERROR(SUMIF('Assemble Data'!K:K,'Assemble Data'!A144,'Assemble Data'!L:L),0)</f>
        <v>2400</v>
      </c>
      <c r="C143" s="13" t="str">
        <f>INDEX('Assemble Data'!$O$24:$O$1023,MATCH('Assemble Data'!A144,'Assemble Data'!$N$24:$N$1023,0))</f>
        <v>C2</v>
      </c>
      <c r="D143" s="13">
        <f>SUMIF('Assemble Data'!H:H,'Assemble Data'!A144,'Assemble Data'!I:I)</f>
        <v>3</v>
      </c>
      <c r="E143" s="13">
        <f>IFERROR(IF(AND('Assemble Data'!D144&lt;&gt;"",'Assemble Data'!D144&lt;&gt;B143),1,0),1)</f>
        <v>0</v>
      </c>
      <c r="F143" s="13">
        <f ca="1">IF('Assemble Data'!E144="",0,IF(ISERROR(FIND("INDEX",_xlfn.FORMULATEXT('Assemble Data'!E144),1)),1,0)+IFERROR(IF(AND('Assemble Data'!E144&lt;&gt;C143,'Assemble Data'!E144&lt;&gt;""),1,0),1))</f>
        <v>0</v>
      </c>
      <c r="G143" s="13">
        <f ca="1">IF('Assemble Data'!F144="",0,IF(ISERROR(FIND("VLOOKUP",_xlfn.FORMULATEXT('Assemble Data'!F144),1)),1,0)+IFERROR(IF(AND('Assemble Data'!F144&lt;&gt;D143,'Assemble Data'!F144&lt;&gt;""),1,0),1))</f>
        <v>0</v>
      </c>
      <c r="H143" s="13">
        <f t="shared" si="20"/>
        <v>8</v>
      </c>
      <c r="I143" t="str">
        <f t="shared" si="19"/>
        <v>C2P10</v>
      </c>
    </row>
    <row r="144" spans="1:9">
      <c r="A144" t="str">
        <f>'Assemble Data'!B145</f>
        <v>P11</v>
      </c>
      <c r="B144" s="13">
        <f>IFERROR(SUMIF('Assemble Data'!K:K,'Assemble Data'!A145,'Assemble Data'!L:L),0)</f>
        <v>11000</v>
      </c>
      <c r="C144" s="13" t="str">
        <f>INDEX('Assemble Data'!$O$24:$O$1023,MATCH('Assemble Data'!A145,'Assemble Data'!$N$24:$N$1023,0))</f>
        <v>C2</v>
      </c>
      <c r="D144" s="13">
        <f>SUMIF('Assemble Data'!H:H,'Assemble Data'!A145,'Assemble Data'!I:I)</f>
        <v>11</v>
      </c>
      <c r="E144" s="13">
        <f>IFERROR(IF(AND('Assemble Data'!D145&lt;&gt;"",'Assemble Data'!D145&lt;&gt;B144),1,0),1)</f>
        <v>0</v>
      </c>
      <c r="F144" s="13">
        <f ca="1">IF('Assemble Data'!E145="",0,IF(ISERROR(FIND("INDEX",_xlfn.FORMULATEXT('Assemble Data'!E145),1)),1,0)+IFERROR(IF(AND('Assemble Data'!E145&lt;&gt;C144,'Assemble Data'!E145&lt;&gt;""),1,0),1))</f>
        <v>0</v>
      </c>
      <c r="G144" s="13">
        <f ca="1">IF('Assemble Data'!F145="",0,IF(ISERROR(FIND("VLOOKUP",_xlfn.FORMULATEXT('Assemble Data'!F145),1)),1,0)+IFERROR(IF(AND('Assemble Data'!F145&lt;&gt;D144,'Assemble Data'!F145&lt;&gt;""),1,0),1))</f>
        <v>0</v>
      </c>
      <c r="H144" s="13">
        <f t="shared" si="20"/>
        <v>9</v>
      </c>
      <c r="I144" t="str">
        <f t="shared" si="19"/>
        <v>C2P11</v>
      </c>
    </row>
    <row r="145" spans="1:9">
      <c r="A145" t="str">
        <f>'Assemble Data'!B146</f>
        <v>P16</v>
      </c>
      <c r="B145" s="13">
        <f>IFERROR(SUMIF('Assemble Data'!K:K,'Assemble Data'!A146,'Assemble Data'!L:L),0)</f>
        <v>4680</v>
      </c>
      <c r="C145" s="13" t="str">
        <f>INDEX('Assemble Data'!$O$24:$O$1023,MATCH('Assemble Data'!A146,'Assemble Data'!$N$24:$N$1023,0))</f>
        <v>N2</v>
      </c>
      <c r="D145" s="13">
        <f>SUMIF('Assemble Data'!H:H,'Assemble Data'!A146,'Assemble Data'!I:I)</f>
        <v>4</v>
      </c>
      <c r="E145" s="13">
        <f>IFERROR(IF(AND('Assemble Data'!D146&lt;&gt;"",'Assemble Data'!D146&lt;&gt;B145),1,0),1)</f>
        <v>0</v>
      </c>
      <c r="F145" s="13">
        <f ca="1">IF('Assemble Data'!E146="",0,IF(ISERROR(FIND("INDEX",_xlfn.FORMULATEXT('Assemble Data'!E146),1)),1,0)+IFERROR(IF(AND('Assemble Data'!E146&lt;&gt;C145,'Assemble Data'!E146&lt;&gt;""),1,0),1))</f>
        <v>0</v>
      </c>
      <c r="G145" s="13">
        <f ca="1">IF('Assemble Data'!F146="",0,IF(ISERROR(FIND("VLOOKUP",_xlfn.FORMULATEXT('Assemble Data'!F146),1)),1,0)+IFERROR(IF(AND('Assemble Data'!F146&lt;&gt;D145,'Assemble Data'!F146&lt;&gt;""),1,0),1))</f>
        <v>0</v>
      </c>
      <c r="H145" s="13">
        <f t="shared" si="20"/>
        <v>0</v>
      </c>
      <c r="I145" t="str">
        <f t="shared" si="19"/>
        <v>N2P16</v>
      </c>
    </row>
    <row r="146" spans="1:9">
      <c r="A146" t="str">
        <f>'Assemble Data'!B147</f>
        <v>P17</v>
      </c>
      <c r="B146" s="13">
        <f>IFERROR(SUMIF('Assemble Data'!K:K,'Assemble Data'!A147,'Assemble Data'!L:L),0)</f>
        <v>13200.000000000002</v>
      </c>
      <c r="C146" s="13" t="str">
        <f>INDEX('Assemble Data'!$O$24:$O$1023,MATCH('Assemble Data'!A147,'Assemble Data'!$N$24:$N$1023,0))</f>
        <v>O2</v>
      </c>
      <c r="D146" s="13">
        <f>SUMIF('Assemble Data'!H:H,'Assemble Data'!A147,'Assemble Data'!I:I)</f>
        <v>12</v>
      </c>
      <c r="E146" s="13">
        <f>IFERROR(IF(AND('Assemble Data'!D147&lt;&gt;"",'Assemble Data'!D147&lt;&gt;B146),1,0),1)</f>
        <v>0</v>
      </c>
      <c r="F146" s="13">
        <f ca="1">IF('Assemble Data'!E147="",0,IF(ISERROR(FIND("INDEX",_xlfn.FORMULATEXT('Assemble Data'!E147),1)),1,0)+IFERROR(IF(AND('Assemble Data'!E147&lt;&gt;C146,'Assemble Data'!E147&lt;&gt;""),1,0),1))</f>
        <v>0</v>
      </c>
      <c r="G146" s="13">
        <f ca="1">IF('Assemble Data'!F147="",0,IF(ISERROR(FIND("VLOOKUP",_xlfn.FORMULATEXT('Assemble Data'!F147),1)),1,0)+IFERROR(IF(AND('Assemble Data'!F147&lt;&gt;D146,'Assemble Data'!F147&lt;&gt;""),1,0),1))</f>
        <v>0</v>
      </c>
      <c r="H146" s="13">
        <f t="shared" si="20"/>
        <v>6</v>
      </c>
      <c r="I146" t="str">
        <f t="shared" si="19"/>
        <v>O2P17</v>
      </c>
    </row>
    <row r="147" spans="1:9">
      <c r="A147" t="str">
        <f>'Assemble Data'!B148</f>
        <v>P17</v>
      </c>
      <c r="B147" s="13">
        <f>IFERROR(SUMIF('Assemble Data'!K:K,'Assemble Data'!A148,'Assemble Data'!L:L),0)</f>
        <v>13200.000000000002</v>
      </c>
      <c r="C147" s="13" t="str">
        <f>INDEX('Assemble Data'!$O$24:$O$1023,MATCH('Assemble Data'!A148,'Assemble Data'!$N$24:$N$1023,0))</f>
        <v>O2</v>
      </c>
      <c r="D147" s="13">
        <f>SUMIF('Assemble Data'!H:H,'Assemble Data'!A148,'Assemble Data'!I:I)</f>
        <v>12</v>
      </c>
      <c r="E147" s="13">
        <f>IFERROR(IF(AND('Assemble Data'!D148&lt;&gt;"",'Assemble Data'!D148&lt;&gt;B147),1,0),1)</f>
        <v>0</v>
      </c>
      <c r="F147" s="13">
        <f ca="1">IF('Assemble Data'!E148="",0,IF(ISERROR(FIND("INDEX",_xlfn.FORMULATEXT('Assemble Data'!E148),1)),1,0)+IFERROR(IF(AND('Assemble Data'!E148&lt;&gt;C147,'Assemble Data'!E148&lt;&gt;""),1,0),1))</f>
        <v>0</v>
      </c>
      <c r="G147" s="13">
        <f ca="1">IF('Assemble Data'!F148="",0,IF(ISERROR(FIND("VLOOKUP",_xlfn.FORMULATEXT('Assemble Data'!F148),1)),1,0)+IFERROR(IF(AND('Assemble Data'!F148&lt;&gt;D147,'Assemble Data'!F148&lt;&gt;""),1,0),1))</f>
        <v>0</v>
      </c>
      <c r="H147" s="13">
        <f t="shared" si="20"/>
        <v>6</v>
      </c>
      <c r="I147" t="str">
        <f t="shared" si="19"/>
        <v>O2P17</v>
      </c>
    </row>
    <row r="148" spans="1:9">
      <c r="A148" t="str">
        <f>'Assemble Data'!B149</f>
        <v>P13</v>
      </c>
      <c r="B148" s="13">
        <f>IFERROR(SUMIF('Assemble Data'!K:K,'Assemble Data'!A149,'Assemble Data'!L:L),0)</f>
        <v>4500</v>
      </c>
      <c r="C148" s="13" t="str">
        <f>INDEX('Assemble Data'!$O$24:$O$1023,MATCH('Assemble Data'!A149,'Assemble Data'!$N$24:$N$1023,0))</f>
        <v>C2</v>
      </c>
      <c r="D148" s="13">
        <f>SUMIF('Assemble Data'!H:H,'Assemble Data'!A149,'Assemble Data'!I:I)</f>
        <v>5</v>
      </c>
      <c r="E148" s="13">
        <f>IFERROR(IF(AND('Assemble Data'!D149&lt;&gt;"",'Assemble Data'!D149&lt;&gt;B148),1,0),1)</f>
        <v>0</v>
      </c>
      <c r="F148" s="13">
        <f ca="1">IF('Assemble Data'!E149="",0,IF(ISERROR(FIND("INDEX",_xlfn.FORMULATEXT('Assemble Data'!E149),1)),1,0)+IFERROR(IF(AND('Assemble Data'!E149&lt;&gt;C148,'Assemble Data'!E149&lt;&gt;""),1,0),1))</f>
        <v>0</v>
      </c>
      <c r="G148" s="13">
        <f ca="1">IF('Assemble Data'!F149="",0,IF(ISERROR(FIND("VLOOKUP",_xlfn.FORMULATEXT('Assemble Data'!F149),1)),1,0)+IFERROR(IF(AND('Assemble Data'!F149&lt;&gt;D148,'Assemble Data'!F149&lt;&gt;""),1,0),1))</f>
        <v>0</v>
      </c>
      <c r="H148" s="13">
        <f t="shared" si="20"/>
        <v>3</v>
      </c>
      <c r="I148" t="str">
        <f t="shared" si="19"/>
        <v>C2P13</v>
      </c>
    </row>
    <row r="149" spans="1:9">
      <c r="A149" t="str">
        <f>'Assemble Data'!B150</f>
        <v>P11</v>
      </c>
      <c r="B149" s="13">
        <f>IFERROR(SUMIF('Assemble Data'!K:K,'Assemble Data'!A150,'Assemble Data'!L:L),0)</f>
        <v>11000</v>
      </c>
      <c r="C149" s="13" t="str">
        <f>INDEX('Assemble Data'!$O$24:$O$1023,MATCH('Assemble Data'!A150,'Assemble Data'!$N$24:$N$1023,0))</f>
        <v>C2</v>
      </c>
      <c r="D149" s="13">
        <f>SUMIF('Assemble Data'!H:H,'Assemble Data'!A150,'Assemble Data'!I:I)</f>
        <v>11</v>
      </c>
      <c r="E149" s="13">
        <f>IFERROR(IF(AND('Assemble Data'!D150&lt;&gt;"",'Assemble Data'!D150&lt;&gt;B149),1,0),1)</f>
        <v>0</v>
      </c>
      <c r="F149" s="13">
        <f ca="1">IF('Assemble Data'!E150="",0,IF(ISERROR(FIND("INDEX",_xlfn.FORMULATEXT('Assemble Data'!E150),1)),1,0)+IFERROR(IF(AND('Assemble Data'!E150&lt;&gt;C149,'Assemble Data'!E150&lt;&gt;""),1,0),1))</f>
        <v>0</v>
      </c>
      <c r="G149" s="13">
        <f ca="1">IF('Assemble Data'!F150="",0,IF(ISERROR(FIND("VLOOKUP",_xlfn.FORMULATEXT('Assemble Data'!F150),1)),1,0)+IFERROR(IF(AND('Assemble Data'!F150&lt;&gt;D149,'Assemble Data'!F150&lt;&gt;""),1,0),1))</f>
        <v>0</v>
      </c>
      <c r="H149" s="13">
        <f t="shared" si="20"/>
        <v>9</v>
      </c>
      <c r="I149" t="str">
        <f t="shared" si="19"/>
        <v>C2P11</v>
      </c>
    </row>
    <row r="150" spans="1:9">
      <c r="A150" t="str">
        <f>'Assemble Data'!B151</f>
        <v>P11</v>
      </c>
      <c r="B150" s="13">
        <f>IFERROR(SUMIF('Assemble Data'!K:K,'Assemble Data'!A151,'Assemble Data'!L:L),0)</f>
        <v>11000</v>
      </c>
      <c r="C150" s="13" t="str">
        <f>INDEX('Assemble Data'!$O$24:$O$1023,MATCH('Assemble Data'!A151,'Assemble Data'!$N$24:$N$1023,0))</f>
        <v>C2</v>
      </c>
      <c r="D150" s="13">
        <f>SUMIF('Assemble Data'!H:H,'Assemble Data'!A151,'Assemble Data'!I:I)</f>
        <v>11</v>
      </c>
      <c r="E150" s="13">
        <f>IFERROR(IF(AND('Assemble Data'!D151&lt;&gt;"",'Assemble Data'!D151&lt;&gt;B150),1,0),1)</f>
        <v>0</v>
      </c>
      <c r="F150" s="13">
        <f ca="1">IF('Assemble Data'!E151="",0,IF(ISERROR(FIND("INDEX",_xlfn.FORMULATEXT('Assemble Data'!E151),1)),1,0)+IFERROR(IF(AND('Assemble Data'!E151&lt;&gt;C150,'Assemble Data'!E151&lt;&gt;""),1,0),1))</f>
        <v>0</v>
      </c>
      <c r="G150" s="13">
        <f ca="1">IF('Assemble Data'!F151="",0,IF(ISERROR(FIND("VLOOKUP",_xlfn.FORMULATEXT('Assemble Data'!F151),1)),1,0)+IFERROR(IF(AND('Assemble Data'!F151&lt;&gt;D150,'Assemble Data'!F151&lt;&gt;""),1,0),1))</f>
        <v>0</v>
      </c>
      <c r="H150" s="13">
        <f t="shared" si="20"/>
        <v>9</v>
      </c>
      <c r="I150" t="str">
        <f t="shared" si="19"/>
        <v>C2P11</v>
      </c>
    </row>
    <row r="151" spans="1:9">
      <c r="A151" t="str">
        <f>'Assemble Data'!B152</f>
        <v>P12</v>
      </c>
      <c r="B151" s="13">
        <f>IFERROR(SUMIF('Assemble Data'!K:K,'Assemble Data'!A152,'Assemble Data'!L:L),0)</f>
        <v>6825</v>
      </c>
      <c r="C151" s="13" t="str">
        <f>INDEX('Assemble Data'!$O$24:$O$1023,MATCH('Assemble Data'!A152,'Assemble Data'!$N$24:$N$1023,0))</f>
        <v>C2</v>
      </c>
      <c r="D151" s="13">
        <f>SUMIF('Assemble Data'!H:H,'Assemble Data'!A152,'Assemble Data'!I:I)</f>
        <v>6.5</v>
      </c>
      <c r="E151" s="13">
        <f>IFERROR(IF(AND('Assemble Data'!D152&lt;&gt;"",'Assemble Data'!D152&lt;&gt;B151),1,0),1)</f>
        <v>0</v>
      </c>
      <c r="F151" s="13">
        <f ca="1">IF('Assemble Data'!E152="",0,IF(ISERROR(FIND("INDEX",_xlfn.FORMULATEXT('Assemble Data'!E152),1)),1,0)+IFERROR(IF(AND('Assemble Data'!E152&lt;&gt;C151,'Assemble Data'!E152&lt;&gt;""),1,0),1))</f>
        <v>0</v>
      </c>
      <c r="G151" s="13">
        <f ca="1">IF('Assemble Data'!F152="",0,IF(ISERROR(FIND("VLOOKUP",_xlfn.FORMULATEXT('Assemble Data'!F152),1)),1,0)+IFERROR(IF(AND('Assemble Data'!F152&lt;&gt;D151,'Assemble Data'!F152&lt;&gt;""),1,0),1))</f>
        <v>0</v>
      </c>
      <c r="H151" s="13">
        <f t="shared" si="20"/>
        <v>7</v>
      </c>
      <c r="I151" t="str">
        <f t="shared" si="19"/>
        <v>C2P12</v>
      </c>
    </row>
    <row r="152" spans="1:9">
      <c r="A152" t="str">
        <f>'Assemble Data'!B153</f>
        <v>P10</v>
      </c>
      <c r="B152" s="13">
        <f>IFERROR(SUMIF('Assemble Data'!K:K,'Assemble Data'!A153,'Assemble Data'!L:L),0)</f>
        <v>2400</v>
      </c>
      <c r="C152" s="13" t="str">
        <f>INDEX('Assemble Data'!$O$24:$O$1023,MATCH('Assemble Data'!A153,'Assemble Data'!$N$24:$N$1023,0))</f>
        <v>C2</v>
      </c>
      <c r="D152" s="13">
        <f>SUMIF('Assemble Data'!H:H,'Assemble Data'!A153,'Assemble Data'!I:I)</f>
        <v>3</v>
      </c>
      <c r="E152" s="13">
        <f>IFERROR(IF(AND('Assemble Data'!D153&lt;&gt;"",'Assemble Data'!D153&lt;&gt;B152),1,0),1)</f>
        <v>0</v>
      </c>
      <c r="F152" s="13">
        <f ca="1">IF('Assemble Data'!E153="",0,IF(ISERROR(FIND("INDEX",_xlfn.FORMULATEXT('Assemble Data'!E153),1)),1,0)+IFERROR(IF(AND('Assemble Data'!E153&lt;&gt;C152,'Assemble Data'!E153&lt;&gt;""),1,0),1))</f>
        <v>0</v>
      </c>
      <c r="G152" s="13">
        <f ca="1">IF('Assemble Data'!F153="",0,IF(ISERROR(FIND("VLOOKUP",_xlfn.FORMULATEXT('Assemble Data'!F153),1)),1,0)+IFERROR(IF(AND('Assemble Data'!F153&lt;&gt;D152,'Assemble Data'!F153&lt;&gt;""),1,0),1))</f>
        <v>0</v>
      </c>
      <c r="H152" s="13">
        <f t="shared" si="20"/>
        <v>8</v>
      </c>
      <c r="I152" t="str">
        <f t="shared" ref="I152:I215" si="21">C152&amp;A152</f>
        <v>C2P10</v>
      </c>
    </row>
    <row r="153" spans="1:9">
      <c r="A153" t="str">
        <f>'Assemble Data'!B154</f>
        <v>P10</v>
      </c>
      <c r="B153" s="13">
        <f>IFERROR(SUMIF('Assemble Data'!K:K,'Assemble Data'!A154,'Assemble Data'!L:L),0)</f>
        <v>2400</v>
      </c>
      <c r="C153" s="13" t="str">
        <f>INDEX('Assemble Data'!$O$24:$O$1023,MATCH('Assemble Data'!A154,'Assemble Data'!$N$24:$N$1023,0))</f>
        <v>C2</v>
      </c>
      <c r="D153" s="13">
        <f>SUMIF('Assemble Data'!H:H,'Assemble Data'!A154,'Assemble Data'!I:I)</f>
        <v>3</v>
      </c>
      <c r="E153" s="13">
        <f>IFERROR(IF(AND('Assemble Data'!D154&lt;&gt;"",'Assemble Data'!D154&lt;&gt;B153),1,0),1)</f>
        <v>0</v>
      </c>
      <c r="F153" s="13">
        <f ca="1">IF('Assemble Data'!E154="",0,IF(ISERROR(FIND("INDEX",_xlfn.FORMULATEXT('Assemble Data'!E154),1)),1,0)+IFERROR(IF(AND('Assemble Data'!E154&lt;&gt;C153,'Assemble Data'!E154&lt;&gt;""),1,0),1))</f>
        <v>0</v>
      </c>
      <c r="G153" s="13">
        <f ca="1">IF('Assemble Data'!F154="",0,IF(ISERROR(FIND("VLOOKUP",_xlfn.FORMULATEXT('Assemble Data'!F154),1)),1,0)+IFERROR(IF(AND('Assemble Data'!F154&lt;&gt;D153,'Assemble Data'!F154&lt;&gt;""),1,0),1))</f>
        <v>0</v>
      </c>
      <c r="H153" s="13">
        <f t="shared" si="20"/>
        <v>8</v>
      </c>
      <c r="I153" t="str">
        <f t="shared" si="21"/>
        <v>C2P10</v>
      </c>
    </row>
    <row r="154" spans="1:9">
      <c r="A154" t="str">
        <f>'Assemble Data'!B155</f>
        <v>P11</v>
      </c>
      <c r="B154" s="13">
        <f>IFERROR(SUMIF('Assemble Data'!K:K,'Assemble Data'!A155,'Assemble Data'!L:L),0)</f>
        <v>11000</v>
      </c>
      <c r="C154" s="13" t="str">
        <f>INDEX('Assemble Data'!$O$24:$O$1023,MATCH('Assemble Data'!A155,'Assemble Data'!$N$24:$N$1023,0))</f>
        <v>C2</v>
      </c>
      <c r="D154" s="13">
        <f>SUMIF('Assemble Data'!H:H,'Assemble Data'!A155,'Assemble Data'!I:I)</f>
        <v>11</v>
      </c>
      <c r="E154" s="13">
        <f>IFERROR(IF(AND('Assemble Data'!D155&lt;&gt;"",'Assemble Data'!D155&lt;&gt;B154),1,0),1)</f>
        <v>0</v>
      </c>
      <c r="F154" s="13">
        <f ca="1">IF('Assemble Data'!E155="",0,IF(ISERROR(FIND("INDEX",_xlfn.FORMULATEXT('Assemble Data'!E155),1)),1,0)+IFERROR(IF(AND('Assemble Data'!E155&lt;&gt;C154,'Assemble Data'!E155&lt;&gt;""),1,0),1))</f>
        <v>0</v>
      </c>
      <c r="G154" s="13">
        <f ca="1">IF('Assemble Data'!F155="",0,IF(ISERROR(FIND("VLOOKUP",_xlfn.FORMULATEXT('Assemble Data'!F155),1)),1,0)+IFERROR(IF(AND('Assemble Data'!F155&lt;&gt;D154,'Assemble Data'!F155&lt;&gt;""),1,0),1))</f>
        <v>0</v>
      </c>
      <c r="H154" s="13">
        <f t="shared" si="20"/>
        <v>9</v>
      </c>
      <c r="I154" t="str">
        <f t="shared" si="21"/>
        <v>C2P11</v>
      </c>
    </row>
    <row r="155" spans="1:9">
      <c r="A155" t="str">
        <f>'Assemble Data'!B156</f>
        <v>P18</v>
      </c>
      <c r="B155" s="13">
        <f>IFERROR(SUMIF('Assemble Data'!K:K,'Assemble Data'!A156,'Assemble Data'!L:L),0)</f>
        <v>5940.0000000000009</v>
      </c>
      <c r="C155" s="13" t="str">
        <f>INDEX('Assemble Data'!$O$24:$O$1023,MATCH('Assemble Data'!A156,'Assemble Data'!$N$24:$N$1023,0))</f>
        <v>O2</v>
      </c>
      <c r="D155" s="13">
        <f>SUMIF('Assemble Data'!H:H,'Assemble Data'!A156,'Assemble Data'!I:I)</f>
        <v>6</v>
      </c>
      <c r="E155" s="13">
        <f>IFERROR(IF(AND('Assemble Data'!D156&lt;&gt;"",'Assemble Data'!D156&lt;&gt;B155),1,0),1)</f>
        <v>0</v>
      </c>
      <c r="F155" s="13">
        <f ca="1">IF('Assemble Data'!E156="",0,IF(ISERROR(FIND("INDEX",_xlfn.FORMULATEXT('Assemble Data'!E156),1)),1,0)+IFERROR(IF(AND('Assemble Data'!E156&lt;&gt;C155,'Assemble Data'!E156&lt;&gt;""),1,0),1))</f>
        <v>0</v>
      </c>
      <c r="G155" s="13">
        <f ca="1">IF('Assemble Data'!F156="",0,IF(ISERROR(FIND("VLOOKUP",_xlfn.FORMULATEXT('Assemble Data'!F156),1)),1,0)+IFERROR(IF(AND('Assemble Data'!F156&lt;&gt;D155,'Assemble Data'!F156&lt;&gt;""),1,0),1))</f>
        <v>0</v>
      </c>
      <c r="H155" s="13">
        <f t="shared" si="20"/>
        <v>2</v>
      </c>
      <c r="I155" t="str">
        <f t="shared" si="21"/>
        <v>O2P18</v>
      </c>
    </row>
    <row r="156" spans="1:9">
      <c r="A156" t="str">
        <f>'Assemble Data'!B157</f>
        <v>P14</v>
      </c>
      <c r="B156" s="13">
        <f>IFERROR(SUMIF('Assemble Data'!K:K,'Assemble Data'!A157,'Assemble Data'!L:L),0)</f>
        <v>6480</v>
      </c>
      <c r="C156" s="13" t="str">
        <f>INDEX('Assemble Data'!$O$24:$O$1023,MATCH('Assemble Data'!A157,'Assemble Data'!$N$24:$N$1023,0))</f>
        <v>N2</v>
      </c>
      <c r="D156" s="13">
        <f>SUMIF('Assemble Data'!H:H,'Assemble Data'!A157,'Assemble Data'!I:I)</f>
        <v>8</v>
      </c>
      <c r="E156" s="13">
        <f>IFERROR(IF(AND('Assemble Data'!D157&lt;&gt;"",'Assemble Data'!D157&lt;&gt;B156),1,0),1)</f>
        <v>0</v>
      </c>
      <c r="F156" s="13">
        <f ca="1">IF('Assemble Data'!E157="",0,IF(ISERROR(FIND("INDEX",_xlfn.FORMULATEXT('Assemble Data'!E157),1)),1,0)+IFERROR(IF(AND('Assemble Data'!E157&lt;&gt;C156,'Assemble Data'!E157&lt;&gt;""),1,0),1))</f>
        <v>0</v>
      </c>
      <c r="G156" s="13">
        <f ca="1">IF('Assemble Data'!F157="",0,IF(ISERROR(FIND("VLOOKUP",_xlfn.FORMULATEXT('Assemble Data'!F157),1)),1,0)+IFERROR(IF(AND('Assemble Data'!F157&lt;&gt;D156,'Assemble Data'!F157&lt;&gt;""),1,0),1))</f>
        <v>0</v>
      </c>
      <c r="H156" s="13">
        <f t="shared" si="20"/>
        <v>5</v>
      </c>
      <c r="I156" t="str">
        <f t="shared" si="21"/>
        <v>N2P14</v>
      </c>
    </row>
    <row r="157" spans="1:9">
      <c r="A157" t="str">
        <f>'Assemble Data'!B158</f>
        <v>P10</v>
      </c>
      <c r="B157" s="13">
        <f>IFERROR(SUMIF('Assemble Data'!K:K,'Assemble Data'!A158,'Assemble Data'!L:L),0)</f>
        <v>2400</v>
      </c>
      <c r="C157" s="13" t="str">
        <f>INDEX('Assemble Data'!$O$24:$O$1023,MATCH('Assemble Data'!A158,'Assemble Data'!$N$24:$N$1023,0))</f>
        <v>C2</v>
      </c>
      <c r="D157" s="13">
        <f>SUMIF('Assemble Data'!H:H,'Assemble Data'!A158,'Assemble Data'!I:I)</f>
        <v>3</v>
      </c>
      <c r="E157" s="13">
        <f>IFERROR(IF(AND('Assemble Data'!D158&lt;&gt;"",'Assemble Data'!D158&lt;&gt;B157),1,0),1)</f>
        <v>0</v>
      </c>
      <c r="F157" s="13">
        <f ca="1">IF('Assemble Data'!E158="",0,IF(ISERROR(FIND("INDEX",_xlfn.FORMULATEXT('Assemble Data'!E158),1)),1,0)+IFERROR(IF(AND('Assemble Data'!E158&lt;&gt;C157,'Assemble Data'!E158&lt;&gt;""),1,0),1))</f>
        <v>0</v>
      </c>
      <c r="G157" s="13">
        <f ca="1">IF('Assemble Data'!F158="",0,IF(ISERROR(FIND("VLOOKUP",_xlfn.FORMULATEXT('Assemble Data'!F158),1)),1,0)+IFERROR(IF(AND('Assemble Data'!F158&lt;&gt;D157,'Assemble Data'!F158&lt;&gt;""),1,0),1))</f>
        <v>0</v>
      </c>
      <c r="H157" s="13">
        <f t="shared" si="20"/>
        <v>8</v>
      </c>
      <c r="I157" t="str">
        <f t="shared" si="21"/>
        <v>C2P10</v>
      </c>
    </row>
    <row r="158" spans="1:9">
      <c r="A158" t="str">
        <f>'Assemble Data'!B159</f>
        <v>P13</v>
      </c>
      <c r="B158" s="13">
        <f>IFERROR(SUMIF('Assemble Data'!K:K,'Assemble Data'!A159,'Assemble Data'!L:L),0)</f>
        <v>4500</v>
      </c>
      <c r="C158" s="13" t="str">
        <f>INDEX('Assemble Data'!$O$24:$O$1023,MATCH('Assemble Data'!A159,'Assemble Data'!$N$24:$N$1023,0))</f>
        <v>C2</v>
      </c>
      <c r="D158" s="13">
        <f>SUMIF('Assemble Data'!H:H,'Assemble Data'!A159,'Assemble Data'!I:I)</f>
        <v>5</v>
      </c>
      <c r="E158" s="13">
        <f>IFERROR(IF(AND('Assemble Data'!D159&lt;&gt;"",'Assemble Data'!D159&lt;&gt;B158),1,0),1)</f>
        <v>0</v>
      </c>
      <c r="F158" s="13">
        <f ca="1">IF('Assemble Data'!E159="",0,IF(ISERROR(FIND("INDEX",_xlfn.FORMULATEXT('Assemble Data'!E159),1)),1,0)+IFERROR(IF(AND('Assemble Data'!E159&lt;&gt;C158,'Assemble Data'!E159&lt;&gt;""),1,0),1))</f>
        <v>0</v>
      </c>
      <c r="G158" s="13">
        <f ca="1">IF('Assemble Data'!F159="",0,IF(ISERROR(FIND("VLOOKUP",_xlfn.FORMULATEXT('Assemble Data'!F159),1)),1,0)+IFERROR(IF(AND('Assemble Data'!F159&lt;&gt;D158,'Assemble Data'!F159&lt;&gt;""),1,0),1))</f>
        <v>0</v>
      </c>
      <c r="H158" s="13">
        <f t="shared" si="20"/>
        <v>3</v>
      </c>
      <c r="I158" t="str">
        <f t="shared" si="21"/>
        <v>C2P13</v>
      </c>
    </row>
    <row r="159" spans="1:9">
      <c r="A159" t="str">
        <f>'Assemble Data'!B160</f>
        <v>P13</v>
      </c>
      <c r="B159" s="13">
        <f>IFERROR(SUMIF('Assemble Data'!K:K,'Assemble Data'!A160,'Assemble Data'!L:L),0)</f>
        <v>4500</v>
      </c>
      <c r="C159" s="13" t="str">
        <f>INDEX('Assemble Data'!$O$24:$O$1023,MATCH('Assemble Data'!A160,'Assemble Data'!$N$24:$N$1023,0))</f>
        <v>C2</v>
      </c>
      <c r="D159" s="13">
        <f>SUMIF('Assemble Data'!H:H,'Assemble Data'!A160,'Assemble Data'!I:I)</f>
        <v>5</v>
      </c>
      <c r="E159" s="13">
        <f>IFERROR(IF(AND('Assemble Data'!D160&lt;&gt;"",'Assemble Data'!D160&lt;&gt;B159),1,0),1)</f>
        <v>0</v>
      </c>
      <c r="F159" s="13">
        <f ca="1">IF('Assemble Data'!E160="",0,IF(ISERROR(FIND("INDEX",_xlfn.FORMULATEXT('Assemble Data'!E160),1)),1,0)+IFERROR(IF(AND('Assemble Data'!E160&lt;&gt;C159,'Assemble Data'!E160&lt;&gt;""),1,0),1))</f>
        <v>0</v>
      </c>
      <c r="G159" s="13">
        <f ca="1">IF('Assemble Data'!F160="",0,IF(ISERROR(FIND("VLOOKUP",_xlfn.FORMULATEXT('Assemble Data'!F160),1)),1,0)+IFERROR(IF(AND('Assemble Data'!F160&lt;&gt;D159,'Assemble Data'!F160&lt;&gt;""),1,0),1))</f>
        <v>0</v>
      </c>
      <c r="H159" s="13">
        <f t="shared" si="20"/>
        <v>3</v>
      </c>
      <c r="I159" t="str">
        <f t="shared" si="21"/>
        <v>C2P13</v>
      </c>
    </row>
    <row r="160" spans="1:9">
      <c r="A160" t="str">
        <f>'Assemble Data'!B161</f>
        <v>P10</v>
      </c>
      <c r="B160" s="13">
        <f>IFERROR(SUMIF('Assemble Data'!K:K,'Assemble Data'!A161,'Assemble Data'!L:L),0)</f>
        <v>4800</v>
      </c>
      <c r="C160" s="13" t="str">
        <f>INDEX('Assemble Data'!$O$24:$O$1023,MATCH('Assemble Data'!A161,'Assemble Data'!$N$24:$N$1023,0))</f>
        <v>C2</v>
      </c>
      <c r="D160" s="13">
        <f>SUMIF('Assemble Data'!H:H,'Assemble Data'!A161,'Assemble Data'!I:I)</f>
        <v>3</v>
      </c>
      <c r="E160" s="13">
        <f>IFERROR(IF(AND('Assemble Data'!D161&lt;&gt;"",'Assemble Data'!D161&lt;&gt;B160),1,0),1)</f>
        <v>0</v>
      </c>
      <c r="F160" s="13">
        <f ca="1">IF('Assemble Data'!E161="",0,IF(ISERROR(FIND("INDEX",_xlfn.FORMULATEXT('Assemble Data'!E161),1)),1,0)+IFERROR(IF(AND('Assemble Data'!E161&lt;&gt;C160,'Assemble Data'!E161&lt;&gt;""),1,0),1))</f>
        <v>0</v>
      </c>
      <c r="G160" s="13">
        <f ca="1">IF('Assemble Data'!F161="",0,IF(ISERROR(FIND("VLOOKUP",_xlfn.FORMULATEXT('Assemble Data'!F161),1)),1,0)+IFERROR(IF(AND('Assemble Data'!F161&lt;&gt;D160,'Assemble Data'!F161&lt;&gt;""),1,0),1))</f>
        <v>0</v>
      </c>
      <c r="H160" s="13">
        <f t="shared" si="20"/>
        <v>8</v>
      </c>
      <c r="I160" t="str">
        <f t="shared" si="21"/>
        <v>C2P10</v>
      </c>
    </row>
    <row r="161" spans="1:9">
      <c r="A161" t="str">
        <f>'Assemble Data'!B162</f>
        <v>P11</v>
      </c>
      <c r="B161" s="13">
        <f>IFERROR(SUMIF('Assemble Data'!K:K,'Assemble Data'!A162,'Assemble Data'!L:L),0)</f>
        <v>11000</v>
      </c>
      <c r="C161" s="13" t="str">
        <f>INDEX('Assemble Data'!$O$24:$O$1023,MATCH('Assemble Data'!A162,'Assemble Data'!$N$24:$N$1023,0))</f>
        <v>C2</v>
      </c>
      <c r="D161" s="13">
        <f>SUMIF('Assemble Data'!H:H,'Assemble Data'!A162,'Assemble Data'!I:I)</f>
        <v>11</v>
      </c>
      <c r="E161" s="13">
        <f>IFERROR(IF(AND('Assemble Data'!D162&lt;&gt;"",'Assemble Data'!D162&lt;&gt;B161),1,0),1)</f>
        <v>0</v>
      </c>
      <c r="F161" s="13">
        <f ca="1">IF('Assemble Data'!E162="",0,IF(ISERROR(FIND("INDEX",_xlfn.FORMULATEXT('Assemble Data'!E162),1)),1,0)+IFERROR(IF(AND('Assemble Data'!E162&lt;&gt;C161,'Assemble Data'!E162&lt;&gt;""),1,0),1))</f>
        <v>0</v>
      </c>
      <c r="G161" s="13">
        <f ca="1">IF('Assemble Data'!F162="",0,IF(ISERROR(FIND("VLOOKUP",_xlfn.FORMULATEXT('Assemble Data'!F162),1)),1,0)+IFERROR(IF(AND('Assemble Data'!F162&lt;&gt;D161,'Assemble Data'!F162&lt;&gt;""),1,0),1))</f>
        <v>0</v>
      </c>
      <c r="H161" s="13">
        <f t="shared" si="20"/>
        <v>9</v>
      </c>
      <c r="I161" t="str">
        <f t="shared" si="21"/>
        <v>C2P11</v>
      </c>
    </row>
    <row r="162" spans="1:9">
      <c r="A162" t="str">
        <f>'Assemble Data'!B163</f>
        <v>P16</v>
      </c>
      <c r="B162" s="13">
        <f>IFERROR(SUMIF('Assemble Data'!K:K,'Assemble Data'!A163,'Assemble Data'!L:L),0)</f>
        <v>4680</v>
      </c>
      <c r="C162" s="13" t="str">
        <f>INDEX('Assemble Data'!$O$24:$O$1023,MATCH('Assemble Data'!A163,'Assemble Data'!$N$24:$N$1023,0))</f>
        <v>N2</v>
      </c>
      <c r="D162" s="13">
        <f>SUMIF('Assemble Data'!H:H,'Assemble Data'!A163,'Assemble Data'!I:I)</f>
        <v>4</v>
      </c>
      <c r="E162" s="13">
        <f>IFERROR(IF(AND('Assemble Data'!D163&lt;&gt;"",'Assemble Data'!D163&lt;&gt;B162),1,0),1)</f>
        <v>0</v>
      </c>
      <c r="F162" s="13">
        <f ca="1">IF('Assemble Data'!E163="",0,IF(ISERROR(FIND("INDEX",_xlfn.FORMULATEXT('Assemble Data'!E163),1)),1,0)+IFERROR(IF(AND('Assemble Data'!E163&lt;&gt;C162,'Assemble Data'!E163&lt;&gt;""),1,0),1))</f>
        <v>0</v>
      </c>
      <c r="G162" s="13">
        <f ca="1">IF('Assemble Data'!F163="",0,IF(ISERROR(FIND("VLOOKUP",_xlfn.FORMULATEXT('Assemble Data'!F163),1)),1,0)+IFERROR(IF(AND('Assemble Data'!F163&lt;&gt;D162,'Assemble Data'!F163&lt;&gt;""),1,0),1))</f>
        <v>0</v>
      </c>
      <c r="H162" s="13">
        <f t="shared" si="20"/>
        <v>0</v>
      </c>
      <c r="I162" t="str">
        <f t="shared" si="21"/>
        <v>N2P16</v>
      </c>
    </row>
    <row r="163" spans="1:9">
      <c r="A163" t="str">
        <f>'Assemble Data'!B164</f>
        <v>P17</v>
      </c>
      <c r="B163" s="13">
        <f>IFERROR(SUMIF('Assemble Data'!K:K,'Assemble Data'!A164,'Assemble Data'!L:L),0)</f>
        <v>13200.000000000002</v>
      </c>
      <c r="C163" s="13" t="str">
        <f>INDEX('Assemble Data'!$O$24:$O$1023,MATCH('Assemble Data'!A164,'Assemble Data'!$N$24:$N$1023,0))</f>
        <v>O2</v>
      </c>
      <c r="D163" s="13">
        <f>SUMIF('Assemble Data'!H:H,'Assemble Data'!A164,'Assemble Data'!I:I)</f>
        <v>12</v>
      </c>
      <c r="E163" s="13">
        <f>IFERROR(IF(AND('Assemble Data'!D164&lt;&gt;"",'Assemble Data'!D164&lt;&gt;B163),1,0),1)</f>
        <v>0</v>
      </c>
      <c r="F163" s="13">
        <f ca="1">IF('Assemble Data'!E164="",0,IF(ISERROR(FIND("INDEX",_xlfn.FORMULATEXT('Assemble Data'!E164),1)),1,0)+IFERROR(IF(AND('Assemble Data'!E164&lt;&gt;C163,'Assemble Data'!E164&lt;&gt;""),1,0),1))</f>
        <v>0</v>
      </c>
      <c r="G163" s="13">
        <f ca="1">IF('Assemble Data'!F164="",0,IF(ISERROR(FIND("VLOOKUP",_xlfn.FORMULATEXT('Assemble Data'!F164),1)),1,0)+IFERROR(IF(AND('Assemble Data'!F164&lt;&gt;D163,'Assemble Data'!F164&lt;&gt;""),1,0),1))</f>
        <v>0</v>
      </c>
      <c r="H163" s="13">
        <f t="shared" si="20"/>
        <v>6</v>
      </c>
      <c r="I163" t="str">
        <f t="shared" si="21"/>
        <v>O2P17</v>
      </c>
    </row>
    <row r="164" spans="1:9">
      <c r="A164" t="str">
        <f>'Assemble Data'!B165</f>
        <v>P17</v>
      </c>
      <c r="B164" s="13">
        <f>IFERROR(SUMIF('Assemble Data'!K:K,'Assemble Data'!A165,'Assemble Data'!L:L),0)</f>
        <v>13200.000000000002</v>
      </c>
      <c r="C164" s="13" t="str">
        <f>INDEX('Assemble Data'!$O$24:$O$1023,MATCH('Assemble Data'!A165,'Assemble Data'!$N$24:$N$1023,0))</f>
        <v>O2</v>
      </c>
      <c r="D164" s="13">
        <f>SUMIF('Assemble Data'!H:H,'Assemble Data'!A165,'Assemble Data'!I:I)</f>
        <v>12</v>
      </c>
      <c r="E164" s="13">
        <f>IFERROR(IF(AND('Assemble Data'!D165&lt;&gt;"",'Assemble Data'!D165&lt;&gt;B164),1,0),1)</f>
        <v>0</v>
      </c>
      <c r="F164" s="13">
        <f ca="1">IF('Assemble Data'!E165="",0,IF(ISERROR(FIND("INDEX",_xlfn.FORMULATEXT('Assemble Data'!E165),1)),1,0)+IFERROR(IF(AND('Assemble Data'!E165&lt;&gt;C164,'Assemble Data'!E165&lt;&gt;""),1,0),1))</f>
        <v>0</v>
      </c>
      <c r="G164" s="13">
        <f ca="1">IF('Assemble Data'!F165="",0,IF(ISERROR(FIND("VLOOKUP",_xlfn.FORMULATEXT('Assemble Data'!F165),1)),1,0)+IFERROR(IF(AND('Assemble Data'!F165&lt;&gt;D164,'Assemble Data'!F165&lt;&gt;""),1,0),1))</f>
        <v>0</v>
      </c>
      <c r="H164" s="13">
        <f t="shared" si="20"/>
        <v>6</v>
      </c>
      <c r="I164" t="str">
        <f t="shared" si="21"/>
        <v>O2P17</v>
      </c>
    </row>
    <row r="165" spans="1:9">
      <c r="A165" t="str">
        <f>'Assemble Data'!B166</f>
        <v>P13</v>
      </c>
      <c r="B165" s="13">
        <f>IFERROR(SUMIF('Assemble Data'!K:K,'Assemble Data'!A166,'Assemble Data'!L:L),0)</f>
        <v>4500</v>
      </c>
      <c r="C165" s="13" t="str">
        <f>INDEX('Assemble Data'!$O$24:$O$1023,MATCH('Assemble Data'!A166,'Assemble Data'!$N$24:$N$1023,0))</f>
        <v>C2</v>
      </c>
      <c r="D165" s="13">
        <f>SUMIF('Assemble Data'!H:H,'Assemble Data'!A166,'Assemble Data'!I:I)</f>
        <v>5</v>
      </c>
      <c r="E165" s="13">
        <f>IFERROR(IF(AND('Assemble Data'!D166&lt;&gt;"",'Assemble Data'!D166&lt;&gt;B165),1,0),1)</f>
        <v>0</v>
      </c>
      <c r="F165" s="13">
        <f ca="1">IF('Assemble Data'!E166="",0,IF(ISERROR(FIND("INDEX",_xlfn.FORMULATEXT('Assemble Data'!E166),1)),1,0)+IFERROR(IF(AND('Assemble Data'!E166&lt;&gt;C165,'Assemble Data'!E166&lt;&gt;""),1,0),1))</f>
        <v>0</v>
      </c>
      <c r="G165" s="13">
        <f ca="1">IF('Assemble Data'!F166="",0,IF(ISERROR(FIND("VLOOKUP",_xlfn.FORMULATEXT('Assemble Data'!F166),1)),1,0)+IFERROR(IF(AND('Assemble Data'!F166&lt;&gt;D165,'Assemble Data'!F166&lt;&gt;""),1,0),1))</f>
        <v>0</v>
      </c>
      <c r="H165" s="13">
        <f t="shared" si="20"/>
        <v>3</v>
      </c>
      <c r="I165" t="str">
        <f t="shared" si="21"/>
        <v>C2P13</v>
      </c>
    </row>
    <row r="166" spans="1:9">
      <c r="A166" t="str">
        <f>'Assemble Data'!B167</f>
        <v>P11</v>
      </c>
      <c r="B166" s="13">
        <f>IFERROR(SUMIF('Assemble Data'!K:K,'Assemble Data'!A167,'Assemble Data'!L:L),0)</f>
        <v>11000</v>
      </c>
      <c r="C166" s="13" t="str">
        <f>INDEX('Assemble Data'!$O$24:$O$1023,MATCH('Assemble Data'!A167,'Assemble Data'!$N$24:$N$1023,0))</f>
        <v>C2</v>
      </c>
      <c r="D166" s="13">
        <f>SUMIF('Assemble Data'!H:H,'Assemble Data'!A167,'Assemble Data'!I:I)</f>
        <v>11</v>
      </c>
      <c r="E166" s="13">
        <f>IFERROR(IF(AND('Assemble Data'!D167&lt;&gt;"",'Assemble Data'!D167&lt;&gt;B166),1,0),1)</f>
        <v>0</v>
      </c>
      <c r="F166" s="13">
        <f ca="1">IF('Assemble Data'!E167="",0,IF(ISERROR(FIND("INDEX",_xlfn.FORMULATEXT('Assemble Data'!E167),1)),1,0)+IFERROR(IF(AND('Assemble Data'!E167&lt;&gt;C166,'Assemble Data'!E167&lt;&gt;""),1,0),1))</f>
        <v>0</v>
      </c>
      <c r="G166" s="13">
        <f ca="1">IF('Assemble Data'!F167="",0,IF(ISERROR(FIND("VLOOKUP",_xlfn.FORMULATEXT('Assemble Data'!F167),1)),1,0)+IFERROR(IF(AND('Assemble Data'!F167&lt;&gt;D166,'Assemble Data'!F167&lt;&gt;""),1,0),1))</f>
        <v>0</v>
      </c>
      <c r="H166" s="13">
        <f t="shared" si="20"/>
        <v>9</v>
      </c>
      <c r="I166" t="str">
        <f t="shared" si="21"/>
        <v>C2P11</v>
      </c>
    </row>
    <row r="167" spans="1:9">
      <c r="A167" t="str">
        <f>'Assemble Data'!B168</f>
        <v>P11</v>
      </c>
      <c r="B167" s="13">
        <f>IFERROR(SUMIF('Assemble Data'!K:K,'Assemble Data'!A168,'Assemble Data'!L:L),0)</f>
        <v>11000</v>
      </c>
      <c r="C167" s="13" t="str">
        <f>INDEX('Assemble Data'!$O$24:$O$1023,MATCH('Assemble Data'!A168,'Assemble Data'!$N$24:$N$1023,0))</f>
        <v>C2</v>
      </c>
      <c r="D167" s="13">
        <f>SUMIF('Assemble Data'!H:H,'Assemble Data'!A168,'Assemble Data'!I:I)</f>
        <v>11</v>
      </c>
      <c r="E167" s="13">
        <f>IFERROR(IF(AND('Assemble Data'!D168&lt;&gt;"",'Assemble Data'!D168&lt;&gt;B167),1,0),1)</f>
        <v>0</v>
      </c>
      <c r="F167" s="13">
        <f ca="1">IF('Assemble Data'!E168="",0,IF(ISERROR(FIND("INDEX",_xlfn.FORMULATEXT('Assemble Data'!E168),1)),1,0)+IFERROR(IF(AND('Assemble Data'!E168&lt;&gt;C167,'Assemble Data'!E168&lt;&gt;""),1,0),1))</f>
        <v>0</v>
      </c>
      <c r="G167" s="13">
        <f ca="1">IF('Assemble Data'!F168="",0,IF(ISERROR(FIND("VLOOKUP",_xlfn.FORMULATEXT('Assemble Data'!F168),1)),1,0)+IFERROR(IF(AND('Assemble Data'!F168&lt;&gt;D167,'Assemble Data'!F168&lt;&gt;""),1,0),1))</f>
        <v>0</v>
      </c>
      <c r="H167" s="13">
        <f t="shared" si="20"/>
        <v>9</v>
      </c>
      <c r="I167" t="str">
        <f t="shared" si="21"/>
        <v>C2P11</v>
      </c>
    </row>
    <row r="168" spans="1:9">
      <c r="A168" t="str">
        <f>'Assemble Data'!B169</f>
        <v>P12</v>
      </c>
      <c r="B168" s="13">
        <f>IFERROR(SUMIF('Assemble Data'!K:K,'Assemble Data'!A169,'Assemble Data'!L:L),0)</f>
        <v>6825</v>
      </c>
      <c r="C168" s="13" t="str">
        <f>INDEX('Assemble Data'!$O$24:$O$1023,MATCH('Assemble Data'!A169,'Assemble Data'!$N$24:$N$1023,0))</f>
        <v>C2</v>
      </c>
      <c r="D168" s="13">
        <f>SUMIF('Assemble Data'!H:H,'Assemble Data'!A169,'Assemble Data'!I:I)</f>
        <v>6.5</v>
      </c>
      <c r="E168" s="13">
        <f>IFERROR(IF(AND('Assemble Data'!D169&lt;&gt;"",'Assemble Data'!D169&lt;&gt;B168),1,0),1)</f>
        <v>0</v>
      </c>
      <c r="F168" s="13">
        <f ca="1">IF('Assemble Data'!E169="",0,IF(ISERROR(FIND("INDEX",_xlfn.FORMULATEXT('Assemble Data'!E169),1)),1,0)+IFERROR(IF(AND('Assemble Data'!E169&lt;&gt;C168,'Assemble Data'!E169&lt;&gt;""),1,0),1))</f>
        <v>0</v>
      </c>
      <c r="G168" s="13">
        <f ca="1">IF('Assemble Data'!F169="",0,IF(ISERROR(FIND("VLOOKUP",_xlfn.FORMULATEXT('Assemble Data'!F169),1)),1,0)+IFERROR(IF(AND('Assemble Data'!F169&lt;&gt;D168,'Assemble Data'!F169&lt;&gt;""),1,0),1))</f>
        <v>0</v>
      </c>
      <c r="H168" s="13">
        <f t="shared" si="20"/>
        <v>7</v>
      </c>
      <c r="I168" t="str">
        <f t="shared" si="21"/>
        <v>C2P12</v>
      </c>
    </row>
    <row r="169" spans="1:9">
      <c r="A169" t="str">
        <f>'Assemble Data'!B170</f>
        <v>P10</v>
      </c>
      <c r="B169" s="13">
        <f>IFERROR(SUMIF('Assemble Data'!K:K,'Assemble Data'!A170,'Assemble Data'!L:L),0)</f>
        <v>2400</v>
      </c>
      <c r="C169" s="13" t="str">
        <f>INDEX('Assemble Data'!$O$24:$O$1023,MATCH('Assemble Data'!A170,'Assemble Data'!$N$24:$N$1023,0))</f>
        <v>C2</v>
      </c>
      <c r="D169" s="13">
        <f>SUMIF('Assemble Data'!H:H,'Assemble Data'!A170,'Assemble Data'!I:I)</f>
        <v>3</v>
      </c>
      <c r="E169" s="13">
        <f>IFERROR(IF(AND('Assemble Data'!D170&lt;&gt;"",'Assemble Data'!D170&lt;&gt;B169),1,0),1)</f>
        <v>0</v>
      </c>
      <c r="F169" s="13">
        <f ca="1">IF('Assemble Data'!E170="",0,IF(ISERROR(FIND("INDEX",_xlfn.FORMULATEXT('Assemble Data'!E170),1)),1,0)+IFERROR(IF(AND('Assemble Data'!E170&lt;&gt;C169,'Assemble Data'!E170&lt;&gt;""),1,0),1))</f>
        <v>0</v>
      </c>
      <c r="G169" s="13">
        <f ca="1">IF('Assemble Data'!F170="",0,IF(ISERROR(FIND("VLOOKUP",_xlfn.FORMULATEXT('Assemble Data'!F170),1)),1,0)+IFERROR(IF(AND('Assemble Data'!F170&lt;&gt;D169,'Assemble Data'!F170&lt;&gt;""),1,0),1))</f>
        <v>0</v>
      </c>
      <c r="H169" s="13">
        <f t="shared" si="20"/>
        <v>8</v>
      </c>
      <c r="I169" t="str">
        <f t="shared" si="21"/>
        <v>C2P10</v>
      </c>
    </row>
    <row r="170" spans="1:9">
      <c r="A170" t="str">
        <f>'Assemble Data'!B171</f>
        <v>P10</v>
      </c>
      <c r="B170" s="13">
        <f>IFERROR(SUMIF('Assemble Data'!K:K,'Assemble Data'!A171,'Assemble Data'!L:L),0)</f>
        <v>2400</v>
      </c>
      <c r="C170" s="13" t="str">
        <f>INDEX('Assemble Data'!$O$24:$O$1023,MATCH('Assemble Data'!A171,'Assemble Data'!$N$24:$N$1023,0))</f>
        <v>C2</v>
      </c>
      <c r="D170" s="13">
        <f>SUMIF('Assemble Data'!H:H,'Assemble Data'!A171,'Assemble Data'!I:I)</f>
        <v>3</v>
      </c>
      <c r="E170" s="13">
        <f>IFERROR(IF(AND('Assemble Data'!D171&lt;&gt;"",'Assemble Data'!D171&lt;&gt;B170),1,0),1)</f>
        <v>0</v>
      </c>
      <c r="F170" s="13">
        <f ca="1">IF('Assemble Data'!E171="",0,IF(ISERROR(FIND("INDEX",_xlfn.FORMULATEXT('Assemble Data'!E171),1)),1,0)+IFERROR(IF(AND('Assemble Data'!E171&lt;&gt;C170,'Assemble Data'!E171&lt;&gt;""),1,0),1))</f>
        <v>0</v>
      </c>
      <c r="G170" s="13">
        <f ca="1">IF('Assemble Data'!F171="",0,IF(ISERROR(FIND("VLOOKUP",_xlfn.FORMULATEXT('Assemble Data'!F171),1)),1,0)+IFERROR(IF(AND('Assemble Data'!F171&lt;&gt;D170,'Assemble Data'!F171&lt;&gt;""),1,0),1))</f>
        <v>0</v>
      </c>
      <c r="H170" s="13">
        <f t="shared" si="20"/>
        <v>8</v>
      </c>
      <c r="I170" t="str">
        <f t="shared" si="21"/>
        <v>C2P10</v>
      </c>
    </row>
    <row r="171" spans="1:9">
      <c r="A171" t="str">
        <f>'Assemble Data'!B172</f>
        <v>P11</v>
      </c>
      <c r="B171" s="13">
        <f>IFERROR(SUMIF('Assemble Data'!K:K,'Assemble Data'!A172,'Assemble Data'!L:L),0)</f>
        <v>11000</v>
      </c>
      <c r="C171" s="13" t="str">
        <f>INDEX('Assemble Data'!$O$24:$O$1023,MATCH('Assemble Data'!A172,'Assemble Data'!$N$24:$N$1023,0))</f>
        <v>C2</v>
      </c>
      <c r="D171" s="13">
        <f>SUMIF('Assemble Data'!H:H,'Assemble Data'!A172,'Assemble Data'!I:I)</f>
        <v>11</v>
      </c>
      <c r="E171" s="13">
        <f>IFERROR(IF(AND('Assemble Data'!D172&lt;&gt;"",'Assemble Data'!D172&lt;&gt;B171),1,0),1)</f>
        <v>0</v>
      </c>
      <c r="F171" s="13">
        <f ca="1">IF('Assemble Data'!E172="",0,IF(ISERROR(FIND("INDEX",_xlfn.FORMULATEXT('Assemble Data'!E172),1)),1,0)+IFERROR(IF(AND('Assemble Data'!E172&lt;&gt;C171,'Assemble Data'!E172&lt;&gt;""),1,0),1))</f>
        <v>0</v>
      </c>
      <c r="G171" s="13">
        <f ca="1">IF('Assemble Data'!F172="",0,IF(ISERROR(FIND("VLOOKUP",_xlfn.FORMULATEXT('Assemble Data'!F172),1)),1,0)+IFERROR(IF(AND('Assemble Data'!F172&lt;&gt;D171,'Assemble Data'!F172&lt;&gt;""),1,0),1))</f>
        <v>0</v>
      </c>
      <c r="H171" s="13">
        <f t="shared" si="20"/>
        <v>9</v>
      </c>
      <c r="I171" t="str">
        <f t="shared" si="21"/>
        <v>C2P11</v>
      </c>
    </row>
    <row r="172" spans="1:9">
      <c r="A172" t="str">
        <f>'Assemble Data'!B173</f>
        <v>P18</v>
      </c>
      <c r="B172" s="13">
        <f>IFERROR(SUMIF('Assemble Data'!K:K,'Assemble Data'!A173,'Assemble Data'!L:L),0)</f>
        <v>5940.0000000000009</v>
      </c>
      <c r="C172" s="13" t="str">
        <f>INDEX('Assemble Data'!$O$24:$O$1023,MATCH('Assemble Data'!A173,'Assemble Data'!$N$24:$N$1023,0))</f>
        <v>O2</v>
      </c>
      <c r="D172" s="13">
        <f>SUMIF('Assemble Data'!H:H,'Assemble Data'!A173,'Assemble Data'!I:I)</f>
        <v>6</v>
      </c>
      <c r="E172" s="13">
        <f>IFERROR(IF(AND('Assemble Data'!D173&lt;&gt;"",'Assemble Data'!D173&lt;&gt;B172),1,0),1)</f>
        <v>0</v>
      </c>
      <c r="F172" s="13">
        <f ca="1">IF('Assemble Data'!E173="",0,IF(ISERROR(FIND("INDEX",_xlfn.FORMULATEXT('Assemble Data'!E173),1)),1,0)+IFERROR(IF(AND('Assemble Data'!E173&lt;&gt;C172,'Assemble Data'!E173&lt;&gt;""),1,0),1))</f>
        <v>0</v>
      </c>
      <c r="G172" s="13">
        <f ca="1">IF('Assemble Data'!F173="",0,IF(ISERROR(FIND("VLOOKUP",_xlfn.FORMULATEXT('Assemble Data'!F173),1)),1,0)+IFERROR(IF(AND('Assemble Data'!F173&lt;&gt;D172,'Assemble Data'!F173&lt;&gt;""),1,0),1))</f>
        <v>0</v>
      </c>
      <c r="H172" s="13">
        <f t="shared" si="20"/>
        <v>2</v>
      </c>
      <c r="I172" t="str">
        <f t="shared" si="21"/>
        <v>O2P18</v>
      </c>
    </row>
    <row r="173" spans="1:9">
      <c r="A173" t="str">
        <f>'Assemble Data'!B174</f>
        <v>P14</v>
      </c>
      <c r="B173" s="13">
        <f>IFERROR(SUMIF('Assemble Data'!K:K,'Assemble Data'!A174,'Assemble Data'!L:L),0)</f>
        <v>6480</v>
      </c>
      <c r="C173" s="13" t="str">
        <f>INDEX('Assemble Data'!$O$24:$O$1023,MATCH('Assemble Data'!A174,'Assemble Data'!$N$24:$N$1023,0))</f>
        <v>N2</v>
      </c>
      <c r="D173" s="13">
        <f>SUMIF('Assemble Data'!H:H,'Assemble Data'!A174,'Assemble Data'!I:I)</f>
        <v>8</v>
      </c>
      <c r="E173" s="13">
        <f>IFERROR(IF(AND('Assemble Data'!D174&lt;&gt;"",'Assemble Data'!D174&lt;&gt;B173),1,0),1)</f>
        <v>0</v>
      </c>
      <c r="F173" s="13">
        <f ca="1">IF('Assemble Data'!E174="",0,IF(ISERROR(FIND("INDEX",_xlfn.FORMULATEXT('Assemble Data'!E174),1)),1,0)+IFERROR(IF(AND('Assemble Data'!E174&lt;&gt;C173,'Assemble Data'!E174&lt;&gt;""),1,0),1))</f>
        <v>0</v>
      </c>
      <c r="G173" s="13">
        <f ca="1">IF('Assemble Data'!F174="",0,IF(ISERROR(FIND("VLOOKUP",_xlfn.FORMULATEXT('Assemble Data'!F174),1)),1,0)+IFERROR(IF(AND('Assemble Data'!F174&lt;&gt;D173,'Assemble Data'!F174&lt;&gt;""),1,0),1))</f>
        <v>0</v>
      </c>
      <c r="H173" s="13">
        <f t="shared" si="20"/>
        <v>5</v>
      </c>
      <c r="I173" t="str">
        <f t="shared" si="21"/>
        <v>N2P14</v>
      </c>
    </row>
    <row r="174" spans="1:9">
      <c r="A174" t="str">
        <f>'Assemble Data'!B175</f>
        <v>P10</v>
      </c>
      <c r="B174" s="13">
        <f>IFERROR(SUMIF('Assemble Data'!K:K,'Assemble Data'!A175,'Assemble Data'!L:L),0)</f>
        <v>2400</v>
      </c>
      <c r="C174" s="13" t="str">
        <f>INDEX('Assemble Data'!$O$24:$O$1023,MATCH('Assemble Data'!A175,'Assemble Data'!$N$24:$N$1023,0))</f>
        <v>C2</v>
      </c>
      <c r="D174" s="13">
        <f>SUMIF('Assemble Data'!H:H,'Assemble Data'!A175,'Assemble Data'!I:I)</f>
        <v>3</v>
      </c>
      <c r="E174" s="13">
        <f>IFERROR(IF(AND('Assemble Data'!D175&lt;&gt;"",'Assemble Data'!D175&lt;&gt;B174),1,0),1)</f>
        <v>0</v>
      </c>
      <c r="F174" s="13">
        <f ca="1">IF('Assemble Data'!E175="",0,IF(ISERROR(FIND("INDEX",_xlfn.FORMULATEXT('Assemble Data'!E175),1)),1,0)+IFERROR(IF(AND('Assemble Data'!E175&lt;&gt;C174,'Assemble Data'!E175&lt;&gt;""),1,0),1))</f>
        <v>0</v>
      </c>
      <c r="G174" s="13">
        <f ca="1">IF('Assemble Data'!F175="",0,IF(ISERROR(FIND("VLOOKUP",_xlfn.FORMULATEXT('Assemble Data'!F175),1)),1,0)+IFERROR(IF(AND('Assemble Data'!F175&lt;&gt;D174,'Assemble Data'!F175&lt;&gt;""),1,0),1))</f>
        <v>0</v>
      </c>
      <c r="H174" s="13">
        <f t="shared" si="20"/>
        <v>8</v>
      </c>
      <c r="I174" t="str">
        <f t="shared" si="21"/>
        <v>C2P10</v>
      </c>
    </row>
    <row r="175" spans="1:9">
      <c r="A175" t="str">
        <f>'Assemble Data'!B176</f>
        <v>P13</v>
      </c>
      <c r="B175" s="13">
        <f>IFERROR(SUMIF('Assemble Data'!K:K,'Assemble Data'!A176,'Assemble Data'!L:L),0)</f>
        <v>9000</v>
      </c>
      <c r="C175" s="13" t="str">
        <f>INDEX('Assemble Data'!$O$24:$O$1023,MATCH('Assemble Data'!A176,'Assemble Data'!$N$24:$N$1023,0))</f>
        <v>C2</v>
      </c>
      <c r="D175" s="13">
        <f>SUMIF('Assemble Data'!H:H,'Assemble Data'!A176,'Assemble Data'!I:I)</f>
        <v>5</v>
      </c>
      <c r="E175" s="13">
        <f>IFERROR(IF(AND('Assemble Data'!D176&lt;&gt;"",'Assemble Data'!D176&lt;&gt;B175),1,0),1)</f>
        <v>0</v>
      </c>
      <c r="F175" s="13">
        <f ca="1">IF('Assemble Data'!E176="",0,IF(ISERROR(FIND("INDEX",_xlfn.FORMULATEXT('Assemble Data'!E176),1)),1,0)+IFERROR(IF(AND('Assemble Data'!E176&lt;&gt;C175,'Assemble Data'!E176&lt;&gt;""),1,0),1))</f>
        <v>0</v>
      </c>
      <c r="G175" s="13">
        <f ca="1">IF('Assemble Data'!F176="",0,IF(ISERROR(FIND("VLOOKUP",_xlfn.FORMULATEXT('Assemble Data'!F176),1)),1,0)+IFERROR(IF(AND('Assemble Data'!F176&lt;&gt;D175,'Assemble Data'!F176&lt;&gt;""),1,0),1))</f>
        <v>0</v>
      </c>
      <c r="H175" s="13">
        <f t="shared" si="20"/>
        <v>3</v>
      </c>
      <c r="I175" t="str">
        <f t="shared" si="21"/>
        <v>C2P13</v>
      </c>
    </row>
    <row r="176" spans="1:9">
      <c r="A176" t="str">
        <f>'Assemble Data'!B177</f>
        <v>P13</v>
      </c>
      <c r="B176" s="13">
        <f>IFERROR(SUMIF('Assemble Data'!K:K,'Assemble Data'!A177,'Assemble Data'!L:L),0)</f>
        <v>4500</v>
      </c>
      <c r="C176" s="13" t="str">
        <f>INDEX('Assemble Data'!$O$24:$O$1023,MATCH('Assemble Data'!A177,'Assemble Data'!$N$24:$N$1023,0))</f>
        <v>C2</v>
      </c>
      <c r="D176" s="13">
        <f>SUMIF('Assemble Data'!H:H,'Assemble Data'!A177,'Assemble Data'!I:I)</f>
        <v>5</v>
      </c>
      <c r="E176" s="13">
        <f>IFERROR(IF(AND('Assemble Data'!D177&lt;&gt;"",'Assemble Data'!D177&lt;&gt;B176),1,0),1)</f>
        <v>0</v>
      </c>
      <c r="F176" s="13">
        <f ca="1">IF('Assemble Data'!E177="",0,IF(ISERROR(FIND("INDEX",_xlfn.FORMULATEXT('Assemble Data'!E177),1)),1,0)+IFERROR(IF(AND('Assemble Data'!E177&lt;&gt;C176,'Assemble Data'!E177&lt;&gt;""),1,0),1))</f>
        <v>0</v>
      </c>
      <c r="G176" s="13">
        <f ca="1">IF('Assemble Data'!F177="",0,IF(ISERROR(FIND("VLOOKUP",_xlfn.FORMULATEXT('Assemble Data'!F177),1)),1,0)+IFERROR(IF(AND('Assemble Data'!F177&lt;&gt;D176,'Assemble Data'!F177&lt;&gt;""),1,0),1))</f>
        <v>0</v>
      </c>
      <c r="H176" s="13">
        <f t="shared" si="20"/>
        <v>3</v>
      </c>
      <c r="I176" t="str">
        <f t="shared" si="21"/>
        <v>C2P13</v>
      </c>
    </row>
    <row r="177" spans="1:9">
      <c r="A177" t="str">
        <f>'Assemble Data'!B178</f>
        <v>P10</v>
      </c>
      <c r="B177" s="13">
        <f>IFERROR(SUMIF('Assemble Data'!K:K,'Assemble Data'!A178,'Assemble Data'!L:L),0)</f>
        <v>2400</v>
      </c>
      <c r="C177" s="13" t="str">
        <f>INDEX('Assemble Data'!$O$24:$O$1023,MATCH('Assemble Data'!A178,'Assemble Data'!$N$24:$N$1023,0))</f>
        <v>C2</v>
      </c>
      <c r="D177" s="13">
        <f>SUMIF('Assemble Data'!H:H,'Assemble Data'!A178,'Assemble Data'!I:I)</f>
        <v>3</v>
      </c>
      <c r="E177" s="13">
        <f>IFERROR(IF(AND('Assemble Data'!D178&lt;&gt;"",'Assemble Data'!D178&lt;&gt;B177),1,0),1)</f>
        <v>0</v>
      </c>
      <c r="F177" s="13">
        <f ca="1">IF('Assemble Data'!E178="",0,IF(ISERROR(FIND("INDEX",_xlfn.FORMULATEXT('Assemble Data'!E178),1)),1,0)+IFERROR(IF(AND('Assemble Data'!E178&lt;&gt;C177,'Assemble Data'!E178&lt;&gt;""),1,0),1))</f>
        <v>0</v>
      </c>
      <c r="G177" s="13">
        <f ca="1">IF('Assemble Data'!F178="",0,IF(ISERROR(FIND("VLOOKUP",_xlfn.FORMULATEXT('Assemble Data'!F178),1)),1,0)+IFERROR(IF(AND('Assemble Data'!F178&lt;&gt;D177,'Assemble Data'!F178&lt;&gt;""),1,0),1))</f>
        <v>0</v>
      </c>
      <c r="H177" s="13">
        <f t="shared" si="20"/>
        <v>8</v>
      </c>
      <c r="I177" t="str">
        <f t="shared" si="21"/>
        <v>C2P10</v>
      </c>
    </row>
    <row r="178" spans="1:9">
      <c r="A178" t="str">
        <f>'Assemble Data'!B179</f>
        <v>P11</v>
      </c>
      <c r="B178" s="13">
        <f>IFERROR(SUMIF('Assemble Data'!K:K,'Assemble Data'!A179,'Assemble Data'!L:L),0)</f>
        <v>11000</v>
      </c>
      <c r="C178" s="13" t="str">
        <f>INDEX('Assemble Data'!$O$24:$O$1023,MATCH('Assemble Data'!A179,'Assemble Data'!$N$24:$N$1023,0))</f>
        <v>C2</v>
      </c>
      <c r="D178" s="13">
        <f>SUMIF('Assemble Data'!H:H,'Assemble Data'!A179,'Assemble Data'!I:I)</f>
        <v>11</v>
      </c>
      <c r="E178" s="13">
        <f>IFERROR(IF(AND('Assemble Data'!D179&lt;&gt;"",'Assemble Data'!D179&lt;&gt;B178),1,0),1)</f>
        <v>0</v>
      </c>
      <c r="F178" s="13">
        <f ca="1">IF('Assemble Data'!E179="",0,IF(ISERROR(FIND("INDEX",_xlfn.FORMULATEXT('Assemble Data'!E179),1)),1,0)+IFERROR(IF(AND('Assemble Data'!E179&lt;&gt;C178,'Assemble Data'!E179&lt;&gt;""),1,0),1))</f>
        <v>0</v>
      </c>
      <c r="G178" s="13">
        <f ca="1">IF('Assemble Data'!F179="",0,IF(ISERROR(FIND("VLOOKUP",_xlfn.FORMULATEXT('Assemble Data'!F179),1)),1,0)+IFERROR(IF(AND('Assemble Data'!F179&lt;&gt;D178,'Assemble Data'!F179&lt;&gt;""),1,0),1))</f>
        <v>0</v>
      </c>
      <c r="H178" s="13">
        <f t="shared" si="20"/>
        <v>9</v>
      </c>
      <c r="I178" t="str">
        <f t="shared" si="21"/>
        <v>C2P11</v>
      </c>
    </row>
    <row r="179" spans="1:9">
      <c r="A179" t="str">
        <f>'Assemble Data'!B180</f>
        <v>P16</v>
      </c>
      <c r="B179" s="13">
        <f>IFERROR(SUMIF('Assemble Data'!K:K,'Assemble Data'!A180,'Assemble Data'!L:L),0)</f>
        <v>4680</v>
      </c>
      <c r="C179" s="13" t="str">
        <f>INDEX('Assemble Data'!$O$24:$O$1023,MATCH('Assemble Data'!A180,'Assemble Data'!$N$24:$N$1023,0))</f>
        <v>N2</v>
      </c>
      <c r="D179" s="13">
        <f>SUMIF('Assemble Data'!H:H,'Assemble Data'!A180,'Assemble Data'!I:I)</f>
        <v>4</v>
      </c>
      <c r="E179" s="13">
        <f>IFERROR(IF(AND('Assemble Data'!D180&lt;&gt;"",'Assemble Data'!D180&lt;&gt;B179),1,0),1)</f>
        <v>0</v>
      </c>
      <c r="F179" s="13">
        <f ca="1">IF('Assemble Data'!E180="",0,IF(ISERROR(FIND("INDEX",_xlfn.FORMULATEXT('Assemble Data'!E180),1)),1,0)+IFERROR(IF(AND('Assemble Data'!E180&lt;&gt;C179,'Assemble Data'!E180&lt;&gt;""),1,0),1))</f>
        <v>0</v>
      </c>
      <c r="G179" s="13">
        <f ca="1">IF('Assemble Data'!F180="",0,IF(ISERROR(FIND("VLOOKUP",_xlfn.FORMULATEXT('Assemble Data'!F180),1)),1,0)+IFERROR(IF(AND('Assemble Data'!F180&lt;&gt;D179,'Assemble Data'!F180&lt;&gt;""),1,0),1))</f>
        <v>0</v>
      </c>
      <c r="H179" s="13">
        <f t="shared" si="20"/>
        <v>0</v>
      </c>
      <c r="I179" t="str">
        <f t="shared" si="21"/>
        <v>N2P16</v>
      </c>
    </row>
    <row r="180" spans="1:9">
      <c r="A180" t="str">
        <f>'Assemble Data'!B181</f>
        <v>P17</v>
      </c>
      <c r="B180" s="13">
        <f>IFERROR(SUMIF('Assemble Data'!K:K,'Assemble Data'!A181,'Assemble Data'!L:L),0)</f>
        <v>13200.000000000002</v>
      </c>
      <c r="C180" s="13" t="str">
        <f>INDEX('Assemble Data'!$O$24:$O$1023,MATCH('Assemble Data'!A181,'Assemble Data'!$N$24:$N$1023,0))</f>
        <v>O2</v>
      </c>
      <c r="D180" s="13">
        <f>SUMIF('Assemble Data'!H:H,'Assemble Data'!A181,'Assemble Data'!I:I)</f>
        <v>12</v>
      </c>
      <c r="E180" s="13">
        <f>IFERROR(IF(AND('Assemble Data'!D181&lt;&gt;"",'Assemble Data'!D181&lt;&gt;B180),1,0),1)</f>
        <v>0</v>
      </c>
      <c r="F180" s="13">
        <f ca="1">IF('Assemble Data'!E181="",0,IF(ISERROR(FIND("INDEX",_xlfn.FORMULATEXT('Assemble Data'!E181),1)),1,0)+IFERROR(IF(AND('Assemble Data'!E181&lt;&gt;C180,'Assemble Data'!E181&lt;&gt;""),1,0),1))</f>
        <v>0</v>
      </c>
      <c r="G180" s="13">
        <f ca="1">IF('Assemble Data'!F181="",0,IF(ISERROR(FIND("VLOOKUP",_xlfn.FORMULATEXT('Assemble Data'!F181),1)),1,0)+IFERROR(IF(AND('Assemble Data'!F181&lt;&gt;D180,'Assemble Data'!F181&lt;&gt;""),1,0),1))</f>
        <v>0</v>
      </c>
      <c r="H180" s="13">
        <f t="shared" si="20"/>
        <v>6</v>
      </c>
      <c r="I180" t="str">
        <f t="shared" si="21"/>
        <v>O2P17</v>
      </c>
    </row>
    <row r="181" spans="1:9">
      <c r="A181" t="str">
        <f>'Assemble Data'!B182</f>
        <v>P17</v>
      </c>
      <c r="B181" s="13">
        <f>IFERROR(SUMIF('Assemble Data'!K:K,'Assemble Data'!A182,'Assemble Data'!L:L),0)</f>
        <v>13200.000000000002</v>
      </c>
      <c r="C181" s="13" t="str">
        <f>INDEX('Assemble Data'!$O$24:$O$1023,MATCH('Assemble Data'!A182,'Assemble Data'!$N$24:$N$1023,0))</f>
        <v>O2</v>
      </c>
      <c r="D181" s="13">
        <f>SUMIF('Assemble Data'!H:H,'Assemble Data'!A182,'Assemble Data'!I:I)</f>
        <v>12</v>
      </c>
      <c r="E181" s="13">
        <f>IFERROR(IF(AND('Assemble Data'!D182&lt;&gt;"",'Assemble Data'!D182&lt;&gt;B181),1,0),1)</f>
        <v>0</v>
      </c>
      <c r="F181" s="13">
        <f ca="1">IF('Assemble Data'!E182="",0,IF(ISERROR(FIND("INDEX",_xlfn.FORMULATEXT('Assemble Data'!E182),1)),1,0)+IFERROR(IF(AND('Assemble Data'!E182&lt;&gt;C181,'Assemble Data'!E182&lt;&gt;""),1,0),1))</f>
        <v>0</v>
      </c>
      <c r="G181" s="13">
        <f ca="1">IF('Assemble Data'!F182="",0,IF(ISERROR(FIND("VLOOKUP",_xlfn.FORMULATEXT('Assemble Data'!F182),1)),1,0)+IFERROR(IF(AND('Assemble Data'!F182&lt;&gt;D181,'Assemble Data'!F182&lt;&gt;""),1,0),1))</f>
        <v>0</v>
      </c>
      <c r="H181" s="13">
        <f t="shared" si="20"/>
        <v>6</v>
      </c>
      <c r="I181" t="str">
        <f t="shared" si="21"/>
        <v>O2P17</v>
      </c>
    </row>
    <row r="182" spans="1:9">
      <c r="A182" t="str">
        <f>'Assemble Data'!B183</f>
        <v>P13</v>
      </c>
      <c r="B182" s="13">
        <f>IFERROR(SUMIF('Assemble Data'!K:K,'Assemble Data'!A183,'Assemble Data'!L:L),0)</f>
        <v>4500</v>
      </c>
      <c r="C182" s="13" t="str">
        <f>INDEX('Assemble Data'!$O$24:$O$1023,MATCH('Assemble Data'!A183,'Assemble Data'!$N$24:$N$1023,0))</f>
        <v>C2</v>
      </c>
      <c r="D182" s="13">
        <f>SUMIF('Assemble Data'!H:H,'Assemble Data'!A183,'Assemble Data'!I:I)</f>
        <v>5</v>
      </c>
      <c r="E182" s="13">
        <f>IFERROR(IF(AND('Assemble Data'!D183&lt;&gt;"",'Assemble Data'!D183&lt;&gt;B182),1,0),1)</f>
        <v>0</v>
      </c>
      <c r="F182" s="13">
        <f ca="1">IF('Assemble Data'!E183="",0,IF(ISERROR(FIND("INDEX",_xlfn.FORMULATEXT('Assemble Data'!E183),1)),1,0)+IFERROR(IF(AND('Assemble Data'!E183&lt;&gt;C182,'Assemble Data'!E183&lt;&gt;""),1,0),1))</f>
        <v>0</v>
      </c>
      <c r="G182" s="13">
        <f ca="1">IF('Assemble Data'!F183="",0,IF(ISERROR(FIND("VLOOKUP",_xlfn.FORMULATEXT('Assemble Data'!F183),1)),1,0)+IFERROR(IF(AND('Assemble Data'!F183&lt;&gt;D182,'Assemble Data'!F183&lt;&gt;""),1,0),1))</f>
        <v>0</v>
      </c>
      <c r="H182" s="13">
        <f t="shared" si="20"/>
        <v>3</v>
      </c>
      <c r="I182" t="str">
        <f t="shared" si="21"/>
        <v>C2P13</v>
      </c>
    </row>
    <row r="183" spans="1:9">
      <c r="A183" t="str">
        <f>'Assemble Data'!B184</f>
        <v>P11</v>
      </c>
      <c r="B183" s="13">
        <f>IFERROR(SUMIF('Assemble Data'!K:K,'Assemble Data'!A184,'Assemble Data'!L:L),0)</f>
        <v>11000</v>
      </c>
      <c r="C183" s="13" t="str">
        <f>INDEX('Assemble Data'!$O$24:$O$1023,MATCH('Assemble Data'!A184,'Assemble Data'!$N$24:$N$1023,0))</f>
        <v>C2</v>
      </c>
      <c r="D183" s="13">
        <f>SUMIF('Assemble Data'!H:H,'Assemble Data'!A184,'Assemble Data'!I:I)</f>
        <v>11</v>
      </c>
      <c r="E183" s="13">
        <f>IFERROR(IF(AND('Assemble Data'!D184&lt;&gt;"",'Assemble Data'!D184&lt;&gt;B183),1,0),1)</f>
        <v>0</v>
      </c>
      <c r="F183" s="13">
        <f ca="1">IF('Assemble Data'!E184="",0,IF(ISERROR(FIND("INDEX",_xlfn.FORMULATEXT('Assemble Data'!E184),1)),1,0)+IFERROR(IF(AND('Assemble Data'!E184&lt;&gt;C183,'Assemble Data'!E184&lt;&gt;""),1,0),1))</f>
        <v>0</v>
      </c>
      <c r="G183" s="13">
        <f ca="1">IF('Assemble Data'!F184="",0,IF(ISERROR(FIND("VLOOKUP",_xlfn.FORMULATEXT('Assemble Data'!F184),1)),1,0)+IFERROR(IF(AND('Assemble Data'!F184&lt;&gt;D183,'Assemble Data'!F184&lt;&gt;""),1,0),1))</f>
        <v>0</v>
      </c>
      <c r="H183" s="13">
        <f t="shared" si="20"/>
        <v>9</v>
      </c>
      <c r="I183" t="str">
        <f t="shared" si="21"/>
        <v>C2P11</v>
      </c>
    </row>
    <row r="184" spans="1:9">
      <c r="A184" t="str">
        <f>'Assemble Data'!B185</f>
        <v>P11</v>
      </c>
      <c r="B184" s="13">
        <f>IFERROR(SUMIF('Assemble Data'!K:K,'Assemble Data'!A185,'Assemble Data'!L:L),0)</f>
        <v>11000</v>
      </c>
      <c r="C184" s="13" t="str">
        <f>INDEX('Assemble Data'!$O$24:$O$1023,MATCH('Assemble Data'!A185,'Assemble Data'!$N$24:$N$1023,0))</f>
        <v>C2</v>
      </c>
      <c r="D184" s="13">
        <f>SUMIF('Assemble Data'!H:H,'Assemble Data'!A185,'Assemble Data'!I:I)</f>
        <v>11</v>
      </c>
      <c r="E184" s="13">
        <f>IFERROR(IF(AND('Assemble Data'!D185&lt;&gt;"",'Assemble Data'!D185&lt;&gt;B184),1,0),1)</f>
        <v>0</v>
      </c>
      <c r="F184" s="13">
        <f ca="1">IF('Assemble Data'!E185="",0,IF(ISERROR(FIND("INDEX",_xlfn.FORMULATEXT('Assemble Data'!E185),1)),1,0)+IFERROR(IF(AND('Assemble Data'!E185&lt;&gt;C184,'Assemble Data'!E185&lt;&gt;""),1,0),1))</f>
        <v>0</v>
      </c>
      <c r="G184" s="13">
        <f ca="1">IF('Assemble Data'!F185="",0,IF(ISERROR(FIND("VLOOKUP",_xlfn.FORMULATEXT('Assemble Data'!F185),1)),1,0)+IFERROR(IF(AND('Assemble Data'!F185&lt;&gt;D184,'Assemble Data'!F185&lt;&gt;""),1,0),1))</f>
        <v>0</v>
      </c>
      <c r="H184" s="13">
        <f t="shared" si="20"/>
        <v>9</v>
      </c>
      <c r="I184" t="str">
        <f t="shared" si="21"/>
        <v>C2P11</v>
      </c>
    </row>
    <row r="185" spans="1:9">
      <c r="A185" t="str">
        <f>'Assemble Data'!B186</f>
        <v>P12</v>
      </c>
      <c r="B185" s="13">
        <f>IFERROR(SUMIF('Assemble Data'!K:K,'Assemble Data'!A186,'Assemble Data'!L:L),0)</f>
        <v>6825</v>
      </c>
      <c r="C185" s="13" t="str">
        <f>INDEX('Assemble Data'!$O$24:$O$1023,MATCH('Assemble Data'!A186,'Assemble Data'!$N$24:$N$1023,0))</f>
        <v>C2</v>
      </c>
      <c r="D185" s="13">
        <f>SUMIF('Assemble Data'!H:H,'Assemble Data'!A186,'Assemble Data'!I:I)</f>
        <v>6.5</v>
      </c>
      <c r="E185" s="13">
        <f>IFERROR(IF(AND('Assemble Data'!D186&lt;&gt;"",'Assemble Data'!D186&lt;&gt;B185),1,0),1)</f>
        <v>0</v>
      </c>
      <c r="F185" s="13">
        <f ca="1">IF('Assemble Data'!E186="",0,IF(ISERROR(FIND("INDEX",_xlfn.FORMULATEXT('Assemble Data'!E186),1)),1,0)+IFERROR(IF(AND('Assemble Data'!E186&lt;&gt;C185,'Assemble Data'!E186&lt;&gt;""),1,0),1))</f>
        <v>0</v>
      </c>
      <c r="G185" s="13">
        <f ca="1">IF('Assemble Data'!F186="",0,IF(ISERROR(FIND("VLOOKUP",_xlfn.FORMULATEXT('Assemble Data'!F186),1)),1,0)+IFERROR(IF(AND('Assemble Data'!F186&lt;&gt;D185,'Assemble Data'!F186&lt;&gt;""),1,0),1))</f>
        <v>0</v>
      </c>
      <c r="H185" s="13">
        <f t="shared" si="20"/>
        <v>7</v>
      </c>
      <c r="I185" t="str">
        <f t="shared" si="21"/>
        <v>C2P12</v>
      </c>
    </row>
    <row r="186" spans="1:9">
      <c r="A186" t="str">
        <f>'Assemble Data'!B187</f>
        <v>P10</v>
      </c>
      <c r="B186" s="13">
        <f>IFERROR(SUMIF('Assemble Data'!K:K,'Assemble Data'!A187,'Assemble Data'!L:L),0)</f>
        <v>2400</v>
      </c>
      <c r="C186" s="13" t="str">
        <f>INDEX('Assemble Data'!$O$24:$O$1023,MATCH('Assemble Data'!A187,'Assemble Data'!$N$24:$N$1023,0))</f>
        <v>C2</v>
      </c>
      <c r="D186" s="13">
        <f>SUMIF('Assemble Data'!H:H,'Assemble Data'!A187,'Assemble Data'!I:I)</f>
        <v>3</v>
      </c>
      <c r="E186" s="13">
        <f>IFERROR(IF(AND('Assemble Data'!D187&lt;&gt;"",'Assemble Data'!D187&lt;&gt;B186),1,0),1)</f>
        <v>0</v>
      </c>
      <c r="F186" s="13">
        <f ca="1">IF('Assemble Data'!E187="",0,IF(ISERROR(FIND("INDEX",_xlfn.FORMULATEXT('Assemble Data'!E187),1)),1,0)+IFERROR(IF(AND('Assemble Data'!E187&lt;&gt;C186,'Assemble Data'!E187&lt;&gt;""),1,0),1))</f>
        <v>0</v>
      </c>
      <c r="G186" s="13">
        <f ca="1">IF('Assemble Data'!F187="",0,IF(ISERROR(FIND("VLOOKUP",_xlfn.FORMULATEXT('Assemble Data'!F187),1)),1,0)+IFERROR(IF(AND('Assemble Data'!F187&lt;&gt;D186,'Assemble Data'!F187&lt;&gt;""),1,0),1))</f>
        <v>0</v>
      </c>
      <c r="H186" s="13">
        <f t="shared" si="20"/>
        <v>8</v>
      </c>
      <c r="I186" t="str">
        <f t="shared" si="21"/>
        <v>C2P10</v>
      </c>
    </row>
    <row r="187" spans="1:9">
      <c r="A187" t="str">
        <f>'Assemble Data'!B188</f>
        <v>P10</v>
      </c>
      <c r="B187" s="13">
        <f>IFERROR(SUMIF('Assemble Data'!K:K,'Assemble Data'!A188,'Assemble Data'!L:L),0)</f>
        <v>2400</v>
      </c>
      <c r="C187" s="13" t="str">
        <f>INDEX('Assemble Data'!$O$24:$O$1023,MATCH('Assemble Data'!A188,'Assemble Data'!$N$24:$N$1023,0))</f>
        <v>C2</v>
      </c>
      <c r="D187" s="13">
        <f>SUMIF('Assemble Data'!H:H,'Assemble Data'!A188,'Assemble Data'!I:I)</f>
        <v>3</v>
      </c>
      <c r="E187" s="13">
        <f>IFERROR(IF(AND('Assemble Data'!D188&lt;&gt;"",'Assemble Data'!D188&lt;&gt;B187),1,0),1)</f>
        <v>0</v>
      </c>
      <c r="F187" s="13">
        <f ca="1">IF('Assemble Data'!E188="",0,IF(ISERROR(FIND("INDEX",_xlfn.FORMULATEXT('Assemble Data'!E188),1)),1,0)+IFERROR(IF(AND('Assemble Data'!E188&lt;&gt;C187,'Assemble Data'!E188&lt;&gt;""),1,0),1))</f>
        <v>0</v>
      </c>
      <c r="G187" s="13">
        <f ca="1">IF('Assemble Data'!F188="",0,IF(ISERROR(FIND("VLOOKUP",_xlfn.FORMULATEXT('Assemble Data'!F188),1)),1,0)+IFERROR(IF(AND('Assemble Data'!F188&lt;&gt;D187,'Assemble Data'!F188&lt;&gt;""),1,0),1))</f>
        <v>0</v>
      </c>
      <c r="H187" s="13">
        <f t="shared" ref="H187:H250" si="22">H170</f>
        <v>8</v>
      </c>
      <c r="I187" t="str">
        <f t="shared" si="21"/>
        <v>C2P10</v>
      </c>
    </row>
    <row r="188" spans="1:9">
      <c r="A188" t="str">
        <f>'Assemble Data'!B189</f>
        <v>P11</v>
      </c>
      <c r="B188" s="13">
        <f>IFERROR(SUMIF('Assemble Data'!K:K,'Assemble Data'!A189,'Assemble Data'!L:L),0)</f>
        <v>11000</v>
      </c>
      <c r="C188" s="13" t="str">
        <f>INDEX('Assemble Data'!$O$24:$O$1023,MATCH('Assemble Data'!A189,'Assemble Data'!$N$24:$N$1023,0))</f>
        <v>C2</v>
      </c>
      <c r="D188" s="13">
        <f>SUMIF('Assemble Data'!H:H,'Assemble Data'!A189,'Assemble Data'!I:I)</f>
        <v>11</v>
      </c>
      <c r="E188" s="13">
        <f>IFERROR(IF(AND('Assemble Data'!D189&lt;&gt;"",'Assemble Data'!D189&lt;&gt;B188),1,0),1)</f>
        <v>0</v>
      </c>
      <c r="F188" s="13">
        <f ca="1">IF('Assemble Data'!E189="",0,IF(ISERROR(FIND("INDEX",_xlfn.FORMULATEXT('Assemble Data'!E189),1)),1,0)+IFERROR(IF(AND('Assemble Data'!E189&lt;&gt;C188,'Assemble Data'!E189&lt;&gt;""),1,0),1))</f>
        <v>0</v>
      </c>
      <c r="G188" s="13">
        <f ca="1">IF('Assemble Data'!F189="",0,IF(ISERROR(FIND("VLOOKUP",_xlfn.FORMULATEXT('Assemble Data'!F189),1)),1,0)+IFERROR(IF(AND('Assemble Data'!F189&lt;&gt;D188,'Assemble Data'!F189&lt;&gt;""),1,0),1))</f>
        <v>0</v>
      </c>
      <c r="H188" s="13">
        <f t="shared" si="22"/>
        <v>9</v>
      </c>
      <c r="I188" t="str">
        <f t="shared" si="21"/>
        <v>C2P11</v>
      </c>
    </row>
    <row r="189" spans="1:9">
      <c r="A189" t="str">
        <f>'Assemble Data'!B190</f>
        <v>P18</v>
      </c>
      <c r="B189" s="13">
        <f>IFERROR(SUMIF('Assemble Data'!K:K,'Assemble Data'!A190,'Assemble Data'!L:L),0)</f>
        <v>5940.0000000000009</v>
      </c>
      <c r="C189" s="13" t="str">
        <f>INDEX('Assemble Data'!$O$24:$O$1023,MATCH('Assemble Data'!A190,'Assemble Data'!$N$24:$N$1023,0))</f>
        <v>O2</v>
      </c>
      <c r="D189" s="13">
        <f>SUMIF('Assemble Data'!H:H,'Assemble Data'!A190,'Assemble Data'!I:I)</f>
        <v>6</v>
      </c>
      <c r="E189" s="13">
        <f>IFERROR(IF(AND('Assemble Data'!D190&lt;&gt;"",'Assemble Data'!D190&lt;&gt;B189),1,0),1)</f>
        <v>0</v>
      </c>
      <c r="F189" s="13">
        <f ca="1">IF('Assemble Data'!E190="",0,IF(ISERROR(FIND("INDEX",_xlfn.FORMULATEXT('Assemble Data'!E190),1)),1,0)+IFERROR(IF(AND('Assemble Data'!E190&lt;&gt;C189,'Assemble Data'!E190&lt;&gt;""),1,0),1))</f>
        <v>0</v>
      </c>
      <c r="G189" s="13">
        <f ca="1">IF('Assemble Data'!F190="",0,IF(ISERROR(FIND("VLOOKUP",_xlfn.FORMULATEXT('Assemble Data'!F190),1)),1,0)+IFERROR(IF(AND('Assemble Data'!F190&lt;&gt;D189,'Assemble Data'!F190&lt;&gt;""),1,0),1))</f>
        <v>0</v>
      </c>
      <c r="H189" s="13">
        <f t="shared" si="22"/>
        <v>2</v>
      </c>
      <c r="I189" t="str">
        <f t="shared" si="21"/>
        <v>O2P18</v>
      </c>
    </row>
    <row r="190" spans="1:9">
      <c r="A190" t="str">
        <f>'Assemble Data'!B191</f>
        <v>P14</v>
      </c>
      <c r="B190" s="13">
        <f>IFERROR(SUMIF('Assemble Data'!K:K,'Assemble Data'!A191,'Assemble Data'!L:L),0)</f>
        <v>6480</v>
      </c>
      <c r="C190" s="13" t="str">
        <f>INDEX('Assemble Data'!$O$24:$O$1023,MATCH('Assemble Data'!A191,'Assemble Data'!$N$24:$N$1023,0))</f>
        <v>N2</v>
      </c>
      <c r="D190" s="13">
        <f>SUMIF('Assemble Data'!H:H,'Assemble Data'!A191,'Assemble Data'!I:I)</f>
        <v>8</v>
      </c>
      <c r="E190" s="13">
        <f>IFERROR(IF(AND('Assemble Data'!D191&lt;&gt;"",'Assemble Data'!D191&lt;&gt;B190),1,0),1)</f>
        <v>0</v>
      </c>
      <c r="F190" s="13">
        <f ca="1">IF('Assemble Data'!E191="",0,IF(ISERROR(FIND("INDEX",_xlfn.FORMULATEXT('Assemble Data'!E191),1)),1,0)+IFERROR(IF(AND('Assemble Data'!E191&lt;&gt;C190,'Assemble Data'!E191&lt;&gt;""),1,0),1))</f>
        <v>0</v>
      </c>
      <c r="G190" s="13">
        <f ca="1">IF('Assemble Data'!F191="",0,IF(ISERROR(FIND("VLOOKUP",_xlfn.FORMULATEXT('Assemble Data'!F191),1)),1,0)+IFERROR(IF(AND('Assemble Data'!F191&lt;&gt;D190,'Assemble Data'!F191&lt;&gt;""),1,0),1))</f>
        <v>0</v>
      </c>
      <c r="H190" s="13">
        <f t="shared" si="22"/>
        <v>5</v>
      </c>
      <c r="I190" t="str">
        <f t="shared" si="21"/>
        <v>N2P14</v>
      </c>
    </row>
    <row r="191" spans="1:9">
      <c r="A191" t="str">
        <f>'Assemble Data'!B192</f>
        <v>P10</v>
      </c>
      <c r="B191" s="13">
        <f>IFERROR(SUMIF('Assemble Data'!K:K,'Assemble Data'!A192,'Assemble Data'!L:L),0)</f>
        <v>2400</v>
      </c>
      <c r="C191" s="13" t="str">
        <f>INDEX('Assemble Data'!$O$24:$O$1023,MATCH('Assemble Data'!A192,'Assemble Data'!$N$24:$N$1023,0))</f>
        <v>C2</v>
      </c>
      <c r="D191" s="13">
        <f>SUMIF('Assemble Data'!H:H,'Assemble Data'!A192,'Assemble Data'!I:I)</f>
        <v>3</v>
      </c>
      <c r="E191" s="13">
        <f>IFERROR(IF(AND('Assemble Data'!D192&lt;&gt;"",'Assemble Data'!D192&lt;&gt;B191),1,0),1)</f>
        <v>0</v>
      </c>
      <c r="F191" s="13">
        <f ca="1">IF('Assemble Data'!E192="",0,IF(ISERROR(FIND("INDEX",_xlfn.FORMULATEXT('Assemble Data'!E192),1)),1,0)+IFERROR(IF(AND('Assemble Data'!E192&lt;&gt;C191,'Assemble Data'!E192&lt;&gt;""),1,0),1))</f>
        <v>0</v>
      </c>
      <c r="G191" s="13">
        <f ca="1">IF('Assemble Data'!F192="",0,IF(ISERROR(FIND("VLOOKUP",_xlfn.FORMULATEXT('Assemble Data'!F192),1)),1,0)+IFERROR(IF(AND('Assemble Data'!F192&lt;&gt;D191,'Assemble Data'!F192&lt;&gt;""),1,0),1))</f>
        <v>0</v>
      </c>
      <c r="H191" s="13">
        <f t="shared" si="22"/>
        <v>8</v>
      </c>
      <c r="I191" t="str">
        <f t="shared" si="21"/>
        <v>C2P10</v>
      </c>
    </row>
    <row r="192" spans="1:9">
      <c r="A192" t="str">
        <f>'Assemble Data'!B193</f>
        <v>P13</v>
      </c>
      <c r="B192" s="13">
        <f>IFERROR(SUMIF('Assemble Data'!K:K,'Assemble Data'!A193,'Assemble Data'!L:L),0)</f>
        <v>3600</v>
      </c>
      <c r="C192" s="13" t="str">
        <f>INDEX('Assemble Data'!$O$24:$O$1023,MATCH('Assemble Data'!A193,'Assemble Data'!$N$24:$N$1023,0))</f>
        <v>C3</v>
      </c>
      <c r="D192" s="13">
        <f>SUMIF('Assemble Data'!H:H,'Assemble Data'!A193,'Assemble Data'!I:I)</f>
        <v>5</v>
      </c>
      <c r="E192" s="13">
        <f>IFERROR(IF(AND('Assemble Data'!D193&lt;&gt;"",'Assemble Data'!D193&lt;&gt;B192),1,0),1)</f>
        <v>0</v>
      </c>
      <c r="F192" s="13">
        <f ca="1">IF('Assemble Data'!E193="",0,IF(ISERROR(FIND("INDEX",_xlfn.FORMULATEXT('Assemble Data'!E193),1)),1,0)+IFERROR(IF(AND('Assemble Data'!E193&lt;&gt;C192,'Assemble Data'!E193&lt;&gt;""),1,0),1))</f>
        <v>0</v>
      </c>
      <c r="G192" s="13">
        <f ca="1">IF('Assemble Data'!F193="",0,IF(ISERROR(FIND("VLOOKUP",_xlfn.FORMULATEXT('Assemble Data'!F193),1)),1,0)+IFERROR(IF(AND('Assemble Data'!F193&lt;&gt;D192,'Assemble Data'!F193&lt;&gt;""),1,0),1))</f>
        <v>0</v>
      </c>
      <c r="H192" s="13">
        <f t="shared" si="22"/>
        <v>3</v>
      </c>
      <c r="I192" t="str">
        <f t="shared" si="21"/>
        <v>C3P13</v>
      </c>
    </row>
    <row r="193" spans="1:9">
      <c r="A193" t="str">
        <f>'Assemble Data'!B194</f>
        <v>P13</v>
      </c>
      <c r="B193" s="13">
        <f>IFERROR(SUMIF('Assemble Data'!K:K,'Assemble Data'!A194,'Assemble Data'!L:L),0)</f>
        <v>3600</v>
      </c>
      <c r="C193" s="13" t="str">
        <f>INDEX('Assemble Data'!$O$24:$O$1023,MATCH('Assemble Data'!A194,'Assemble Data'!$N$24:$N$1023,0))</f>
        <v>C3</v>
      </c>
      <c r="D193" s="13">
        <f>SUMIF('Assemble Data'!H:H,'Assemble Data'!A194,'Assemble Data'!I:I)</f>
        <v>5</v>
      </c>
      <c r="E193" s="13">
        <f>IFERROR(IF(AND('Assemble Data'!D194&lt;&gt;"",'Assemble Data'!D194&lt;&gt;B193),1,0),1)</f>
        <v>0</v>
      </c>
      <c r="F193" s="13">
        <f ca="1">IF('Assemble Data'!E194="",0,IF(ISERROR(FIND("INDEX",_xlfn.FORMULATEXT('Assemble Data'!E194),1)),1,0)+IFERROR(IF(AND('Assemble Data'!E194&lt;&gt;C193,'Assemble Data'!E194&lt;&gt;""),1,0),1))</f>
        <v>0</v>
      </c>
      <c r="G193" s="13">
        <f ca="1">IF('Assemble Data'!F194="",0,IF(ISERROR(FIND("VLOOKUP",_xlfn.FORMULATEXT('Assemble Data'!F194),1)),1,0)+IFERROR(IF(AND('Assemble Data'!F194&lt;&gt;D193,'Assemble Data'!F194&lt;&gt;""),1,0),1))</f>
        <v>0</v>
      </c>
      <c r="H193" s="13">
        <f t="shared" si="22"/>
        <v>3</v>
      </c>
      <c r="I193" t="str">
        <f t="shared" si="21"/>
        <v>C3P13</v>
      </c>
    </row>
    <row r="194" spans="1:9">
      <c r="A194" t="str">
        <f>'Assemble Data'!B195</f>
        <v>P10</v>
      </c>
      <c r="B194" s="13">
        <f>IFERROR(SUMIF('Assemble Data'!K:K,'Assemble Data'!A195,'Assemble Data'!L:L),0)</f>
        <v>1920</v>
      </c>
      <c r="C194" s="13" t="str">
        <f>INDEX('Assemble Data'!$O$24:$O$1023,MATCH('Assemble Data'!A195,'Assemble Data'!$N$24:$N$1023,0))</f>
        <v>C3</v>
      </c>
      <c r="D194" s="13">
        <f>SUMIF('Assemble Data'!H:H,'Assemble Data'!A195,'Assemble Data'!I:I)</f>
        <v>3</v>
      </c>
      <c r="E194" s="13">
        <f>IFERROR(IF(AND('Assemble Data'!D195&lt;&gt;"",'Assemble Data'!D195&lt;&gt;B194),1,0),1)</f>
        <v>0</v>
      </c>
      <c r="F194" s="13">
        <f ca="1">IF('Assemble Data'!E195="",0,IF(ISERROR(FIND("INDEX",_xlfn.FORMULATEXT('Assemble Data'!E195),1)),1,0)+IFERROR(IF(AND('Assemble Data'!E195&lt;&gt;C194,'Assemble Data'!E195&lt;&gt;""),1,0),1))</f>
        <v>0</v>
      </c>
      <c r="G194" s="13">
        <f ca="1">IF('Assemble Data'!F195="",0,IF(ISERROR(FIND("VLOOKUP",_xlfn.FORMULATEXT('Assemble Data'!F195),1)),1,0)+IFERROR(IF(AND('Assemble Data'!F195&lt;&gt;D194,'Assemble Data'!F195&lt;&gt;""),1,0),1))</f>
        <v>0</v>
      </c>
      <c r="H194" s="13">
        <f t="shared" si="22"/>
        <v>8</v>
      </c>
      <c r="I194" t="str">
        <f t="shared" si="21"/>
        <v>C3P10</v>
      </c>
    </row>
    <row r="195" spans="1:9">
      <c r="A195" t="str">
        <f>'Assemble Data'!B196</f>
        <v>P11</v>
      </c>
      <c r="B195" s="13">
        <f>IFERROR(SUMIF('Assemble Data'!K:K,'Assemble Data'!A196,'Assemble Data'!L:L),0)</f>
        <v>8800</v>
      </c>
      <c r="C195" s="13" t="str">
        <f>INDEX('Assemble Data'!$O$24:$O$1023,MATCH('Assemble Data'!A196,'Assemble Data'!$N$24:$N$1023,0))</f>
        <v>C3</v>
      </c>
      <c r="D195" s="13">
        <f>SUMIF('Assemble Data'!H:H,'Assemble Data'!A196,'Assemble Data'!I:I)</f>
        <v>11</v>
      </c>
      <c r="E195" s="13">
        <f>IFERROR(IF(AND('Assemble Data'!D196&lt;&gt;"",'Assemble Data'!D196&lt;&gt;B195),1,0),1)</f>
        <v>0</v>
      </c>
      <c r="F195" s="13">
        <f ca="1">IF('Assemble Data'!E196="",0,IF(ISERROR(FIND("INDEX",_xlfn.FORMULATEXT('Assemble Data'!E196),1)),1,0)+IFERROR(IF(AND('Assemble Data'!E196&lt;&gt;C195,'Assemble Data'!E196&lt;&gt;""),1,0),1))</f>
        <v>0</v>
      </c>
      <c r="G195" s="13">
        <f ca="1">IF('Assemble Data'!F196="",0,IF(ISERROR(FIND("VLOOKUP",_xlfn.FORMULATEXT('Assemble Data'!F196),1)),1,0)+IFERROR(IF(AND('Assemble Data'!F196&lt;&gt;D195,'Assemble Data'!F196&lt;&gt;""),1,0),1))</f>
        <v>0</v>
      </c>
      <c r="H195" s="13">
        <f t="shared" si="22"/>
        <v>9</v>
      </c>
      <c r="I195" t="str">
        <f t="shared" si="21"/>
        <v>C3P11</v>
      </c>
    </row>
    <row r="196" spans="1:9">
      <c r="A196" t="str">
        <f>'Assemble Data'!B197</f>
        <v>P16</v>
      </c>
      <c r="B196" s="13">
        <f>IFERROR(SUMIF('Assemble Data'!K:K,'Assemble Data'!A197,'Assemble Data'!L:L),0)</f>
        <v>5200</v>
      </c>
      <c r="C196" s="13" t="str">
        <f>INDEX('Assemble Data'!$O$24:$O$1023,MATCH('Assemble Data'!A197,'Assemble Data'!$N$24:$N$1023,0))</f>
        <v>N3</v>
      </c>
      <c r="D196" s="13">
        <f>SUMIF('Assemble Data'!H:H,'Assemble Data'!A197,'Assemble Data'!I:I)</f>
        <v>4</v>
      </c>
      <c r="E196" s="13">
        <f>IFERROR(IF(AND('Assemble Data'!D197&lt;&gt;"",'Assemble Data'!D197&lt;&gt;B196),1,0),1)</f>
        <v>0</v>
      </c>
      <c r="F196" s="13">
        <f ca="1">IF('Assemble Data'!E197="",0,IF(ISERROR(FIND("INDEX",_xlfn.FORMULATEXT('Assemble Data'!E197),1)),1,0)+IFERROR(IF(AND('Assemble Data'!E197&lt;&gt;C196,'Assemble Data'!E197&lt;&gt;""),1,0),1))</f>
        <v>0</v>
      </c>
      <c r="G196" s="13">
        <f ca="1">IF('Assemble Data'!F197="",0,IF(ISERROR(FIND("VLOOKUP",_xlfn.FORMULATEXT('Assemble Data'!F197),1)),1,0)+IFERROR(IF(AND('Assemble Data'!F197&lt;&gt;D196,'Assemble Data'!F197&lt;&gt;""),1,0),1))</f>
        <v>0</v>
      </c>
      <c r="H196" s="13">
        <f t="shared" si="22"/>
        <v>0</v>
      </c>
      <c r="I196" t="str">
        <f t="shared" si="21"/>
        <v>N3P16</v>
      </c>
    </row>
    <row r="197" spans="1:9">
      <c r="A197" t="str">
        <f>'Assemble Data'!B198</f>
        <v>P17</v>
      </c>
      <c r="B197" s="13">
        <f>IFERROR(SUMIF('Assemble Data'!K:K,'Assemble Data'!A198,'Assemble Data'!L:L),0)</f>
        <v>9600</v>
      </c>
      <c r="C197" s="13" t="str">
        <f>INDEX('Assemble Data'!$O$24:$O$1023,MATCH('Assemble Data'!A198,'Assemble Data'!$N$24:$N$1023,0))</f>
        <v>O3</v>
      </c>
      <c r="D197" s="13">
        <f>SUMIF('Assemble Data'!H:H,'Assemble Data'!A198,'Assemble Data'!I:I)</f>
        <v>12</v>
      </c>
      <c r="E197" s="13">
        <f>IFERROR(IF(AND('Assemble Data'!D198&lt;&gt;"",'Assemble Data'!D198&lt;&gt;B197),1,0),1)</f>
        <v>0</v>
      </c>
      <c r="F197" s="13">
        <f ca="1">IF('Assemble Data'!E198="",0,IF(ISERROR(FIND("INDEX",_xlfn.FORMULATEXT('Assemble Data'!E198),1)),1,0)+IFERROR(IF(AND('Assemble Data'!E198&lt;&gt;C197,'Assemble Data'!E198&lt;&gt;""),1,0),1))</f>
        <v>0</v>
      </c>
      <c r="G197" s="13">
        <f ca="1">IF('Assemble Data'!F198="",0,IF(ISERROR(FIND("VLOOKUP",_xlfn.FORMULATEXT('Assemble Data'!F198),1)),1,0)+IFERROR(IF(AND('Assemble Data'!F198&lt;&gt;D197,'Assemble Data'!F198&lt;&gt;""),1,0),1))</f>
        <v>0</v>
      </c>
      <c r="H197" s="13">
        <f t="shared" si="22"/>
        <v>6</v>
      </c>
      <c r="I197" t="str">
        <f t="shared" si="21"/>
        <v>O3P17</v>
      </c>
    </row>
    <row r="198" spans="1:9">
      <c r="A198" t="str">
        <f>'Assemble Data'!B199</f>
        <v>P17</v>
      </c>
      <c r="B198" s="13">
        <f>IFERROR(SUMIF('Assemble Data'!K:K,'Assemble Data'!A199,'Assemble Data'!L:L),0)</f>
        <v>9600</v>
      </c>
      <c r="C198" s="13" t="str">
        <f>INDEX('Assemble Data'!$O$24:$O$1023,MATCH('Assemble Data'!A199,'Assemble Data'!$N$24:$N$1023,0))</f>
        <v>O3</v>
      </c>
      <c r="D198" s="13">
        <f>SUMIF('Assemble Data'!H:H,'Assemble Data'!A199,'Assemble Data'!I:I)</f>
        <v>12</v>
      </c>
      <c r="E198" s="13">
        <f>IFERROR(IF(AND('Assemble Data'!D199&lt;&gt;"",'Assemble Data'!D199&lt;&gt;B198),1,0),1)</f>
        <v>0</v>
      </c>
      <c r="F198" s="13">
        <f ca="1">IF('Assemble Data'!E199="",0,IF(ISERROR(FIND("INDEX",_xlfn.FORMULATEXT('Assemble Data'!E199),1)),1,0)+IFERROR(IF(AND('Assemble Data'!E199&lt;&gt;C198,'Assemble Data'!E199&lt;&gt;""),1,0),1))</f>
        <v>0</v>
      </c>
      <c r="G198" s="13">
        <f ca="1">IF('Assemble Data'!F199="",0,IF(ISERROR(FIND("VLOOKUP",_xlfn.FORMULATEXT('Assemble Data'!F199),1)),1,0)+IFERROR(IF(AND('Assemble Data'!F199&lt;&gt;D198,'Assemble Data'!F199&lt;&gt;""),1,0),1))</f>
        <v>0</v>
      </c>
      <c r="H198" s="13">
        <f t="shared" si="22"/>
        <v>6</v>
      </c>
      <c r="I198" t="str">
        <f t="shared" si="21"/>
        <v>O3P17</v>
      </c>
    </row>
    <row r="199" spans="1:9">
      <c r="A199" t="str">
        <f>'Assemble Data'!B200</f>
        <v>P13</v>
      </c>
      <c r="B199" s="13">
        <f>IFERROR(SUMIF('Assemble Data'!K:K,'Assemble Data'!A200,'Assemble Data'!L:L),0)</f>
        <v>3600</v>
      </c>
      <c r="C199" s="13" t="str">
        <f>INDEX('Assemble Data'!$O$24:$O$1023,MATCH('Assemble Data'!A200,'Assemble Data'!$N$24:$N$1023,0))</f>
        <v>C3</v>
      </c>
      <c r="D199" s="13">
        <f>SUMIF('Assemble Data'!H:H,'Assemble Data'!A200,'Assemble Data'!I:I)</f>
        <v>5</v>
      </c>
      <c r="E199" s="13">
        <f>IFERROR(IF(AND('Assemble Data'!D200&lt;&gt;"",'Assemble Data'!D200&lt;&gt;B199),1,0),1)</f>
        <v>0</v>
      </c>
      <c r="F199" s="13">
        <f ca="1">IF('Assemble Data'!E200="",0,IF(ISERROR(FIND("INDEX",_xlfn.FORMULATEXT('Assemble Data'!E200),1)),1,0)+IFERROR(IF(AND('Assemble Data'!E200&lt;&gt;C199,'Assemble Data'!E200&lt;&gt;""),1,0),1))</f>
        <v>0</v>
      </c>
      <c r="G199" s="13">
        <f ca="1">IF('Assemble Data'!F200="",0,IF(ISERROR(FIND("VLOOKUP",_xlfn.FORMULATEXT('Assemble Data'!F200),1)),1,0)+IFERROR(IF(AND('Assemble Data'!F200&lt;&gt;D199,'Assemble Data'!F200&lt;&gt;""),1,0),1))</f>
        <v>0</v>
      </c>
      <c r="H199" s="13">
        <f t="shared" si="22"/>
        <v>3</v>
      </c>
      <c r="I199" t="str">
        <f t="shared" si="21"/>
        <v>C3P13</v>
      </c>
    </row>
    <row r="200" spans="1:9">
      <c r="A200" t="str">
        <f>'Assemble Data'!B201</f>
        <v>P11</v>
      </c>
      <c r="B200" s="13">
        <f>IFERROR(SUMIF('Assemble Data'!K:K,'Assemble Data'!A201,'Assemble Data'!L:L),0)</f>
        <v>8800</v>
      </c>
      <c r="C200" s="13" t="str">
        <f>INDEX('Assemble Data'!$O$24:$O$1023,MATCH('Assemble Data'!A201,'Assemble Data'!$N$24:$N$1023,0))</f>
        <v>C3</v>
      </c>
      <c r="D200" s="13">
        <f>SUMIF('Assemble Data'!H:H,'Assemble Data'!A201,'Assemble Data'!I:I)</f>
        <v>11</v>
      </c>
      <c r="E200" s="13">
        <f>IFERROR(IF(AND('Assemble Data'!D201&lt;&gt;"",'Assemble Data'!D201&lt;&gt;B200),1,0),1)</f>
        <v>0</v>
      </c>
      <c r="F200" s="13">
        <f ca="1">IF('Assemble Data'!E201="",0,IF(ISERROR(FIND("INDEX",_xlfn.FORMULATEXT('Assemble Data'!E201),1)),1,0)+IFERROR(IF(AND('Assemble Data'!E201&lt;&gt;C200,'Assemble Data'!E201&lt;&gt;""),1,0),1))</f>
        <v>0</v>
      </c>
      <c r="G200" s="13">
        <f ca="1">IF('Assemble Data'!F201="",0,IF(ISERROR(FIND("VLOOKUP",_xlfn.FORMULATEXT('Assemble Data'!F201),1)),1,0)+IFERROR(IF(AND('Assemble Data'!F201&lt;&gt;D200,'Assemble Data'!F201&lt;&gt;""),1,0),1))</f>
        <v>0</v>
      </c>
      <c r="H200" s="13">
        <f t="shared" si="22"/>
        <v>9</v>
      </c>
      <c r="I200" t="str">
        <f t="shared" si="21"/>
        <v>C3P11</v>
      </c>
    </row>
    <row r="201" spans="1:9">
      <c r="A201" t="str">
        <f>'Assemble Data'!B202</f>
        <v>P11</v>
      </c>
      <c r="B201" s="13">
        <f>IFERROR(SUMIF('Assemble Data'!K:K,'Assemble Data'!A202,'Assemble Data'!L:L),0)</f>
        <v>8800</v>
      </c>
      <c r="C201" s="13" t="str">
        <f>INDEX('Assemble Data'!$O$24:$O$1023,MATCH('Assemble Data'!A202,'Assemble Data'!$N$24:$N$1023,0))</f>
        <v>C3</v>
      </c>
      <c r="D201" s="13">
        <f>SUMIF('Assemble Data'!H:H,'Assemble Data'!A202,'Assemble Data'!I:I)</f>
        <v>11</v>
      </c>
      <c r="E201" s="13">
        <f>IFERROR(IF(AND('Assemble Data'!D202&lt;&gt;"",'Assemble Data'!D202&lt;&gt;B201),1,0),1)</f>
        <v>0</v>
      </c>
      <c r="F201" s="13">
        <f ca="1">IF('Assemble Data'!E202="",0,IF(ISERROR(FIND("INDEX",_xlfn.FORMULATEXT('Assemble Data'!E202),1)),1,0)+IFERROR(IF(AND('Assemble Data'!E202&lt;&gt;C201,'Assemble Data'!E202&lt;&gt;""),1,0),1))</f>
        <v>0</v>
      </c>
      <c r="G201" s="13">
        <f ca="1">IF('Assemble Data'!F202="",0,IF(ISERROR(FIND("VLOOKUP",_xlfn.FORMULATEXT('Assemble Data'!F202),1)),1,0)+IFERROR(IF(AND('Assemble Data'!F202&lt;&gt;D201,'Assemble Data'!F202&lt;&gt;""),1,0),1))</f>
        <v>0</v>
      </c>
      <c r="H201" s="13">
        <f t="shared" si="22"/>
        <v>9</v>
      </c>
      <c r="I201" t="str">
        <f t="shared" si="21"/>
        <v>C3P11</v>
      </c>
    </row>
    <row r="202" spans="1:9">
      <c r="A202" t="str">
        <f>'Assemble Data'!B203</f>
        <v>P12</v>
      </c>
      <c r="B202" s="13">
        <f>IFERROR(SUMIF('Assemble Data'!K:K,'Assemble Data'!A203,'Assemble Data'!L:L),0)</f>
        <v>5460</v>
      </c>
      <c r="C202" s="13" t="str">
        <f>INDEX('Assemble Data'!$O$24:$O$1023,MATCH('Assemble Data'!A203,'Assemble Data'!$N$24:$N$1023,0))</f>
        <v>C3</v>
      </c>
      <c r="D202" s="13">
        <f>SUMIF('Assemble Data'!H:H,'Assemble Data'!A203,'Assemble Data'!I:I)</f>
        <v>6.5</v>
      </c>
      <c r="E202" s="13">
        <f>IFERROR(IF(AND('Assemble Data'!D203&lt;&gt;"",'Assemble Data'!D203&lt;&gt;B202),1,0),1)</f>
        <v>0</v>
      </c>
      <c r="F202" s="13">
        <f ca="1">IF('Assemble Data'!E203="",0,IF(ISERROR(FIND("INDEX",_xlfn.FORMULATEXT('Assemble Data'!E203),1)),1,0)+IFERROR(IF(AND('Assemble Data'!E203&lt;&gt;C202,'Assemble Data'!E203&lt;&gt;""),1,0),1))</f>
        <v>0</v>
      </c>
      <c r="G202" s="13">
        <f ca="1">IF('Assemble Data'!F203="",0,IF(ISERROR(FIND("VLOOKUP",_xlfn.FORMULATEXT('Assemble Data'!F203),1)),1,0)+IFERROR(IF(AND('Assemble Data'!F203&lt;&gt;D202,'Assemble Data'!F203&lt;&gt;""),1,0),1))</f>
        <v>0</v>
      </c>
      <c r="H202" s="13">
        <f t="shared" si="22"/>
        <v>7</v>
      </c>
      <c r="I202" t="str">
        <f t="shared" si="21"/>
        <v>C3P12</v>
      </c>
    </row>
    <row r="203" spans="1:9">
      <c r="A203" t="str">
        <f>'Assemble Data'!B204</f>
        <v>P10</v>
      </c>
      <c r="B203" s="13">
        <f>IFERROR(SUMIF('Assemble Data'!K:K,'Assemble Data'!A204,'Assemble Data'!L:L),0)</f>
        <v>1920</v>
      </c>
      <c r="C203" s="13" t="str">
        <f>INDEX('Assemble Data'!$O$24:$O$1023,MATCH('Assemble Data'!A204,'Assemble Data'!$N$24:$N$1023,0))</f>
        <v>C3</v>
      </c>
      <c r="D203" s="13">
        <f>SUMIF('Assemble Data'!H:H,'Assemble Data'!A204,'Assemble Data'!I:I)</f>
        <v>3</v>
      </c>
      <c r="E203" s="13">
        <f>IFERROR(IF(AND('Assemble Data'!D204&lt;&gt;"",'Assemble Data'!D204&lt;&gt;B203),1,0),1)</f>
        <v>0</v>
      </c>
      <c r="F203" s="13">
        <f ca="1">IF('Assemble Data'!E204="",0,IF(ISERROR(FIND("INDEX",_xlfn.FORMULATEXT('Assemble Data'!E204),1)),1,0)+IFERROR(IF(AND('Assemble Data'!E204&lt;&gt;C203,'Assemble Data'!E204&lt;&gt;""),1,0),1))</f>
        <v>0</v>
      </c>
      <c r="G203" s="13">
        <f ca="1">IF('Assemble Data'!F204="",0,IF(ISERROR(FIND("VLOOKUP",_xlfn.FORMULATEXT('Assemble Data'!F204),1)),1,0)+IFERROR(IF(AND('Assemble Data'!F204&lt;&gt;D203,'Assemble Data'!F204&lt;&gt;""),1,0),1))</f>
        <v>0</v>
      </c>
      <c r="H203" s="13">
        <f t="shared" si="22"/>
        <v>8</v>
      </c>
      <c r="I203" t="str">
        <f t="shared" si="21"/>
        <v>C3P10</v>
      </c>
    </row>
    <row r="204" spans="1:9">
      <c r="A204" t="str">
        <f>'Assemble Data'!B205</f>
        <v>P10</v>
      </c>
      <c r="B204" s="13">
        <f>IFERROR(SUMIF('Assemble Data'!K:K,'Assemble Data'!A205,'Assemble Data'!L:L),0)</f>
        <v>1920</v>
      </c>
      <c r="C204" s="13" t="str">
        <f>INDEX('Assemble Data'!$O$24:$O$1023,MATCH('Assemble Data'!A205,'Assemble Data'!$N$24:$N$1023,0))</f>
        <v>C3</v>
      </c>
      <c r="D204" s="13">
        <f>SUMIF('Assemble Data'!H:H,'Assemble Data'!A205,'Assemble Data'!I:I)</f>
        <v>3</v>
      </c>
      <c r="E204" s="13">
        <f>IFERROR(IF(AND('Assemble Data'!D205&lt;&gt;"",'Assemble Data'!D205&lt;&gt;B204),1,0),1)</f>
        <v>0</v>
      </c>
      <c r="F204" s="13">
        <f ca="1">IF('Assemble Data'!E205="",0,IF(ISERROR(FIND("INDEX",_xlfn.FORMULATEXT('Assemble Data'!E205),1)),1,0)+IFERROR(IF(AND('Assemble Data'!E205&lt;&gt;C204,'Assemble Data'!E205&lt;&gt;""),1,0),1))</f>
        <v>0</v>
      </c>
      <c r="G204" s="13">
        <f ca="1">IF('Assemble Data'!F205="",0,IF(ISERROR(FIND("VLOOKUP",_xlfn.FORMULATEXT('Assemble Data'!F205),1)),1,0)+IFERROR(IF(AND('Assemble Data'!F205&lt;&gt;D204,'Assemble Data'!F205&lt;&gt;""),1,0),1))</f>
        <v>0</v>
      </c>
      <c r="H204" s="13">
        <f t="shared" si="22"/>
        <v>8</v>
      </c>
      <c r="I204" t="str">
        <f t="shared" si="21"/>
        <v>C3P10</v>
      </c>
    </row>
    <row r="205" spans="1:9">
      <c r="A205" t="str">
        <f>'Assemble Data'!B206</f>
        <v>P11</v>
      </c>
      <c r="B205" s="13">
        <f>IFERROR(SUMIF('Assemble Data'!K:K,'Assemble Data'!A206,'Assemble Data'!L:L),0)</f>
        <v>8800</v>
      </c>
      <c r="C205" s="13" t="str">
        <f>INDEX('Assemble Data'!$O$24:$O$1023,MATCH('Assemble Data'!A206,'Assemble Data'!$N$24:$N$1023,0))</f>
        <v>C3</v>
      </c>
      <c r="D205" s="13">
        <f>SUMIF('Assemble Data'!H:H,'Assemble Data'!A206,'Assemble Data'!I:I)</f>
        <v>11</v>
      </c>
      <c r="E205" s="13">
        <f>IFERROR(IF(AND('Assemble Data'!D206&lt;&gt;"",'Assemble Data'!D206&lt;&gt;B205),1,0),1)</f>
        <v>0</v>
      </c>
      <c r="F205" s="13">
        <f ca="1">IF('Assemble Data'!E206="",0,IF(ISERROR(FIND("INDEX",_xlfn.FORMULATEXT('Assemble Data'!E206),1)),1,0)+IFERROR(IF(AND('Assemble Data'!E206&lt;&gt;C205,'Assemble Data'!E206&lt;&gt;""),1,0),1))</f>
        <v>0</v>
      </c>
      <c r="G205" s="13">
        <f ca="1">IF('Assemble Data'!F206="",0,IF(ISERROR(FIND("VLOOKUP",_xlfn.FORMULATEXT('Assemble Data'!F206),1)),1,0)+IFERROR(IF(AND('Assemble Data'!F206&lt;&gt;D205,'Assemble Data'!F206&lt;&gt;""),1,0),1))</f>
        <v>0</v>
      </c>
      <c r="H205" s="13">
        <f t="shared" si="22"/>
        <v>9</v>
      </c>
      <c r="I205" t="str">
        <f t="shared" si="21"/>
        <v>C3P11</v>
      </c>
    </row>
    <row r="206" spans="1:9">
      <c r="A206" t="str">
        <f>'Assemble Data'!B207</f>
        <v>P18</v>
      </c>
      <c r="B206" s="13">
        <f>IFERROR(SUMIF('Assemble Data'!K:K,'Assemble Data'!A207,'Assemble Data'!L:L),0)</f>
        <v>4320</v>
      </c>
      <c r="C206" s="13" t="str">
        <f>INDEX('Assemble Data'!$O$24:$O$1023,MATCH('Assemble Data'!A207,'Assemble Data'!$N$24:$N$1023,0))</f>
        <v>O3</v>
      </c>
      <c r="D206" s="13">
        <f>SUMIF('Assemble Data'!H:H,'Assemble Data'!A207,'Assemble Data'!I:I)</f>
        <v>6</v>
      </c>
      <c r="E206" s="13">
        <f>IFERROR(IF(AND('Assemble Data'!D207&lt;&gt;"",'Assemble Data'!D207&lt;&gt;B206),1,0),1)</f>
        <v>0</v>
      </c>
      <c r="F206" s="13">
        <f ca="1">IF('Assemble Data'!E207="",0,IF(ISERROR(FIND("INDEX",_xlfn.FORMULATEXT('Assemble Data'!E207),1)),1,0)+IFERROR(IF(AND('Assemble Data'!E207&lt;&gt;C206,'Assemble Data'!E207&lt;&gt;""),1,0),1))</f>
        <v>0</v>
      </c>
      <c r="G206" s="13">
        <f ca="1">IF('Assemble Data'!F207="",0,IF(ISERROR(FIND("VLOOKUP",_xlfn.FORMULATEXT('Assemble Data'!F207),1)),1,0)+IFERROR(IF(AND('Assemble Data'!F207&lt;&gt;D206,'Assemble Data'!F207&lt;&gt;""),1,0),1))</f>
        <v>0</v>
      </c>
      <c r="H206" s="13">
        <f t="shared" si="22"/>
        <v>2</v>
      </c>
      <c r="I206" t="str">
        <f t="shared" si="21"/>
        <v>O3P18</v>
      </c>
    </row>
    <row r="207" spans="1:9">
      <c r="A207" t="str">
        <f>'Assemble Data'!B208</f>
        <v>P14</v>
      </c>
      <c r="B207" s="13">
        <f>IFERROR(SUMIF('Assemble Data'!K:K,'Assemble Data'!A208,'Assemble Data'!L:L),0)</f>
        <v>7200</v>
      </c>
      <c r="C207" s="13" t="str">
        <f>INDEX('Assemble Data'!$O$24:$O$1023,MATCH('Assemble Data'!A208,'Assemble Data'!$N$24:$N$1023,0))</f>
        <v>N3</v>
      </c>
      <c r="D207" s="13">
        <f>SUMIF('Assemble Data'!H:H,'Assemble Data'!A208,'Assemble Data'!I:I)</f>
        <v>8</v>
      </c>
      <c r="E207" s="13">
        <f>IFERROR(IF(AND('Assemble Data'!D208&lt;&gt;"",'Assemble Data'!D208&lt;&gt;B207),1,0),1)</f>
        <v>0</v>
      </c>
      <c r="F207" s="13">
        <f ca="1">IF('Assemble Data'!E208="",0,IF(ISERROR(FIND("INDEX",_xlfn.FORMULATEXT('Assemble Data'!E208),1)),1,0)+IFERROR(IF(AND('Assemble Data'!E208&lt;&gt;C207,'Assemble Data'!E208&lt;&gt;""),1,0),1))</f>
        <v>0</v>
      </c>
      <c r="G207" s="13">
        <f ca="1">IF('Assemble Data'!F208="",0,IF(ISERROR(FIND("VLOOKUP",_xlfn.FORMULATEXT('Assemble Data'!F208),1)),1,0)+IFERROR(IF(AND('Assemble Data'!F208&lt;&gt;D207,'Assemble Data'!F208&lt;&gt;""),1,0),1))</f>
        <v>0</v>
      </c>
      <c r="H207" s="13">
        <f t="shared" si="22"/>
        <v>5</v>
      </c>
      <c r="I207" t="str">
        <f t="shared" si="21"/>
        <v>N3P14</v>
      </c>
    </row>
    <row r="208" spans="1:9">
      <c r="A208" t="str">
        <f>'Assemble Data'!B209</f>
        <v>P10</v>
      </c>
      <c r="B208" s="13">
        <f>IFERROR(SUMIF('Assemble Data'!K:K,'Assemble Data'!A209,'Assemble Data'!L:L),0)</f>
        <v>1920</v>
      </c>
      <c r="C208" s="13" t="str">
        <f>INDEX('Assemble Data'!$O$24:$O$1023,MATCH('Assemble Data'!A209,'Assemble Data'!$N$24:$N$1023,0))</f>
        <v>C3</v>
      </c>
      <c r="D208" s="13">
        <f>SUMIF('Assemble Data'!H:H,'Assemble Data'!A209,'Assemble Data'!I:I)</f>
        <v>3</v>
      </c>
      <c r="E208" s="13">
        <f>IFERROR(IF(AND('Assemble Data'!D209&lt;&gt;"",'Assemble Data'!D209&lt;&gt;B208),1,0),1)</f>
        <v>0</v>
      </c>
      <c r="F208" s="13">
        <f ca="1">IF('Assemble Data'!E209="",0,IF(ISERROR(FIND("INDEX",_xlfn.FORMULATEXT('Assemble Data'!E209),1)),1,0)+IFERROR(IF(AND('Assemble Data'!E209&lt;&gt;C208,'Assemble Data'!E209&lt;&gt;""),1,0),1))</f>
        <v>0</v>
      </c>
      <c r="G208" s="13">
        <f ca="1">IF('Assemble Data'!F209="",0,IF(ISERROR(FIND("VLOOKUP",_xlfn.FORMULATEXT('Assemble Data'!F209),1)),1,0)+IFERROR(IF(AND('Assemble Data'!F209&lt;&gt;D208,'Assemble Data'!F209&lt;&gt;""),1,0),1))</f>
        <v>0</v>
      </c>
      <c r="H208" s="13">
        <f t="shared" si="22"/>
        <v>8</v>
      </c>
      <c r="I208" t="str">
        <f t="shared" si="21"/>
        <v>C3P10</v>
      </c>
    </row>
    <row r="209" spans="1:9">
      <c r="A209" t="str">
        <f>'Assemble Data'!B210</f>
        <v>P13</v>
      </c>
      <c r="B209" s="13">
        <f>IFERROR(SUMIF('Assemble Data'!K:K,'Assemble Data'!A210,'Assemble Data'!L:L),0)</f>
        <v>3600</v>
      </c>
      <c r="C209" s="13" t="str">
        <f>INDEX('Assemble Data'!$O$24:$O$1023,MATCH('Assemble Data'!A210,'Assemble Data'!$N$24:$N$1023,0))</f>
        <v>C3</v>
      </c>
      <c r="D209" s="13">
        <f>SUMIF('Assemble Data'!H:H,'Assemble Data'!A210,'Assemble Data'!I:I)</f>
        <v>5</v>
      </c>
      <c r="E209" s="13">
        <f>IFERROR(IF(AND('Assemble Data'!D210&lt;&gt;"",'Assemble Data'!D210&lt;&gt;B209),1,0),1)</f>
        <v>0</v>
      </c>
      <c r="F209" s="13">
        <f ca="1">IF('Assemble Data'!E210="",0,IF(ISERROR(FIND("INDEX",_xlfn.FORMULATEXT('Assemble Data'!E210),1)),1,0)+IFERROR(IF(AND('Assemble Data'!E210&lt;&gt;C209,'Assemble Data'!E210&lt;&gt;""),1,0),1))</f>
        <v>0</v>
      </c>
      <c r="G209" s="13">
        <f ca="1">IF('Assemble Data'!F210="",0,IF(ISERROR(FIND("VLOOKUP",_xlfn.FORMULATEXT('Assemble Data'!F210),1)),1,0)+IFERROR(IF(AND('Assemble Data'!F210&lt;&gt;D209,'Assemble Data'!F210&lt;&gt;""),1,0),1))</f>
        <v>0</v>
      </c>
      <c r="H209" s="13">
        <f t="shared" si="22"/>
        <v>3</v>
      </c>
      <c r="I209" t="str">
        <f t="shared" si="21"/>
        <v>C3P13</v>
      </c>
    </row>
    <row r="210" spans="1:9">
      <c r="A210" t="str">
        <f>'Assemble Data'!B211</f>
        <v>P13</v>
      </c>
      <c r="B210" s="13">
        <f>IFERROR(SUMIF('Assemble Data'!K:K,'Assemble Data'!A211,'Assemble Data'!L:L),0)</f>
        <v>3600</v>
      </c>
      <c r="C210" s="13" t="str">
        <f>INDEX('Assemble Data'!$O$24:$O$1023,MATCH('Assemble Data'!A211,'Assemble Data'!$N$24:$N$1023,0))</f>
        <v>C3</v>
      </c>
      <c r="D210" s="13">
        <f>SUMIF('Assemble Data'!H:H,'Assemble Data'!A211,'Assemble Data'!I:I)</f>
        <v>5</v>
      </c>
      <c r="E210" s="13">
        <f>IFERROR(IF(AND('Assemble Data'!D211&lt;&gt;"",'Assemble Data'!D211&lt;&gt;B210),1,0),1)</f>
        <v>0</v>
      </c>
      <c r="F210" s="13">
        <f ca="1">IF('Assemble Data'!E211="",0,IF(ISERROR(FIND("INDEX",_xlfn.FORMULATEXT('Assemble Data'!E211),1)),1,0)+IFERROR(IF(AND('Assemble Data'!E211&lt;&gt;C210,'Assemble Data'!E211&lt;&gt;""),1,0),1))</f>
        <v>0</v>
      </c>
      <c r="G210" s="13">
        <f ca="1">IF('Assemble Data'!F211="",0,IF(ISERROR(FIND("VLOOKUP",_xlfn.FORMULATEXT('Assemble Data'!F211),1)),1,0)+IFERROR(IF(AND('Assemble Data'!F211&lt;&gt;D210,'Assemble Data'!F211&lt;&gt;""),1,0),1))</f>
        <v>0</v>
      </c>
      <c r="H210" s="13">
        <f t="shared" si="22"/>
        <v>3</v>
      </c>
      <c r="I210" t="str">
        <f t="shared" si="21"/>
        <v>C3P13</v>
      </c>
    </row>
    <row r="211" spans="1:9">
      <c r="A211" t="str">
        <f>'Assemble Data'!B212</f>
        <v>P10</v>
      </c>
      <c r="B211" s="13">
        <f>IFERROR(SUMIF('Assemble Data'!K:K,'Assemble Data'!A212,'Assemble Data'!L:L),0)</f>
        <v>1920</v>
      </c>
      <c r="C211" s="13" t="str">
        <f>INDEX('Assemble Data'!$O$24:$O$1023,MATCH('Assemble Data'!A212,'Assemble Data'!$N$24:$N$1023,0))</f>
        <v>C3</v>
      </c>
      <c r="D211" s="13">
        <f>SUMIF('Assemble Data'!H:H,'Assemble Data'!A212,'Assemble Data'!I:I)</f>
        <v>3</v>
      </c>
      <c r="E211" s="13">
        <f>IFERROR(IF(AND('Assemble Data'!D212&lt;&gt;"",'Assemble Data'!D212&lt;&gt;B211),1,0),1)</f>
        <v>0</v>
      </c>
      <c r="F211" s="13">
        <f ca="1">IF('Assemble Data'!E212="",0,IF(ISERROR(FIND("INDEX",_xlfn.FORMULATEXT('Assemble Data'!E212),1)),1,0)+IFERROR(IF(AND('Assemble Data'!E212&lt;&gt;C211,'Assemble Data'!E212&lt;&gt;""),1,0),1))</f>
        <v>0</v>
      </c>
      <c r="G211" s="13">
        <f ca="1">IF('Assemble Data'!F212="",0,IF(ISERROR(FIND("VLOOKUP",_xlfn.FORMULATEXT('Assemble Data'!F212),1)),1,0)+IFERROR(IF(AND('Assemble Data'!F212&lt;&gt;D211,'Assemble Data'!F212&lt;&gt;""),1,0),1))</f>
        <v>0</v>
      </c>
      <c r="H211" s="13">
        <f t="shared" si="22"/>
        <v>8</v>
      </c>
      <c r="I211" t="str">
        <f t="shared" si="21"/>
        <v>C3P10</v>
      </c>
    </row>
    <row r="212" spans="1:9">
      <c r="A212" t="str">
        <f>'Assemble Data'!B213</f>
        <v>P11</v>
      </c>
      <c r="B212" s="13">
        <f>IFERROR(SUMIF('Assemble Data'!K:K,'Assemble Data'!A213,'Assemble Data'!L:L),0)</f>
        <v>8800</v>
      </c>
      <c r="C212" s="13" t="str">
        <f>INDEX('Assemble Data'!$O$24:$O$1023,MATCH('Assemble Data'!A213,'Assemble Data'!$N$24:$N$1023,0))</f>
        <v>C3</v>
      </c>
      <c r="D212" s="13">
        <f>SUMIF('Assemble Data'!H:H,'Assemble Data'!A213,'Assemble Data'!I:I)</f>
        <v>11</v>
      </c>
      <c r="E212" s="13">
        <f>IFERROR(IF(AND('Assemble Data'!D213&lt;&gt;"",'Assemble Data'!D213&lt;&gt;B212),1,0),1)</f>
        <v>0</v>
      </c>
      <c r="F212" s="13">
        <f ca="1">IF('Assemble Data'!E213="",0,IF(ISERROR(FIND("INDEX",_xlfn.FORMULATEXT('Assemble Data'!E213),1)),1,0)+IFERROR(IF(AND('Assemble Data'!E213&lt;&gt;C212,'Assemble Data'!E213&lt;&gt;""),1,0),1))</f>
        <v>0</v>
      </c>
      <c r="G212" s="13">
        <f ca="1">IF('Assemble Data'!F213="",0,IF(ISERROR(FIND("VLOOKUP",_xlfn.FORMULATEXT('Assemble Data'!F213),1)),1,0)+IFERROR(IF(AND('Assemble Data'!F213&lt;&gt;D212,'Assemble Data'!F213&lt;&gt;""),1,0),1))</f>
        <v>0</v>
      </c>
      <c r="H212" s="13">
        <f t="shared" si="22"/>
        <v>9</v>
      </c>
      <c r="I212" t="str">
        <f t="shared" si="21"/>
        <v>C3P11</v>
      </c>
    </row>
    <row r="213" spans="1:9">
      <c r="A213" t="str">
        <f>'Assemble Data'!B214</f>
        <v>P16</v>
      </c>
      <c r="B213" s="13">
        <f>IFERROR(SUMIF('Assemble Data'!K:K,'Assemble Data'!A214,'Assemble Data'!L:L),0)</f>
        <v>5200</v>
      </c>
      <c r="C213" s="13" t="str">
        <f>INDEX('Assemble Data'!$O$24:$O$1023,MATCH('Assemble Data'!A214,'Assemble Data'!$N$24:$N$1023,0))</f>
        <v>N3</v>
      </c>
      <c r="D213" s="13">
        <f>SUMIF('Assemble Data'!H:H,'Assemble Data'!A214,'Assemble Data'!I:I)</f>
        <v>4</v>
      </c>
      <c r="E213" s="13">
        <f>IFERROR(IF(AND('Assemble Data'!D214&lt;&gt;"",'Assemble Data'!D214&lt;&gt;B213),1,0),1)</f>
        <v>0</v>
      </c>
      <c r="F213" s="13">
        <f ca="1">IF('Assemble Data'!E214="",0,IF(ISERROR(FIND("INDEX",_xlfn.FORMULATEXT('Assemble Data'!E214),1)),1,0)+IFERROR(IF(AND('Assemble Data'!E214&lt;&gt;C213,'Assemble Data'!E214&lt;&gt;""),1,0),1))</f>
        <v>0</v>
      </c>
      <c r="G213" s="13">
        <f ca="1">IF('Assemble Data'!F214="",0,IF(ISERROR(FIND("VLOOKUP",_xlfn.FORMULATEXT('Assemble Data'!F214),1)),1,0)+IFERROR(IF(AND('Assemble Data'!F214&lt;&gt;D213,'Assemble Data'!F214&lt;&gt;""),1,0),1))</f>
        <v>0</v>
      </c>
      <c r="H213" s="13">
        <f t="shared" si="22"/>
        <v>0</v>
      </c>
      <c r="I213" t="str">
        <f t="shared" si="21"/>
        <v>N3P16</v>
      </c>
    </row>
    <row r="214" spans="1:9">
      <c r="A214" t="str">
        <f>'Assemble Data'!B215</f>
        <v>P17</v>
      </c>
      <c r="B214" s="13">
        <f>IFERROR(SUMIF('Assemble Data'!K:K,'Assemble Data'!A215,'Assemble Data'!L:L),0)</f>
        <v>9600</v>
      </c>
      <c r="C214" s="13" t="str">
        <f>INDEX('Assemble Data'!$O$24:$O$1023,MATCH('Assemble Data'!A215,'Assemble Data'!$N$24:$N$1023,0))</f>
        <v>O3</v>
      </c>
      <c r="D214" s="13">
        <f>SUMIF('Assemble Data'!H:H,'Assemble Data'!A215,'Assemble Data'!I:I)</f>
        <v>12</v>
      </c>
      <c r="E214" s="13">
        <f>IFERROR(IF(AND('Assemble Data'!D215&lt;&gt;"",'Assemble Data'!D215&lt;&gt;B214),1,0),1)</f>
        <v>0</v>
      </c>
      <c r="F214" s="13">
        <f ca="1">IF('Assemble Data'!E215="",0,IF(ISERROR(FIND("INDEX",_xlfn.FORMULATEXT('Assemble Data'!E215),1)),1,0)+IFERROR(IF(AND('Assemble Data'!E215&lt;&gt;C214,'Assemble Data'!E215&lt;&gt;""),1,0),1))</f>
        <v>0</v>
      </c>
      <c r="G214" s="13">
        <f ca="1">IF('Assemble Data'!F215="",0,IF(ISERROR(FIND("VLOOKUP",_xlfn.FORMULATEXT('Assemble Data'!F215),1)),1,0)+IFERROR(IF(AND('Assemble Data'!F215&lt;&gt;D214,'Assemble Data'!F215&lt;&gt;""),1,0),1))</f>
        <v>0</v>
      </c>
      <c r="H214" s="13">
        <f t="shared" si="22"/>
        <v>6</v>
      </c>
      <c r="I214" t="str">
        <f t="shared" si="21"/>
        <v>O3P17</v>
      </c>
    </row>
    <row r="215" spans="1:9">
      <c r="A215" t="str">
        <f>'Assemble Data'!B216</f>
        <v>P17</v>
      </c>
      <c r="B215" s="13">
        <f>IFERROR(SUMIF('Assemble Data'!K:K,'Assemble Data'!A216,'Assemble Data'!L:L),0)</f>
        <v>9600</v>
      </c>
      <c r="C215" s="13" t="str">
        <f>INDEX('Assemble Data'!$O$24:$O$1023,MATCH('Assemble Data'!A216,'Assemble Data'!$N$24:$N$1023,0))</f>
        <v>O3</v>
      </c>
      <c r="D215" s="13">
        <f>SUMIF('Assemble Data'!H:H,'Assemble Data'!A216,'Assemble Data'!I:I)</f>
        <v>12</v>
      </c>
      <c r="E215" s="13">
        <f>IFERROR(IF(AND('Assemble Data'!D216&lt;&gt;"",'Assemble Data'!D216&lt;&gt;B215),1,0),1)</f>
        <v>0</v>
      </c>
      <c r="F215" s="13">
        <f ca="1">IF('Assemble Data'!E216="",0,IF(ISERROR(FIND("INDEX",_xlfn.FORMULATEXT('Assemble Data'!E216),1)),1,0)+IFERROR(IF(AND('Assemble Data'!E216&lt;&gt;C215,'Assemble Data'!E216&lt;&gt;""),1,0),1))</f>
        <v>0</v>
      </c>
      <c r="G215" s="13">
        <f ca="1">IF('Assemble Data'!F216="",0,IF(ISERROR(FIND("VLOOKUP",_xlfn.FORMULATEXT('Assemble Data'!F216),1)),1,0)+IFERROR(IF(AND('Assemble Data'!F216&lt;&gt;D215,'Assemble Data'!F216&lt;&gt;""),1,0),1))</f>
        <v>0</v>
      </c>
      <c r="H215" s="13">
        <f t="shared" si="22"/>
        <v>6</v>
      </c>
      <c r="I215" t="str">
        <f t="shared" si="21"/>
        <v>O3P17</v>
      </c>
    </row>
    <row r="216" spans="1:9">
      <c r="A216" t="str">
        <f>'Assemble Data'!B217</f>
        <v>P13</v>
      </c>
      <c r="B216" s="13">
        <f>IFERROR(SUMIF('Assemble Data'!K:K,'Assemble Data'!A217,'Assemble Data'!L:L),0)</f>
        <v>7200</v>
      </c>
      <c r="C216" s="13" t="str">
        <f>INDEX('Assemble Data'!$O$24:$O$1023,MATCH('Assemble Data'!A217,'Assemble Data'!$N$24:$N$1023,0))</f>
        <v>C3</v>
      </c>
      <c r="D216" s="13">
        <f>SUMIF('Assemble Data'!H:H,'Assemble Data'!A217,'Assemble Data'!I:I)</f>
        <v>5</v>
      </c>
      <c r="E216" s="13">
        <f>IFERROR(IF(AND('Assemble Data'!D217&lt;&gt;"",'Assemble Data'!D217&lt;&gt;B216),1,0),1)</f>
        <v>0</v>
      </c>
      <c r="F216" s="13">
        <f ca="1">IF('Assemble Data'!E217="",0,IF(ISERROR(FIND("INDEX",_xlfn.FORMULATEXT('Assemble Data'!E217),1)),1,0)+IFERROR(IF(AND('Assemble Data'!E217&lt;&gt;C216,'Assemble Data'!E217&lt;&gt;""),1,0),1))</f>
        <v>0</v>
      </c>
      <c r="G216" s="13">
        <f ca="1">IF('Assemble Data'!F217="",0,IF(ISERROR(FIND("VLOOKUP",_xlfn.FORMULATEXT('Assemble Data'!F217),1)),1,0)+IFERROR(IF(AND('Assemble Data'!F217&lt;&gt;D216,'Assemble Data'!F217&lt;&gt;""),1,0),1))</f>
        <v>0</v>
      </c>
      <c r="H216" s="13">
        <f t="shared" si="22"/>
        <v>3</v>
      </c>
      <c r="I216" t="str">
        <f t="shared" ref="I216:I279" si="23">C216&amp;A216</f>
        <v>C3P13</v>
      </c>
    </row>
    <row r="217" spans="1:9">
      <c r="A217" t="str">
        <f>'Assemble Data'!B218</f>
        <v>P11</v>
      </c>
      <c r="B217" s="13">
        <f>IFERROR(SUMIF('Assemble Data'!K:K,'Assemble Data'!A218,'Assemble Data'!L:L),0)</f>
        <v>8800</v>
      </c>
      <c r="C217" s="13" t="str">
        <f>INDEX('Assemble Data'!$O$24:$O$1023,MATCH('Assemble Data'!A218,'Assemble Data'!$N$24:$N$1023,0))</f>
        <v>C3</v>
      </c>
      <c r="D217" s="13">
        <f>SUMIF('Assemble Data'!H:H,'Assemble Data'!A218,'Assemble Data'!I:I)</f>
        <v>11</v>
      </c>
      <c r="E217" s="13">
        <f>IFERROR(IF(AND('Assemble Data'!D218&lt;&gt;"",'Assemble Data'!D218&lt;&gt;B217),1,0),1)</f>
        <v>0</v>
      </c>
      <c r="F217" s="13">
        <f ca="1">IF('Assemble Data'!E218="",0,IF(ISERROR(FIND("INDEX",_xlfn.FORMULATEXT('Assemble Data'!E218),1)),1,0)+IFERROR(IF(AND('Assemble Data'!E218&lt;&gt;C217,'Assemble Data'!E218&lt;&gt;""),1,0),1))</f>
        <v>0</v>
      </c>
      <c r="G217" s="13">
        <f ca="1">IF('Assemble Data'!F218="",0,IF(ISERROR(FIND("VLOOKUP",_xlfn.FORMULATEXT('Assemble Data'!F218),1)),1,0)+IFERROR(IF(AND('Assemble Data'!F218&lt;&gt;D217,'Assemble Data'!F218&lt;&gt;""),1,0),1))</f>
        <v>0</v>
      </c>
      <c r="H217" s="13">
        <f t="shared" si="22"/>
        <v>9</v>
      </c>
      <c r="I217" t="str">
        <f t="shared" si="23"/>
        <v>C3P11</v>
      </c>
    </row>
    <row r="218" spans="1:9">
      <c r="A218" t="str">
        <f>'Assemble Data'!B219</f>
        <v>P11</v>
      </c>
      <c r="B218" s="13">
        <f>IFERROR(SUMIF('Assemble Data'!K:K,'Assemble Data'!A219,'Assemble Data'!L:L),0)</f>
        <v>8800</v>
      </c>
      <c r="C218" s="13" t="str">
        <f>INDEX('Assemble Data'!$O$24:$O$1023,MATCH('Assemble Data'!A219,'Assemble Data'!$N$24:$N$1023,0))</f>
        <v>C3</v>
      </c>
      <c r="D218" s="13">
        <f>SUMIF('Assemble Data'!H:H,'Assemble Data'!A219,'Assemble Data'!I:I)</f>
        <v>11</v>
      </c>
      <c r="E218" s="13">
        <f>IFERROR(IF(AND('Assemble Data'!D219&lt;&gt;"",'Assemble Data'!D219&lt;&gt;B218),1,0),1)</f>
        <v>0</v>
      </c>
      <c r="F218" s="13">
        <f ca="1">IF('Assemble Data'!E219="",0,IF(ISERROR(FIND("INDEX",_xlfn.FORMULATEXT('Assemble Data'!E219),1)),1,0)+IFERROR(IF(AND('Assemble Data'!E219&lt;&gt;C218,'Assemble Data'!E219&lt;&gt;""),1,0),1))</f>
        <v>0</v>
      </c>
      <c r="G218" s="13">
        <f ca="1">IF('Assemble Data'!F219="",0,IF(ISERROR(FIND("VLOOKUP",_xlfn.FORMULATEXT('Assemble Data'!F219),1)),1,0)+IFERROR(IF(AND('Assemble Data'!F219&lt;&gt;D218,'Assemble Data'!F219&lt;&gt;""),1,0),1))</f>
        <v>0</v>
      </c>
      <c r="H218" s="13">
        <f t="shared" si="22"/>
        <v>9</v>
      </c>
      <c r="I218" t="str">
        <f t="shared" si="23"/>
        <v>C3P11</v>
      </c>
    </row>
    <row r="219" spans="1:9">
      <c r="A219" t="str">
        <f>'Assemble Data'!B220</f>
        <v>P12</v>
      </c>
      <c r="B219" s="13">
        <f>IFERROR(SUMIF('Assemble Data'!K:K,'Assemble Data'!A220,'Assemble Data'!L:L),0)</f>
        <v>5460</v>
      </c>
      <c r="C219" s="13" t="str">
        <f>INDEX('Assemble Data'!$O$24:$O$1023,MATCH('Assemble Data'!A220,'Assemble Data'!$N$24:$N$1023,0))</f>
        <v>C3</v>
      </c>
      <c r="D219" s="13">
        <f>SUMIF('Assemble Data'!H:H,'Assemble Data'!A220,'Assemble Data'!I:I)</f>
        <v>6.5</v>
      </c>
      <c r="E219" s="13">
        <f>IFERROR(IF(AND('Assemble Data'!D220&lt;&gt;"",'Assemble Data'!D220&lt;&gt;B219),1,0),1)</f>
        <v>0</v>
      </c>
      <c r="F219" s="13">
        <f ca="1">IF('Assemble Data'!E220="",0,IF(ISERROR(FIND("INDEX",_xlfn.FORMULATEXT('Assemble Data'!E220),1)),1,0)+IFERROR(IF(AND('Assemble Data'!E220&lt;&gt;C219,'Assemble Data'!E220&lt;&gt;""),1,0),1))</f>
        <v>0</v>
      </c>
      <c r="G219" s="13">
        <f ca="1">IF('Assemble Data'!F220="",0,IF(ISERROR(FIND("VLOOKUP",_xlfn.FORMULATEXT('Assemble Data'!F220),1)),1,0)+IFERROR(IF(AND('Assemble Data'!F220&lt;&gt;D219,'Assemble Data'!F220&lt;&gt;""),1,0),1))</f>
        <v>0</v>
      </c>
      <c r="H219" s="13">
        <f t="shared" si="22"/>
        <v>7</v>
      </c>
      <c r="I219" t="str">
        <f t="shared" si="23"/>
        <v>C3P12</v>
      </c>
    </row>
    <row r="220" spans="1:9">
      <c r="A220" t="str">
        <f>'Assemble Data'!B221</f>
        <v>P10</v>
      </c>
      <c r="B220" s="13">
        <f>IFERROR(SUMIF('Assemble Data'!K:K,'Assemble Data'!A221,'Assemble Data'!L:L),0)</f>
        <v>1920</v>
      </c>
      <c r="C220" s="13" t="str">
        <f>INDEX('Assemble Data'!$O$24:$O$1023,MATCH('Assemble Data'!A221,'Assemble Data'!$N$24:$N$1023,0))</f>
        <v>C3</v>
      </c>
      <c r="D220" s="13">
        <f>SUMIF('Assemble Data'!H:H,'Assemble Data'!A221,'Assemble Data'!I:I)</f>
        <v>3</v>
      </c>
      <c r="E220" s="13">
        <f>IFERROR(IF(AND('Assemble Data'!D221&lt;&gt;"",'Assemble Data'!D221&lt;&gt;B220),1,0),1)</f>
        <v>0</v>
      </c>
      <c r="F220" s="13">
        <f ca="1">IF('Assemble Data'!E221="",0,IF(ISERROR(FIND("INDEX",_xlfn.FORMULATEXT('Assemble Data'!E221),1)),1,0)+IFERROR(IF(AND('Assemble Data'!E221&lt;&gt;C220,'Assemble Data'!E221&lt;&gt;""),1,0),1))</f>
        <v>0</v>
      </c>
      <c r="G220" s="13">
        <f ca="1">IF('Assemble Data'!F221="",0,IF(ISERROR(FIND("VLOOKUP",_xlfn.FORMULATEXT('Assemble Data'!F221),1)),1,0)+IFERROR(IF(AND('Assemble Data'!F221&lt;&gt;D220,'Assemble Data'!F221&lt;&gt;""),1,0),1))</f>
        <v>0</v>
      </c>
      <c r="H220" s="13">
        <f t="shared" si="22"/>
        <v>8</v>
      </c>
      <c r="I220" t="str">
        <f t="shared" si="23"/>
        <v>C3P10</v>
      </c>
    </row>
    <row r="221" spans="1:9">
      <c r="A221" t="str">
        <f>'Assemble Data'!B222</f>
        <v>P10</v>
      </c>
      <c r="B221" s="13">
        <f>IFERROR(SUMIF('Assemble Data'!K:K,'Assemble Data'!A222,'Assemble Data'!L:L),0)</f>
        <v>1920</v>
      </c>
      <c r="C221" s="13" t="str">
        <f>INDEX('Assemble Data'!$O$24:$O$1023,MATCH('Assemble Data'!A222,'Assemble Data'!$N$24:$N$1023,0))</f>
        <v>C3</v>
      </c>
      <c r="D221" s="13">
        <f>SUMIF('Assemble Data'!H:H,'Assemble Data'!A222,'Assemble Data'!I:I)</f>
        <v>3</v>
      </c>
      <c r="E221" s="13">
        <f>IFERROR(IF(AND('Assemble Data'!D222&lt;&gt;"",'Assemble Data'!D222&lt;&gt;B221),1,0),1)</f>
        <v>0</v>
      </c>
      <c r="F221" s="13">
        <f ca="1">IF('Assemble Data'!E222="",0,IF(ISERROR(FIND("INDEX",_xlfn.FORMULATEXT('Assemble Data'!E222),1)),1,0)+IFERROR(IF(AND('Assemble Data'!E222&lt;&gt;C221,'Assemble Data'!E222&lt;&gt;""),1,0),1))</f>
        <v>0</v>
      </c>
      <c r="G221" s="13">
        <f ca="1">IF('Assemble Data'!F222="",0,IF(ISERROR(FIND("VLOOKUP",_xlfn.FORMULATEXT('Assemble Data'!F222),1)),1,0)+IFERROR(IF(AND('Assemble Data'!F222&lt;&gt;D221,'Assemble Data'!F222&lt;&gt;""),1,0),1))</f>
        <v>0</v>
      </c>
      <c r="H221" s="13">
        <f t="shared" si="22"/>
        <v>8</v>
      </c>
      <c r="I221" t="str">
        <f t="shared" si="23"/>
        <v>C3P10</v>
      </c>
    </row>
    <row r="222" spans="1:9">
      <c r="A222" t="str">
        <f>'Assemble Data'!B223</f>
        <v>P11</v>
      </c>
      <c r="B222" s="13">
        <f>IFERROR(SUMIF('Assemble Data'!K:K,'Assemble Data'!A223,'Assemble Data'!L:L),0)</f>
        <v>13200</v>
      </c>
      <c r="C222" s="13" t="str">
        <f>INDEX('Assemble Data'!$O$24:$O$1023,MATCH('Assemble Data'!A223,'Assemble Data'!$N$24:$N$1023,0))</f>
        <v>C1</v>
      </c>
      <c r="D222" s="13">
        <f>SUMIF('Assemble Data'!H:H,'Assemble Data'!A223,'Assemble Data'!I:I)</f>
        <v>11</v>
      </c>
      <c r="E222" s="13">
        <f>IFERROR(IF(AND('Assemble Data'!D223&lt;&gt;"",'Assemble Data'!D223&lt;&gt;B222),1,0),1)</f>
        <v>0</v>
      </c>
      <c r="F222" s="13">
        <f ca="1">IF('Assemble Data'!E223="",0,IF(ISERROR(FIND("INDEX",_xlfn.FORMULATEXT('Assemble Data'!E223),1)),1,0)+IFERROR(IF(AND('Assemble Data'!E223&lt;&gt;C222,'Assemble Data'!E223&lt;&gt;""),1,0),1))</f>
        <v>0</v>
      </c>
      <c r="G222" s="13">
        <f ca="1">IF('Assemble Data'!F223="",0,IF(ISERROR(FIND("VLOOKUP",_xlfn.FORMULATEXT('Assemble Data'!F223),1)),1,0)+IFERROR(IF(AND('Assemble Data'!F223&lt;&gt;D222,'Assemble Data'!F223&lt;&gt;""),1,0),1))</f>
        <v>0</v>
      </c>
      <c r="H222" s="13">
        <f t="shared" si="22"/>
        <v>9</v>
      </c>
      <c r="I222" t="str">
        <f t="shared" si="23"/>
        <v>C1P11</v>
      </c>
    </row>
    <row r="223" spans="1:9">
      <c r="A223" t="str">
        <f>'Assemble Data'!B224</f>
        <v>P18</v>
      </c>
      <c r="B223" s="13">
        <f>IFERROR(SUMIF('Assemble Data'!K:K,'Assemble Data'!A224,'Assemble Data'!L:L),0)</f>
        <v>4860</v>
      </c>
      <c r="C223" s="13" t="str">
        <f>INDEX('Assemble Data'!$O$24:$O$1023,MATCH('Assemble Data'!A224,'Assemble Data'!$N$24:$N$1023,0))</f>
        <v>O1</v>
      </c>
      <c r="D223" s="13">
        <f>SUMIF('Assemble Data'!H:H,'Assemble Data'!A224,'Assemble Data'!I:I)</f>
        <v>6</v>
      </c>
      <c r="E223" s="13">
        <f>IFERROR(IF(AND('Assemble Data'!D224&lt;&gt;"",'Assemble Data'!D224&lt;&gt;B223),1,0),1)</f>
        <v>0</v>
      </c>
      <c r="F223" s="13">
        <f ca="1">IF('Assemble Data'!E224="",0,IF(ISERROR(FIND("INDEX",_xlfn.FORMULATEXT('Assemble Data'!E224),1)),1,0)+IFERROR(IF(AND('Assemble Data'!E224&lt;&gt;C223,'Assemble Data'!E224&lt;&gt;""),1,0),1))</f>
        <v>0</v>
      </c>
      <c r="G223" s="13">
        <f ca="1">IF('Assemble Data'!F224="",0,IF(ISERROR(FIND("VLOOKUP",_xlfn.FORMULATEXT('Assemble Data'!F224),1)),1,0)+IFERROR(IF(AND('Assemble Data'!F224&lt;&gt;D223,'Assemble Data'!F224&lt;&gt;""),1,0),1))</f>
        <v>0</v>
      </c>
      <c r="H223" s="13">
        <f t="shared" si="22"/>
        <v>2</v>
      </c>
      <c r="I223" t="str">
        <f t="shared" si="23"/>
        <v>O1P18</v>
      </c>
    </row>
    <row r="224" spans="1:9">
      <c r="A224" t="str">
        <f>'Assemble Data'!B225</f>
        <v>P14</v>
      </c>
      <c r="B224" s="13">
        <f>IFERROR(SUMIF('Assemble Data'!K:K,'Assemble Data'!A225,'Assemble Data'!L:L),0)</f>
        <v>10080</v>
      </c>
      <c r="C224" s="13" t="str">
        <f>INDEX('Assemble Data'!$O$24:$O$1023,MATCH('Assemble Data'!A225,'Assemble Data'!$N$24:$N$1023,0))</f>
        <v>N1</v>
      </c>
      <c r="D224" s="13">
        <f>SUMIF('Assemble Data'!H:H,'Assemble Data'!A225,'Assemble Data'!I:I)</f>
        <v>8</v>
      </c>
      <c r="E224" s="13">
        <f>IFERROR(IF(AND('Assemble Data'!D225&lt;&gt;"",'Assemble Data'!D225&lt;&gt;B224),1,0),1)</f>
        <v>0</v>
      </c>
      <c r="F224" s="13">
        <f ca="1">IF('Assemble Data'!E225="",0,IF(ISERROR(FIND("INDEX",_xlfn.FORMULATEXT('Assemble Data'!E225),1)),1,0)+IFERROR(IF(AND('Assemble Data'!E225&lt;&gt;C224,'Assemble Data'!E225&lt;&gt;""),1,0),1))</f>
        <v>0</v>
      </c>
      <c r="G224" s="13">
        <f ca="1">IF('Assemble Data'!F225="",0,IF(ISERROR(FIND("VLOOKUP",_xlfn.FORMULATEXT('Assemble Data'!F225),1)),1,0)+IFERROR(IF(AND('Assemble Data'!F225&lt;&gt;D224,'Assemble Data'!F225&lt;&gt;""),1,0),1))</f>
        <v>0</v>
      </c>
      <c r="H224" s="13">
        <f t="shared" si="22"/>
        <v>5</v>
      </c>
      <c r="I224" t="str">
        <f t="shared" si="23"/>
        <v>N1P14</v>
      </c>
    </row>
    <row r="225" spans="1:9">
      <c r="A225" t="str">
        <f>'Assemble Data'!B226</f>
        <v>P10</v>
      </c>
      <c r="B225" s="13">
        <f>IFERROR(SUMIF('Assemble Data'!K:K,'Assemble Data'!A226,'Assemble Data'!L:L),0)</f>
        <v>2880</v>
      </c>
      <c r="C225" s="13" t="str">
        <f>INDEX('Assemble Data'!$O$24:$O$1023,MATCH('Assemble Data'!A226,'Assemble Data'!$N$24:$N$1023,0))</f>
        <v>C1</v>
      </c>
      <c r="D225" s="13">
        <f>SUMIF('Assemble Data'!H:H,'Assemble Data'!A226,'Assemble Data'!I:I)</f>
        <v>3</v>
      </c>
      <c r="E225" s="13">
        <f>IFERROR(IF(AND('Assemble Data'!D226&lt;&gt;"",'Assemble Data'!D226&lt;&gt;B225),1,0),1)</f>
        <v>0</v>
      </c>
      <c r="F225" s="13">
        <f ca="1">IF('Assemble Data'!E226="",0,IF(ISERROR(FIND("INDEX",_xlfn.FORMULATEXT('Assemble Data'!E226),1)),1,0)+IFERROR(IF(AND('Assemble Data'!E226&lt;&gt;C225,'Assemble Data'!E226&lt;&gt;""),1,0),1))</f>
        <v>0</v>
      </c>
      <c r="G225" s="13">
        <f ca="1">IF('Assemble Data'!F226="",0,IF(ISERROR(FIND("VLOOKUP",_xlfn.FORMULATEXT('Assemble Data'!F226),1)),1,0)+IFERROR(IF(AND('Assemble Data'!F226&lt;&gt;D225,'Assemble Data'!F226&lt;&gt;""),1,0),1))</f>
        <v>0</v>
      </c>
      <c r="H225" s="13">
        <f t="shared" si="22"/>
        <v>8</v>
      </c>
      <c r="I225" t="str">
        <f t="shared" si="23"/>
        <v>C1P10</v>
      </c>
    </row>
    <row r="226" spans="1:9">
      <c r="A226" t="str">
        <f>'Assemble Data'!B227</f>
        <v>P13</v>
      </c>
      <c r="B226" s="13">
        <f>IFERROR(SUMIF('Assemble Data'!K:K,'Assemble Data'!A227,'Assemble Data'!L:L),0)</f>
        <v>5400</v>
      </c>
      <c r="C226" s="13" t="str">
        <f>INDEX('Assemble Data'!$O$24:$O$1023,MATCH('Assemble Data'!A227,'Assemble Data'!$N$24:$N$1023,0))</f>
        <v>C1</v>
      </c>
      <c r="D226" s="13">
        <f>SUMIF('Assemble Data'!H:H,'Assemble Data'!A227,'Assemble Data'!I:I)</f>
        <v>5</v>
      </c>
      <c r="E226" s="13">
        <f>IFERROR(IF(AND('Assemble Data'!D227&lt;&gt;"",'Assemble Data'!D227&lt;&gt;B226),1,0),1)</f>
        <v>0</v>
      </c>
      <c r="F226" s="13">
        <f ca="1">IF('Assemble Data'!E227="",0,IF(ISERROR(FIND("INDEX",_xlfn.FORMULATEXT('Assemble Data'!E227),1)),1,0)+IFERROR(IF(AND('Assemble Data'!E227&lt;&gt;C226,'Assemble Data'!E227&lt;&gt;""),1,0),1))</f>
        <v>0</v>
      </c>
      <c r="G226" s="13">
        <f ca="1">IF('Assemble Data'!F227="",0,IF(ISERROR(FIND("VLOOKUP",_xlfn.FORMULATEXT('Assemble Data'!F227),1)),1,0)+IFERROR(IF(AND('Assemble Data'!F227&lt;&gt;D226,'Assemble Data'!F227&lt;&gt;""),1,0),1))</f>
        <v>0</v>
      </c>
      <c r="H226" s="13">
        <f t="shared" si="22"/>
        <v>3</v>
      </c>
      <c r="I226" t="str">
        <f t="shared" si="23"/>
        <v>C1P13</v>
      </c>
    </row>
    <row r="227" spans="1:9">
      <c r="A227" t="str">
        <f>'Assemble Data'!B228</f>
        <v>P13</v>
      </c>
      <c r="B227" s="13">
        <f>IFERROR(SUMIF('Assemble Data'!K:K,'Assemble Data'!A228,'Assemble Data'!L:L),0)</f>
        <v>5400</v>
      </c>
      <c r="C227" s="13" t="str">
        <f>INDEX('Assemble Data'!$O$24:$O$1023,MATCH('Assemble Data'!A228,'Assemble Data'!$N$24:$N$1023,0))</f>
        <v>C1</v>
      </c>
      <c r="D227" s="13">
        <f>SUMIF('Assemble Data'!H:H,'Assemble Data'!A228,'Assemble Data'!I:I)</f>
        <v>5</v>
      </c>
      <c r="E227" s="13">
        <f>IFERROR(IF(AND('Assemble Data'!D228&lt;&gt;"",'Assemble Data'!D228&lt;&gt;B227),1,0),1)</f>
        <v>0</v>
      </c>
      <c r="F227" s="13">
        <f ca="1">IF('Assemble Data'!E228="",0,IF(ISERROR(FIND("INDEX",_xlfn.FORMULATEXT('Assemble Data'!E228),1)),1,0)+IFERROR(IF(AND('Assemble Data'!E228&lt;&gt;C227,'Assemble Data'!E228&lt;&gt;""),1,0),1))</f>
        <v>0</v>
      </c>
      <c r="G227" s="13">
        <f ca="1">IF('Assemble Data'!F228="",0,IF(ISERROR(FIND("VLOOKUP",_xlfn.FORMULATEXT('Assemble Data'!F228),1)),1,0)+IFERROR(IF(AND('Assemble Data'!F228&lt;&gt;D227,'Assemble Data'!F228&lt;&gt;""),1,0),1))</f>
        <v>0</v>
      </c>
      <c r="H227" s="13">
        <f t="shared" si="22"/>
        <v>3</v>
      </c>
      <c r="I227" t="str">
        <f t="shared" si="23"/>
        <v>C1P13</v>
      </c>
    </row>
    <row r="228" spans="1:9">
      <c r="A228" t="str">
        <f>'Assemble Data'!B229</f>
        <v>P10</v>
      </c>
      <c r="B228" s="13">
        <f>IFERROR(SUMIF('Assemble Data'!K:K,'Assemble Data'!A229,'Assemble Data'!L:L),0)</f>
        <v>2880</v>
      </c>
      <c r="C228" s="13" t="str">
        <f>INDEX('Assemble Data'!$O$24:$O$1023,MATCH('Assemble Data'!A229,'Assemble Data'!$N$24:$N$1023,0))</f>
        <v>C1</v>
      </c>
      <c r="D228" s="13">
        <f>SUMIF('Assemble Data'!H:H,'Assemble Data'!A229,'Assemble Data'!I:I)</f>
        <v>3</v>
      </c>
      <c r="E228" s="13">
        <f>IFERROR(IF(AND('Assemble Data'!D229&lt;&gt;"",'Assemble Data'!D229&lt;&gt;B228),1,0),1)</f>
        <v>0</v>
      </c>
      <c r="F228" s="13">
        <f ca="1">IF('Assemble Data'!E229="",0,IF(ISERROR(FIND("INDEX",_xlfn.FORMULATEXT('Assemble Data'!E229),1)),1,0)+IFERROR(IF(AND('Assemble Data'!E229&lt;&gt;C228,'Assemble Data'!E229&lt;&gt;""),1,0),1))</f>
        <v>0</v>
      </c>
      <c r="G228" s="13">
        <f ca="1">IF('Assemble Data'!F229="",0,IF(ISERROR(FIND("VLOOKUP",_xlfn.FORMULATEXT('Assemble Data'!F229),1)),1,0)+IFERROR(IF(AND('Assemble Data'!F229&lt;&gt;D228,'Assemble Data'!F229&lt;&gt;""),1,0),1))</f>
        <v>0</v>
      </c>
      <c r="H228" s="13">
        <f t="shared" si="22"/>
        <v>8</v>
      </c>
      <c r="I228" t="str">
        <f t="shared" si="23"/>
        <v>C1P10</v>
      </c>
    </row>
    <row r="229" spans="1:9">
      <c r="A229" t="str">
        <f>'Assemble Data'!B230</f>
        <v>P11</v>
      </c>
      <c r="B229" s="13">
        <f>IFERROR(SUMIF('Assemble Data'!K:K,'Assemble Data'!A230,'Assemble Data'!L:L),0)</f>
        <v>13200</v>
      </c>
      <c r="C229" s="13" t="str">
        <f>INDEX('Assemble Data'!$O$24:$O$1023,MATCH('Assemble Data'!A230,'Assemble Data'!$N$24:$N$1023,0))</f>
        <v>C1</v>
      </c>
      <c r="D229" s="13">
        <f>SUMIF('Assemble Data'!H:H,'Assemble Data'!A230,'Assemble Data'!I:I)</f>
        <v>11</v>
      </c>
      <c r="E229" s="13">
        <f>IFERROR(IF(AND('Assemble Data'!D230&lt;&gt;"",'Assemble Data'!D230&lt;&gt;B229),1,0),1)</f>
        <v>0</v>
      </c>
      <c r="F229" s="13">
        <f ca="1">IF('Assemble Data'!E230="",0,IF(ISERROR(FIND("INDEX",_xlfn.FORMULATEXT('Assemble Data'!E230),1)),1,0)+IFERROR(IF(AND('Assemble Data'!E230&lt;&gt;C229,'Assemble Data'!E230&lt;&gt;""),1,0),1))</f>
        <v>0</v>
      </c>
      <c r="G229" s="13">
        <f ca="1">IF('Assemble Data'!F230="",0,IF(ISERROR(FIND("VLOOKUP",_xlfn.FORMULATEXT('Assemble Data'!F230),1)),1,0)+IFERROR(IF(AND('Assemble Data'!F230&lt;&gt;D229,'Assemble Data'!F230&lt;&gt;""),1,0),1))</f>
        <v>0</v>
      </c>
      <c r="H229" s="13">
        <f t="shared" si="22"/>
        <v>9</v>
      </c>
      <c r="I229" t="str">
        <f t="shared" si="23"/>
        <v>C1P11</v>
      </c>
    </row>
    <row r="230" spans="1:9">
      <c r="A230" t="str">
        <f>'Assemble Data'!B231</f>
        <v>P16</v>
      </c>
      <c r="B230" s="13">
        <f>IFERROR(SUMIF('Assemble Data'!K:K,'Assemble Data'!A231,'Assemble Data'!L:L),0)</f>
        <v>7279.9999999999991</v>
      </c>
      <c r="C230" s="13" t="str">
        <f>INDEX('Assemble Data'!$O$24:$O$1023,MATCH('Assemble Data'!A231,'Assemble Data'!$N$24:$N$1023,0))</f>
        <v>N1</v>
      </c>
      <c r="D230" s="13">
        <f>SUMIF('Assemble Data'!H:H,'Assemble Data'!A231,'Assemble Data'!I:I)</f>
        <v>4</v>
      </c>
      <c r="E230" s="13">
        <f>IFERROR(IF(AND('Assemble Data'!D231&lt;&gt;"",'Assemble Data'!D231&lt;&gt;B230),1,0),1)</f>
        <v>0</v>
      </c>
      <c r="F230" s="13">
        <f ca="1">IF('Assemble Data'!E231="",0,IF(ISERROR(FIND("INDEX",_xlfn.FORMULATEXT('Assemble Data'!E231),1)),1,0)+IFERROR(IF(AND('Assemble Data'!E231&lt;&gt;C230,'Assemble Data'!E231&lt;&gt;""),1,0),1))</f>
        <v>0</v>
      </c>
      <c r="G230" s="13">
        <f ca="1">IF('Assemble Data'!F231="",0,IF(ISERROR(FIND("VLOOKUP",_xlfn.FORMULATEXT('Assemble Data'!F231),1)),1,0)+IFERROR(IF(AND('Assemble Data'!F231&lt;&gt;D230,'Assemble Data'!F231&lt;&gt;""),1,0),1))</f>
        <v>0</v>
      </c>
      <c r="H230" s="13">
        <f t="shared" si="22"/>
        <v>0</v>
      </c>
      <c r="I230" t="str">
        <f t="shared" si="23"/>
        <v>N1P16</v>
      </c>
    </row>
    <row r="231" spans="1:9">
      <c r="A231" t="str">
        <f>'Assemble Data'!B232</f>
        <v>P17</v>
      </c>
      <c r="B231" s="13">
        <f>IFERROR(SUMIF('Assemble Data'!K:K,'Assemble Data'!A232,'Assemble Data'!L:L),0)</f>
        <v>10800</v>
      </c>
      <c r="C231" s="13" t="str">
        <f>INDEX('Assemble Data'!$O$24:$O$1023,MATCH('Assemble Data'!A232,'Assemble Data'!$N$24:$N$1023,0))</f>
        <v>O1</v>
      </c>
      <c r="D231" s="13">
        <f>SUMIF('Assemble Data'!H:H,'Assemble Data'!A232,'Assemble Data'!I:I)</f>
        <v>12</v>
      </c>
      <c r="E231" s="13">
        <f>IFERROR(IF(AND('Assemble Data'!D232&lt;&gt;"",'Assemble Data'!D232&lt;&gt;B231),1,0),1)</f>
        <v>0</v>
      </c>
      <c r="F231" s="13">
        <f ca="1">IF('Assemble Data'!E232="",0,IF(ISERROR(FIND("INDEX",_xlfn.FORMULATEXT('Assemble Data'!E232),1)),1,0)+IFERROR(IF(AND('Assemble Data'!E232&lt;&gt;C231,'Assemble Data'!E232&lt;&gt;""),1,0),1))</f>
        <v>0</v>
      </c>
      <c r="G231" s="13">
        <f ca="1">IF('Assemble Data'!F232="",0,IF(ISERROR(FIND("VLOOKUP",_xlfn.FORMULATEXT('Assemble Data'!F232),1)),1,0)+IFERROR(IF(AND('Assemble Data'!F232&lt;&gt;D231,'Assemble Data'!F232&lt;&gt;""),1,0),1))</f>
        <v>0</v>
      </c>
      <c r="H231" s="13">
        <f t="shared" si="22"/>
        <v>6</v>
      </c>
      <c r="I231" t="str">
        <f t="shared" si="23"/>
        <v>O1P17</v>
      </c>
    </row>
    <row r="232" spans="1:9">
      <c r="A232" t="str">
        <f>'Assemble Data'!B233</f>
        <v>P17</v>
      </c>
      <c r="B232" s="13">
        <f>IFERROR(SUMIF('Assemble Data'!K:K,'Assemble Data'!A233,'Assemble Data'!L:L),0)</f>
        <v>10800</v>
      </c>
      <c r="C232" s="13" t="str">
        <f>INDEX('Assemble Data'!$O$24:$O$1023,MATCH('Assemble Data'!A233,'Assemble Data'!$N$24:$N$1023,0))</f>
        <v>O1</v>
      </c>
      <c r="D232" s="13">
        <f>SUMIF('Assemble Data'!H:H,'Assemble Data'!A233,'Assemble Data'!I:I)</f>
        <v>12</v>
      </c>
      <c r="E232" s="13">
        <f>IFERROR(IF(AND('Assemble Data'!D233&lt;&gt;"",'Assemble Data'!D233&lt;&gt;B232),1,0),1)</f>
        <v>0</v>
      </c>
      <c r="F232" s="13">
        <f ca="1">IF('Assemble Data'!E233="",0,IF(ISERROR(FIND("INDEX",_xlfn.FORMULATEXT('Assemble Data'!E233),1)),1,0)+IFERROR(IF(AND('Assemble Data'!E233&lt;&gt;C232,'Assemble Data'!E233&lt;&gt;""),1,0),1))</f>
        <v>0</v>
      </c>
      <c r="G232" s="13">
        <f ca="1">IF('Assemble Data'!F233="",0,IF(ISERROR(FIND("VLOOKUP",_xlfn.FORMULATEXT('Assemble Data'!F233),1)),1,0)+IFERROR(IF(AND('Assemble Data'!F233&lt;&gt;D232,'Assemble Data'!F233&lt;&gt;""),1,0),1))</f>
        <v>0</v>
      </c>
      <c r="H232" s="13">
        <f t="shared" si="22"/>
        <v>6</v>
      </c>
      <c r="I232" t="str">
        <f t="shared" si="23"/>
        <v>O1P17</v>
      </c>
    </row>
    <row r="233" spans="1:9">
      <c r="A233" t="str">
        <f>'Assemble Data'!B234</f>
        <v>P13</v>
      </c>
      <c r="B233" s="13">
        <f>IFERROR(SUMIF('Assemble Data'!K:K,'Assemble Data'!A234,'Assemble Data'!L:L),0)</f>
        <v>5400</v>
      </c>
      <c r="C233" s="13" t="str">
        <f>INDEX('Assemble Data'!$O$24:$O$1023,MATCH('Assemble Data'!A234,'Assemble Data'!$N$24:$N$1023,0))</f>
        <v>C1</v>
      </c>
      <c r="D233" s="13">
        <f>SUMIF('Assemble Data'!H:H,'Assemble Data'!A234,'Assemble Data'!I:I)</f>
        <v>5</v>
      </c>
      <c r="E233" s="13">
        <f>IFERROR(IF(AND('Assemble Data'!D234&lt;&gt;"",'Assemble Data'!D234&lt;&gt;B233),1,0),1)</f>
        <v>0</v>
      </c>
      <c r="F233" s="13">
        <f ca="1">IF('Assemble Data'!E234="",0,IF(ISERROR(FIND("INDEX",_xlfn.FORMULATEXT('Assemble Data'!E234),1)),1,0)+IFERROR(IF(AND('Assemble Data'!E234&lt;&gt;C233,'Assemble Data'!E234&lt;&gt;""),1,0),1))</f>
        <v>0</v>
      </c>
      <c r="G233" s="13">
        <f ca="1">IF('Assemble Data'!F234="",0,IF(ISERROR(FIND("VLOOKUP",_xlfn.FORMULATEXT('Assemble Data'!F234),1)),1,0)+IFERROR(IF(AND('Assemble Data'!F234&lt;&gt;D233,'Assemble Data'!F234&lt;&gt;""),1,0),1))</f>
        <v>0</v>
      </c>
      <c r="H233" s="13">
        <f t="shared" si="22"/>
        <v>3</v>
      </c>
      <c r="I233" t="str">
        <f t="shared" si="23"/>
        <v>C1P13</v>
      </c>
    </row>
    <row r="234" spans="1:9">
      <c r="A234" t="str">
        <f>'Assemble Data'!B235</f>
        <v>P11</v>
      </c>
      <c r="B234" s="13">
        <f>IFERROR(SUMIF('Assemble Data'!K:K,'Assemble Data'!A235,'Assemble Data'!L:L),0)</f>
        <v>13200</v>
      </c>
      <c r="C234" s="13" t="str">
        <f>INDEX('Assemble Data'!$O$24:$O$1023,MATCH('Assemble Data'!A235,'Assemble Data'!$N$24:$N$1023,0))</f>
        <v>C1</v>
      </c>
      <c r="D234" s="13">
        <f>SUMIF('Assemble Data'!H:H,'Assemble Data'!A235,'Assemble Data'!I:I)</f>
        <v>11</v>
      </c>
      <c r="E234" s="13">
        <f>IFERROR(IF(AND('Assemble Data'!D235&lt;&gt;"",'Assemble Data'!D235&lt;&gt;B234),1,0),1)</f>
        <v>0</v>
      </c>
      <c r="F234" s="13">
        <f ca="1">IF('Assemble Data'!E235="",0,IF(ISERROR(FIND("INDEX",_xlfn.FORMULATEXT('Assemble Data'!E235),1)),1,0)+IFERROR(IF(AND('Assemble Data'!E235&lt;&gt;C234,'Assemble Data'!E235&lt;&gt;""),1,0),1))</f>
        <v>0</v>
      </c>
      <c r="G234" s="13">
        <f ca="1">IF('Assemble Data'!F235="",0,IF(ISERROR(FIND("VLOOKUP",_xlfn.FORMULATEXT('Assemble Data'!F235),1)),1,0)+IFERROR(IF(AND('Assemble Data'!F235&lt;&gt;D234,'Assemble Data'!F235&lt;&gt;""),1,0),1))</f>
        <v>0</v>
      </c>
      <c r="H234" s="13">
        <f t="shared" si="22"/>
        <v>9</v>
      </c>
      <c r="I234" t="str">
        <f t="shared" si="23"/>
        <v>C1P11</v>
      </c>
    </row>
    <row r="235" spans="1:9">
      <c r="A235" t="str">
        <f>'Assemble Data'!B236</f>
        <v>P11</v>
      </c>
      <c r="B235" s="13">
        <f>IFERROR(SUMIF('Assemble Data'!K:K,'Assemble Data'!A236,'Assemble Data'!L:L),0)</f>
        <v>13200</v>
      </c>
      <c r="C235" s="13" t="str">
        <f>INDEX('Assemble Data'!$O$24:$O$1023,MATCH('Assemble Data'!A236,'Assemble Data'!$N$24:$N$1023,0))</f>
        <v>C1</v>
      </c>
      <c r="D235" s="13">
        <f>SUMIF('Assemble Data'!H:H,'Assemble Data'!A236,'Assemble Data'!I:I)</f>
        <v>11</v>
      </c>
      <c r="E235" s="13">
        <f>IFERROR(IF(AND('Assemble Data'!D236&lt;&gt;"",'Assemble Data'!D236&lt;&gt;B235),1,0),1)</f>
        <v>0</v>
      </c>
      <c r="F235" s="13">
        <f ca="1">IF('Assemble Data'!E236="",0,IF(ISERROR(FIND("INDEX",_xlfn.FORMULATEXT('Assemble Data'!E236),1)),1,0)+IFERROR(IF(AND('Assemble Data'!E236&lt;&gt;C235,'Assemble Data'!E236&lt;&gt;""),1,0),1))</f>
        <v>0</v>
      </c>
      <c r="G235" s="13">
        <f ca="1">IF('Assemble Data'!F236="",0,IF(ISERROR(FIND("VLOOKUP",_xlfn.FORMULATEXT('Assemble Data'!F236),1)),1,0)+IFERROR(IF(AND('Assemble Data'!F236&lt;&gt;D235,'Assemble Data'!F236&lt;&gt;""),1,0),1))</f>
        <v>0</v>
      </c>
      <c r="H235" s="13">
        <f t="shared" si="22"/>
        <v>9</v>
      </c>
      <c r="I235" t="str">
        <f t="shared" si="23"/>
        <v>C1P11</v>
      </c>
    </row>
    <row r="236" spans="1:9">
      <c r="A236" t="str">
        <f>'Assemble Data'!B237</f>
        <v>P12</v>
      </c>
      <c r="B236" s="13">
        <f>IFERROR(SUMIF('Assemble Data'!K:K,'Assemble Data'!A237,'Assemble Data'!L:L),0)</f>
        <v>8190</v>
      </c>
      <c r="C236" s="13" t="str">
        <f>INDEX('Assemble Data'!$O$24:$O$1023,MATCH('Assemble Data'!A237,'Assemble Data'!$N$24:$N$1023,0))</f>
        <v>C1</v>
      </c>
      <c r="D236" s="13">
        <f>SUMIF('Assemble Data'!H:H,'Assemble Data'!A237,'Assemble Data'!I:I)</f>
        <v>6.5</v>
      </c>
      <c r="E236" s="13">
        <f>IFERROR(IF(AND('Assemble Data'!D237&lt;&gt;"",'Assemble Data'!D237&lt;&gt;B236),1,0),1)</f>
        <v>0</v>
      </c>
      <c r="F236" s="13">
        <f ca="1">IF('Assemble Data'!E237="",0,IF(ISERROR(FIND("INDEX",_xlfn.FORMULATEXT('Assemble Data'!E237),1)),1,0)+IFERROR(IF(AND('Assemble Data'!E237&lt;&gt;C236,'Assemble Data'!E237&lt;&gt;""),1,0),1))</f>
        <v>0</v>
      </c>
      <c r="G236" s="13">
        <f ca="1">IF('Assemble Data'!F237="",0,IF(ISERROR(FIND("VLOOKUP",_xlfn.FORMULATEXT('Assemble Data'!F237),1)),1,0)+IFERROR(IF(AND('Assemble Data'!F237&lt;&gt;D236,'Assemble Data'!F237&lt;&gt;""),1,0),1))</f>
        <v>0</v>
      </c>
      <c r="H236" s="13">
        <f t="shared" si="22"/>
        <v>7</v>
      </c>
      <c r="I236" t="str">
        <f t="shared" si="23"/>
        <v>C1P12</v>
      </c>
    </row>
    <row r="237" spans="1:9">
      <c r="A237" t="str">
        <f>'Assemble Data'!B238</f>
        <v>P10</v>
      </c>
      <c r="B237" s="13">
        <f>IFERROR(SUMIF('Assemble Data'!K:K,'Assemble Data'!A238,'Assemble Data'!L:L),0)</f>
        <v>2880</v>
      </c>
      <c r="C237" s="13" t="str">
        <f>INDEX('Assemble Data'!$O$24:$O$1023,MATCH('Assemble Data'!A238,'Assemble Data'!$N$24:$N$1023,0))</f>
        <v>C1</v>
      </c>
      <c r="D237" s="13">
        <f>SUMIF('Assemble Data'!H:H,'Assemble Data'!A238,'Assemble Data'!I:I)</f>
        <v>3</v>
      </c>
      <c r="E237" s="13">
        <f>IFERROR(IF(AND('Assemble Data'!D238&lt;&gt;"",'Assemble Data'!D238&lt;&gt;B237),1,0),1)</f>
        <v>0</v>
      </c>
      <c r="F237" s="13">
        <f ca="1">IF('Assemble Data'!E238="",0,IF(ISERROR(FIND("INDEX",_xlfn.FORMULATEXT('Assemble Data'!E238),1)),1,0)+IFERROR(IF(AND('Assemble Data'!E238&lt;&gt;C237,'Assemble Data'!E238&lt;&gt;""),1,0),1))</f>
        <v>0</v>
      </c>
      <c r="G237" s="13">
        <f ca="1">IF('Assemble Data'!F238="",0,IF(ISERROR(FIND("VLOOKUP",_xlfn.FORMULATEXT('Assemble Data'!F238),1)),1,0)+IFERROR(IF(AND('Assemble Data'!F238&lt;&gt;D237,'Assemble Data'!F238&lt;&gt;""),1,0),1))</f>
        <v>0</v>
      </c>
      <c r="H237" s="13">
        <f t="shared" si="22"/>
        <v>8</v>
      </c>
      <c r="I237" t="str">
        <f t="shared" si="23"/>
        <v>C1P10</v>
      </c>
    </row>
    <row r="238" spans="1:9">
      <c r="A238" t="str">
        <f>'Assemble Data'!B239</f>
        <v>P10</v>
      </c>
      <c r="B238" s="13">
        <f>IFERROR(SUMIF('Assemble Data'!K:K,'Assemble Data'!A239,'Assemble Data'!L:L),0)</f>
        <v>2880</v>
      </c>
      <c r="C238" s="13" t="str">
        <f>INDEX('Assemble Data'!$O$24:$O$1023,MATCH('Assemble Data'!A239,'Assemble Data'!$N$24:$N$1023,0))</f>
        <v>C1</v>
      </c>
      <c r="D238" s="13">
        <f>SUMIF('Assemble Data'!H:H,'Assemble Data'!A239,'Assemble Data'!I:I)</f>
        <v>3</v>
      </c>
      <c r="E238" s="13">
        <f>IFERROR(IF(AND('Assemble Data'!D239&lt;&gt;"",'Assemble Data'!D239&lt;&gt;B238),1,0),1)</f>
        <v>0</v>
      </c>
      <c r="F238" s="13">
        <f ca="1">IF('Assemble Data'!E239="",0,IF(ISERROR(FIND("INDEX",_xlfn.FORMULATEXT('Assemble Data'!E239),1)),1,0)+IFERROR(IF(AND('Assemble Data'!E239&lt;&gt;C238,'Assemble Data'!E239&lt;&gt;""),1,0),1))</f>
        <v>0</v>
      </c>
      <c r="G238" s="13">
        <f ca="1">IF('Assemble Data'!F239="",0,IF(ISERROR(FIND("VLOOKUP",_xlfn.FORMULATEXT('Assemble Data'!F239),1)),1,0)+IFERROR(IF(AND('Assemble Data'!F239&lt;&gt;D238,'Assemble Data'!F239&lt;&gt;""),1,0),1))</f>
        <v>0</v>
      </c>
      <c r="H238" s="13">
        <f t="shared" si="22"/>
        <v>8</v>
      </c>
      <c r="I238" t="str">
        <f t="shared" si="23"/>
        <v>C1P10</v>
      </c>
    </row>
    <row r="239" spans="1:9">
      <c r="A239" t="str">
        <f>'Assemble Data'!B240</f>
        <v>P11</v>
      </c>
      <c r="B239" s="13">
        <f>IFERROR(SUMIF('Assemble Data'!K:K,'Assemble Data'!A240,'Assemble Data'!L:L),0)</f>
        <v>13200</v>
      </c>
      <c r="C239" s="13" t="str">
        <f>INDEX('Assemble Data'!$O$24:$O$1023,MATCH('Assemble Data'!A240,'Assemble Data'!$N$24:$N$1023,0))</f>
        <v>C1</v>
      </c>
      <c r="D239" s="13">
        <f>SUMIF('Assemble Data'!H:H,'Assemble Data'!A240,'Assemble Data'!I:I)</f>
        <v>11</v>
      </c>
      <c r="E239" s="13">
        <f>IFERROR(IF(AND('Assemble Data'!D240&lt;&gt;"",'Assemble Data'!D240&lt;&gt;B239),1,0),1)</f>
        <v>0</v>
      </c>
      <c r="F239" s="13">
        <f ca="1">IF('Assemble Data'!E240="",0,IF(ISERROR(FIND("INDEX",_xlfn.FORMULATEXT('Assemble Data'!E240),1)),1,0)+IFERROR(IF(AND('Assemble Data'!E240&lt;&gt;C239,'Assemble Data'!E240&lt;&gt;""),1,0),1))</f>
        <v>0</v>
      </c>
      <c r="G239" s="13">
        <f ca="1">IF('Assemble Data'!F240="",0,IF(ISERROR(FIND("VLOOKUP",_xlfn.FORMULATEXT('Assemble Data'!F240),1)),1,0)+IFERROR(IF(AND('Assemble Data'!F240&lt;&gt;D239,'Assemble Data'!F240&lt;&gt;""),1,0),1))</f>
        <v>0</v>
      </c>
      <c r="H239" s="13">
        <f t="shared" si="22"/>
        <v>9</v>
      </c>
      <c r="I239" t="str">
        <f t="shared" si="23"/>
        <v>C1P11</v>
      </c>
    </row>
    <row r="240" spans="1:9">
      <c r="A240" t="str">
        <f>'Assemble Data'!B241</f>
        <v>P18</v>
      </c>
      <c r="B240" s="13">
        <f>IFERROR(SUMIF('Assemble Data'!K:K,'Assemble Data'!A241,'Assemble Data'!L:L),0)</f>
        <v>4860</v>
      </c>
      <c r="C240" s="13" t="str">
        <f>INDEX('Assemble Data'!$O$24:$O$1023,MATCH('Assemble Data'!A241,'Assemble Data'!$N$24:$N$1023,0))</f>
        <v>O1</v>
      </c>
      <c r="D240" s="13">
        <f>SUMIF('Assemble Data'!H:H,'Assemble Data'!A241,'Assemble Data'!I:I)</f>
        <v>6</v>
      </c>
      <c r="E240" s="13">
        <f>IFERROR(IF(AND('Assemble Data'!D241&lt;&gt;"",'Assemble Data'!D241&lt;&gt;B240),1,0),1)</f>
        <v>0</v>
      </c>
      <c r="F240" s="13">
        <f ca="1">IF('Assemble Data'!E241="",0,IF(ISERROR(FIND("INDEX",_xlfn.FORMULATEXT('Assemble Data'!E241),1)),1,0)+IFERROR(IF(AND('Assemble Data'!E241&lt;&gt;C240,'Assemble Data'!E241&lt;&gt;""),1,0),1))</f>
        <v>0</v>
      </c>
      <c r="G240" s="13">
        <f ca="1">IF('Assemble Data'!F241="",0,IF(ISERROR(FIND("VLOOKUP",_xlfn.FORMULATEXT('Assemble Data'!F241),1)),1,0)+IFERROR(IF(AND('Assemble Data'!F241&lt;&gt;D240,'Assemble Data'!F241&lt;&gt;""),1,0),1))</f>
        <v>0</v>
      </c>
      <c r="H240" s="13">
        <f t="shared" si="22"/>
        <v>2</v>
      </c>
      <c r="I240" t="str">
        <f t="shared" si="23"/>
        <v>O1P18</v>
      </c>
    </row>
    <row r="241" spans="1:9">
      <c r="A241" t="str">
        <f>'Assemble Data'!B242</f>
        <v>P14</v>
      </c>
      <c r="B241" s="13">
        <f>IFERROR(SUMIF('Assemble Data'!K:K,'Assemble Data'!A242,'Assemble Data'!L:L),0)</f>
        <v>10080</v>
      </c>
      <c r="C241" s="13" t="str">
        <f>INDEX('Assemble Data'!$O$24:$O$1023,MATCH('Assemble Data'!A242,'Assemble Data'!$N$24:$N$1023,0))</f>
        <v>N1</v>
      </c>
      <c r="D241" s="13">
        <f>SUMIF('Assemble Data'!H:H,'Assemble Data'!A242,'Assemble Data'!I:I)</f>
        <v>8</v>
      </c>
      <c r="E241" s="13">
        <f>IFERROR(IF(AND('Assemble Data'!D242&lt;&gt;"",'Assemble Data'!D242&lt;&gt;B241),1,0),1)</f>
        <v>0</v>
      </c>
      <c r="F241" s="13">
        <f ca="1">IF('Assemble Data'!E242="",0,IF(ISERROR(FIND("INDEX",_xlfn.FORMULATEXT('Assemble Data'!E242),1)),1,0)+IFERROR(IF(AND('Assemble Data'!E242&lt;&gt;C241,'Assemble Data'!E242&lt;&gt;""),1,0),1))</f>
        <v>0</v>
      </c>
      <c r="G241" s="13">
        <f ca="1">IF('Assemble Data'!F242="",0,IF(ISERROR(FIND("VLOOKUP",_xlfn.FORMULATEXT('Assemble Data'!F242),1)),1,0)+IFERROR(IF(AND('Assemble Data'!F242&lt;&gt;D241,'Assemble Data'!F242&lt;&gt;""),1,0),1))</f>
        <v>0</v>
      </c>
      <c r="H241" s="13">
        <f t="shared" si="22"/>
        <v>5</v>
      </c>
      <c r="I241" t="str">
        <f t="shared" si="23"/>
        <v>N1P14</v>
      </c>
    </row>
    <row r="242" spans="1:9">
      <c r="A242" t="str">
        <f>'Assemble Data'!B243</f>
        <v>P10</v>
      </c>
      <c r="B242" s="13">
        <f>IFERROR(SUMIF('Assemble Data'!K:K,'Assemble Data'!A243,'Assemble Data'!L:L),0)</f>
        <v>2400</v>
      </c>
      <c r="C242" s="13" t="str">
        <f>INDEX('Assemble Data'!$O$24:$O$1023,MATCH('Assemble Data'!A243,'Assemble Data'!$N$24:$N$1023,0))</f>
        <v>C2</v>
      </c>
      <c r="D242" s="13">
        <f>SUMIF('Assemble Data'!H:H,'Assemble Data'!A243,'Assemble Data'!I:I)</f>
        <v>3</v>
      </c>
      <c r="E242" s="13">
        <f>IFERROR(IF(AND('Assemble Data'!D243&lt;&gt;"",'Assemble Data'!D243&lt;&gt;B242),1,0),1)</f>
        <v>0</v>
      </c>
      <c r="F242" s="13">
        <f ca="1">IF('Assemble Data'!E243="",0,IF(ISERROR(FIND("INDEX",_xlfn.FORMULATEXT('Assemble Data'!E243),1)),1,0)+IFERROR(IF(AND('Assemble Data'!E243&lt;&gt;C242,'Assemble Data'!E243&lt;&gt;""),1,0),1))</f>
        <v>0</v>
      </c>
      <c r="G242" s="13">
        <f ca="1">IF('Assemble Data'!F243="",0,IF(ISERROR(FIND("VLOOKUP",_xlfn.FORMULATEXT('Assemble Data'!F243),1)),1,0)+IFERROR(IF(AND('Assemble Data'!F243&lt;&gt;D242,'Assemble Data'!F243&lt;&gt;""),1,0),1))</f>
        <v>0</v>
      </c>
      <c r="H242" s="13">
        <f t="shared" si="22"/>
        <v>8</v>
      </c>
      <c r="I242" t="str">
        <f t="shared" si="23"/>
        <v>C2P10</v>
      </c>
    </row>
    <row r="243" spans="1:9">
      <c r="A243" t="str">
        <f>'Assemble Data'!B244</f>
        <v>P13</v>
      </c>
      <c r="B243" s="13">
        <f>IFERROR(SUMIF('Assemble Data'!K:K,'Assemble Data'!A244,'Assemble Data'!L:L),0)</f>
        <v>4500</v>
      </c>
      <c r="C243" s="13" t="str">
        <f>INDEX('Assemble Data'!$O$24:$O$1023,MATCH('Assemble Data'!A244,'Assemble Data'!$N$24:$N$1023,0))</f>
        <v>C2</v>
      </c>
      <c r="D243" s="13">
        <f>SUMIF('Assemble Data'!H:H,'Assemble Data'!A244,'Assemble Data'!I:I)</f>
        <v>5</v>
      </c>
      <c r="E243" s="13">
        <f>IFERROR(IF(AND('Assemble Data'!D244&lt;&gt;"",'Assemble Data'!D244&lt;&gt;B243),1,0),1)</f>
        <v>0</v>
      </c>
      <c r="F243" s="13">
        <f ca="1">IF('Assemble Data'!E244="",0,IF(ISERROR(FIND("INDEX",_xlfn.FORMULATEXT('Assemble Data'!E244),1)),1,0)+IFERROR(IF(AND('Assemble Data'!E244&lt;&gt;C243,'Assemble Data'!E244&lt;&gt;""),1,0),1))</f>
        <v>0</v>
      </c>
      <c r="G243" s="13">
        <f ca="1">IF('Assemble Data'!F244="",0,IF(ISERROR(FIND("VLOOKUP",_xlfn.FORMULATEXT('Assemble Data'!F244),1)),1,0)+IFERROR(IF(AND('Assemble Data'!F244&lt;&gt;D243,'Assemble Data'!F244&lt;&gt;""),1,0),1))</f>
        <v>0</v>
      </c>
      <c r="H243" s="13">
        <f t="shared" si="22"/>
        <v>3</v>
      </c>
      <c r="I243" t="str">
        <f t="shared" si="23"/>
        <v>C2P13</v>
      </c>
    </row>
    <row r="244" spans="1:9">
      <c r="A244" t="str">
        <f>'Assemble Data'!B245</f>
        <v>P13</v>
      </c>
      <c r="B244" s="13">
        <f>IFERROR(SUMIF('Assemble Data'!K:K,'Assemble Data'!A245,'Assemble Data'!L:L),0)</f>
        <v>4500</v>
      </c>
      <c r="C244" s="13" t="str">
        <f>INDEX('Assemble Data'!$O$24:$O$1023,MATCH('Assemble Data'!A245,'Assemble Data'!$N$24:$N$1023,0))</f>
        <v>C2</v>
      </c>
      <c r="D244" s="13">
        <f>SUMIF('Assemble Data'!H:H,'Assemble Data'!A245,'Assemble Data'!I:I)</f>
        <v>5</v>
      </c>
      <c r="E244" s="13">
        <f>IFERROR(IF(AND('Assemble Data'!D245&lt;&gt;"",'Assemble Data'!D245&lt;&gt;B244),1,0),1)</f>
        <v>0</v>
      </c>
      <c r="F244" s="13">
        <f ca="1">IF('Assemble Data'!E245="",0,IF(ISERROR(FIND("INDEX",_xlfn.FORMULATEXT('Assemble Data'!E245),1)),1,0)+IFERROR(IF(AND('Assemble Data'!E245&lt;&gt;C244,'Assemble Data'!E245&lt;&gt;""),1,0),1))</f>
        <v>0</v>
      </c>
      <c r="G244" s="13">
        <f ca="1">IF('Assemble Data'!F245="",0,IF(ISERROR(FIND("VLOOKUP",_xlfn.FORMULATEXT('Assemble Data'!F245),1)),1,0)+IFERROR(IF(AND('Assemble Data'!F245&lt;&gt;D244,'Assemble Data'!F245&lt;&gt;""),1,0),1))</f>
        <v>0</v>
      </c>
      <c r="H244" s="13">
        <f t="shared" si="22"/>
        <v>3</v>
      </c>
      <c r="I244" t="str">
        <f t="shared" si="23"/>
        <v>C2P13</v>
      </c>
    </row>
    <row r="245" spans="1:9">
      <c r="A245" t="str">
        <f>'Assemble Data'!B246</f>
        <v>P10</v>
      </c>
      <c r="B245" s="13">
        <f>IFERROR(SUMIF('Assemble Data'!K:K,'Assemble Data'!A246,'Assemble Data'!L:L),0)</f>
        <v>2400</v>
      </c>
      <c r="C245" s="13" t="str">
        <f>INDEX('Assemble Data'!$O$24:$O$1023,MATCH('Assemble Data'!A246,'Assemble Data'!$N$24:$N$1023,0))</f>
        <v>C2</v>
      </c>
      <c r="D245" s="13">
        <f>SUMIF('Assemble Data'!H:H,'Assemble Data'!A246,'Assemble Data'!I:I)</f>
        <v>3</v>
      </c>
      <c r="E245" s="13">
        <f>IFERROR(IF(AND('Assemble Data'!D246&lt;&gt;"",'Assemble Data'!D246&lt;&gt;B245),1,0),1)</f>
        <v>0</v>
      </c>
      <c r="F245" s="13">
        <f ca="1">IF('Assemble Data'!E246="",0,IF(ISERROR(FIND("INDEX",_xlfn.FORMULATEXT('Assemble Data'!E246),1)),1,0)+IFERROR(IF(AND('Assemble Data'!E246&lt;&gt;C245,'Assemble Data'!E246&lt;&gt;""),1,0),1))</f>
        <v>0</v>
      </c>
      <c r="G245" s="13">
        <f ca="1">IF('Assemble Data'!F246="",0,IF(ISERROR(FIND("VLOOKUP",_xlfn.FORMULATEXT('Assemble Data'!F246),1)),1,0)+IFERROR(IF(AND('Assemble Data'!F246&lt;&gt;D245,'Assemble Data'!F246&lt;&gt;""),1,0),1))</f>
        <v>0</v>
      </c>
      <c r="H245" s="13">
        <f t="shared" si="22"/>
        <v>8</v>
      </c>
      <c r="I245" t="str">
        <f t="shared" si="23"/>
        <v>C2P10</v>
      </c>
    </row>
    <row r="246" spans="1:9">
      <c r="A246" t="str">
        <f>'Assemble Data'!B247</f>
        <v>P11</v>
      </c>
      <c r="B246" s="13">
        <f>IFERROR(SUMIF('Assemble Data'!K:K,'Assemble Data'!A247,'Assemble Data'!L:L),0)</f>
        <v>11000</v>
      </c>
      <c r="C246" s="13" t="str">
        <f>INDEX('Assemble Data'!$O$24:$O$1023,MATCH('Assemble Data'!A247,'Assemble Data'!$N$24:$N$1023,0))</f>
        <v>C2</v>
      </c>
      <c r="D246" s="13">
        <f>SUMIF('Assemble Data'!H:H,'Assemble Data'!A247,'Assemble Data'!I:I)</f>
        <v>11</v>
      </c>
      <c r="E246" s="13">
        <f>IFERROR(IF(AND('Assemble Data'!D247&lt;&gt;"",'Assemble Data'!D247&lt;&gt;B246),1,0),1)</f>
        <v>0</v>
      </c>
      <c r="F246" s="13">
        <f ca="1">IF('Assemble Data'!E247="",0,IF(ISERROR(FIND("INDEX",_xlfn.FORMULATEXT('Assemble Data'!E247),1)),1,0)+IFERROR(IF(AND('Assemble Data'!E247&lt;&gt;C246,'Assemble Data'!E247&lt;&gt;""),1,0),1))</f>
        <v>0</v>
      </c>
      <c r="G246" s="13">
        <f ca="1">IF('Assemble Data'!F247="",0,IF(ISERROR(FIND("VLOOKUP",_xlfn.FORMULATEXT('Assemble Data'!F247),1)),1,0)+IFERROR(IF(AND('Assemble Data'!F247&lt;&gt;D246,'Assemble Data'!F247&lt;&gt;""),1,0),1))</f>
        <v>0</v>
      </c>
      <c r="H246" s="13">
        <f t="shared" si="22"/>
        <v>9</v>
      </c>
      <c r="I246" t="str">
        <f t="shared" si="23"/>
        <v>C2P11</v>
      </c>
    </row>
    <row r="247" spans="1:9">
      <c r="A247" t="str">
        <f>'Assemble Data'!B248</f>
        <v>P16</v>
      </c>
      <c r="B247" s="13">
        <f>IFERROR(SUMIF('Assemble Data'!K:K,'Assemble Data'!A248,'Assemble Data'!L:L),0)</f>
        <v>4680</v>
      </c>
      <c r="C247" s="13" t="str">
        <f>INDEX('Assemble Data'!$O$24:$O$1023,MATCH('Assemble Data'!A248,'Assemble Data'!$N$24:$N$1023,0))</f>
        <v>N2</v>
      </c>
      <c r="D247" s="13">
        <f>SUMIF('Assemble Data'!H:H,'Assemble Data'!A248,'Assemble Data'!I:I)</f>
        <v>4</v>
      </c>
      <c r="E247" s="13">
        <f>IFERROR(IF(AND('Assemble Data'!D248&lt;&gt;"",'Assemble Data'!D248&lt;&gt;B247),1,0),1)</f>
        <v>0</v>
      </c>
      <c r="F247" s="13">
        <f ca="1">IF('Assemble Data'!E248="",0,IF(ISERROR(FIND("INDEX",_xlfn.FORMULATEXT('Assemble Data'!E248),1)),1,0)+IFERROR(IF(AND('Assemble Data'!E248&lt;&gt;C247,'Assemble Data'!E248&lt;&gt;""),1,0),1))</f>
        <v>0</v>
      </c>
      <c r="G247" s="13">
        <f ca="1">IF('Assemble Data'!F248="",0,IF(ISERROR(FIND("VLOOKUP",_xlfn.FORMULATEXT('Assemble Data'!F248),1)),1,0)+IFERROR(IF(AND('Assemble Data'!F248&lt;&gt;D247,'Assemble Data'!F248&lt;&gt;""),1,0),1))</f>
        <v>0</v>
      </c>
      <c r="H247" s="13">
        <f t="shared" si="22"/>
        <v>0</v>
      </c>
      <c r="I247" t="str">
        <f t="shared" si="23"/>
        <v>N2P16</v>
      </c>
    </row>
    <row r="248" spans="1:9">
      <c r="A248" t="str">
        <f>'Assemble Data'!B249</f>
        <v>P17</v>
      </c>
      <c r="B248" s="13">
        <f>IFERROR(SUMIF('Assemble Data'!K:K,'Assemble Data'!A249,'Assemble Data'!L:L),0)</f>
        <v>13200.000000000002</v>
      </c>
      <c r="C248" s="13" t="str">
        <f>INDEX('Assemble Data'!$O$24:$O$1023,MATCH('Assemble Data'!A249,'Assemble Data'!$N$24:$N$1023,0))</f>
        <v>O2</v>
      </c>
      <c r="D248" s="13">
        <f>SUMIF('Assemble Data'!H:H,'Assemble Data'!A249,'Assemble Data'!I:I)</f>
        <v>12</v>
      </c>
      <c r="E248" s="13">
        <f>IFERROR(IF(AND('Assemble Data'!D249&lt;&gt;"",'Assemble Data'!D249&lt;&gt;B248),1,0),1)</f>
        <v>0</v>
      </c>
      <c r="F248" s="13">
        <f ca="1">IF('Assemble Data'!E249="",0,IF(ISERROR(FIND("INDEX",_xlfn.FORMULATEXT('Assemble Data'!E249),1)),1,0)+IFERROR(IF(AND('Assemble Data'!E249&lt;&gt;C248,'Assemble Data'!E249&lt;&gt;""),1,0),1))</f>
        <v>0</v>
      </c>
      <c r="G248" s="13">
        <f ca="1">IF('Assemble Data'!F249="",0,IF(ISERROR(FIND("VLOOKUP",_xlfn.FORMULATEXT('Assemble Data'!F249),1)),1,0)+IFERROR(IF(AND('Assemble Data'!F249&lt;&gt;D248,'Assemble Data'!F249&lt;&gt;""),1,0),1))</f>
        <v>0</v>
      </c>
      <c r="H248" s="13">
        <f t="shared" si="22"/>
        <v>6</v>
      </c>
      <c r="I248" t="str">
        <f t="shared" si="23"/>
        <v>O2P17</v>
      </c>
    </row>
    <row r="249" spans="1:9">
      <c r="A249" t="str">
        <f>'Assemble Data'!B250</f>
        <v>P17</v>
      </c>
      <c r="B249" s="13">
        <f>IFERROR(SUMIF('Assemble Data'!K:K,'Assemble Data'!A250,'Assemble Data'!L:L),0)</f>
        <v>13200.000000000002</v>
      </c>
      <c r="C249" s="13" t="str">
        <f>INDEX('Assemble Data'!$O$24:$O$1023,MATCH('Assemble Data'!A250,'Assemble Data'!$N$24:$N$1023,0))</f>
        <v>O2</v>
      </c>
      <c r="D249" s="13">
        <f>SUMIF('Assemble Data'!H:H,'Assemble Data'!A250,'Assemble Data'!I:I)</f>
        <v>12</v>
      </c>
      <c r="E249" s="13">
        <f>IFERROR(IF(AND('Assemble Data'!D250&lt;&gt;"",'Assemble Data'!D250&lt;&gt;B249),1,0),1)</f>
        <v>0</v>
      </c>
      <c r="F249" s="13">
        <f ca="1">IF('Assemble Data'!E250="",0,IF(ISERROR(FIND("INDEX",_xlfn.FORMULATEXT('Assemble Data'!E250),1)),1,0)+IFERROR(IF(AND('Assemble Data'!E250&lt;&gt;C249,'Assemble Data'!E250&lt;&gt;""),1,0),1))</f>
        <v>0</v>
      </c>
      <c r="G249" s="13">
        <f ca="1">IF('Assemble Data'!F250="",0,IF(ISERROR(FIND("VLOOKUP",_xlfn.FORMULATEXT('Assemble Data'!F250),1)),1,0)+IFERROR(IF(AND('Assemble Data'!F250&lt;&gt;D249,'Assemble Data'!F250&lt;&gt;""),1,0),1))</f>
        <v>0</v>
      </c>
      <c r="H249" s="13">
        <f t="shared" si="22"/>
        <v>6</v>
      </c>
      <c r="I249" t="str">
        <f t="shared" si="23"/>
        <v>O2P17</v>
      </c>
    </row>
    <row r="250" spans="1:9">
      <c r="A250" t="str">
        <f>'Assemble Data'!B251</f>
        <v>P13</v>
      </c>
      <c r="B250" s="13">
        <f>IFERROR(SUMIF('Assemble Data'!K:K,'Assemble Data'!A251,'Assemble Data'!L:L),0)</f>
        <v>4500</v>
      </c>
      <c r="C250" s="13" t="str">
        <f>INDEX('Assemble Data'!$O$24:$O$1023,MATCH('Assemble Data'!A251,'Assemble Data'!$N$24:$N$1023,0))</f>
        <v>C2</v>
      </c>
      <c r="D250" s="13">
        <f>SUMIF('Assemble Data'!H:H,'Assemble Data'!A251,'Assemble Data'!I:I)</f>
        <v>5</v>
      </c>
      <c r="E250" s="13">
        <f>IFERROR(IF(AND('Assemble Data'!D251&lt;&gt;"",'Assemble Data'!D251&lt;&gt;B250),1,0),1)</f>
        <v>0</v>
      </c>
      <c r="F250" s="13">
        <f ca="1">IF('Assemble Data'!E251="",0,IF(ISERROR(FIND("INDEX",_xlfn.FORMULATEXT('Assemble Data'!E251),1)),1,0)+IFERROR(IF(AND('Assemble Data'!E251&lt;&gt;C250,'Assemble Data'!E251&lt;&gt;""),1,0),1))</f>
        <v>0</v>
      </c>
      <c r="G250" s="13">
        <f ca="1">IF('Assemble Data'!F251="",0,IF(ISERROR(FIND("VLOOKUP",_xlfn.FORMULATEXT('Assemble Data'!F251),1)),1,0)+IFERROR(IF(AND('Assemble Data'!F251&lt;&gt;D250,'Assemble Data'!F251&lt;&gt;""),1,0),1))</f>
        <v>0</v>
      </c>
      <c r="H250" s="13">
        <f t="shared" si="22"/>
        <v>3</v>
      </c>
      <c r="I250" t="str">
        <f t="shared" si="23"/>
        <v>C2P13</v>
      </c>
    </row>
    <row r="251" spans="1:9">
      <c r="A251" t="str">
        <f>'Assemble Data'!B252</f>
        <v>P11</v>
      </c>
      <c r="B251" s="13">
        <f>IFERROR(SUMIF('Assemble Data'!K:K,'Assemble Data'!A252,'Assemble Data'!L:L),0)</f>
        <v>11000</v>
      </c>
      <c r="C251" s="13" t="str">
        <f>INDEX('Assemble Data'!$O$24:$O$1023,MATCH('Assemble Data'!A252,'Assemble Data'!$N$24:$N$1023,0))</f>
        <v>C2</v>
      </c>
      <c r="D251" s="13">
        <f>SUMIF('Assemble Data'!H:H,'Assemble Data'!A252,'Assemble Data'!I:I)</f>
        <v>11</v>
      </c>
      <c r="E251" s="13">
        <f>IFERROR(IF(AND('Assemble Data'!D252&lt;&gt;"",'Assemble Data'!D252&lt;&gt;B251),1,0),1)</f>
        <v>0</v>
      </c>
      <c r="F251" s="13">
        <f ca="1">IF('Assemble Data'!E252="",0,IF(ISERROR(FIND("INDEX",_xlfn.FORMULATEXT('Assemble Data'!E252),1)),1,0)+IFERROR(IF(AND('Assemble Data'!E252&lt;&gt;C251,'Assemble Data'!E252&lt;&gt;""),1,0),1))</f>
        <v>0</v>
      </c>
      <c r="G251" s="13">
        <f ca="1">IF('Assemble Data'!F252="",0,IF(ISERROR(FIND("VLOOKUP",_xlfn.FORMULATEXT('Assemble Data'!F252),1)),1,0)+IFERROR(IF(AND('Assemble Data'!F252&lt;&gt;D251,'Assemble Data'!F252&lt;&gt;""),1,0),1))</f>
        <v>0</v>
      </c>
      <c r="H251" s="13">
        <f t="shared" ref="H251:H314" si="24">H234</f>
        <v>9</v>
      </c>
      <c r="I251" t="str">
        <f t="shared" si="23"/>
        <v>C2P11</v>
      </c>
    </row>
    <row r="252" spans="1:9">
      <c r="A252" t="str">
        <f>'Assemble Data'!B253</f>
        <v>P11</v>
      </c>
      <c r="B252" s="13">
        <f>IFERROR(SUMIF('Assemble Data'!K:K,'Assemble Data'!A253,'Assemble Data'!L:L),0)</f>
        <v>11000</v>
      </c>
      <c r="C252" s="13" t="str">
        <f>INDEX('Assemble Data'!$O$24:$O$1023,MATCH('Assemble Data'!A253,'Assemble Data'!$N$24:$N$1023,0))</f>
        <v>C2</v>
      </c>
      <c r="D252" s="13">
        <f>SUMIF('Assemble Data'!H:H,'Assemble Data'!A253,'Assemble Data'!I:I)</f>
        <v>11</v>
      </c>
      <c r="E252" s="13">
        <f>IFERROR(IF(AND('Assemble Data'!D253&lt;&gt;"",'Assemble Data'!D253&lt;&gt;B252),1,0),1)</f>
        <v>0</v>
      </c>
      <c r="F252" s="13">
        <f ca="1">IF('Assemble Data'!E253="",0,IF(ISERROR(FIND("INDEX",_xlfn.FORMULATEXT('Assemble Data'!E253),1)),1,0)+IFERROR(IF(AND('Assemble Data'!E253&lt;&gt;C252,'Assemble Data'!E253&lt;&gt;""),1,0),1))</f>
        <v>0</v>
      </c>
      <c r="G252" s="13">
        <f ca="1">IF('Assemble Data'!F253="",0,IF(ISERROR(FIND("VLOOKUP",_xlfn.FORMULATEXT('Assemble Data'!F253),1)),1,0)+IFERROR(IF(AND('Assemble Data'!F253&lt;&gt;D252,'Assemble Data'!F253&lt;&gt;""),1,0),1))</f>
        <v>0</v>
      </c>
      <c r="H252" s="13">
        <f t="shared" si="24"/>
        <v>9</v>
      </c>
      <c r="I252" t="str">
        <f t="shared" si="23"/>
        <v>C2P11</v>
      </c>
    </row>
    <row r="253" spans="1:9">
      <c r="A253" t="str">
        <f>'Assemble Data'!B254</f>
        <v>P12</v>
      </c>
      <c r="B253" s="13">
        <f>IFERROR(SUMIF('Assemble Data'!K:K,'Assemble Data'!A254,'Assemble Data'!L:L),0)</f>
        <v>6825</v>
      </c>
      <c r="C253" s="13" t="str">
        <f>INDEX('Assemble Data'!$O$24:$O$1023,MATCH('Assemble Data'!A254,'Assemble Data'!$N$24:$N$1023,0))</f>
        <v>C2</v>
      </c>
      <c r="D253" s="13">
        <f>SUMIF('Assemble Data'!H:H,'Assemble Data'!A254,'Assemble Data'!I:I)</f>
        <v>6.5</v>
      </c>
      <c r="E253" s="13">
        <f>IFERROR(IF(AND('Assemble Data'!D254&lt;&gt;"",'Assemble Data'!D254&lt;&gt;B253),1,0),1)</f>
        <v>0</v>
      </c>
      <c r="F253" s="13">
        <f ca="1">IF('Assemble Data'!E254="",0,IF(ISERROR(FIND("INDEX",_xlfn.FORMULATEXT('Assemble Data'!E254),1)),1,0)+IFERROR(IF(AND('Assemble Data'!E254&lt;&gt;C253,'Assemble Data'!E254&lt;&gt;""),1,0),1))</f>
        <v>0</v>
      </c>
      <c r="G253" s="13">
        <f ca="1">IF('Assemble Data'!F254="",0,IF(ISERROR(FIND("VLOOKUP",_xlfn.FORMULATEXT('Assemble Data'!F254),1)),1,0)+IFERROR(IF(AND('Assemble Data'!F254&lt;&gt;D253,'Assemble Data'!F254&lt;&gt;""),1,0),1))</f>
        <v>0</v>
      </c>
      <c r="H253" s="13">
        <f t="shared" si="24"/>
        <v>7</v>
      </c>
      <c r="I253" t="str">
        <f t="shared" si="23"/>
        <v>C2P12</v>
      </c>
    </row>
    <row r="254" spans="1:9">
      <c r="A254" t="str">
        <f>'Assemble Data'!B255</f>
        <v>P10</v>
      </c>
      <c r="B254" s="13">
        <f>IFERROR(SUMIF('Assemble Data'!K:K,'Assemble Data'!A255,'Assemble Data'!L:L),0)</f>
        <v>2400</v>
      </c>
      <c r="C254" s="13" t="str">
        <f>INDEX('Assemble Data'!$O$24:$O$1023,MATCH('Assemble Data'!A255,'Assemble Data'!$N$24:$N$1023,0))</f>
        <v>C2</v>
      </c>
      <c r="D254" s="13">
        <f>SUMIF('Assemble Data'!H:H,'Assemble Data'!A255,'Assemble Data'!I:I)</f>
        <v>3</v>
      </c>
      <c r="E254" s="13">
        <f>IFERROR(IF(AND('Assemble Data'!D255&lt;&gt;"",'Assemble Data'!D255&lt;&gt;B254),1,0),1)</f>
        <v>0</v>
      </c>
      <c r="F254" s="13">
        <f ca="1">IF('Assemble Data'!E255="",0,IF(ISERROR(FIND("INDEX",_xlfn.FORMULATEXT('Assemble Data'!E255),1)),1,0)+IFERROR(IF(AND('Assemble Data'!E255&lt;&gt;C254,'Assemble Data'!E255&lt;&gt;""),1,0),1))</f>
        <v>0</v>
      </c>
      <c r="G254" s="13">
        <f ca="1">IF('Assemble Data'!F255="",0,IF(ISERROR(FIND("VLOOKUP",_xlfn.FORMULATEXT('Assemble Data'!F255),1)),1,0)+IFERROR(IF(AND('Assemble Data'!F255&lt;&gt;D254,'Assemble Data'!F255&lt;&gt;""),1,0),1))</f>
        <v>0</v>
      </c>
      <c r="H254" s="13">
        <f t="shared" si="24"/>
        <v>8</v>
      </c>
      <c r="I254" t="str">
        <f t="shared" si="23"/>
        <v>C2P10</v>
      </c>
    </row>
    <row r="255" spans="1:9">
      <c r="A255" t="str">
        <f>'Assemble Data'!B256</f>
        <v>P10</v>
      </c>
      <c r="B255" s="13">
        <f>IFERROR(SUMIF('Assemble Data'!K:K,'Assemble Data'!A256,'Assemble Data'!L:L),0)</f>
        <v>2400</v>
      </c>
      <c r="C255" s="13" t="str">
        <f>INDEX('Assemble Data'!$O$24:$O$1023,MATCH('Assemble Data'!A256,'Assemble Data'!$N$24:$N$1023,0))</f>
        <v>C2</v>
      </c>
      <c r="D255" s="13">
        <f>SUMIF('Assemble Data'!H:H,'Assemble Data'!A256,'Assemble Data'!I:I)</f>
        <v>3</v>
      </c>
      <c r="E255" s="13">
        <f>IFERROR(IF(AND('Assemble Data'!D256&lt;&gt;"",'Assemble Data'!D256&lt;&gt;B255),1,0),1)</f>
        <v>0</v>
      </c>
      <c r="F255" s="13">
        <f ca="1">IF('Assemble Data'!E256="",0,IF(ISERROR(FIND("INDEX",_xlfn.FORMULATEXT('Assemble Data'!E256),1)),1,0)+IFERROR(IF(AND('Assemble Data'!E256&lt;&gt;C255,'Assemble Data'!E256&lt;&gt;""),1,0),1))</f>
        <v>0</v>
      </c>
      <c r="G255" s="13">
        <f ca="1">IF('Assemble Data'!F256="",0,IF(ISERROR(FIND("VLOOKUP",_xlfn.FORMULATEXT('Assemble Data'!F256),1)),1,0)+IFERROR(IF(AND('Assemble Data'!F256&lt;&gt;D255,'Assemble Data'!F256&lt;&gt;""),1,0),1))</f>
        <v>0</v>
      </c>
      <c r="H255" s="13">
        <f t="shared" si="24"/>
        <v>8</v>
      </c>
      <c r="I255" t="str">
        <f t="shared" si="23"/>
        <v>C2P10</v>
      </c>
    </row>
    <row r="256" spans="1:9">
      <c r="A256" t="str">
        <f>'Assemble Data'!B257</f>
        <v>P11</v>
      </c>
      <c r="B256" s="13">
        <f>IFERROR(SUMIF('Assemble Data'!K:K,'Assemble Data'!A257,'Assemble Data'!L:L),0)</f>
        <v>11000</v>
      </c>
      <c r="C256" s="13" t="str">
        <f>INDEX('Assemble Data'!$O$24:$O$1023,MATCH('Assemble Data'!A257,'Assemble Data'!$N$24:$N$1023,0))</f>
        <v>C2</v>
      </c>
      <c r="D256" s="13">
        <f>SUMIF('Assemble Data'!H:H,'Assemble Data'!A257,'Assemble Data'!I:I)</f>
        <v>11</v>
      </c>
      <c r="E256" s="13">
        <f>IFERROR(IF(AND('Assemble Data'!D257&lt;&gt;"",'Assemble Data'!D257&lt;&gt;B256),1,0),1)</f>
        <v>0</v>
      </c>
      <c r="F256" s="13">
        <f ca="1">IF('Assemble Data'!E257="",0,IF(ISERROR(FIND("INDEX",_xlfn.FORMULATEXT('Assemble Data'!E257),1)),1,0)+IFERROR(IF(AND('Assemble Data'!E257&lt;&gt;C256,'Assemble Data'!E257&lt;&gt;""),1,0),1))</f>
        <v>0</v>
      </c>
      <c r="G256" s="13">
        <f ca="1">IF('Assemble Data'!F257="",0,IF(ISERROR(FIND("VLOOKUP",_xlfn.FORMULATEXT('Assemble Data'!F257),1)),1,0)+IFERROR(IF(AND('Assemble Data'!F257&lt;&gt;D256,'Assemble Data'!F257&lt;&gt;""),1,0),1))</f>
        <v>0</v>
      </c>
      <c r="H256" s="13">
        <f t="shared" si="24"/>
        <v>9</v>
      </c>
      <c r="I256" t="str">
        <f t="shared" si="23"/>
        <v>C2P11</v>
      </c>
    </row>
    <row r="257" spans="1:9">
      <c r="A257" t="str">
        <f>'Assemble Data'!B258</f>
        <v>P18</v>
      </c>
      <c r="B257" s="13">
        <f>IFERROR(SUMIF('Assemble Data'!K:K,'Assemble Data'!A258,'Assemble Data'!L:L),0)</f>
        <v>5940.0000000000009</v>
      </c>
      <c r="C257" s="13" t="str">
        <f>INDEX('Assemble Data'!$O$24:$O$1023,MATCH('Assemble Data'!A258,'Assemble Data'!$N$24:$N$1023,0))</f>
        <v>O2</v>
      </c>
      <c r="D257" s="13">
        <f>SUMIF('Assemble Data'!H:H,'Assemble Data'!A258,'Assemble Data'!I:I)</f>
        <v>6</v>
      </c>
      <c r="E257" s="13">
        <f>IFERROR(IF(AND('Assemble Data'!D258&lt;&gt;"",'Assemble Data'!D258&lt;&gt;B257),1,0),1)</f>
        <v>0</v>
      </c>
      <c r="F257" s="13">
        <f ca="1">IF('Assemble Data'!E258="",0,IF(ISERROR(FIND("INDEX",_xlfn.FORMULATEXT('Assemble Data'!E258),1)),1,0)+IFERROR(IF(AND('Assemble Data'!E258&lt;&gt;C257,'Assemble Data'!E258&lt;&gt;""),1,0),1))</f>
        <v>0</v>
      </c>
      <c r="G257" s="13">
        <f ca="1">IF('Assemble Data'!F258="",0,IF(ISERROR(FIND("VLOOKUP",_xlfn.FORMULATEXT('Assemble Data'!F258),1)),1,0)+IFERROR(IF(AND('Assemble Data'!F258&lt;&gt;D257,'Assemble Data'!F258&lt;&gt;""),1,0),1))</f>
        <v>0</v>
      </c>
      <c r="H257" s="13">
        <f t="shared" si="24"/>
        <v>2</v>
      </c>
      <c r="I257" t="str">
        <f t="shared" si="23"/>
        <v>O2P18</v>
      </c>
    </row>
    <row r="258" spans="1:9">
      <c r="A258" t="str">
        <f>'Assemble Data'!B259</f>
        <v>P14</v>
      </c>
      <c r="B258" s="13">
        <f>IFERROR(SUMIF('Assemble Data'!K:K,'Assemble Data'!A259,'Assemble Data'!L:L),0)</f>
        <v>6480</v>
      </c>
      <c r="C258" s="13" t="str">
        <f>INDEX('Assemble Data'!$O$24:$O$1023,MATCH('Assemble Data'!A259,'Assemble Data'!$N$24:$N$1023,0))</f>
        <v>N2</v>
      </c>
      <c r="D258" s="13">
        <f>SUMIF('Assemble Data'!H:H,'Assemble Data'!A259,'Assemble Data'!I:I)</f>
        <v>8</v>
      </c>
      <c r="E258" s="13">
        <f>IFERROR(IF(AND('Assemble Data'!D259&lt;&gt;"",'Assemble Data'!D259&lt;&gt;B258),1,0),1)</f>
        <v>0</v>
      </c>
      <c r="F258" s="13">
        <f ca="1">IF('Assemble Data'!E259="",0,IF(ISERROR(FIND("INDEX",_xlfn.FORMULATEXT('Assemble Data'!E259),1)),1,0)+IFERROR(IF(AND('Assemble Data'!E259&lt;&gt;C258,'Assemble Data'!E259&lt;&gt;""),1,0),1))</f>
        <v>0</v>
      </c>
      <c r="G258" s="13">
        <f ca="1">IF('Assemble Data'!F259="",0,IF(ISERROR(FIND("VLOOKUP",_xlfn.FORMULATEXT('Assemble Data'!F259),1)),1,0)+IFERROR(IF(AND('Assemble Data'!F259&lt;&gt;D258,'Assemble Data'!F259&lt;&gt;""),1,0),1))</f>
        <v>0</v>
      </c>
      <c r="H258" s="13">
        <f t="shared" si="24"/>
        <v>5</v>
      </c>
      <c r="I258" t="str">
        <f t="shared" si="23"/>
        <v>N2P14</v>
      </c>
    </row>
    <row r="259" spans="1:9">
      <c r="A259" t="str">
        <f>'Assemble Data'!B260</f>
        <v>P10</v>
      </c>
      <c r="B259" s="13">
        <f>IFERROR(SUMIF('Assemble Data'!K:K,'Assemble Data'!A260,'Assemble Data'!L:L),0)</f>
        <v>2400</v>
      </c>
      <c r="C259" s="13" t="str">
        <f>INDEX('Assemble Data'!$O$24:$O$1023,MATCH('Assemble Data'!A260,'Assemble Data'!$N$24:$N$1023,0))</f>
        <v>C2</v>
      </c>
      <c r="D259" s="13">
        <f>SUMIF('Assemble Data'!H:H,'Assemble Data'!A260,'Assemble Data'!I:I)</f>
        <v>3</v>
      </c>
      <c r="E259" s="13">
        <f>IFERROR(IF(AND('Assemble Data'!D260&lt;&gt;"",'Assemble Data'!D260&lt;&gt;B259),1,0),1)</f>
        <v>0</v>
      </c>
      <c r="F259" s="13">
        <f ca="1">IF('Assemble Data'!E260="",0,IF(ISERROR(FIND("INDEX",_xlfn.FORMULATEXT('Assemble Data'!E260),1)),1,0)+IFERROR(IF(AND('Assemble Data'!E260&lt;&gt;C259,'Assemble Data'!E260&lt;&gt;""),1,0),1))</f>
        <v>0</v>
      </c>
      <c r="G259" s="13">
        <f ca="1">IF('Assemble Data'!F260="",0,IF(ISERROR(FIND("VLOOKUP",_xlfn.FORMULATEXT('Assemble Data'!F260),1)),1,0)+IFERROR(IF(AND('Assemble Data'!F260&lt;&gt;D259,'Assemble Data'!F260&lt;&gt;""),1,0),1))</f>
        <v>0</v>
      </c>
      <c r="H259" s="13">
        <f t="shared" si="24"/>
        <v>8</v>
      </c>
      <c r="I259" t="str">
        <f t="shared" si="23"/>
        <v>C2P10</v>
      </c>
    </row>
    <row r="260" spans="1:9">
      <c r="A260" t="str">
        <f>'Assemble Data'!B261</f>
        <v>P13</v>
      </c>
      <c r="B260" s="13">
        <f>IFERROR(SUMIF('Assemble Data'!K:K,'Assemble Data'!A261,'Assemble Data'!L:L),0)</f>
        <v>9000</v>
      </c>
      <c r="C260" s="13" t="str">
        <f>INDEX('Assemble Data'!$O$24:$O$1023,MATCH('Assemble Data'!A261,'Assemble Data'!$N$24:$N$1023,0))</f>
        <v>C2</v>
      </c>
      <c r="D260" s="13">
        <f>SUMIF('Assemble Data'!H:H,'Assemble Data'!A261,'Assemble Data'!I:I)</f>
        <v>5</v>
      </c>
      <c r="E260" s="13">
        <f>IFERROR(IF(AND('Assemble Data'!D261&lt;&gt;"",'Assemble Data'!D261&lt;&gt;B260),1,0),1)</f>
        <v>0</v>
      </c>
      <c r="F260" s="13">
        <f ca="1">IF('Assemble Data'!E261="",0,IF(ISERROR(FIND("INDEX",_xlfn.FORMULATEXT('Assemble Data'!E261),1)),1,0)+IFERROR(IF(AND('Assemble Data'!E261&lt;&gt;C260,'Assemble Data'!E261&lt;&gt;""),1,0),1))</f>
        <v>0</v>
      </c>
      <c r="G260" s="13">
        <f ca="1">IF('Assemble Data'!F261="",0,IF(ISERROR(FIND("VLOOKUP",_xlfn.FORMULATEXT('Assemble Data'!F261),1)),1,0)+IFERROR(IF(AND('Assemble Data'!F261&lt;&gt;D260,'Assemble Data'!F261&lt;&gt;""),1,0),1))</f>
        <v>0</v>
      </c>
      <c r="H260" s="13">
        <f t="shared" si="24"/>
        <v>3</v>
      </c>
      <c r="I260" t="str">
        <f t="shared" si="23"/>
        <v>C2P13</v>
      </c>
    </row>
    <row r="261" spans="1:9">
      <c r="A261" t="str">
        <f>'Assemble Data'!B262</f>
        <v>P13</v>
      </c>
      <c r="B261" s="13">
        <f>IFERROR(SUMIF('Assemble Data'!K:K,'Assemble Data'!A262,'Assemble Data'!L:L),0)</f>
        <v>4500</v>
      </c>
      <c r="C261" s="13" t="str">
        <f>INDEX('Assemble Data'!$O$24:$O$1023,MATCH('Assemble Data'!A262,'Assemble Data'!$N$24:$N$1023,0))</f>
        <v>C2</v>
      </c>
      <c r="D261" s="13">
        <f>SUMIF('Assemble Data'!H:H,'Assemble Data'!A262,'Assemble Data'!I:I)</f>
        <v>5</v>
      </c>
      <c r="E261" s="13">
        <f>IFERROR(IF(AND('Assemble Data'!D262&lt;&gt;"",'Assemble Data'!D262&lt;&gt;B261),1,0),1)</f>
        <v>0</v>
      </c>
      <c r="F261" s="13">
        <f ca="1">IF('Assemble Data'!E262="",0,IF(ISERROR(FIND("INDEX",_xlfn.FORMULATEXT('Assemble Data'!E262),1)),1,0)+IFERROR(IF(AND('Assemble Data'!E262&lt;&gt;C261,'Assemble Data'!E262&lt;&gt;""),1,0),1))</f>
        <v>0</v>
      </c>
      <c r="G261" s="13">
        <f ca="1">IF('Assemble Data'!F262="",0,IF(ISERROR(FIND("VLOOKUP",_xlfn.FORMULATEXT('Assemble Data'!F262),1)),1,0)+IFERROR(IF(AND('Assemble Data'!F262&lt;&gt;D261,'Assemble Data'!F262&lt;&gt;""),1,0),1))</f>
        <v>0</v>
      </c>
      <c r="H261" s="13">
        <f t="shared" si="24"/>
        <v>3</v>
      </c>
      <c r="I261" t="str">
        <f t="shared" si="23"/>
        <v>C2P13</v>
      </c>
    </row>
    <row r="262" spans="1:9">
      <c r="A262" t="str">
        <f>'Assemble Data'!B263</f>
        <v>P10</v>
      </c>
      <c r="B262" s="13">
        <f>IFERROR(SUMIF('Assemble Data'!K:K,'Assemble Data'!A263,'Assemble Data'!L:L),0)</f>
        <v>2400</v>
      </c>
      <c r="C262" s="13" t="str">
        <f>INDEX('Assemble Data'!$O$24:$O$1023,MATCH('Assemble Data'!A263,'Assemble Data'!$N$24:$N$1023,0))</f>
        <v>C2</v>
      </c>
      <c r="D262" s="13">
        <f>SUMIF('Assemble Data'!H:H,'Assemble Data'!A263,'Assemble Data'!I:I)</f>
        <v>3</v>
      </c>
      <c r="E262" s="13">
        <f>IFERROR(IF(AND('Assemble Data'!D263&lt;&gt;"",'Assemble Data'!D263&lt;&gt;B262),1,0),1)</f>
        <v>0</v>
      </c>
      <c r="F262" s="13">
        <f ca="1">IF('Assemble Data'!E263="",0,IF(ISERROR(FIND("INDEX",_xlfn.FORMULATEXT('Assemble Data'!E263),1)),1,0)+IFERROR(IF(AND('Assemble Data'!E263&lt;&gt;C262,'Assemble Data'!E263&lt;&gt;""),1,0),1))</f>
        <v>0</v>
      </c>
      <c r="G262" s="13">
        <f ca="1">IF('Assemble Data'!F263="",0,IF(ISERROR(FIND("VLOOKUP",_xlfn.FORMULATEXT('Assemble Data'!F263),1)),1,0)+IFERROR(IF(AND('Assemble Data'!F263&lt;&gt;D262,'Assemble Data'!F263&lt;&gt;""),1,0),1))</f>
        <v>0</v>
      </c>
      <c r="H262" s="13">
        <f t="shared" si="24"/>
        <v>8</v>
      </c>
      <c r="I262" t="str">
        <f t="shared" si="23"/>
        <v>C2P10</v>
      </c>
    </row>
    <row r="263" spans="1:9">
      <c r="A263" t="str">
        <f>'Assemble Data'!B264</f>
        <v>P11</v>
      </c>
      <c r="B263" s="13">
        <f>IFERROR(SUMIF('Assemble Data'!K:K,'Assemble Data'!A264,'Assemble Data'!L:L),0)</f>
        <v>11000</v>
      </c>
      <c r="C263" s="13" t="str">
        <f>INDEX('Assemble Data'!$O$24:$O$1023,MATCH('Assemble Data'!A264,'Assemble Data'!$N$24:$N$1023,0))</f>
        <v>C2</v>
      </c>
      <c r="D263" s="13">
        <f>SUMIF('Assemble Data'!H:H,'Assemble Data'!A264,'Assemble Data'!I:I)</f>
        <v>11</v>
      </c>
      <c r="E263" s="13">
        <f>IFERROR(IF(AND('Assemble Data'!D264&lt;&gt;"",'Assemble Data'!D264&lt;&gt;B263),1,0),1)</f>
        <v>0</v>
      </c>
      <c r="F263" s="13">
        <f ca="1">IF('Assemble Data'!E264="",0,IF(ISERROR(FIND("INDEX",_xlfn.FORMULATEXT('Assemble Data'!E264),1)),1,0)+IFERROR(IF(AND('Assemble Data'!E264&lt;&gt;C263,'Assemble Data'!E264&lt;&gt;""),1,0),1))</f>
        <v>0</v>
      </c>
      <c r="G263" s="13">
        <f ca="1">IF('Assemble Data'!F264="",0,IF(ISERROR(FIND("VLOOKUP",_xlfn.FORMULATEXT('Assemble Data'!F264),1)),1,0)+IFERROR(IF(AND('Assemble Data'!F264&lt;&gt;D263,'Assemble Data'!F264&lt;&gt;""),1,0),1))</f>
        <v>0</v>
      </c>
      <c r="H263" s="13">
        <f t="shared" si="24"/>
        <v>9</v>
      </c>
      <c r="I263" t="str">
        <f t="shared" si="23"/>
        <v>C2P11</v>
      </c>
    </row>
    <row r="264" spans="1:9">
      <c r="A264" t="str">
        <f>'Assemble Data'!B265</f>
        <v>P16</v>
      </c>
      <c r="B264" s="13">
        <f>IFERROR(SUMIF('Assemble Data'!K:K,'Assemble Data'!A265,'Assemble Data'!L:L),0)</f>
        <v>4680</v>
      </c>
      <c r="C264" s="13" t="str">
        <f>INDEX('Assemble Data'!$O$24:$O$1023,MATCH('Assemble Data'!A265,'Assemble Data'!$N$24:$N$1023,0))</f>
        <v>N2</v>
      </c>
      <c r="D264" s="13">
        <f>SUMIF('Assemble Data'!H:H,'Assemble Data'!A265,'Assemble Data'!I:I)</f>
        <v>4</v>
      </c>
      <c r="E264" s="13">
        <f>IFERROR(IF(AND('Assemble Data'!D265&lt;&gt;"",'Assemble Data'!D265&lt;&gt;B264),1,0),1)</f>
        <v>0</v>
      </c>
      <c r="F264" s="13">
        <f ca="1">IF('Assemble Data'!E265="",0,IF(ISERROR(FIND("INDEX",_xlfn.FORMULATEXT('Assemble Data'!E265),1)),1,0)+IFERROR(IF(AND('Assemble Data'!E265&lt;&gt;C264,'Assemble Data'!E265&lt;&gt;""),1,0),1))</f>
        <v>0</v>
      </c>
      <c r="G264" s="13">
        <f ca="1">IF('Assemble Data'!F265="",0,IF(ISERROR(FIND("VLOOKUP",_xlfn.FORMULATEXT('Assemble Data'!F265),1)),1,0)+IFERROR(IF(AND('Assemble Data'!F265&lt;&gt;D264,'Assemble Data'!F265&lt;&gt;""),1,0),1))</f>
        <v>0</v>
      </c>
      <c r="H264" s="13">
        <f t="shared" si="24"/>
        <v>0</v>
      </c>
      <c r="I264" t="str">
        <f t="shared" si="23"/>
        <v>N2P16</v>
      </c>
    </row>
    <row r="265" spans="1:9">
      <c r="A265" t="str">
        <f>'Assemble Data'!B266</f>
        <v>P17</v>
      </c>
      <c r="B265" s="13">
        <f>IFERROR(SUMIF('Assemble Data'!K:K,'Assemble Data'!A266,'Assemble Data'!L:L),0)</f>
        <v>13200.000000000002</v>
      </c>
      <c r="C265" s="13" t="str">
        <f>INDEX('Assemble Data'!$O$24:$O$1023,MATCH('Assemble Data'!A266,'Assemble Data'!$N$24:$N$1023,0))</f>
        <v>O2</v>
      </c>
      <c r="D265" s="13">
        <f>SUMIF('Assemble Data'!H:H,'Assemble Data'!A266,'Assemble Data'!I:I)</f>
        <v>12</v>
      </c>
      <c r="E265" s="13">
        <f>IFERROR(IF(AND('Assemble Data'!D266&lt;&gt;"",'Assemble Data'!D266&lt;&gt;B265),1,0),1)</f>
        <v>0</v>
      </c>
      <c r="F265" s="13">
        <f ca="1">IF('Assemble Data'!E266="",0,IF(ISERROR(FIND("INDEX",_xlfn.FORMULATEXT('Assemble Data'!E266),1)),1,0)+IFERROR(IF(AND('Assemble Data'!E266&lt;&gt;C265,'Assemble Data'!E266&lt;&gt;""),1,0),1))</f>
        <v>0</v>
      </c>
      <c r="G265" s="13">
        <f ca="1">IF('Assemble Data'!F266="",0,IF(ISERROR(FIND("VLOOKUP",_xlfn.FORMULATEXT('Assemble Data'!F266),1)),1,0)+IFERROR(IF(AND('Assemble Data'!F266&lt;&gt;D265,'Assemble Data'!F266&lt;&gt;""),1,0),1))</f>
        <v>0</v>
      </c>
      <c r="H265" s="13">
        <f t="shared" si="24"/>
        <v>6</v>
      </c>
      <c r="I265" t="str">
        <f t="shared" si="23"/>
        <v>O2P17</v>
      </c>
    </row>
    <row r="266" spans="1:9">
      <c r="A266" t="str">
        <f>'Assemble Data'!B267</f>
        <v>P17</v>
      </c>
      <c r="B266" s="13">
        <f>IFERROR(SUMIF('Assemble Data'!K:K,'Assemble Data'!A267,'Assemble Data'!L:L),0)</f>
        <v>13200.000000000002</v>
      </c>
      <c r="C266" s="13" t="str">
        <f>INDEX('Assemble Data'!$O$24:$O$1023,MATCH('Assemble Data'!A267,'Assemble Data'!$N$24:$N$1023,0))</f>
        <v>O2</v>
      </c>
      <c r="D266" s="13">
        <f>SUMIF('Assemble Data'!H:H,'Assemble Data'!A267,'Assemble Data'!I:I)</f>
        <v>12</v>
      </c>
      <c r="E266" s="13">
        <f>IFERROR(IF(AND('Assemble Data'!D267&lt;&gt;"",'Assemble Data'!D267&lt;&gt;B266),1,0),1)</f>
        <v>0</v>
      </c>
      <c r="F266" s="13">
        <f ca="1">IF('Assemble Data'!E267="",0,IF(ISERROR(FIND("INDEX",_xlfn.FORMULATEXT('Assemble Data'!E267),1)),1,0)+IFERROR(IF(AND('Assemble Data'!E267&lt;&gt;C266,'Assemble Data'!E267&lt;&gt;""),1,0),1))</f>
        <v>0</v>
      </c>
      <c r="G266" s="13">
        <f ca="1">IF('Assemble Data'!F267="",0,IF(ISERROR(FIND("VLOOKUP",_xlfn.FORMULATEXT('Assemble Data'!F267),1)),1,0)+IFERROR(IF(AND('Assemble Data'!F267&lt;&gt;D266,'Assemble Data'!F267&lt;&gt;""),1,0),1))</f>
        <v>0</v>
      </c>
      <c r="H266" s="13">
        <f t="shared" si="24"/>
        <v>6</v>
      </c>
      <c r="I266" t="str">
        <f t="shared" si="23"/>
        <v>O2P17</v>
      </c>
    </row>
    <row r="267" spans="1:9">
      <c r="A267" t="str">
        <f>'Assemble Data'!B268</f>
        <v>P13</v>
      </c>
      <c r="B267" s="13">
        <f>IFERROR(SUMIF('Assemble Data'!K:K,'Assemble Data'!A268,'Assemble Data'!L:L),0)</f>
        <v>4500</v>
      </c>
      <c r="C267" s="13" t="str">
        <f>INDEX('Assemble Data'!$O$24:$O$1023,MATCH('Assemble Data'!A268,'Assemble Data'!$N$24:$N$1023,0))</f>
        <v>C2</v>
      </c>
      <c r="D267" s="13">
        <f>SUMIF('Assemble Data'!H:H,'Assemble Data'!A268,'Assemble Data'!I:I)</f>
        <v>5</v>
      </c>
      <c r="E267" s="13">
        <f>IFERROR(IF(AND('Assemble Data'!D268&lt;&gt;"",'Assemble Data'!D268&lt;&gt;B267),1,0),1)</f>
        <v>0</v>
      </c>
      <c r="F267" s="13">
        <f ca="1">IF('Assemble Data'!E268="",0,IF(ISERROR(FIND("INDEX",_xlfn.FORMULATEXT('Assemble Data'!E268),1)),1,0)+IFERROR(IF(AND('Assemble Data'!E268&lt;&gt;C267,'Assemble Data'!E268&lt;&gt;""),1,0),1))</f>
        <v>0</v>
      </c>
      <c r="G267" s="13">
        <f ca="1">IF('Assemble Data'!F268="",0,IF(ISERROR(FIND("VLOOKUP",_xlfn.FORMULATEXT('Assemble Data'!F268),1)),1,0)+IFERROR(IF(AND('Assemble Data'!F268&lt;&gt;D267,'Assemble Data'!F268&lt;&gt;""),1,0),1))</f>
        <v>0</v>
      </c>
      <c r="H267" s="13">
        <f t="shared" si="24"/>
        <v>3</v>
      </c>
      <c r="I267" t="str">
        <f t="shared" si="23"/>
        <v>C2P13</v>
      </c>
    </row>
    <row r="268" spans="1:9">
      <c r="A268" t="str">
        <f>'Assemble Data'!B269</f>
        <v>P11</v>
      </c>
      <c r="B268" s="13">
        <f>IFERROR(SUMIF('Assemble Data'!K:K,'Assemble Data'!A269,'Assemble Data'!L:L),0)</f>
        <v>11000</v>
      </c>
      <c r="C268" s="13" t="str">
        <f>INDEX('Assemble Data'!$O$24:$O$1023,MATCH('Assemble Data'!A269,'Assemble Data'!$N$24:$N$1023,0))</f>
        <v>C2</v>
      </c>
      <c r="D268" s="13">
        <f>SUMIF('Assemble Data'!H:H,'Assemble Data'!A269,'Assemble Data'!I:I)</f>
        <v>11</v>
      </c>
      <c r="E268" s="13">
        <f>IFERROR(IF(AND('Assemble Data'!D269&lt;&gt;"",'Assemble Data'!D269&lt;&gt;B268),1,0),1)</f>
        <v>0</v>
      </c>
      <c r="F268" s="13">
        <f ca="1">IF('Assemble Data'!E269="",0,IF(ISERROR(FIND("INDEX",_xlfn.FORMULATEXT('Assemble Data'!E269),1)),1,0)+IFERROR(IF(AND('Assemble Data'!E269&lt;&gt;C268,'Assemble Data'!E269&lt;&gt;""),1,0),1))</f>
        <v>0</v>
      </c>
      <c r="G268" s="13">
        <f ca="1">IF('Assemble Data'!F269="",0,IF(ISERROR(FIND("VLOOKUP",_xlfn.FORMULATEXT('Assemble Data'!F269),1)),1,0)+IFERROR(IF(AND('Assemble Data'!F269&lt;&gt;D268,'Assemble Data'!F269&lt;&gt;""),1,0),1))</f>
        <v>0</v>
      </c>
      <c r="H268" s="13">
        <f t="shared" si="24"/>
        <v>9</v>
      </c>
      <c r="I268" t="str">
        <f t="shared" si="23"/>
        <v>C2P11</v>
      </c>
    </row>
    <row r="269" spans="1:9">
      <c r="A269" t="str">
        <f>'Assemble Data'!B270</f>
        <v>P11</v>
      </c>
      <c r="B269" s="13">
        <f>IFERROR(SUMIF('Assemble Data'!K:K,'Assemble Data'!A270,'Assemble Data'!L:L),0)</f>
        <v>11000</v>
      </c>
      <c r="C269" s="13" t="str">
        <f>INDEX('Assemble Data'!$O$24:$O$1023,MATCH('Assemble Data'!A270,'Assemble Data'!$N$24:$N$1023,0))</f>
        <v>C2</v>
      </c>
      <c r="D269" s="13">
        <f>SUMIF('Assemble Data'!H:H,'Assemble Data'!A270,'Assemble Data'!I:I)</f>
        <v>11</v>
      </c>
      <c r="E269" s="13">
        <f>IFERROR(IF(AND('Assemble Data'!D270&lt;&gt;"",'Assemble Data'!D270&lt;&gt;B269),1,0),1)</f>
        <v>0</v>
      </c>
      <c r="F269" s="13">
        <f ca="1">IF('Assemble Data'!E270="",0,IF(ISERROR(FIND("INDEX",_xlfn.FORMULATEXT('Assemble Data'!E270),1)),1,0)+IFERROR(IF(AND('Assemble Data'!E270&lt;&gt;C269,'Assemble Data'!E270&lt;&gt;""),1,0),1))</f>
        <v>0</v>
      </c>
      <c r="G269" s="13">
        <f ca="1">IF('Assemble Data'!F270="",0,IF(ISERROR(FIND("VLOOKUP",_xlfn.FORMULATEXT('Assemble Data'!F270),1)),1,0)+IFERROR(IF(AND('Assemble Data'!F270&lt;&gt;D269,'Assemble Data'!F270&lt;&gt;""),1,0),1))</f>
        <v>0</v>
      </c>
      <c r="H269" s="13">
        <f t="shared" si="24"/>
        <v>9</v>
      </c>
      <c r="I269" t="str">
        <f t="shared" si="23"/>
        <v>C2P11</v>
      </c>
    </row>
    <row r="270" spans="1:9">
      <c r="A270" t="str">
        <f>'Assemble Data'!B271</f>
        <v>P12</v>
      </c>
      <c r="B270" s="13">
        <f>IFERROR(SUMIF('Assemble Data'!K:K,'Assemble Data'!A271,'Assemble Data'!L:L),0)</f>
        <v>6825</v>
      </c>
      <c r="C270" s="13" t="str">
        <f>INDEX('Assemble Data'!$O$24:$O$1023,MATCH('Assemble Data'!A271,'Assemble Data'!$N$24:$N$1023,0))</f>
        <v>C2</v>
      </c>
      <c r="D270" s="13">
        <f>SUMIF('Assemble Data'!H:H,'Assemble Data'!A271,'Assemble Data'!I:I)</f>
        <v>6.5</v>
      </c>
      <c r="E270" s="13">
        <f>IFERROR(IF(AND('Assemble Data'!D271&lt;&gt;"",'Assemble Data'!D271&lt;&gt;B270),1,0),1)</f>
        <v>0</v>
      </c>
      <c r="F270" s="13">
        <f ca="1">IF('Assemble Data'!E271="",0,IF(ISERROR(FIND("INDEX",_xlfn.FORMULATEXT('Assemble Data'!E271),1)),1,0)+IFERROR(IF(AND('Assemble Data'!E271&lt;&gt;C270,'Assemble Data'!E271&lt;&gt;""),1,0),1))</f>
        <v>0</v>
      </c>
      <c r="G270" s="13">
        <f ca="1">IF('Assemble Data'!F271="",0,IF(ISERROR(FIND("VLOOKUP",_xlfn.FORMULATEXT('Assemble Data'!F271),1)),1,0)+IFERROR(IF(AND('Assemble Data'!F271&lt;&gt;D270,'Assemble Data'!F271&lt;&gt;""),1,0),1))</f>
        <v>0</v>
      </c>
      <c r="H270" s="13">
        <f t="shared" si="24"/>
        <v>7</v>
      </c>
      <c r="I270" t="str">
        <f t="shared" si="23"/>
        <v>C2P12</v>
      </c>
    </row>
    <row r="271" spans="1:9">
      <c r="A271" t="str">
        <f>'Assemble Data'!B272</f>
        <v>P10</v>
      </c>
      <c r="B271" s="13">
        <f>IFERROR(SUMIF('Assemble Data'!K:K,'Assemble Data'!A272,'Assemble Data'!L:L),0)</f>
        <v>2400</v>
      </c>
      <c r="C271" s="13" t="str">
        <f>INDEX('Assemble Data'!$O$24:$O$1023,MATCH('Assemble Data'!A272,'Assemble Data'!$N$24:$N$1023,0))</f>
        <v>C2</v>
      </c>
      <c r="D271" s="13">
        <f>SUMIF('Assemble Data'!H:H,'Assemble Data'!A272,'Assemble Data'!I:I)</f>
        <v>3</v>
      </c>
      <c r="E271" s="13">
        <f>IFERROR(IF(AND('Assemble Data'!D272&lt;&gt;"",'Assemble Data'!D272&lt;&gt;B271),1,0),1)</f>
        <v>0</v>
      </c>
      <c r="F271" s="13">
        <f ca="1">IF('Assemble Data'!E272="",0,IF(ISERROR(FIND("INDEX",_xlfn.FORMULATEXT('Assemble Data'!E272),1)),1,0)+IFERROR(IF(AND('Assemble Data'!E272&lt;&gt;C271,'Assemble Data'!E272&lt;&gt;""),1,0),1))</f>
        <v>0</v>
      </c>
      <c r="G271" s="13">
        <f ca="1">IF('Assemble Data'!F272="",0,IF(ISERROR(FIND("VLOOKUP",_xlfn.FORMULATEXT('Assemble Data'!F272),1)),1,0)+IFERROR(IF(AND('Assemble Data'!F272&lt;&gt;D271,'Assemble Data'!F272&lt;&gt;""),1,0),1))</f>
        <v>0</v>
      </c>
      <c r="H271" s="13">
        <f t="shared" si="24"/>
        <v>8</v>
      </c>
      <c r="I271" t="str">
        <f t="shared" si="23"/>
        <v>C2P10</v>
      </c>
    </row>
    <row r="272" spans="1:9">
      <c r="A272" t="str">
        <f>'Assemble Data'!B273</f>
        <v>P10</v>
      </c>
      <c r="B272" s="13">
        <f>IFERROR(SUMIF('Assemble Data'!K:K,'Assemble Data'!A273,'Assemble Data'!L:L),0)</f>
        <v>2400</v>
      </c>
      <c r="C272" s="13" t="str">
        <f>INDEX('Assemble Data'!$O$24:$O$1023,MATCH('Assemble Data'!A273,'Assemble Data'!$N$24:$N$1023,0))</f>
        <v>C2</v>
      </c>
      <c r="D272" s="13">
        <f>SUMIF('Assemble Data'!H:H,'Assemble Data'!A273,'Assemble Data'!I:I)</f>
        <v>3</v>
      </c>
      <c r="E272" s="13">
        <f>IFERROR(IF(AND('Assemble Data'!D273&lt;&gt;"",'Assemble Data'!D273&lt;&gt;B272),1,0),1)</f>
        <v>0</v>
      </c>
      <c r="F272" s="13">
        <f ca="1">IF('Assemble Data'!E273="",0,IF(ISERROR(FIND("INDEX",_xlfn.FORMULATEXT('Assemble Data'!E273),1)),1,0)+IFERROR(IF(AND('Assemble Data'!E273&lt;&gt;C272,'Assemble Data'!E273&lt;&gt;""),1,0),1))</f>
        <v>0</v>
      </c>
      <c r="G272" s="13">
        <f ca="1">IF('Assemble Data'!F273="",0,IF(ISERROR(FIND("VLOOKUP",_xlfn.FORMULATEXT('Assemble Data'!F273),1)),1,0)+IFERROR(IF(AND('Assemble Data'!F273&lt;&gt;D272,'Assemble Data'!F273&lt;&gt;""),1,0),1))</f>
        <v>0</v>
      </c>
      <c r="H272" s="13">
        <f t="shared" si="24"/>
        <v>8</v>
      </c>
      <c r="I272" t="str">
        <f t="shared" si="23"/>
        <v>C2P10</v>
      </c>
    </row>
    <row r="273" spans="1:9">
      <c r="A273" t="str">
        <f>'Assemble Data'!B274</f>
        <v>P11</v>
      </c>
      <c r="B273" s="13">
        <f>IFERROR(SUMIF('Assemble Data'!K:K,'Assemble Data'!A274,'Assemble Data'!L:L),0)</f>
        <v>11000</v>
      </c>
      <c r="C273" s="13" t="str">
        <f>INDEX('Assemble Data'!$O$24:$O$1023,MATCH('Assemble Data'!A274,'Assemble Data'!$N$24:$N$1023,0))</f>
        <v>C2</v>
      </c>
      <c r="D273" s="13">
        <f>SUMIF('Assemble Data'!H:H,'Assemble Data'!A274,'Assemble Data'!I:I)</f>
        <v>11</v>
      </c>
      <c r="E273" s="13">
        <f>IFERROR(IF(AND('Assemble Data'!D274&lt;&gt;"",'Assemble Data'!D274&lt;&gt;B273),1,0),1)</f>
        <v>0</v>
      </c>
      <c r="F273" s="13">
        <f ca="1">IF('Assemble Data'!E274="",0,IF(ISERROR(FIND("INDEX",_xlfn.FORMULATEXT('Assemble Data'!E274),1)),1,0)+IFERROR(IF(AND('Assemble Data'!E274&lt;&gt;C273,'Assemble Data'!E274&lt;&gt;""),1,0),1))</f>
        <v>0</v>
      </c>
      <c r="G273" s="13">
        <f ca="1">IF('Assemble Data'!F274="",0,IF(ISERROR(FIND("VLOOKUP",_xlfn.FORMULATEXT('Assemble Data'!F274),1)),1,0)+IFERROR(IF(AND('Assemble Data'!F274&lt;&gt;D273,'Assemble Data'!F274&lt;&gt;""),1,0),1))</f>
        <v>0</v>
      </c>
      <c r="H273" s="13">
        <f t="shared" si="24"/>
        <v>9</v>
      </c>
      <c r="I273" t="str">
        <f t="shared" si="23"/>
        <v>C2P11</v>
      </c>
    </row>
    <row r="274" spans="1:9">
      <c r="A274" t="str">
        <f>'Assemble Data'!B275</f>
        <v>P18</v>
      </c>
      <c r="B274" s="13">
        <f>IFERROR(SUMIF('Assemble Data'!K:K,'Assemble Data'!A275,'Assemble Data'!L:L),0)</f>
        <v>5940.0000000000009</v>
      </c>
      <c r="C274" s="13" t="str">
        <f>INDEX('Assemble Data'!$O$24:$O$1023,MATCH('Assemble Data'!A275,'Assemble Data'!$N$24:$N$1023,0))</f>
        <v>O2</v>
      </c>
      <c r="D274" s="13">
        <f>SUMIF('Assemble Data'!H:H,'Assemble Data'!A275,'Assemble Data'!I:I)</f>
        <v>6</v>
      </c>
      <c r="E274" s="13">
        <f>IFERROR(IF(AND('Assemble Data'!D275&lt;&gt;"",'Assemble Data'!D275&lt;&gt;B274),1,0),1)</f>
        <v>0</v>
      </c>
      <c r="F274" s="13">
        <f ca="1">IF('Assemble Data'!E275="",0,IF(ISERROR(FIND("INDEX",_xlfn.FORMULATEXT('Assemble Data'!E275),1)),1,0)+IFERROR(IF(AND('Assemble Data'!E275&lt;&gt;C274,'Assemble Data'!E275&lt;&gt;""),1,0),1))</f>
        <v>0</v>
      </c>
      <c r="G274" s="13">
        <f ca="1">IF('Assemble Data'!F275="",0,IF(ISERROR(FIND("VLOOKUP",_xlfn.FORMULATEXT('Assemble Data'!F275),1)),1,0)+IFERROR(IF(AND('Assemble Data'!F275&lt;&gt;D274,'Assemble Data'!F275&lt;&gt;""),1,0),1))</f>
        <v>0</v>
      </c>
      <c r="H274" s="13">
        <f t="shared" si="24"/>
        <v>2</v>
      </c>
      <c r="I274" t="str">
        <f t="shared" si="23"/>
        <v>O2P18</v>
      </c>
    </row>
    <row r="275" spans="1:9">
      <c r="A275" t="str">
        <f>'Assemble Data'!B276</f>
        <v>P14</v>
      </c>
      <c r="B275" s="13">
        <f>IFERROR(SUMIF('Assemble Data'!K:K,'Assemble Data'!A276,'Assemble Data'!L:L),0)</f>
        <v>12960</v>
      </c>
      <c r="C275" s="13" t="str">
        <f>INDEX('Assemble Data'!$O$24:$O$1023,MATCH('Assemble Data'!A276,'Assemble Data'!$N$24:$N$1023,0))</f>
        <v>N2</v>
      </c>
      <c r="D275" s="13">
        <f>SUMIF('Assemble Data'!H:H,'Assemble Data'!A276,'Assemble Data'!I:I)</f>
        <v>8</v>
      </c>
      <c r="E275" s="13">
        <f>IFERROR(IF(AND('Assemble Data'!D276&lt;&gt;"",'Assemble Data'!D276&lt;&gt;B275),1,0),1)</f>
        <v>0</v>
      </c>
      <c r="F275" s="13">
        <f ca="1">IF('Assemble Data'!E276="",0,IF(ISERROR(FIND("INDEX",_xlfn.FORMULATEXT('Assemble Data'!E276),1)),1,0)+IFERROR(IF(AND('Assemble Data'!E276&lt;&gt;C275,'Assemble Data'!E276&lt;&gt;""),1,0),1))</f>
        <v>0</v>
      </c>
      <c r="G275" s="13">
        <f ca="1">IF('Assemble Data'!F276="",0,IF(ISERROR(FIND("VLOOKUP",_xlfn.FORMULATEXT('Assemble Data'!F276),1)),1,0)+IFERROR(IF(AND('Assemble Data'!F276&lt;&gt;D275,'Assemble Data'!F276&lt;&gt;""),1,0),1))</f>
        <v>0</v>
      </c>
      <c r="H275" s="13">
        <f t="shared" si="24"/>
        <v>5</v>
      </c>
      <c r="I275" t="str">
        <f t="shared" si="23"/>
        <v>N2P14</v>
      </c>
    </row>
    <row r="276" spans="1:9">
      <c r="A276" t="str">
        <f>'Assemble Data'!B277</f>
        <v>P10</v>
      </c>
      <c r="B276" s="13">
        <f>IFERROR(SUMIF('Assemble Data'!K:K,'Assemble Data'!A277,'Assemble Data'!L:L),0)</f>
        <v>2400</v>
      </c>
      <c r="C276" s="13" t="str">
        <f>INDEX('Assemble Data'!$O$24:$O$1023,MATCH('Assemble Data'!A277,'Assemble Data'!$N$24:$N$1023,0))</f>
        <v>C2</v>
      </c>
      <c r="D276" s="13">
        <f>SUMIF('Assemble Data'!H:H,'Assemble Data'!A277,'Assemble Data'!I:I)</f>
        <v>3</v>
      </c>
      <c r="E276" s="13">
        <f>IFERROR(IF(AND('Assemble Data'!D277&lt;&gt;"",'Assemble Data'!D277&lt;&gt;B276),1,0),1)</f>
        <v>0</v>
      </c>
      <c r="F276" s="13">
        <f ca="1">IF('Assemble Data'!E277="",0,IF(ISERROR(FIND("INDEX",_xlfn.FORMULATEXT('Assemble Data'!E277),1)),1,0)+IFERROR(IF(AND('Assemble Data'!E277&lt;&gt;C276,'Assemble Data'!E277&lt;&gt;""),1,0),1))</f>
        <v>0</v>
      </c>
      <c r="G276" s="13">
        <f ca="1">IF('Assemble Data'!F277="",0,IF(ISERROR(FIND("VLOOKUP",_xlfn.FORMULATEXT('Assemble Data'!F277),1)),1,0)+IFERROR(IF(AND('Assemble Data'!F277&lt;&gt;D276,'Assemble Data'!F277&lt;&gt;""),1,0),1))</f>
        <v>0</v>
      </c>
      <c r="H276" s="13">
        <f t="shared" si="24"/>
        <v>8</v>
      </c>
      <c r="I276" t="str">
        <f t="shared" si="23"/>
        <v>C2P10</v>
      </c>
    </row>
    <row r="277" spans="1:9">
      <c r="A277" t="str">
        <f>'Assemble Data'!B278</f>
        <v>P13</v>
      </c>
      <c r="B277" s="13">
        <f>IFERROR(SUMIF('Assemble Data'!K:K,'Assemble Data'!A278,'Assemble Data'!L:L),0)</f>
        <v>4500</v>
      </c>
      <c r="C277" s="13" t="str">
        <f>INDEX('Assemble Data'!$O$24:$O$1023,MATCH('Assemble Data'!A278,'Assemble Data'!$N$24:$N$1023,0))</f>
        <v>C2</v>
      </c>
      <c r="D277" s="13">
        <f>SUMIF('Assemble Data'!H:H,'Assemble Data'!A278,'Assemble Data'!I:I)</f>
        <v>5</v>
      </c>
      <c r="E277" s="13">
        <f>IFERROR(IF(AND('Assemble Data'!D278&lt;&gt;"",'Assemble Data'!D278&lt;&gt;B277),1,0),1)</f>
        <v>0</v>
      </c>
      <c r="F277" s="13">
        <f ca="1">IF('Assemble Data'!E278="",0,IF(ISERROR(FIND("INDEX",_xlfn.FORMULATEXT('Assemble Data'!E278),1)),1,0)+IFERROR(IF(AND('Assemble Data'!E278&lt;&gt;C277,'Assemble Data'!E278&lt;&gt;""),1,0),1))</f>
        <v>0</v>
      </c>
      <c r="G277" s="13">
        <f ca="1">IF('Assemble Data'!F278="",0,IF(ISERROR(FIND("VLOOKUP",_xlfn.FORMULATEXT('Assemble Data'!F278),1)),1,0)+IFERROR(IF(AND('Assemble Data'!F278&lt;&gt;D277,'Assemble Data'!F278&lt;&gt;""),1,0),1))</f>
        <v>0</v>
      </c>
      <c r="H277" s="13">
        <f t="shared" si="24"/>
        <v>3</v>
      </c>
      <c r="I277" t="str">
        <f t="shared" si="23"/>
        <v>C2P13</v>
      </c>
    </row>
    <row r="278" spans="1:9">
      <c r="A278" t="str">
        <f>'Assemble Data'!B279</f>
        <v>P13</v>
      </c>
      <c r="B278" s="13">
        <f>IFERROR(SUMIF('Assemble Data'!K:K,'Assemble Data'!A279,'Assemble Data'!L:L),0)</f>
        <v>4500</v>
      </c>
      <c r="C278" s="13" t="str">
        <f>INDEX('Assemble Data'!$O$24:$O$1023,MATCH('Assemble Data'!A279,'Assemble Data'!$N$24:$N$1023,0))</f>
        <v>C2</v>
      </c>
      <c r="D278" s="13">
        <f>SUMIF('Assemble Data'!H:H,'Assemble Data'!A279,'Assemble Data'!I:I)</f>
        <v>5</v>
      </c>
      <c r="E278" s="13">
        <f>IFERROR(IF(AND('Assemble Data'!D279&lt;&gt;"",'Assemble Data'!D279&lt;&gt;B278),1,0),1)</f>
        <v>0</v>
      </c>
      <c r="F278" s="13">
        <f ca="1">IF('Assemble Data'!E279="",0,IF(ISERROR(FIND("INDEX",_xlfn.FORMULATEXT('Assemble Data'!E279),1)),1,0)+IFERROR(IF(AND('Assemble Data'!E279&lt;&gt;C278,'Assemble Data'!E279&lt;&gt;""),1,0),1))</f>
        <v>0</v>
      </c>
      <c r="G278" s="13">
        <f ca="1">IF('Assemble Data'!F279="",0,IF(ISERROR(FIND("VLOOKUP",_xlfn.FORMULATEXT('Assemble Data'!F279),1)),1,0)+IFERROR(IF(AND('Assemble Data'!F279&lt;&gt;D278,'Assemble Data'!F279&lt;&gt;""),1,0),1))</f>
        <v>0</v>
      </c>
      <c r="H278" s="13">
        <f t="shared" si="24"/>
        <v>3</v>
      </c>
      <c r="I278" t="str">
        <f t="shared" si="23"/>
        <v>C2P13</v>
      </c>
    </row>
    <row r="279" spans="1:9">
      <c r="A279" t="str">
        <f>'Assemble Data'!B280</f>
        <v>P10</v>
      </c>
      <c r="B279" s="13">
        <f>IFERROR(SUMIF('Assemble Data'!K:K,'Assemble Data'!A280,'Assemble Data'!L:L),0)</f>
        <v>2400</v>
      </c>
      <c r="C279" s="13" t="str">
        <f>INDEX('Assemble Data'!$O$24:$O$1023,MATCH('Assemble Data'!A280,'Assemble Data'!$N$24:$N$1023,0))</f>
        <v>C2</v>
      </c>
      <c r="D279" s="13">
        <f>SUMIF('Assemble Data'!H:H,'Assemble Data'!A280,'Assemble Data'!I:I)</f>
        <v>3</v>
      </c>
      <c r="E279" s="13">
        <f>IFERROR(IF(AND('Assemble Data'!D280&lt;&gt;"",'Assemble Data'!D280&lt;&gt;B279),1,0),1)</f>
        <v>0</v>
      </c>
      <c r="F279" s="13">
        <f ca="1">IF('Assemble Data'!E280="",0,IF(ISERROR(FIND("INDEX",_xlfn.FORMULATEXT('Assemble Data'!E280),1)),1,0)+IFERROR(IF(AND('Assemble Data'!E280&lt;&gt;C279,'Assemble Data'!E280&lt;&gt;""),1,0),1))</f>
        <v>0</v>
      </c>
      <c r="G279" s="13">
        <f ca="1">IF('Assemble Data'!F280="",0,IF(ISERROR(FIND("VLOOKUP",_xlfn.FORMULATEXT('Assemble Data'!F280),1)),1,0)+IFERROR(IF(AND('Assemble Data'!F280&lt;&gt;D279,'Assemble Data'!F280&lt;&gt;""),1,0),1))</f>
        <v>0</v>
      </c>
      <c r="H279" s="13">
        <f t="shared" si="24"/>
        <v>8</v>
      </c>
      <c r="I279" t="str">
        <f t="shared" si="23"/>
        <v>C2P10</v>
      </c>
    </row>
    <row r="280" spans="1:9">
      <c r="A280" t="str">
        <f>'Assemble Data'!B281</f>
        <v>P11</v>
      </c>
      <c r="B280" s="13">
        <f>IFERROR(SUMIF('Assemble Data'!K:K,'Assemble Data'!A281,'Assemble Data'!L:L),0)</f>
        <v>11000</v>
      </c>
      <c r="C280" s="13" t="str">
        <f>INDEX('Assemble Data'!$O$24:$O$1023,MATCH('Assemble Data'!A281,'Assemble Data'!$N$24:$N$1023,0))</f>
        <v>C2</v>
      </c>
      <c r="D280" s="13">
        <f>SUMIF('Assemble Data'!H:H,'Assemble Data'!A281,'Assemble Data'!I:I)</f>
        <v>11</v>
      </c>
      <c r="E280" s="13">
        <f>IFERROR(IF(AND('Assemble Data'!D281&lt;&gt;"",'Assemble Data'!D281&lt;&gt;B280),1,0),1)</f>
        <v>0</v>
      </c>
      <c r="F280" s="13">
        <f ca="1">IF('Assemble Data'!E281="",0,IF(ISERROR(FIND("INDEX",_xlfn.FORMULATEXT('Assemble Data'!E281),1)),1,0)+IFERROR(IF(AND('Assemble Data'!E281&lt;&gt;C280,'Assemble Data'!E281&lt;&gt;""),1,0),1))</f>
        <v>0</v>
      </c>
      <c r="G280" s="13">
        <f ca="1">IF('Assemble Data'!F281="",0,IF(ISERROR(FIND("VLOOKUP",_xlfn.FORMULATEXT('Assemble Data'!F281),1)),1,0)+IFERROR(IF(AND('Assemble Data'!F281&lt;&gt;D280,'Assemble Data'!F281&lt;&gt;""),1,0),1))</f>
        <v>0</v>
      </c>
      <c r="H280" s="13">
        <f t="shared" si="24"/>
        <v>9</v>
      </c>
      <c r="I280" t="str">
        <f t="shared" ref="I280:I343" si="25">C280&amp;A280</f>
        <v>C2P11</v>
      </c>
    </row>
    <row r="281" spans="1:9">
      <c r="A281" t="str">
        <f>'Assemble Data'!B282</f>
        <v>P16</v>
      </c>
      <c r="B281" s="13">
        <f>IFERROR(SUMIF('Assemble Data'!K:K,'Assemble Data'!A282,'Assemble Data'!L:L),0)</f>
        <v>4680</v>
      </c>
      <c r="C281" s="13" t="str">
        <f>INDEX('Assemble Data'!$O$24:$O$1023,MATCH('Assemble Data'!A282,'Assemble Data'!$N$24:$N$1023,0))</f>
        <v>N2</v>
      </c>
      <c r="D281" s="13">
        <f>SUMIF('Assemble Data'!H:H,'Assemble Data'!A282,'Assemble Data'!I:I)</f>
        <v>4</v>
      </c>
      <c r="E281" s="13">
        <f>IFERROR(IF(AND('Assemble Data'!D282&lt;&gt;"",'Assemble Data'!D282&lt;&gt;B281),1,0),1)</f>
        <v>0</v>
      </c>
      <c r="F281" s="13">
        <f ca="1">IF('Assemble Data'!E282="",0,IF(ISERROR(FIND("INDEX",_xlfn.FORMULATEXT('Assemble Data'!E282),1)),1,0)+IFERROR(IF(AND('Assemble Data'!E282&lt;&gt;C281,'Assemble Data'!E282&lt;&gt;""),1,0),1))</f>
        <v>0</v>
      </c>
      <c r="G281" s="13">
        <f ca="1">IF('Assemble Data'!F282="",0,IF(ISERROR(FIND("VLOOKUP",_xlfn.FORMULATEXT('Assemble Data'!F282),1)),1,0)+IFERROR(IF(AND('Assemble Data'!F282&lt;&gt;D281,'Assemble Data'!F282&lt;&gt;""),1,0),1))</f>
        <v>0</v>
      </c>
      <c r="H281" s="13">
        <f t="shared" si="24"/>
        <v>0</v>
      </c>
      <c r="I281" t="str">
        <f t="shared" si="25"/>
        <v>N2P16</v>
      </c>
    </row>
    <row r="282" spans="1:9">
      <c r="A282" t="str">
        <f>'Assemble Data'!B283</f>
        <v>P17</v>
      </c>
      <c r="B282" s="13">
        <f>IFERROR(SUMIF('Assemble Data'!K:K,'Assemble Data'!A283,'Assemble Data'!L:L),0)</f>
        <v>13200.000000000002</v>
      </c>
      <c r="C282" s="13" t="str">
        <f>INDEX('Assemble Data'!$O$24:$O$1023,MATCH('Assemble Data'!A283,'Assemble Data'!$N$24:$N$1023,0))</f>
        <v>O2</v>
      </c>
      <c r="D282" s="13">
        <f>SUMIF('Assemble Data'!H:H,'Assemble Data'!A283,'Assemble Data'!I:I)</f>
        <v>12</v>
      </c>
      <c r="E282" s="13">
        <f>IFERROR(IF(AND('Assemble Data'!D283&lt;&gt;"",'Assemble Data'!D283&lt;&gt;B282),1,0),1)</f>
        <v>0</v>
      </c>
      <c r="F282" s="13">
        <f ca="1">IF('Assemble Data'!E283="",0,IF(ISERROR(FIND("INDEX",_xlfn.FORMULATEXT('Assemble Data'!E283),1)),1,0)+IFERROR(IF(AND('Assemble Data'!E283&lt;&gt;C282,'Assemble Data'!E283&lt;&gt;""),1,0),1))</f>
        <v>0</v>
      </c>
      <c r="G282" s="13">
        <f ca="1">IF('Assemble Data'!F283="",0,IF(ISERROR(FIND("VLOOKUP",_xlfn.FORMULATEXT('Assemble Data'!F283),1)),1,0)+IFERROR(IF(AND('Assemble Data'!F283&lt;&gt;D282,'Assemble Data'!F283&lt;&gt;""),1,0),1))</f>
        <v>0</v>
      </c>
      <c r="H282" s="13">
        <f t="shared" si="24"/>
        <v>6</v>
      </c>
      <c r="I282" t="str">
        <f t="shared" si="25"/>
        <v>O2P17</v>
      </c>
    </row>
    <row r="283" spans="1:9">
      <c r="A283" t="str">
        <f>'Assemble Data'!B284</f>
        <v>P17</v>
      </c>
      <c r="B283" s="13">
        <f>IFERROR(SUMIF('Assemble Data'!K:K,'Assemble Data'!A284,'Assemble Data'!L:L),0)</f>
        <v>13200.000000000002</v>
      </c>
      <c r="C283" s="13" t="str">
        <f>INDEX('Assemble Data'!$O$24:$O$1023,MATCH('Assemble Data'!A284,'Assemble Data'!$N$24:$N$1023,0))</f>
        <v>O2</v>
      </c>
      <c r="D283" s="13">
        <f>SUMIF('Assemble Data'!H:H,'Assemble Data'!A284,'Assemble Data'!I:I)</f>
        <v>12</v>
      </c>
      <c r="E283" s="13">
        <f>IFERROR(IF(AND('Assemble Data'!D284&lt;&gt;"",'Assemble Data'!D284&lt;&gt;B283),1,0),1)</f>
        <v>0</v>
      </c>
      <c r="F283" s="13">
        <f ca="1">IF('Assemble Data'!E284="",0,IF(ISERROR(FIND("INDEX",_xlfn.FORMULATEXT('Assemble Data'!E284),1)),1,0)+IFERROR(IF(AND('Assemble Data'!E284&lt;&gt;C283,'Assemble Data'!E284&lt;&gt;""),1,0),1))</f>
        <v>0</v>
      </c>
      <c r="G283" s="13">
        <f ca="1">IF('Assemble Data'!F284="",0,IF(ISERROR(FIND("VLOOKUP",_xlfn.FORMULATEXT('Assemble Data'!F284),1)),1,0)+IFERROR(IF(AND('Assemble Data'!F284&lt;&gt;D283,'Assemble Data'!F284&lt;&gt;""),1,0),1))</f>
        <v>0</v>
      </c>
      <c r="H283" s="13">
        <f t="shared" si="24"/>
        <v>6</v>
      </c>
      <c r="I283" t="str">
        <f t="shared" si="25"/>
        <v>O2P17</v>
      </c>
    </row>
    <row r="284" spans="1:9">
      <c r="A284" t="str">
        <f>'Assemble Data'!B285</f>
        <v>P13</v>
      </c>
      <c r="B284" s="13">
        <f>IFERROR(SUMIF('Assemble Data'!K:K,'Assemble Data'!A285,'Assemble Data'!L:L),0)</f>
        <v>4500</v>
      </c>
      <c r="C284" s="13" t="str">
        <f>INDEX('Assemble Data'!$O$24:$O$1023,MATCH('Assemble Data'!A285,'Assemble Data'!$N$24:$N$1023,0))</f>
        <v>C2</v>
      </c>
      <c r="D284" s="13">
        <f>SUMIF('Assemble Data'!H:H,'Assemble Data'!A285,'Assemble Data'!I:I)</f>
        <v>5</v>
      </c>
      <c r="E284" s="13">
        <f>IFERROR(IF(AND('Assemble Data'!D285&lt;&gt;"",'Assemble Data'!D285&lt;&gt;B284),1,0),1)</f>
        <v>0</v>
      </c>
      <c r="F284" s="13">
        <f ca="1">IF('Assemble Data'!E285="",0,IF(ISERROR(FIND("INDEX",_xlfn.FORMULATEXT('Assemble Data'!E285),1)),1,0)+IFERROR(IF(AND('Assemble Data'!E285&lt;&gt;C284,'Assemble Data'!E285&lt;&gt;""),1,0),1))</f>
        <v>0</v>
      </c>
      <c r="G284" s="13">
        <f ca="1">IF('Assemble Data'!F285="",0,IF(ISERROR(FIND("VLOOKUP",_xlfn.FORMULATEXT('Assemble Data'!F285),1)),1,0)+IFERROR(IF(AND('Assemble Data'!F285&lt;&gt;D284,'Assemble Data'!F285&lt;&gt;""),1,0),1))</f>
        <v>0</v>
      </c>
      <c r="H284" s="13">
        <f t="shared" si="24"/>
        <v>3</v>
      </c>
      <c r="I284" t="str">
        <f t="shared" si="25"/>
        <v>C2P13</v>
      </c>
    </row>
    <row r="285" spans="1:9">
      <c r="A285" t="str">
        <f>'Assemble Data'!B286</f>
        <v>P11</v>
      </c>
      <c r="B285" s="13">
        <f>IFERROR(SUMIF('Assemble Data'!K:K,'Assemble Data'!A286,'Assemble Data'!L:L),0)</f>
        <v>11000</v>
      </c>
      <c r="C285" s="13" t="str">
        <f>INDEX('Assemble Data'!$O$24:$O$1023,MATCH('Assemble Data'!A286,'Assemble Data'!$N$24:$N$1023,0))</f>
        <v>C2</v>
      </c>
      <c r="D285" s="13">
        <f>SUMIF('Assemble Data'!H:H,'Assemble Data'!A286,'Assemble Data'!I:I)</f>
        <v>11</v>
      </c>
      <c r="E285" s="13">
        <f>IFERROR(IF(AND('Assemble Data'!D286&lt;&gt;"",'Assemble Data'!D286&lt;&gt;B285),1,0),1)</f>
        <v>0</v>
      </c>
      <c r="F285" s="13">
        <f ca="1">IF('Assemble Data'!E286="",0,IF(ISERROR(FIND("INDEX",_xlfn.FORMULATEXT('Assemble Data'!E286),1)),1,0)+IFERROR(IF(AND('Assemble Data'!E286&lt;&gt;C285,'Assemble Data'!E286&lt;&gt;""),1,0),1))</f>
        <v>0</v>
      </c>
      <c r="G285" s="13">
        <f ca="1">IF('Assemble Data'!F286="",0,IF(ISERROR(FIND("VLOOKUP",_xlfn.FORMULATEXT('Assemble Data'!F286),1)),1,0)+IFERROR(IF(AND('Assemble Data'!F286&lt;&gt;D285,'Assemble Data'!F286&lt;&gt;""),1,0),1))</f>
        <v>0</v>
      </c>
      <c r="H285" s="13">
        <f t="shared" si="24"/>
        <v>9</v>
      </c>
      <c r="I285" t="str">
        <f t="shared" si="25"/>
        <v>C2P11</v>
      </c>
    </row>
    <row r="286" spans="1:9">
      <c r="A286" t="str">
        <f>'Assemble Data'!B287</f>
        <v>P11</v>
      </c>
      <c r="B286" s="13">
        <f>IFERROR(SUMIF('Assemble Data'!K:K,'Assemble Data'!A287,'Assemble Data'!L:L),0)</f>
        <v>11000</v>
      </c>
      <c r="C286" s="13" t="str">
        <f>INDEX('Assemble Data'!$O$24:$O$1023,MATCH('Assemble Data'!A287,'Assemble Data'!$N$24:$N$1023,0))</f>
        <v>C2</v>
      </c>
      <c r="D286" s="13">
        <f>SUMIF('Assemble Data'!H:H,'Assemble Data'!A287,'Assemble Data'!I:I)</f>
        <v>11</v>
      </c>
      <c r="E286" s="13">
        <f>IFERROR(IF(AND('Assemble Data'!D287&lt;&gt;"",'Assemble Data'!D287&lt;&gt;B286),1,0),1)</f>
        <v>0</v>
      </c>
      <c r="F286" s="13">
        <f ca="1">IF('Assemble Data'!E287="",0,IF(ISERROR(FIND("INDEX",_xlfn.FORMULATEXT('Assemble Data'!E287),1)),1,0)+IFERROR(IF(AND('Assemble Data'!E287&lt;&gt;C286,'Assemble Data'!E287&lt;&gt;""),1,0),1))</f>
        <v>0</v>
      </c>
      <c r="G286" s="13">
        <f ca="1">IF('Assemble Data'!F287="",0,IF(ISERROR(FIND("VLOOKUP",_xlfn.FORMULATEXT('Assemble Data'!F287),1)),1,0)+IFERROR(IF(AND('Assemble Data'!F287&lt;&gt;D286,'Assemble Data'!F287&lt;&gt;""),1,0),1))</f>
        <v>0</v>
      </c>
      <c r="H286" s="13">
        <f t="shared" si="24"/>
        <v>9</v>
      </c>
      <c r="I286" t="str">
        <f t="shared" si="25"/>
        <v>C2P11</v>
      </c>
    </row>
    <row r="287" spans="1:9">
      <c r="A287" t="str">
        <f>'Assemble Data'!B288</f>
        <v>P12</v>
      </c>
      <c r="B287" s="13">
        <f>IFERROR(SUMIF('Assemble Data'!K:K,'Assemble Data'!A288,'Assemble Data'!L:L),0)</f>
        <v>6825</v>
      </c>
      <c r="C287" s="13" t="str">
        <f>INDEX('Assemble Data'!$O$24:$O$1023,MATCH('Assemble Data'!A288,'Assemble Data'!$N$24:$N$1023,0))</f>
        <v>C2</v>
      </c>
      <c r="D287" s="13">
        <f>SUMIF('Assemble Data'!H:H,'Assemble Data'!A288,'Assemble Data'!I:I)</f>
        <v>6.5</v>
      </c>
      <c r="E287" s="13">
        <f>IFERROR(IF(AND('Assemble Data'!D288&lt;&gt;"",'Assemble Data'!D288&lt;&gt;B287),1,0),1)</f>
        <v>0</v>
      </c>
      <c r="F287" s="13">
        <f ca="1">IF('Assemble Data'!E288="",0,IF(ISERROR(FIND("INDEX",_xlfn.FORMULATEXT('Assemble Data'!E288),1)),1,0)+IFERROR(IF(AND('Assemble Data'!E288&lt;&gt;C287,'Assemble Data'!E288&lt;&gt;""),1,0),1))</f>
        <v>0</v>
      </c>
      <c r="G287" s="13">
        <f ca="1">IF('Assemble Data'!F288="",0,IF(ISERROR(FIND("VLOOKUP",_xlfn.FORMULATEXT('Assemble Data'!F288),1)),1,0)+IFERROR(IF(AND('Assemble Data'!F288&lt;&gt;D287,'Assemble Data'!F288&lt;&gt;""),1,0),1))</f>
        <v>0</v>
      </c>
      <c r="H287" s="13">
        <f t="shared" si="24"/>
        <v>7</v>
      </c>
      <c r="I287" t="str">
        <f t="shared" si="25"/>
        <v>C2P12</v>
      </c>
    </row>
    <row r="288" spans="1:9">
      <c r="A288" t="str">
        <f>'Assemble Data'!B289</f>
        <v>P10</v>
      </c>
      <c r="B288" s="13">
        <f>IFERROR(SUMIF('Assemble Data'!K:K,'Assemble Data'!A289,'Assemble Data'!L:L),0)</f>
        <v>2400</v>
      </c>
      <c r="C288" s="13" t="str">
        <f>INDEX('Assemble Data'!$O$24:$O$1023,MATCH('Assemble Data'!A289,'Assemble Data'!$N$24:$N$1023,0))</f>
        <v>C2</v>
      </c>
      <c r="D288" s="13">
        <f>SUMIF('Assemble Data'!H:H,'Assemble Data'!A289,'Assemble Data'!I:I)</f>
        <v>3</v>
      </c>
      <c r="E288" s="13">
        <f>IFERROR(IF(AND('Assemble Data'!D289&lt;&gt;"",'Assemble Data'!D289&lt;&gt;B288),1,0),1)</f>
        <v>0</v>
      </c>
      <c r="F288" s="13">
        <f ca="1">IF('Assemble Data'!E289="",0,IF(ISERROR(FIND("INDEX",_xlfn.FORMULATEXT('Assemble Data'!E289),1)),1,0)+IFERROR(IF(AND('Assemble Data'!E289&lt;&gt;C288,'Assemble Data'!E289&lt;&gt;""),1,0),1))</f>
        <v>0</v>
      </c>
      <c r="G288" s="13">
        <f ca="1">IF('Assemble Data'!F289="",0,IF(ISERROR(FIND("VLOOKUP",_xlfn.FORMULATEXT('Assemble Data'!F289),1)),1,0)+IFERROR(IF(AND('Assemble Data'!F289&lt;&gt;D288,'Assemble Data'!F289&lt;&gt;""),1,0),1))</f>
        <v>0</v>
      </c>
      <c r="H288" s="13">
        <f t="shared" si="24"/>
        <v>8</v>
      </c>
      <c r="I288" t="str">
        <f t="shared" si="25"/>
        <v>C2P10</v>
      </c>
    </row>
    <row r="289" spans="1:9">
      <c r="A289" t="str">
        <f>'Assemble Data'!B290</f>
        <v>P10</v>
      </c>
      <c r="B289" s="13">
        <f>IFERROR(SUMIF('Assemble Data'!K:K,'Assemble Data'!A290,'Assemble Data'!L:L),0)</f>
        <v>2400</v>
      </c>
      <c r="C289" s="13" t="str">
        <f>INDEX('Assemble Data'!$O$24:$O$1023,MATCH('Assemble Data'!A290,'Assemble Data'!$N$24:$N$1023,0))</f>
        <v>C2</v>
      </c>
      <c r="D289" s="13">
        <f>SUMIF('Assemble Data'!H:H,'Assemble Data'!A290,'Assemble Data'!I:I)</f>
        <v>3</v>
      </c>
      <c r="E289" s="13">
        <f>IFERROR(IF(AND('Assemble Data'!D290&lt;&gt;"",'Assemble Data'!D290&lt;&gt;B289),1,0),1)</f>
        <v>0</v>
      </c>
      <c r="F289" s="13">
        <f ca="1">IF('Assemble Data'!E290="",0,IF(ISERROR(FIND("INDEX",_xlfn.FORMULATEXT('Assemble Data'!E290),1)),1,0)+IFERROR(IF(AND('Assemble Data'!E290&lt;&gt;C289,'Assemble Data'!E290&lt;&gt;""),1,0),1))</f>
        <v>0</v>
      </c>
      <c r="G289" s="13">
        <f ca="1">IF('Assemble Data'!F290="",0,IF(ISERROR(FIND("VLOOKUP",_xlfn.FORMULATEXT('Assemble Data'!F290),1)),1,0)+IFERROR(IF(AND('Assemble Data'!F290&lt;&gt;D289,'Assemble Data'!F290&lt;&gt;""),1,0),1))</f>
        <v>0</v>
      </c>
      <c r="H289" s="13">
        <f t="shared" si="24"/>
        <v>8</v>
      </c>
      <c r="I289" t="str">
        <f t="shared" si="25"/>
        <v>C2P10</v>
      </c>
    </row>
    <row r="290" spans="1:9">
      <c r="A290" t="str">
        <f>'Assemble Data'!B291</f>
        <v>P11</v>
      </c>
      <c r="B290" s="13">
        <f>IFERROR(SUMIF('Assemble Data'!K:K,'Assemble Data'!A291,'Assemble Data'!L:L),0)</f>
        <v>11000</v>
      </c>
      <c r="C290" s="13" t="str">
        <f>INDEX('Assemble Data'!$O$24:$O$1023,MATCH('Assemble Data'!A291,'Assemble Data'!$N$24:$N$1023,0))</f>
        <v>C2</v>
      </c>
      <c r="D290" s="13">
        <f>SUMIF('Assemble Data'!H:H,'Assemble Data'!A291,'Assemble Data'!I:I)</f>
        <v>11</v>
      </c>
      <c r="E290" s="13">
        <f>IFERROR(IF(AND('Assemble Data'!D291&lt;&gt;"",'Assemble Data'!D291&lt;&gt;B290),1,0),1)</f>
        <v>0</v>
      </c>
      <c r="F290" s="13">
        <f ca="1">IF('Assemble Data'!E291="",0,IF(ISERROR(FIND("INDEX",_xlfn.FORMULATEXT('Assemble Data'!E291),1)),1,0)+IFERROR(IF(AND('Assemble Data'!E291&lt;&gt;C290,'Assemble Data'!E291&lt;&gt;""),1,0),1))</f>
        <v>0</v>
      </c>
      <c r="G290" s="13">
        <f ca="1">IF('Assemble Data'!F291="",0,IF(ISERROR(FIND("VLOOKUP",_xlfn.FORMULATEXT('Assemble Data'!F291),1)),1,0)+IFERROR(IF(AND('Assemble Data'!F291&lt;&gt;D290,'Assemble Data'!F291&lt;&gt;""),1,0),1))</f>
        <v>0</v>
      </c>
      <c r="H290" s="13">
        <f t="shared" si="24"/>
        <v>9</v>
      </c>
      <c r="I290" t="str">
        <f t="shared" si="25"/>
        <v>C2P11</v>
      </c>
    </row>
    <row r="291" spans="1:9">
      <c r="A291" t="str">
        <f>'Assemble Data'!B292</f>
        <v>P18</v>
      </c>
      <c r="B291" s="13">
        <f>IFERROR(SUMIF('Assemble Data'!K:K,'Assemble Data'!A292,'Assemble Data'!L:L),0)</f>
        <v>5940.0000000000009</v>
      </c>
      <c r="C291" s="13" t="str">
        <f>INDEX('Assemble Data'!$O$24:$O$1023,MATCH('Assemble Data'!A292,'Assemble Data'!$N$24:$N$1023,0))</f>
        <v>O2</v>
      </c>
      <c r="D291" s="13">
        <f>SUMIF('Assemble Data'!H:H,'Assemble Data'!A292,'Assemble Data'!I:I)</f>
        <v>6</v>
      </c>
      <c r="E291" s="13">
        <f>IFERROR(IF(AND('Assemble Data'!D292&lt;&gt;"",'Assemble Data'!D292&lt;&gt;B291),1,0),1)</f>
        <v>0</v>
      </c>
      <c r="F291" s="13">
        <f ca="1">IF('Assemble Data'!E292="",0,IF(ISERROR(FIND("INDEX",_xlfn.FORMULATEXT('Assemble Data'!E292),1)),1,0)+IFERROR(IF(AND('Assemble Data'!E292&lt;&gt;C291,'Assemble Data'!E292&lt;&gt;""),1,0),1))</f>
        <v>0</v>
      </c>
      <c r="G291" s="13">
        <f ca="1">IF('Assemble Data'!F292="",0,IF(ISERROR(FIND("VLOOKUP",_xlfn.FORMULATEXT('Assemble Data'!F292),1)),1,0)+IFERROR(IF(AND('Assemble Data'!F292&lt;&gt;D291,'Assemble Data'!F292&lt;&gt;""),1,0),1))</f>
        <v>0</v>
      </c>
      <c r="H291" s="13">
        <f t="shared" si="24"/>
        <v>2</v>
      </c>
      <c r="I291" t="str">
        <f t="shared" si="25"/>
        <v>O2P18</v>
      </c>
    </row>
    <row r="292" spans="1:9">
      <c r="A292" t="str">
        <f>'Assemble Data'!B293</f>
        <v>P14</v>
      </c>
      <c r="B292" s="13">
        <f>IFERROR(SUMIF('Assemble Data'!K:K,'Assemble Data'!A293,'Assemble Data'!L:L),0)</f>
        <v>7200</v>
      </c>
      <c r="C292" s="13" t="str">
        <f>INDEX('Assemble Data'!$O$24:$O$1023,MATCH('Assemble Data'!A293,'Assemble Data'!$N$24:$N$1023,0))</f>
        <v>N3</v>
      </c>
      <c r="D292" s="13">
        <f>SUMIF('Assemble Data'!H:H,'Assemble Data'!A293,'Assemble Data'!I:I)</f>
        <v>8</v>
      </c>
      <c r="E292" s="13">
        <f>IFERROR(IF(AND('Assemble Data'!D293&lt;&gt;"",'Assemble Data'!D293&lt;&gt;B292),1,0),1)</f>
        <v>0</v>
      </c>
      <c r="F292" s="13">
        <f ca="1">IF('Assemble Data'!E293="",0,IF(ISERROR(FIND("INDEX",_xlfn.FORMULATEXT('Assemble Data'!E293),1)),1,0)+IFERROR(IF(AND('Assemble Data'!E293&lt;&gt;C292,'Assemble Data'!E293&lt;&gt;""),1,0),1))</f>
        <v>0</v>
      </c>
      <c r="G292" s="13">
        <f ca="1">IF('Assemble Data'!F293="",0,IF(ISERROR(FIND("VLOOKUP",_xlfn.FORMULATEXT('Assemble Data'!F293),1)),1,0)+IFERROR(IF(AND('Assemble Data'!F293&lt;&gt;D292,'Assemble Data'!F293&lt;&gt;""),1,0),1))</f>
        <v>0</v>
      </c>
      <c r="H292" s="13">
        <f t="shared" si="24"/>
        <v>5</v>
      </c>
      <c r="I292" t="str">
        <f t="shared" si="25"/>
        <v>N3P14</v>
      </c>
    </row>
    <row r="293" spans="1:9">
      <c r="A293" t="str">
        <f>'Assemble Data'!B294</f>
        <v>P10</v>
      </c>
      <c r="B293" s="13">
        <f>IFERROR(SUMIF('Assemble Data'!K:K,'Assemble Data'!A294,'Assemble Data'!L:L),0)</f>
        <v>1920</v>
      </c>
      <c r="C293" s="13" t="str">
        <f>INDEX('Assemble Data'!$O$24:$O$1023,MATCH('Assemble Data'!A294,'Assemble Data'!$N$24:$N$1023,0))</f>
        <v>C3</v>
      </c>
      <c r="D293" s="13">
        <f>SUMIF('Assemble Data'!H:H,'Assemble Data'!A294,'Assemble Data'!I:I)</f>
        <v>3</v>
      </c>
      <c r="E293" s="13">
        <f>IFERROR(IF(AND('Assemble Data'!D294&lt;&gt;"",'Assemble Data'!D294&lt;&gt;B293),1,0),1)</f>
        <v>0</v>
      </c>
      <c r="F293" s="13">
        <f ca="1">IF('Assemble Data'!E294="",0,IF(ISERROR(FIND("INDEX",_xlfn.FORMULATEXT('Assemble Data'!E294),1)),1,0)+IFERROR(IF(AND('Assemble Data'!E294&lt;&gt;C293,'Assemble Data'!E294&lt;&gt;""),1,0),1))</f>
        <v>0</v>
      </c>
      <c r="G293" s="13">
        <f ca="1">IF('Assemble Data'!F294="",0,IF(ISERROR(FIND("VLOOKUP",_xlfn.FORMULATEXT('Assemble Data'!F294),1)),1,0)+IFERROR(IF(AND('Assemble Data'!F294&lt;&gt;D293,'Assemble Data'!F294&lt;&gt;""),1,0),1))</f>
        <v>0</v>
      </c>
      <c r="H293" s="13">
        <f t="shared" si="24"/>
        <v>8</v>
      </c>
      <c r="I293" t="str">
        <f t="shared" si="25"/>
        <v>C3P10</v>
      </c>
    </row>
    <row r="294" spans="1:9">
      <c r="A294" t="str">
        <f>'Assemble Data'!B295</f>
        <v>P13</v>
      </c>
      <c r="B294" s="13">
        <f>IFERROR(SUMIF('Assemble Data'!K:K,'Assemble Data'!A295,'Assemble Data'!L:L),0)</f>
        <v>3600</v>
      </c>
      <c r="C294" s="13" t="str">
        <f>INDEX('Assemble Data'!$O$24:$O$1023,MATCH('Assemble Data'!A295,'Assemble Data'!$N$24:$N$1023,0))</f>
        <v>C3</v>
      </c>
      <c r="D294" s="13">
        <f>SUMIF('Assemble Data'!H:H,'Assemble Data'!A295,'Assemble Data'!I:I)</f>
        <v>5</v>
      </c>
      <c r="E294" s="13">
        <f>IFERROR(IF(AND('Assemble Data'!D295&lt;&gt;"",'Assemble Data'!D295&lt;&gt;B294),1,0),1)</f>
        <v>0</v>
      </c>
      <c r="F294" s="13">
        <f ca="1">IF('Assemble Data'!E295="",0,IF(ISERROR(FIND("INDEX",_xlfn.FORMULATEXT('Assemble Data'!E295),1)),1,0)+IFERROR(IF(AND('Assemble Data'!E295&lt;&gt;C294,'Assemble Data'!E295&lt;&gt;""),1,0),1))</f>
        <v>0</v>
      </c>
      <c r="G294" s="13">
        <f ca="1">IF('Assemble Data'!F295="",0,IF(ISERROR(FIND("VLOOKUP",_xlfn.FORMULATEXT('Assemble Data'!F295),1)),1,0)+IFERROR(IF(AND('Assemble Data'!F295&lt;&gt;D294,'Assemble Data'!F295&lt;&gt;""),1,0),1))</f>
        <v>0</v>
      </c>
      <c r="H294" s="13">
        <f t="shared" si="24"/>
        <v>3</v>
      </c>
      <c r="I294" t="str">
        <f t="shared" si="25"/>
        <v>C3P13</v>
      </c>
    </row>
    <row r="295" spans="1:9">
      <c r="A295" t="str">
        <f>'Assemble Data'!B296</f>
        <v>P13</v>
      </c>
      <c r="B295" s="13">
        <f>IFERROR(SUMIF('Assemble Data'!K:K,'Assemble Data'!A296,'Assemble Data'!L:L),0)</f>
        <v>3600</v>
      </c>
      <c r="C295" s="13" t="str">
        <f>INDEX('Assemble Data'!$O$24:$O$1023,MATCH('Assemble Data'!A296,'Assemble Data'!$N$24:$N$1023,0))</f>
        <v>C3</v>
      </c>
      <c r="D295" s="13">
        <f>SUMIF('Assemble Data'!H:H,'Assemble Data'!A296,'Assemble Data'!I:I)</f>
        <v>5</v>
      </c>
      <c r="E295" s="13">
        <f>IFERROR(IF(AND('Assemble Data'!D296&lt;&gt;"",'Assemble Data'!D296&lt;&gt;B295),1,0),1)</f>
        <v>0</v>
      </c>
      <c r="F295" s="13">
        <f ca="1">IF('Assemble Data'!E296="",0,IF(ISERROR(FIND("INDEX",_xlfn.FORMULATEXT('Assemble Data'!E296),1)),1,0)+IFERROR(IF(AND('Assemble Data'!E296&lt;&gt;C295,'Assemble Data'!E296&lt;&gt;""),1,0),1))</f>
        <v>0</v>
      </c>
      <c r="G295" s="13">
        <f ca="1">IF('Assemble Data'!F296="",0,IF(ISERROR(FIND("VLOOKUP",_xlfn.FORMULATEXT('Assemble Data'!F296),1)),1,0)+IFERROR(IF(AND('Assemble Data'!F296&lt;&gt;D295,'Assemble Data'!F296&lt;&gt;""),1,0),1))</f>
        <v>0</v>
      </c>
      <c r="H295" s="13">
        <f t="shared" si="24"/>
        <v>3</v>
      </c>
      <c r="I295" t="str">
        <f t="shared" si="25"/>
        <v>C3P13</v>
      </c>
    </row>
    <row r="296" spans="1:9">
      <c r="A296" t="str">
        <f>'Assemble Data'!B297</f>
        <v>P10</v>
      </c>
      <c r="B296" s="13">
        <f>IFERROR(SUMIF('Assemble Data'!K:K,'Assemble Data'!A297,'Assemble Data'!L:L),0)</f>
        <v>1920</v>
      </c>
      <c r="C296" s="13" t="str">
        <f>INDEX('Assemble Data'!$O$24:$O$1023,MATCH('Assemble Data'!A297,'Assemble Data'!$N$24:$N$1023,0))</f>
        <v>C3</v>
      </c>
      <c r="D296" s="13">
        <f>SUMIF('Assemble Data'!H:H,'Assemble Data'!A297,'Assemble Data'!I:I)</f>
        <v>3</v>
      </c>
      <c r="E296" s="13">
        <f>IFERROR(IF(AND('Assemble Data'!D297&lt;&gt;"",'Assemble Data'!D297&lt;&gt;B296),1,0),1)</f>
        <v>0</v>
      </c>
      <c r="F296" s="13">
        <f ca="1">IF('Assemble Data'!E297="",0,IF(ISERROR(FIND("INDEX",_xlfn.FORMULATEXT('Assemble Data'!E297),1)),1,0)+IFERROR(IF(AND('Assemble Data'!E297&lt;&gt;C296,'Assemble Data'!E297&lt;&gt;""),1,0),1))</f>
        <v>0</v>
      </c>
      <c r="G296" s="13">
        <f ca="1">IF('Assemble Data'!F297="",0,IF(ISERROR(FIND("VLOOKUP",_xlfn.FORMULATEXT('Assemble Data'!F297),1)),1,0)+IFERROR(IF(AND('Assemble Data'!F297&lt;&gt;D296,'Assemble Data'!F297&lt;&gt;""),1,0),1))</f>
        <v>0</v>
      </c>
      <c r="H296" s="13">
        <f t="shared" si="24"/>
        <v>8</v>
      </c>
      <c r="I296" t="str">
        <f t="shared" si="25"/>
        <v>C3P10</v>
      </c>
    </row>
    <row r="297" spans="1:9">
      <c r="A297" t="str">
        <f>'Assemble Data'!B298</f>
        <v>P11</v>
      </c>
      <c r="B297" s="13">
        <f>IFERROR(SUMIF('Assemble Data'!K:K,'Assemble Data'!A298,'Assemble Data'!L:L),0)</f>
        <v>8800</v>
      </c>
      <c r="C297" s="13" t="str">
        <f>INDEX('Assemble Data'!$O$24:$O$1023,MATCH('Assemble Data'!A298,'Assemble Data'!$N$24:$N$1023,0))</f>
        <v>C3</v>
      </c>
      <c r="D297" s="13">
        <f>SUMIF('Assemble Data'!H:H,'Assemble Data'!A298,'Assemble Data'!I:I)</f>
        <v>11</v>
      </c>
      <c r="E297" s="13">
        <f>IFERROR(IF(AND('Assemble Data'!D298&lt;&gt;"",'Assemble Data'!D298&lt;&gt;B297),1,0),1)</f>
        <v>0</v>
      </c>
      <c r="F297" s="13">
        <f ca="1">IF('Assemble Data'!E298="",0,IF(ISERROR(FIND("INDEX",_xlfn.FORMULATEXT('Assemble Data'!E298),1)),1,0)+IFERROR(IF(AND('Assemble Data'!E298&lt;&gt;C297,'Assemble Data'!E298&lt;&gt;""),1,0),1))</f>
        <v>0</v>
      </c>
      <c r="G297" s="13">
        <f ca="1">IF('Assemble Data'!F298="",0,IF(ISERROR(FIND("VLOOKUP",_xlfn.FORMULATEXT('Assemble Data'!F298),1)),1,0)+IFERROR(IF(AND('Assemble Data'!F298&lt;&gt;D297,'Assemble Data'!F298&lt;&gt;""),1,0),1))</f>
        <v>0</v>
      </c>
      <c r="H297" s="13">
        <f t="shared" si="24"/>
        <v>9</v>
      </c>
      <c r="I297" t="str">
        <f t="shared" si="25"/>
        <v>C3P11</v>
      </c>
    </row>
    <row r="298" spans="1:9">
      <c r="A298" t="str">
        <f>'Assemble Data'!B299</f>
        <v>P16</v>
      </c>
      <c r="B298" s="13">
        <f>IFERROR(SUMIF('Assemble Data'!K:K,'Assemble Data'!A299,'Assemble Data'!L:L),0)</f>
        <v>5200</v>
      </c>
      <c r="C298" s="13" t="str">
        <f>INDEX('Assemble Data'!$O$24:$O$1023,MATCH('Assemble Data'!A299,'Assemble Data'!$N$24:$N$1023,0))</f>
        <v>N3</v>
      </c>
      <c r="D298" s="13">
        <f>SUMIF('Assemble Data'!H:H,'Assemble Data'!A299,'Assemble Data'!I:I)</f>
        <v>4</v>
      </c>
      <c r="E298" s="13">
        <f>IFERROR(IF(AND('Assemble Data'!D299&lt;&gt;"",'Assemble Data'!D299&lt;&gt;B298),1,0),1)</f>
        <v>0</v>
      </c>
      <c r="F298" s="13">
        <f ca="1">IF('Assemble Data'!E299="",0,IF(ISERROR(FIND("INDEX",_xlfn.FORMULATEXT('Assemble Data'!E299),1)),1,0)+IFERROR(IF(AND('Assemble Data'!E299&lt;&gt;C298,'Assemble Data'!E299&lt;&gt;""),1,0),1))</f>
        <v>0</v>
      </c>
      <c r="G298" s="13">
        <f ca="1">IF('Assemble Data'!F299="",0,IF(ISERROR(FIND("VLOOKUP",_xlfn.FORMULATEXT('Assemble Data'!F299),1)),1,0)+IFERROR(IF(AND('Assemble Data'!F299&lt;&gt;D298,'Assemble Data'!F299&lt;&gt;""),1,0),1))</f>
        <v>0</v>
      </c>
      <c r="H298" s="13">
        <f t="shared" si="24"/>
        <v>0</v>
      </c>
      <c r="I298" t="str">
        <f t="shared" si="25"/>
        <v>N3P16</v>
      </c>
    </row>
    <row r="299" spans="1:9">
      <c r="A299" t="str">
        <f>'Assemble Data'!B300</f>
        <v>P17</v>
      </c>
      <c r="B299" s="13">
        <f>IFERROR(SUMIF('Assemble Data'!K:K,'Assemble Data'!A300,'Assemble Data'!L:L),0)</f>
        <v>9600</v>
      </c>
      <c r="C299" s="13" t="str">
        <f>INDEX('Assemble Data'!$O$24:$O$1023,MATCH('Assemble Data'!A300,'Assemble Data'!$N$24:$N$1023,0))</f>
        <v>O3</v>
      </c>
      <c r="D299" s="13">
        <f>SUMIF('Assemble Data'!H:H,'Assemble Data'!A300,'Assemble Data'!I:I)</f>
        <v>12</v>
      </c>
      <c r="E299" s="13">
        <f>IFERROR(IF(AND('Assemble Data'!D300&lt;&gt;"",'Assemble Data'!D300&lt;&gt;B299),1,0),1)</f>
        <v>0</v>
      </c>
      <c r="F299" s="13">
        <f ca="1">IF('Assemble Data'!E300="",0,IF(ISERROR(FIND("INDEX",_xlfn.FORMULATEXT('Assemble Data'!E300),1)),1,0)+IFERROR(IF(AND('Assemble Data'!E300&lt;&gt;C299,'Assemble Data'!E300&lt;&gt;""),1,0),1))</f>
        <v>0</v>
      </c>
      <c r="G299" s="13">
        <f ca="1">IF('Assemble Data'!F300="",0,IF(ISERROR(FIND("VLOOKUP",_xlfn.FORMULATEXT('Assemble Data'!F300),1)),1,0)+IFERROR(IF(AND('Assemble Data'!F300&lt;&gt;D299,'Assemble Data'!F300&lt;&gt;""),1,0),1))</f>
        <v>0</v>
      </c>
      <c r="H299" s="13">
        <f t="shared" si="24"/>
        <v>6</v>
      </c>
      <c r="I299" t="str">
        <f t="shared" si="25"/>
        <v>O3P17</v>
      </c>
    </row>
    <row r="300" spans="1:9">
      <c r="A300" t="str">
        <f>'Assemble Data'!B301</f>
        <v>P17</v>
      </c>
      <c r="B300" s="13">
        <f>IFERROR(SUMIF('Assemble Data'!K:K,'Assemble Data'!A301,'Assemble Data'!L:L),0)</f>
        <v>9600</v>
      </c>
      <c r="C300" s="13" t="str">
        <f>INDEX('Assemble Data'!$O$24:$O$1023,MATCH('Assemble Data'!A301,'Assemble Data'!$N$24:$N$1023,0))</f>
        <v>O3</v>
      </c>
      <c r="D300" s="13">
        <f>SUMIF('Assemble Data'!H:H,'Assemble Data'!A301,'Assemble Data'!I:I)</f>
        <v>12</v>
      </c>
      <c r="E300" s="13">
        <f>IFERROR(IF(AND('Assemble Data'!D301&lt;&gt;"",'Assemble Data'!D301&lt;&gt;B300),1,0),1)</f>
        <v>0</v>
      </c>
      <c r="F300" s="13">
        <f ca="1">IF('Assemble Data'!E301="",0,IF(ISERROR(FIND("INDEX",_xlfn.FORMULATEXT('Assemble Data'!E301),1)),1,0)+IFERROR(IF(AND('Assemble Data'!E301&lt;&gt;C300,'Assemble Data'!E301&lt;&gt;""),1,0),1))</f>
        <v>0</v>
      </c>
      <c r="G300" s="13">
        <f ca="1">IF('Assemble Data'!F301="",0,IF(ISERROR(FIND("VLOOKUP",_xlfn.FORMULATEXT('Assemble Data'!F301),1)),1,0)+IFERROR(IF(AND('Assemble Data'!F301&lt;&gt;D300,'Assemble Data'!F301&lt;&gt;""),1,0),1))</f>
        <v>0</v>
      </c>
      <c r="H300" s="13">
        <f t="shared" si="24"/>
        <v>6</v>
      </c>
      <c r="I300" t="str">
        <f t="shared" si="25"/>
        <v>O3P17</v>
      </c>
    </row>
    <row r="301" spans="1:9">
      <c r="A301" t="str">
        <f>'Assemble Data'!B302</f>
        <v>P13</v>
      </c>
      <c r="B301" s="13">
        <f>IFERROR(SUMIF('Assemble Data'!K:K,'Assemble Data'!A302,'Assemble Data'!L:L),0)</f>
        <v>3600</v>
      </c>
      <c r="C301" s="13" t="str">
        <f>INDEX('Assemble Data'!$O$24:$O$1023,MATCH('Assemble Data'!A302,'Assemble Data'!$N$24:$N$1023,0))</f>
        <v>C3</v>
      </c>
      <c r="D301" s="13">
        <f>SUMIF('Assemble Data'!H:H,'Assemble Data'!A302,'Assemble Data'!I:I)</f>
        <v>5</v>
      </c>
      <c r="E301" s="13">
        <f>IFERROR(IF(AND('Assemble Data'!D302&lt;&gt;"",'Assemble Data'!D302&lt;&gt;B301),1,0),1)</f>
        <v>0</v>
      </c>
      <c r="F301" s="13">
        <f ca="1">IF('Assemble Data'!E302="",0,IF(ISERROR(FIND("INDEX",_xlfn.FORMULATEXT('Assemble Data'!E302),1)),1,0)+IFERROR(IF(AND('Assemble Data'!E302&lt;&gt;C301,'Assemble Data'!E302&lt;&gt;""),1,0),1))</f>
        <v>0</v>
      </c>
      <c r="G301" s="13">
        <f ca="1">IF('Assemble Data'!F302="",0,IF(ISERROR(FIND("VLOOKUP",_xlfn.FORMULATEXT('Assemble Data'!F302),1)),1,0)+IFERROR(IF(AND('Assemble Data'!F302&lt;&gt;D301,'Assemble Data'!F302&lt;&gt;""),1,0),1))</f>
        <v>0</v>
      </c>
      <c r="H301" s="13">
        <f t="shared" si="24"/>
        <v>3</v>
      </c>
      <c r="I301" t="str">
        <f t="shared" si="25"/>
        <v>C3P13</v>
      </c>
    </row>
    <row r="302" spans="1:9">
      <c r="A302" t="str">
        <f>'Assemble Data'!B303</f>
        <v>P11</v>
      </c>
      <c r="B302" s="13">
        <f>IFERROR(SUMIF('Assemble Data'!K:K,'Assemble Data'!A303,'Assemble Data'!L:L),0)</f>
        <v>8800</v>
      </c>
      <c r="C302" s="13" t="str">
        <f>INDEX('Assemble Data'!$O$24:$O$1023,MATCH('Assemble Data'!A303,'Assemble Data'!$N$24:$N$1023,0))</f>
        <v>C3</v>
      </c>
      <c r="D302" s="13">
        <f>SUMIF('Assemble Data'!H:H,'Assemble Data'!A303,'Assemble Data'!I:I)</f>
        <v>11</v>
      </c>
      <c r="E302" s="13">
        <f>IFERROR(IF(AND('Assemble Data'!D303&lt;&gt;"",'Assemble Data'!D303&lt;&gt;B302),1,0),1)</f>
        <v>0</v>
      </c>
      <c r="F302" s="13">
        <f ca="1">IF('Assemble Data'!E303="",0,IF(ISERROR(FIND("INDEX",_xlfn.FORMULATEXT('Assemble Data'!E303),1)),1,0)+IFERROR(IF(AND('Assemble Data'!E303&lt;&gt;C302,'Assemble Data'!E303&lt;&gt;""),1,0),1))</f>
        <v>0</v>
      </c>
      <c r="G302" s="13">
        <f ca="1">IF('Assemble Data'!F303="",0,IF(ISERROR(FIND("VLOOKUP",_xlfn.FORMULATEXT('Assemble Data'!F303),1)),1,0)+IFERROR(IF(AND('Assemble Data'!F303&lt;&gt;D302,'Assemble Data'!F303&lt;&gt;""),1,0),1))</f>
        <v>0</v>
      </c>
      <c r="H302" s="13">
        <f t="shared" si="24"/>
        <v>9</v>
      </c>
      <c r="I302" t="str">
        <f t="shared" si="25"/>
        <v>C3P11</v>
      </c>
    </row>
    <row r="303" spans="1:9">
      <c r="A303" t="str">
        <f>'Assemble Data'!B304</f>
        <v>P11</v>
      </c>
      <c r="B303" s="13">
        <f>IFERROR(SUMIF('Assemble Data'!K:K,'Assemble Data'!A304,'Assemble Data'!L:L),0)</f>
        <v>8800</v>
      </c>
      <c r="C303" s="13" t="str">
        <f>INDEX('Assemble Data'!$O$24:$O$1023,MATCH('Assemble Data'!A304,'Assemble Data'!$N$24:$N$1023,0))</f>
        <v>C3</v>
      </c>
      <c r="D303" s="13">
        <f>SUMIF('Assemble Data'!H:H,'Assemble Data'!A304,'Assemble Data'!I:I)</f>
        <v>11</v>
      </c>
      <c r="E303" s="13">
        <f>IFERROR(IF(AND('Assemble Data'!D304&lt;&gt;"",'Assemble Data'!D304&lt;&gt;B303),1,0),1)</f>
        <v>0</v>
      </c>
      <c r="F303" s="13">
        <f ca="1">IF('Assemble Data'!E304="",0,IF(ISERROR(FIND("INDEX",_xlfn.FORMULATEXT('Assemble Data'!E304),1)),1,0)+IFERROR(IF(AND('Assemble Data'!E304&lt;&gt;C303,'Assemble Data'!E304&lt;&gt;""),1,0),1))</f>
        <v>0</v>
      </c>
      <c r="G303" s="13">
        <f ca="1">IF('Assemble Data'!F304="",0,IF(ISERROR(FIND("VLOOKUP",_xlfn.FORMULATEXT('Assemble Data'!F304),1)),1,0)+IFERROR(IF(AND('Assemble Data'!F304&lt;&gt;D303,'Assemble Data'!F304&lt;&gt;""),1,0),1))</f>
        <v>0</v>
      </c>
      <c r="H303" s="13">
        <f t="shared" si="24"/>
        <v>9</v>
      </c>
      <c r="I303" t="str">
        <f t="shared" si="25"/>
        <v>C3P11</v>
      </c>
    </row>
    <row r="304" spans="1:9">
      <c r="A304" t="str">
        <f>'Assemble Data'!B305</f>
        <v>P12</v>
      </c>
      <c r="B304" s="13">
        <f>IFERROR(SUMIF('Assemble Data'!K:K,'Assemble Data'!A305,'Assemble Data'!L:L),0)</f>
        <v>5460</v>
      </c>
      <c r="C304" s="13" t="str">
        <f>INDEX('Assemble Data'!$O$24:$O$1023,MATCH('Assemble Data'!A305,'Assemble Data'!$N$24:$N$1023,0))</f>
        <v>C3</v>
      </c>
      <c r="D304" s="13">
        <f>SUMIF('Assemble Data'!H:H,'Assemble Data'!A305,'Assemble Data'!I:I)</f>
        <v>6.5</v>
      </c>
      <c r="E304" s="13">
        <f>IFERROR(IF(AND('Assemble Data'!D305&lt;&gt;"",'Assemble Data'!D305&lt;&gt;B304),1,0),1)</f>
        <v>0</v>
      </c>
      <c r="F304" s="13">
        <f ca="1">IF('Assemble Data'!E305="",0,IF(ISERROR(FIND("INDEX",_xlfn.FORMULATEXT('Assemble Data'!E305),1)),1,0)+IFERROR(IF(AND('Assemble Data'!E305&lt;&gt;C304,'Assemble Data'!E305&lt;&gt;""),1,0),1))</f>
        <v>0</v>
      </c>
      <c r="G304" s="13">
        <f ca="1">IF('Assemble Data'!F305="",0,IF(ISERROR(FIND("VLOOKUP",_xlfn.FORMULATEXT('Assemble Data'!F305),1)),1,0)+IFERROR(IF(AND('Assemble Data'!F305&lt;&gt;D304,'Assemble Data'!F305&lt;&gt;""),1,0),1))</f>
        <v>0</v>
      </c>
      <c r="H304" s="13">
        <f t="shared" si="24"/>
        <v>7</v>
      </c>
      <c r="I304" t="str">
        <f t="shared" si="25"/>
        <v>C3P12</v>
      </c>
    </row>
    <row r="305" spans="1:9">
      <c r="A305" t="str">
        <f>'Assemble Data'!B306</f>
        <v>P10</v>
      </c>
      <c r="B305" s="13">
        <f>IFERROR(SUMIF('Assemble Data'!K:K,'Assemble Data'!A306,'Assemble Data'!L:L),0)</f>
        <v>1920</v>
      </c>
      <c r="C305" s="13" t="str">
        <f>INDEX('Assemble Data'!$O$24:$O$1023,MATCH('Assemble Data'!A306,'Assemble Data'!$N$24:$N$1023,0))</f>
        <v>C3</v>
      </c>
      <c r="D305" s="13">
        <f>SUMIF('Assemble Data'!H:H,'Assemble Data'!A306,'Assemble Data'!I:I)</f>
        <v>3</v>
      </c>
      <c r="E305" s="13">
        <f>IFERROR(IF(AND('Assemble Data'!D306&lt;&gt;"",'Assemble Data'!D306&lt;&gt;B305),1,0),1)</f>
        <v>0</v>
      </c>
      <c r="F305" s="13">
        <f ca="1">IF('Assemble Data'!E306="",0,IF(ISERROR(FIND("INDEX",_xlfn.FORMULATEXT('Assemble Data'!E306),1)),1,0)+IFERROR(IF(AND('Assemble Data'!E306&lt;&gt;C305,'Assemble Data'!E306&lt;&gt;""),1,0),1))</f>
        <v>0</v>
      </c>
      <c r="G305" s="13">
        <f ca="1">IF('Assemble Data'!F306="",0,IF(ISERROR(FIND("VLOOKUP",_xlfn.FORMULATEXT('Assemble Data'!F306),1)),1,0)+IFERROR(IF(AND('Assemble Data'!F306&lt;&gt;D305,'Assemble Data'!F306&lt;&gt;""),1,0),1))</f>
        <v>0</v>
      </c>
      <c r="H305" s="13">
        <f t="shared" si="24"/>
        <v>8</v>
      </c>
      <c r="I305" t="str">
        <f t="shared" si="25"/>
        <v>C3P10</v>
      </c>
    </row>
    <row r="306" spans="1:9">
      <c r="A306" t="str">
        <f>'Assemble Data'!B307</f>
        <v>P10</v>
      </c>
      <c r="B306" s="13">
        <f>IFERROR(SUMIF('Assemble Data'!K:K,'Assemble Data'!A307,'Assemble Data'!L:L),0)</f>
        <v>1920</v>
      </c>
      <c r="C306" s="13" t="str">
        <f>INDEX('Assemble Data'!$O$24:$O$1023,MATCH('Assemble Data'!A307,'Assemble Data'!$N$24:$N$1023,0))</f>
        <v>C3</v>
      </c>
      <c r="D306" s="13">
        <f>SUMIF('Assemble Data'!H:H,'Assemble Data'!A307,'Assemble Data'!I:I)</f>
        <v>3</v>
      </c>
      <c r="E306" s="13">
        <f>IFERROR(IF(AND('Assemble Data'!D307&lt;&gt;"",'Assemble Data'!D307&lt;&gt;B306),1,0),1)</f>
        <v>0</v>
      </c>
      <c r="F306" s="13">
        <f ca="1">IF('Assemble Data'!E307="",0,IF(ISERROR(FIND("INDEX",_xlfn.FORMULATEXT('Assemble Data'!E307),1)),1,0)+IFERROR(IF(AND('Assemble Data'!E307&lt;&gt;C306,'Assemble Data'!E307&lt;&gt;""),1,0),1))</f>
        <v>0</v>
      </c>
      <c r="G306" s="13">
        <f ca="1">IF('Assemble Data'!F307="",0,IF(ISERROR(FIND("VLOOKUP",_xlfn.FORMULATEXT('Assemble Data'!F307),1)),1,0)+IFERROR(IF(AND('Assemble Data'!F307&lt;&gt;D306,'Assemble Data'!F307&lt;&gt;""),1,0),1))</f>
        <v>0</v>
      </c>
      <c r="H306" s="13">
        <f t="shared" si="24"/>
        <v>8</v>
      </c>
      <c r="I306" t="str">
        <f t="shared" si="25"/>
        <v>C3P10</v>
      </c>
    </row>
    <row r="307" spans="1:9">
      <c r="A307" t="str">
        <f>'Assemble Data'!B308</f>
        <v>P11</v>
      </c>
      <c r="B307" s="13">
        <f>IFERROR(SUMIF('Assemble Data'!K:K,'Assemble Data'!A308,'Assemble Data'!L:L),0)</f>
        <v>8800</v>
      </c>
      <c r="C307" s="13" t="str">
        <f>INDEX('Assemble Data'!$O$24:$O$1023,MATCH('Assemble Data'!A308,'Assemble Data'!$N$24:$N$1023,0))</f>
        <v>C3</v>
      </c>
      <c r="D307" s="13">
        <f>SUMIF('Assemble Data'!H:H,'Assemble Data'!A308,'Assemble Data'!I:I)</f>
        <v>11</v>
      </c>
      <c r="E307" s="13">
        <f>IFERROR(IF(AND('Assemble Data'!D308&lt;&gt;"",'Assemble Data'!D308&lt;&gt;B307),1,0),1)</f>
        <v>0</v>
      </c>
      <c r="F307" s="13">
        <f ca="1">IF('Assemble Data'!E308="",0,IF(ISERROR(FIND("INDEX",_xlfn.FORMULATEXT('Assemble Data'!E308),1)),1,0)+IFERROR(IF(AND('Assemble Data'!E308&lt;&gt;C307,'Assemble Data'!E308&lt;&gt;""),1,0),1))</f>
        <v>0</v>
      </c>
      <c r="G307" s="13">
        <f ca="1">IF('Assemble Data'!F308="",0,IF(ISERROR(FIND("VLOOKUP",_xlfn.FORMULATEXT('Assemble Data'!F308),1)),1,0)+IFERROR(IF(AND('Assemble Data'!F308&lt;&gt;D307,'Assemble Data'!F308&lt;&gt;""),1,0),1))</f>
        <v>0</v>
      </c>
      <c r="H307" s="13">
        <f t="shared" si="24"/>
        <v>9</v>
      </c>
      <c r="I307" t="str">
        <f t="shared" si="25"/>
        <v>C3P11</v>
      </c>
    </row>
    <row r="308" spans="1:9">
      <c r="A308" t="str">
        <f>'Assemble Data'!B309</f>
        <v>P18</v>
      </c>
      <c r="B308" s="13">
        <f>IFERROR(SUMIF('Assemble Data'!K:K,'Assemble Data'!A309,'Assemble Data'!L:L),0)</f>
        <v>4320</v>
      </c>
      <c r="C308" s="13" t="str">
        <f>INDEX('Assemble Data'!$O$24:$O$1023,MATCH('Assemble Data'!A309,'Assemble Data'!$N$24:$N$1023,0))</f>
        <v>O3</v>
      </c>
      <c r="D308" s="13">
        <f>SUMIF('Assemble Data'!H:H,'Assemble Data'!A309,'Assemble Data'!I:I)</f>
        <v>6</v>
      </c>
      <c r="E308" s="13">
        <f>IFERROR(IF(AND('Assemble Data'!D309&lt;&gt;"",'Assemble Data'!D309&lt;&gt;B308),1,0),1)</f>
        <v>0</v>
      </c>
      <c r="F308" s="13">
        <f ca="1">IF('Assemble Data'!E309="",0,IF(ISERROR(FIND("INDEX",_xlfn.FORMULATEXT('Assemble Data'!E309),1)),1,0)+IFERROR(IF(AND('Assemble Data'!E309&lt;&gt;C308,'Assemble Data'!E309&lt;&gt;""),1,0),1))</f>
        <v>0</v>
      </c>
      <c r="G308" s="13">
        <f ca="1">IF('Assemble Data'!F309="",0,IF(ISERROR(FIND("VLOOKUP",_xlfn.FORMULATEXT('Assemble Data'!F309),1)),1,0)+IFERROR(IF(AND('Assemble Data'!F309&lt;&gt;D308,'Assemble Data'!F309&lt;&gt;""),1,0),1))</f>
        <v>0</v>
      </c>
      <c r="H308" s="13">
        <f t="shared" si="24"/>
        <v>2</v>
      </c>
      <c r="I308" t="str">
        <f t="shared" si="25"/>
        <v>O3P18</v>
      </c>
    </row>
    <row r="309" spans="1:9">
      <c r="A309" t="str">
        <f>'Assemble Data'!B310</f>
        <v>P14</v>
      </c>
      <c r="B309" s="13">
        <f>IFERROR(SUMIF('Assemble Data'!K:K,'Assemble Data'!A310,'Assemble Data'!L:L),0)</f>
        <v>7200</v>
      </c>
      <c r="C309" s="13" t="str">
        <f>INDEX('Assemble Data'!$O$24:$O$1023,MATCH('Assemble Data'!A310,'Assemble Data'!$N$24:$N$1023,0))</f>
        <v>N3</v>
      </c>
      <c r="D309" s="13">
        <f>SUMIF('Assemble Data'!H:H,'Assemble Data'!A310,'Assemble Data'!I:I)</f>
        <v>8</v>
      </c>
      <c r="E309" s="13">
        <f>IFERROR(IF(AND('Assemble Data'!D310&lt;&gt;"",'Assemble Data'!D310&lt;&gt;B309),1,0),1)</f>
        <v>0</v>
      </c>
      <c r="F309" s="13">
        <f ca="1">IF('Assemble Data'!E310="",0,IF(ISERROR(FIND("INDEX",_xlfn.FORMULATEXT('Assemble Data'!E310),1)),1,0)+IFERROR(IF(AND('Assemble Data'!E310&lt;&gt;C309,'Assemble Data'!E310&lt;&gt;""),1,0),1))</f>
        <v>0</v>
      </c>
      <c r="G309" s="13">
        <f ca="1">IF('Assemble Data'!F310="",0,IF(ISERROR(FIND("VLOOKUP",_xlfn.FORMULATEXT('Assemble Data'!F310),1)),1,0)+IFERROR(IF(AND('Assemble Data'!F310&lt;&gt;D309,'Assemble Data'!F310&lt;&gt;""),1,0),1))</f>
        <v>0</v>
      </c>
      <c r="H309" s="13">
        <f t="shared" si="24"/>
        <v>5</v>
      </c>
      <c r="I309" t="str">
        <f t="shared" si="25"/>
        <v>N3P14</v>
      </c>
    </row>
    <row r="310" spans="1:9">
      <c r="A310" t="str">
        <f>'Assemble Data'!B311</f>
        <v>P10</v>
      </c>
      <c r="B310" s="13">
        <f>IFERROR(SUMIF('Assemble Data'!K:K,'Assemble Data'!A311,'Assemble Data'!L:L),0)</f>
        <v>1920</v>
      </c>
      <c r="C310" s="13" t="str">
        <f>INDEX('Assemble Data'!$O$24:$O$1023,MATCH('Assemble Data'!A311,'Assemble Data'!$N$24:$N$1023,0))</f>
        <v>C3</v>
      </c>
      <c r="D310" s="13">
        <f>SUMIF('Assemble Data'!H:H,'Assemble Data'!A311,'Assemble Data'!I:I)</f>
        <v>3</v>
      </c>
      <c r="E310" s="13">
        <f>IFERROR(IF(AND('Assemble Data'!D311&lt;&gt;"",'Assemble Data'!D311&lt;&gt;B310),1,0),1)</f>
        <v>0</v>
      </c>
      <c r="F310" s="13">
        <f ca="1">IF('Assemble Data'!E311="",0,IF(ISERROR(FIND("INDEX",_xlfn.FORMULATEXT('Assemble Data'!E311),1)),1,0)+IFERROR(IF(AND('Assemble Data'!E311&lt;&gt;C310,'Assemble Data'!E311&lt;&gt;""),1,0),1))</f>
        <v>0</v>
      </c>
      <c r="G310" s="13">
        <f ca="1">IF('Assemble Data'!F311="",0,IF(ISERROR(FIND("VLOOKUP",_xlfn.FORMULATEXT('Assemble Data'!F311),1)),1,0)+IFERROR(IF(AND('Assemble Data'!F311&lt;&gt;D310,'Assemble Data'!F311&lt;&gt;""),1,0),1))</f>
        <v>0</v>
      </c>
      <c r="H310" s="13">
        <f t="shared" si="24"/>
        <v>8</v>
      </c>
      <c r="I310" t="str">
        <f t="shared" si="25"/>
        <v>C3P10</v>
      </c>
    </row>
    <row r="311" spans="1:9">
      <c r="A311" t="str">
        <f>'Assemble Data'!B312</f>
        <v>P13</v>
      </c>
      <c r="B311" s="13">
        <f>IFERROR(SUMIF('Assemble Data'!K:K,'Assemble Data'!A312,'Assemble Data'!L:L),0)</f>
        <v>3600</v>
      </c>
      <c r="C311" s="13" t="str">
        <f>INDEX('Assemble Data'!$O$24:$O$1023,MATCH('Assemble Data'!A312,'Assemble Data'!$N$24:$N$1023,0))</f>
        <v>C3</v>
      </c>
      <c r="D311" s="13">
        <f>SUMIF('Assemble Data'!H:H,'Assemble Data'!A312,'Assemble Data'!I:I)</f>
        <v>5</v>
      </c>
      <c r="E311" s="13">
        <f>IFERROR(IF(AND('Assemble Data'!D312&lt;&gt;"",'Assemble Data'!D312&lt;&gt;B311),1,0),1)</f>
        <v>0</v>
      </c>
      <c r="F311" s="13">
        <f ca="1">IF('Assemble Data'!E312="",0,IF(ISERROR(FIND("INDEX",_xlfn.FORMULATEXT('Assemble Data'!E312),1)),1,0)+IFERROR(IF(AND('Assemble Data'!E312&lt;&gt;C311,'Assemble Data'!E312&lt;&gt;""),1,0),1))</f>
        <v>0</v>
      </c>
      <c r="G311" s="13">
        <f ca="1">IF('Assemble Data'!F312="",0,IF(ISERROR(FIND("VLOOKUP",_xlfn.FORMULATEXT('Assemble Data'!F312),1)),1,0)+IFERROR(IF(AND('Assemble Data'!F312&lt;&gt;D311,'Assemble Data'!F312&lt;&gt;""),1,0),1))</f>
        <v>0</v>
      </c>
      <c r="H311" s="13">
        <f t="shared" si="24"/>
        <v>3</v>
      </c>
      <c r="I311" t="str">
        <f t="shared" si="25"/>
        <v>C3P13</v>
      </c>
    </row>
    <row r="312" spans="1:9">
      <c r="A312" t="str">
        <f>'Assemble Data'!B313</f>
        <v>P13</v>
      </c>
      <c r="B312" s="13">
        <f>IFERROR(SUMIF('Assemble Data'!K:K,'Assemble Data'!A313,'Assemble Data'!L:L),0)</f>
        <v>3600</v>
      </c>
      <c r="C312" s="13" t="str">
        <f>INDEX('Assemble Data'!$O$24:$O$1023,MATCH('Assemble Data'!A313,'Assemble Data'!$N$24:$N$1023,0))</f>
        <v>C3</v>
      </c>
      <c r="D312" s="13">
        <f>SUMIF('Assemble Data'!H:H,'Assemble Data'!A313,'Assemble Data'!I:I)</f>
        <v>5</v>
      </c>
      <c r="E312" s="13">
        <f>IFERROR(IF(AND('Assemble Data'!D313&lt;&gt;"",'Assemble Data'!D313&lt;&gt;B312),1,0),1)</f>
        <v>0</v>
      </c>
      <c r="F312" s="13">
        <f ca="1">IF('Assemble Data'!E313="",0,IF(ISERROR(FIND("INDEX",_xlfn.FORMULATEXT('Assemble Data'!E313),1)),1,0)+IFERROR(IF(AND('Assemble Data'!E313&lt;&gt;C312,'Assemble Data'!E313&lt;&gt;""),1,0),1))</f>
        <v>0</v>
      </c>
      <c r="G312" s="13">
        <f ca="1">IF('Assemble Data'!F313="",0,IF(ISERROR(FIND("VLOOKUP",_xlfn.FORMULATEXT('Assemble Data'!F313),1)),1,0)+IFERROR(IF(AND('Assemble Data'!F313&lt;&gt;D312,'Assemble Data'!F313&lt;&gt;""),1,0),1))</f>
        <v>0</v>
      </c>
      <c r="H312" s="13">
        <f t="shared" si="24"/>
        <v>3</v>
      </c>
      <c r="I312" t="str">
        <f t="shared" si="25"/>
        <v>C3P13</v>
      </c>
    </row>
    <row r="313" spans="1:9">
      <c r="A313" t="str">
        <f>'Assemble Data'!B314</f>
        <v>P10</v>
      </c>
      <c r="B313" s="13">
        <f>IFERROR(SUMIF('Assemble Data'!K:K,'Assemble Data'!A314,'Assemble Data'!L:L),0)</f>
        <v>1920</v>
      </c>
      <c r="C313" s="13" t="str">
        <f>INDEX('Assemble Data'!$O$24:$O$1023,MATCH('Assemble Data'!A314,'Assemble Data'!$N$24:$N$1023,0))</f>
        <v>C3</v>
      </c>
      <c r="D313" s="13">
        <f>SUMIF('Assemble Data'!H:H,'Assemble Data'!A314,'Assemble Data'!I:I)</f>
        <v>3</v>
      </c>
      <c r="E313" s="13">
        <f>IFERROR(IF(AND('Assemble Data'!D314&lt;&gt;"",'Assemble Data'!D314&lt;&gt;B313),1,0),1)</f>
        <v>0</v>
      </c>
      <c r="F313" s="13">
        <f ca="1">IF('Assemble Data'!E314="",0,IF(ISERROR(FIND("INDEX",_xlfn.FORMULATEXT('Assemble Data'!E314),1)),1,0)+IFERROR(IF(AND('Assemble Data'!E314&lt;&gt;C313,'Assemble Data'!E314&lt;&gt;""),1,0),1))</f>
        <v>0</v>
      </c>
      <c r="G313" s="13">
        <f ca="1">IF('Assemble Data'!F314="",0,IF(ISERROR(FIND("VLOOKUP",_xlfn.FORMULATEXT('Assemble Data'!F314),1)),1,0)+IFERROR(IF(AND('Assemble Data'!F314&lt;&gt;D313,'Assemble Data'!F314&lt;&gt;""),1,0),1))</f>
        <v>0</v>
      </c>
      <c r="H313" s="13">
        <f t="shared" si="24"/>
        <v>8</v>
      </c>
      <c r="I313" t="str">
        <f t="shared" si="25"/>
        <v>C3P10</v>
      </c>
    </row>
    <row r="314" spans="1:9">
      <c r="A314" t="str">
        <f>'Assemble Data'!B315</f>
        <v>P11</v>
      </c>
      <c r="B314" s="13">
        <f>IFERROR(SUMIF('Assemble Data'!K:K,'Assemble Data'!A315,'Assemble Data'!L:L),0)</f>
        <v>8800</v>
      </c>
      <c r="C314" s="13" t="str">
        <f>INDEX('Assemble Data'!$O$24:$O$1023,MATCH('Assemble Data'!A315,'Assemble Data'!$N$24:$N$1023,0))</f>
        <v>C3</v>
      </c>
      <c r="D314" s="13">
        <f>SUMIF('Assemble Data'!H:H,'Assemble Data'!A315,'Assemble Data'!I:I)</f>
        <v>11</v>
      </c>
      <c r="E314" s="13">
        <f>IFERROR(IF(AND('Assemble Data'!D315&lt;&gt;"",'Assemble Data'!D315&lt;&gt;B314),1,0),1)</f>
        <v>0</v>
      </c>
      <c r="F314" s="13">
        <f ca="1">IF('Assemble Data'!E315="",0,IF(ISERROR(FIND("INDEX",_xlfn.FORMULATEXT('Assemble Data'!E315),1)),1,0)+IFERROR(IF(AND('Assemble Data'!E315&lt;&gt;C314,'Assemble Data'!E315&lt;&gt;""),1,0),1))</f>
        <v>0</v>
      </c>
      <c r="G314" s="13">
        <f ca="1">IF('Assemble Data'!F315="",0,IF(ISERROR(FIND("VLOOKUP",_xlfn.FORMULATEXT('Assemble Data'!F315),1)),1,0)+IFERROR(IF(AND('Assemble Data'!F315&lt;&gt;D314,'Assemble Data'!F315&lt;&gt;""),1,0),1))</f>
        <v>0</v>
      </c>
      <c r="H314" s="13">
        <f t="shared" si="24"/>
        <v>9</v>
      </c>
      <c r="I314" t="str">
        <f t="shared" si="25"/>
        <v>C3P11</v>
      </c>
    </row>
    <row r="315" spans="1:9">
      <c r="A315" t="str">
        <f>'Assemble Data'!B316</f>
        <v>P16</v>
      </c>
      <c r="B315" s="13">
        <f>IFERROR(SUMIF('Assemble Data'!K:K,'Assemble Data'!A316,'Assemble Data'!L:L),0)</f>
        <v>5200</v>
      </c>
      <c r="C315" s="13" t="str">
        <f>INDEX('Assemble Data'!$O$24:$O$1023,MATCH('Assemble Data'!A316,'Assemble Data'!$N$24:$N$1023,0))</f>
        <v>N3</v>
      </c>
      <c r="D315" s="13">
        <f>SUMIF('Assemble Data'!H:H,'Assemble Data'!A316,'Assemble Data'!I:I)</f>
        <v>4</v>
      </c>
      <c r="E315" s="13">
        <f>IFERROR(IF(AND('Assemble Data'!D316&lt;&gt;"",'Assemble Data'!D316&lt;&gt;B315),1,0),1)</f>
        <v>0</v>
      </c>
      <c r="F315" s="13">
        <f ca="1">IF('Assemble Data'!E316="",0,IF(ISERROR(FIND("INDEX",_xlfn.FORMULATEXT('Assemble Data'!E316),1)),1,0)+IFERROR(IF(AND('Assemble Data'!E316&lt;&gt;C315,'Assemble Data'!E316&lt;&gt;""),1,0),1))</f>
        <v>0</v>
      </c>
      <c r="G315" s="13">
        <f ca="1">IF('Assemble Data'!F316="",0,IF(ISERROR(FIND("VLOOKUP",_xlfn.FORMULATEXT('Assemble Data'!F316),1)),1,0)+IFERROR(IF(AND('Assemble Data'!F316&lt;&gt;D315,'Assemble Data'!F316&lt;&gt;""),1,0),1))</f>
        <v>0</v>
      </c>
      <c r="H315" s="13">
        <f t="shared" ref="H315:H378" si="26">H298</f>
        <v>0</v>
      </c>
      <c r="I315" t="str">
        <f t="shared" si="25"/>
        <v>N3P16</v>
      </c>
    </row>
    <row r="316" spans="1:9">
      <c r="A316" t="str">
        <f>'Assemble Data'!B317</f>
        <v>P17</v>
      </c>
      <c r="B316" s="13">
        <f>IFERROR(SUMIF('Assemble Data'!K:K,'Assemble Data'!A317,'Assemble Data'!L:L),0)</f>
        <v>19200</v>
      </c>
      <c r="C316" s="13" t="str">
        <f>INDEX('Assemble Data'!$O$24:$O$1023,MATCH('Assemble Data'!A317,'Assemble Data'!$N$24:$N$1023,0))</f>
        <v>O3</v>
      </c>
      <c r="D316" s="13">
        <f>SUMIF('Assemble Data'!H:H,'Assemble Data'!A317,'Assemble Data'!I:I)</f>
        <v>12</v>
      </c>
      <c r="E316" s="13">
        <f>IFERROR(IF(AND('Assemble Data'!D317&lt;&gt;"",'Assemble Data'!D317&lt;&gt;B316),1,0),1)</f>
        <v>0</v>
      </c>
      <c r="F316" s="13">
        <f ca="1">IF('Assemble Data'!E317="",0,IF(ISERROR(FIND("INDEX",_xlfn.FORMULATEXT('Assemble Data'!E317),1)),1,0)+IFERROR(IF(AND('Assemble Data'!E317&lt;&gt;C316,'Assemble Data'!E317&lt;&gt;""),1,0),1))</f>
        <v>0</v>
      </c>
      <c r="G316" s="13">
        <f ca="1">IF('Assemble Data'!F317="",0,IF(ISERROR(FIND("VLOOKUP",_xlfn.FORMULATEXT('Assemble Data'!F317),1)),1,0)+IFERROR(IF(AND('Assemble Data'!F317&lt;&gt;D316,'Assemble Data'!F317&lt;&gt;""),1,0),1))</f>
        <v>0</v>
      </c>
      <c r="H316" s="13">
        <f t="shared" si="26"/>
        <v>6</v>
      </c>
      <c r="I316" t="str">
        <f t="shared" si="25"/>
        <v>O3P17</v>
      </c>
    </row>
    <row r="317" spans="1:9">
      <c r="A317" t="str">
        <f>'Assemble Data'!B318</f>
        <v>P17</v>
      </c>
      <c r="B317" s="13">
        <f>IFERROR(SUMIF('Assemble Data'!K:K,'Assemble Data'!A318,'Assemble Data'!L:L),0)</f>
        <v>9600</v>
      </c>
      <c r="C317" s="13" t="str">
        <f>INDEX('Assemble Data'!$O$24:$O$1023,MATCH('Assemble Data'!A318,'Assemble Data'!$N$24:$N$1023,0))</f>
        <v>O3</v>
      </c>
      <c r="D317" s="13">
        <f>SUMIF('Assemble Data'!H:H,'Assemble Data'!A318,'Assemble Data'!I:I)</f>
        <v>12</v>
      </c>
      <c r="E317" s="13">
        <f>IFERROR(IF(AND('Assemble Data'!D318&lt;&gt;"",'Assemble Data'!D318&lt;&gt;B317),1,0),1)</f>
        <v>0</v>
      </c>
      <c r="F317" s="13">
        <f ca="1">IF('Assemble Data'!E318="",0,IF(ISERROR(FIND("INDEX",_xlfn.FORMULATEXT('Assemble Data'!E318),1)),1,0)+IFERROR(IF(AND('Assemble Data'!E318&lt;&gt;C317,'Assemble Data'!E318&lt;&gt;""),1,0),1))</f>
        <v>0</v>
      </c>
      <c r="G317" s="13">
        <f ca="1">IF('Assemble Data'!F318="",0,IF(ISERROR(FIND("VLOOKUP",_xlfn.FORMULATEXT('Assemble Data'!F318),1)),1,0)+IFERROR(IF(AND('Assemble Data'!F318&lt;&gt;D317,'Assemble Data'!F318&lt;&gt;""),1,0),1))</f>
        <v>0</v>
      </c>
      <c r="H317" s="13">
        <f t="shared" si="26"/>
        <v>6</v>
      </c>
      <c r="I317" t="str">
        <f t="shared" si="25"/>
        <v>O3P17</v>
      </c>
    </row>
    <row r="318" spans="1:9">
      <c r="A318" t="str">
        <f>'Assemble Data'!B319</f>
        <v>P13</v>
      </c>
      <c r="B318" s="13">
        <f>IFERROR(SUMIF('Assemble Data'!K:K,'Assemble Data'!A319,'Assemble Data'!L:L),0)</f>
        <v>3600</v>
      </c>
      <c r="C318" s="13" t="str">
        <f>INDEX('Assemble Data'!$O$24:$O$1023,MATCH('Assemble Data'!A319,'Assemble Data'!$N$24:$N$1023,0))</f>
        <v>C3</v>
      </c>
      <c r="D318" s="13">
        <f>SUMIF('Assemble Data'!H:H,'Assemble Data'!A319,'Assemble Data'!I:I)</f>
        <v>5</v>
      </c>
      <c r="E318" s="13">
        <f>IFERROR(IF(AND('Assemble Data'!D319&lt;&gt;"",'Assemble Data'!D319&lt;&gt;B318),1,0),1)</f>
        <v>0</v>
      </c>
      <c r="F318" s="13">
        <f ca="1">IF('Assemble Data'!E319="",0,IF(ISERROR(FIND("INDEX",_xlfn.FORMULATEXT('Assemble Data'!E319),1)),1,0)+IFERROR(IF(AND('Assemble Data'!E319&lt;&gt;C318,'Assemble Data'!E319&lt;&gt;""),1,0),1))</f>
        <v>0</v>
      </c>
      <c r="G318" s="13">
        <f ca="1">IF('Assemble Data'!F319="",0,IF(ISERROR(FIND("VLOOKUP",_xlfn.FORMULATEXT('Assemble Data'!F319),1)),1,0)+IFERROR(IF(AND('Assemble Data'!F319&lt;&gt;D318,'Assemble Data'!F319&lt;&gt;""),1,0),1))</f>
        <v>0</v>
      </c>
      <c r="H318" s="13">
        <f t="shared" si="26"/>
        <v>3</v>
      </c>
      <c r="I318" t="str">
        <f t="shared" si="25"/>
        <v>C3P13</v>
      </c>
    </row>
    <row r="319" spans="1:9">
      <c r="A319" t="str">
        <f>'Assemble Data'!B320</f>
        <v>P11</v>
      </c>
      <c r="B319" s="13">
        <f>IFERROR(SUMIF('Assemble Data'!K:K,'Assemble Data'!A320,'Assemble Data'!L:L),0)</f>
        <v>8800</v>
      </c>
      <c r="C319" s="13" t="str">
        <f>INDEX('Assemble Data'!$O$24:$O$1023,MATCH('Assemble Data'!A320,'Assemble Data'!$N$24:$N$1023,0))</f>
        <v>C3</v>
      </c>
      <c r="D319" s="13">
        <f>SUMIF('Assemble Data'!H:H,'Assemble Data'!A320,'Assemble Data'!I:I)</f>
        <v>11</v>
      </c>
      <c r="E319" s="13">
        <f>IFERROR(IF(AND('Assemble Data'!D320&lt;&gt;"",'Assemble Data'!D320&lt;&gt;B319),1,0),1)</f>
        <v>0</v>
      </c>
      <c r="F319" s="13">
        <f ca="1">IF('Assemble Data'!E320="",0,IF(ISERROR(FIND("INDEX",_xlfn.FORMULATEXT('Assemble Data'!E320),1)),1,0)+IFERROR(IF(AND('Assemble Data'!E320&lt;&gt;C319,'Assemble Data'!E320&lt;&gt;""),1,0),1))</f>
        <v>0</v>
      </c>
      <c r="G319" s="13">
        <f ca="1">IF('Assemble Data'!F320="",0,IF(ISERROR(FIND("VLOOKUP",_xlfn.FORMULATEXT('Assemble Data'!F320),1)),1,0)+IFERROR(IF(AND('Assemble Data'!F320&lt;&gt;D319,'Assemble Data'!F320&lt;&gt;""),1,0),1))</f>
        <v>0</v>
      </c>
      <c r="H319" s="13">
        <f t="shared" si="26"/>
        <v>9</v>
      </c>
      <c r="I319" t="str">
        <f t="shared" si="25"/>
        <v>C3P11</v>
      </c>
    </row>
    <row r="320" spans="1:9">
      <c r="A320" t="str">
        <f>'Assemble Data'!B321</f>
        <v>P11</v>
      </c>
      <c r="B320" s="13">
        <f>IFERROR(SUMIF('Assemble Data'!K:K,'Assemble Data'!A321,'Assemble Data'!L:L),0)</f>
        <v>8800</v>
      </c>
      <c r="C320" s="13" t="str">
        <f>INDEX('Assemble Data'!$O$24:$O$1023,MATCH('Assemble Data'!A321,'Assemble Data'!$N$24:$N$1023,0))</f>
        <v>C3</v>
      </c>
      <c r="D320" s="13">
        <f>SUMIF('Assemble Data'!H:H,'Assemble Data'!A321,'Assemble Data'!I:I)</f>
        <v>11</v>
      </c>
      <c r="E320" s="13">
        <f>IFERROR(IF(AND('Assemble Data'!D321&lt;&gt;"",'Assemble Data'!D321&lt;&gt;B320),1,0),1)</f>
        <v>0</v>
      </c>
      <c r="F320" s="13">
        <f ca="1">IF('Assemble Data'!E321="",0,IF(ISERROR(FIND("INDEX",_xlfn.FORMULATEXT('Assemble Data'!E321),1)),1,0)+IFERROR(IF(AND('Assemble Data'!E321&lt;&gt;C320,'Assemble Data'!E321&lt;&gt;""),1,0),1))</f>
        <v>0</v>
      </c>
      <c r="G320" s="13">
        <f ca="1">IF('Assemble Data'!F321="",0,IF(ISERROR(FIND("VLOOKUP",_xlfn.FORMULATEXT('Assemble Data'!F321),1)),1,0)+IFERROR(IF(AND('Assemble Data'!F321&lt;&gt;D320,'Assemble Data'!F321&lt;&gt;""),1,0),1))</f>
        <v>0</v>
      </c>
      <c r="H320" s="13">
        <f t="shared" si="26"/>
        <v>9</v>
      </c>
      <c r="I320" t="str">
        <f t="shared" si="25"/>
        <v>C3P11</v>
      </c>
    </row>
    <row r="321" spans="1:9">
      <c r="A321" t="str">
        <f>'Assemble Data'!B322</f>
        <v>P12</v>
      </c>
      <c r="B321" s="13">
        <f>IFERROR(SUMIF('Assemble Data'!K:K,'Assemble Data'!A322,'Assemble Data'!L:L),0)</f>
        <v>5460</v>
      </c>
      <c r="C321" s="13" t="str">
        <f>INDEX('Assemble Data'!$O$24:$O$1023,MATCH('Assemble Data'!A322,'Assemble Data'!$N$24:$N$1023,0))</f>
        <v>C3</v>
      </c>
      <c r="D321" s="13">
        <f>SUMIF('Assemble Data'!H:H,'Assemble Data'!A322,'Assemble Data'!I:I)</f>
        <v>6.5</v>
      </c>
      <c r="E321" s="13">
        <f>IFERROR(IF(AND('Assemble Data'!D322&lt;&gt;"",'Assemble Data'!D322&lt;&gt;B321),1,0),1)</f>
        <v>0</v>
      </c>
      <c r="F321" s="13">
        <f ca="1">IF('Assemble Data'!E322="",0,IF(ISERROR(FIND("INDEX",_xlfn.FORMULATEXT('Assemble Data'!E322),1)),1,0)+IFERROR(IF(AND('Assemble Data'!E322&lt;&gt;C321,'Assemble Data'!E322&lt;&gt;""),1,0),1))</f>
        <v>0</v>
      </c>
      <c r="G321" s="13">
        <f ca="1">IF('Assemble Data'!F322="",0,IF(ISERROR(FIND("VLOOKUP",_xlfn.FORMULATEXT('Assemble Data'!F322),1)),1,0)+IFERROR(IF(AND('Assemble Data'!F322&lt;&gt;D321,'Assemble Data'!F322&lt;&gt;""),1,0),1))</f>
        <v>0</v>
      </c>
      <c r="H321" s="13">
        <f t="shared" si="26"/>
        <v>7</v>
      </c>
      <c r="I321" t="str">
        <f t="shared" si="25"/>
        <v>C3P12</v>
      </c>
    </row>
    <row r="322" spans="1:9">
      <c r="A322" t="str">
        <f>'Assemble Data'!B323</f>
        <v>P10</v>
      </c>
      <c r="B322" s="13">
        <f>IFERROR(SUMIF('Assemble Data'!K:K,'Assemble Data'!A323,'Assemble Data'!L:L),0)</f>
        <v>2880</v>
      </c>
      <c r="C322" s="13" t="str">
        <f>INDEX('Assemble Data'!$O$24:$O$1023,MATCH('Assemble Data'!A323,'Assemble Data'!$N$24:$N$1023,0))</f>
        <v>C1</v>
      </c>
      <c r="D322" s="13">
        <f>SUMIF('Assemble Data'!H:H,'Assemble Data'!A323,'Assemble Data'!I:I)</f>
        <v>3</v>
      </c>
      <c r="E322" s="13">
        <f>IFERROR(IF(AND('Assemble Data'!D323&lt;&gt;"",'Assemble Data'!D323&lt;&gt;B322),1,0),1)</f>
        <v>0</v>
      </c>
      <c r="F322" s="13">
        <f ca="1">IF('Assemble Data'!E323="",0,IF(ISERROR(FIND("INDEX",_xlfn.FORMULATEXT('Assemble Data'!E323),1)),1,0)+IFERROR(IF(AND('Assemble Data'!E323&lt;&gt;C322,'Assemble Data'!E323&lt;&gt;""),1,0),1))</f>
        <v>0</v>
      </c>
      <c r="G322" s="13">
        <f ca="1">IF('Assemble Data'!F323="",0,IF(ISERROR(FIND("VLOOKUP",_xlfn.FORMULATEXT('Assemble Data'!F323),1)),1,0)+IFERROR(IF(AND('Assemble Data'!F323&lt;&gt;D322,'Assemble Data'!F323&lt;&gt;""),1,0),1))</f>
        <v>0</v>
      </c>
      <c r="H322" s="13">
        <f t="shared" si="26"/>
        <v>8</v>
      </c>
      <c r="I322" t="str">
        <f t="shared" si="25"/>
        <v>C1P10</v>
      </c>
    </row>
    <row r="323" spans="1:9">
      <c r="A323" t="str">
        <f>'Assemble Data'!B324</f>
        <v>P10</v>
      </c>
      <c r="B323" s="13">
        <f>IFERROR(SUMIF('Assemble Data'!K:K,'Assemble Data'!A324,'Assemble Data'!L:L),0)</f>
        <v>2880</v>
      </c>
      <c r="C323" s="13" t="str">
        <f>INDEX('Assemble Data'!$O$24:$O$1023,MATCH('Assemble Data'!A324,'Assemble Data'!$N$24:$N$1023,0))</f>
        <v>C1</v>
      </c>
      <c r="D323" s="13">
        <f>SUMIF('Assemble Data'!H:H,'Assemble Data'!A324,'Assemble Data'!I:I)</f>
        <v>3</v>
      </c>
      <c r="E323" s="13">
        <f>IFERROR(IF(AND('Assemble Data'!D324&lt;&gt;"",'Assemble Data'!D324&lt;&gt;B323),1,0),1)</f>
        <v>0</v>
      </c>
      <c r="F323" s="13">
        <f ca="1">IF('Assemble Data'!E324="",0,IF(ISERROR(FIND("INDEX",_xlfn.FORMULATEXT('Assemble Data'!E324),1)),1,0)+IFERROR(IF(AND('Assemble Data'!E324&lt;&gt;C323,'Assemble Data'!E324&lt;&gt;""),1,0),1))</f>
        <v>0</v>
      </c>
      <c r="G323" s="13">
        <f ca="1">IF('Assemble Data'!F324="",0,IF(ISERROR(FIND("VLOOKUP",_xlfn.FORMULATEXT('Assemble Data'!F324),1)),1,0)+IFERROR(IF(AND('Assemble Data'!F324&lt;&gt;D323,'Assemble Data'!F324&lt;&gt;""),1,0),1))</f>
        <v>0</v>
      </c>
      <c r="H323" s="13">
        <f t="shared" si="26"/>
        <v>8</v>
      </c>
      <c r="I323" t="str">
        <f t="shared" si="25"/>
        <v>C1P10</v>
      </c>
    </row>
    <row r="324" spans="1:9">
      <c r="A324" t="str">
        <f>'Assemble Data'!B325</f>
        <v>P11</v>
      </c>
      <c r="B324" s="13">
        <f>IFERROR(SUMIF('Assemble Data'!K:K,'Assemble Data'!A325,'Assemble Data'!L:L),0)</f>
        <v>13200</v>
      </c>
      <c r="C324" s="13" t="str">
        <f>INDEX('Assemble Data'!$O$24:$O$1023,MATCH('Assemble Data'!A325,'Assemble Data'!$N$24:$N$1023,0))</f>
        <v>C1</v>
      </c>
      <c r="D324" s="13">
        <f>SUMIF('Assemble Data'!H:H,'Assemble Data'!A325,'Assemble Data'!I:I)</f>
        <v>11</v>
      </c>
      <c r="E324" s="13">
        <f>IFERROR(IF(AND('Assemble Data'!D325&lt;&gt;"",'Assemble Data'!D325&lt;&gt;B324),1,0),1)</f>
        <v>0</v>
      </c>
      <c r="F324" s="13">
        <f ca="1">IF('Assemble Data'!E325="",0,IF(ISERROR(FIND("INDEX",_xlfn.FORMULATEXT('Assemble Data'!E325),1)),1,0)+IFERROR(IF(AND('Assemble Data'!E325&lt;&gt;C324,'Assemble Data'!E325&lt;&gt;""),1,0),1))</f>
        <v>0</v>
      </c>
      <c r="G324" s="13">
        <f ca="1">IF('Assemble Data'!F325="",0,IF(ISERROR(FIND("VLOOKUP",_xlfn.FORMULATEXT('Assemble Data'!F325),1)),1,0)+IFERROR(IF(AND('Assemble Data'!F325&lt;&gt;D324,'Assemble Data'!F325&lt;&gt;""),1,0),1))</f>
        <v>0</v>
      </c>
      <c r="H324" s="13">
        <f t="shared" si="26"/>
        <v>9</v>
      </c>
      <c r="I324" t="str">
        <f t="shared" si="25"/>
        <v>C1P11</v>
      </c>
    </row>
    <row r="325" spans="1:9">
      <c r="A325" t="str">
        <f>'Assemble Data'!B326</f>
        <v>P18</v>
      </c>
      <c r="B325" s="13">
        <f>IFERROR(SUMIF('Assemble Data'!K:K,'Assemble Data'!A326,'Assemble Data'!L:L),0)</f>
        <v>4860</v>
      </c>
      <c r="C325" s="13" t="str">
        <f>INDEX('Assemble Data'!$O$24:$O$1023,MATCH('Assemble Data'!A326,'Assemble Data'!$N$24:$N$1023,0))</f>
        <v>O1</v>
      </c>
      <c r="D325" s="13">
        <f>SUMIF('Assemble Data'!H:H,'Assemble Data'!A326,'Assemble Data'!I:I)</f>
        <v>6</v>
      </c>
      <c r="E325" s="13">
        <f>IFERROR(IF(AND('Assemble Data'!D326&lt;&gt;"",'Assemble Data'!D326&lt;&gt;B325),1,0),1)</f>
        <v>0</v>
      </c>
      <c r="F325" s="13">
        <f ca="1">IF('Assemble Data'!E326="",0,IF(ISERROR(FIND("INDEX",_xlfn.FORMULATEXT('Assemble Data'!E326),1)),1,0)+IFERROR(IF(AND('Assemble Data'!E326&lt;&gt;C325,'Assemble Data'!E326&lt;&gt;""),1,0),1))</f>
        <v>0</v>
      </c>
      <c r="G325" s="13">
        <f ca="1">IF('Assemble Data'!F326="",0,IF(ISERROR(FIND("VLOOKUP",_xlfn.FORMULATEXT('Assemble Data'!F326),1)),1,0)+IFERROR(IF(AND('Assemble Data'!F326&lt;&gt;D325,'Assemble Data'!F326&lt;&gt;""),1,0),1))</f>
        <v>0</v>
      </c>
      <c r="H325" s="13">
        <f t="shared" si="26"/>
        <v>2</v>
      </c>
      <c r="I325" t="str">
        <f t="shared" si="25"/>
        <v>O1P18</v>
      </c>
    </row>
    <row r="326" spans="1:9">
      <c r="A326" t="str">
        <f>'Assemble Data'!B327</f>
        <v>P14</v>
      </c>
      <c r="B326" s="13">
        <f>IFERROR(SUMIF('Assemble Data'!K:K,'Assemble Data'!A327,'Assemble Data'!L:L),0)</f>
        <v>10080</v>
      </c>
      <c r="C326" s="13" t="str">
        <f>INDEX('Assemble Data'!$O$24:$O$1023,MATCH('Assemble Data'!A327,'Assemble Data'!$N$24:$N$1023,0))</f>
        <v>N1</v>
      </c>
      <c r="D326" s="13">
        <f>SUMIF('Assemble Data'!H:H,'Assemble Data'!A327,'Assemble Data'!I:I)</f>
        <v>8</v>
      </c>
      <c r="E326" s="13">
        <f>IFERROR(IF(AND('Assemble Data'!D327&lt;&gt;"",'Assemble Data'!D327&lt;&gt;B326),1,0),1)</f>
        <v>0</v>
      </c>
      <c r="F326" s="13">
        <f ca="1">IF('Assemble Data'!E327="",0,IF(ISERROR(FIND("INDEX",_xlfn.FORMULATEXT('Assemble Data'!E327),1)),1,0)+IFERROR(IF(AND('Assemble Data'!E327&lt;&gt;C326,'Assemble Data'!E327&lt;&gt;""),1,0),1))</f>
        <v>0</v>
      </c>
      <c r="G326" s="13">
        <f ca="1">IF('Assemble Data'!F327="",0,IF(ISERROR(FIND("VLOOKUP",_xlfn.FORMULATEXT('Assemble Data'!F327),1)),1,0)+IFERROR(IF(AND('Assemble Data'!F327&lt;&gt;D326,'Assemble Data'!F327&lt;&gt;""),1,0),1))</f>
        <v>0</v>
      </c>
      <c r="H326" s="13">
        <f t="shared" si="26"/>
        <v>5</v>
      </c>
      <c r="I326" t="str">
        <f t="shared" si="25"/>
        <v>N1P14</v>
      </c>
    </row>
    <row r="327" spans="1:9">
      <c r="A327" t="str">
        <f>'Assemble Data'!B328</f>
        <v>P10</v>
      </c>
      <c r="B327" s="13">
        <f>IFERROR(SUMIF('Assemble Data'!K:K,'Assemble Data'!A328,'Assemble Data'!L:L),0)</f>
        <v>2880</v>
      </c>
      <c r="C327" s="13" t="str">
        <f>INDEX('Assemble Data'!$O$24:$O$1023,MATCH('Assemble Data'!A328,'Assemble Data'!$N$24:$N$1023,0))</f>
        <v>C1</v>
      </c>
      <c r="D327" s="13">
        <f>SUMIF('Assemble Data'!H:H,'Assemble Data'!A328,'Assemble Data'!I:I)</f>
        <v>3</v>
      </c>
      <c r="E327" s="13">
        <f>IFERROR(IF(AND('Assemble Data'!D328&lt;&gt;"",'Assemble Data'!D328&lt;&gt;B327),1,0),1)</f>
        <v>0</v>
      </c>
      <c r="F327" s="13">
        <f ca="1">IF('Assemble Data'!E328="",0,IF(ISERROR(FIND("INDEX",_xlfn.FORMULATEXT('Assemble Data'!E328),1)),1,0)+IFERROR(IF(AND('Assemble Data'!E328&lt;&gt;C327,'Assemble Data'!E328&lt;&gt;""),1,0),1))</f>
        <v>0</v>
      </c>
      <c r="G327" s="13">
        <f ca="1">IF('Assemble Data'!F328="",0,IF(ISERROR(FIND("VLOOKUP",_xlfn.FORMULATEXT('Assemble Data'!F328),1)),1,0)+IFERROR(IF(AND('Assemble Data'!F328&lt;&gt;D327,'Assemble Data'!F328&lt;&gt;""),1,0),1))</f>
        <v>0</v>
      </c>
      <c r="H327" s="13">
        <f t="shared" si="26"/>
        <v>8</v>
      </c>
      <c r="I327" t="str">
        <f t="shared" si="25"/>
        <v>C1P10</v>
      </c>
    </row>
    <row r="328" spans="1:9">
      <c r="A328" t="str">
        <f>'Assemble Data'!B329</f>
        <v>P13</v>
      </c>
      <c r="B328" s="13">
        <f>IFERROR(SUMIF('Assemble Data'!K:K,'Assemble Data'!A329,'Assemble Data'!L:L),0)</f>
        <v>5400</v>
      </c>
      <c r="C328" s="13" t="str">
        <f>INDEX('Assemble Data'!$O$24:$O$1023,MATCH('Assemble Data'!A329,'Assemble Data'!$N$24:$N$1023,0))</f>
        <v>C1</v>
      </c>
      <c r="D328" s="13">
        <f>SUMIF('Assemble Data'!H:H,'Assemble Data'!A329,'Assemble Data'!I:I)</f>
        <v>5</v>
      </c>
      <c r="E328" s="13">
        <f>IFERROR(IF(AND('Assemble Data'!D329&lt;&gt;"",'Assemble Data'!D329&lt;&gt;B328),1,0),1)</f>
        <v>0</v>
      </c>
      <c r="F328" s="13">
        <f ca="1">IF('Assemble Data'!E329="",0,IF(ISERROR(FIND("INDEX",_xlfn.FORMULATEXT('Assemble Data'!E329),1)),1,0)+IFERROR(IF(AND('Assemble Data'!E329&lt;&gt;C328,'Assemble Data'!E329&lt;&gt;""),1,0),1))</f>
        <v>0</v>
      </c>
      <c r="G328" s="13">
        <f ca="1">IF('Assemble Data'!F329="",0,IF(ISERROR(FIND("VLOOKUP",_xlfn.FORMULATEXT('Assemble Data'!F329),1)),1,0)+IFERROR(IF(AND('Assemble Data'!F329&lt;&gt;D328,'Assemble Data'!F329&lt;&gt;""),1,0),1))</f>
        <v>0</v>
      </c>
      <c r="H328" s="13">
        <f t="shared" si="26"/>
        <v>3</v>
      </c>
      <c r="I328" t="str">
        <f t="shared" si="25"/>
        <v>C1P13</v>
      </c>
    </row>
    <row r="329" spans="1:9">
      <c r="A329" t="str">
        <f>'Assemble Data'!B330</f>
        <v>P13</v>
      </c>
      <c r="B329" s="13">
        <f>IFERROR(SUMIF('Assemble Data'!K:K,'Assemble Data'!A330,'Assemble Data'!L:L),0)</f>
        <v>5400</v>
      </c>
      <c r="C329" s="13" t="str">
        <f>INDEX('Assemble Data'!$O$24:$O$1023,MATCH('Assemble Data'!A330,'Assemble Data'!$N$24:$N$1023,0))</f>
        <v>C1</v>
      </c>
      <c r="D329" s="13">
        <f>SUMIF('Assemble Data'!H:H,'Assemble Data'!A330,'Assemble Data'!I:I)</f>
        <v>5</v>
      </c>
      <c r="E329" s="13">
        <f>IFERROR(IF(AND('Assemble Data'!D330&lt;&gt;"",'Assemble Data'!D330&lt;&gt;B329),1,0),1)</f>
        <v>0</v>
      </c>
      <c r="F329" s="13">
        <f ca="1">IF('Assemble Data'!E330="",0,IF(ISERROR(FIND("INDEX",_xlfn.FORMULATEXT('Assemble Data'!E330),1)),1,0)+IFERROR(IF(AND('Assemble Data'!E330&lt;&gt;C329,'Assemble Data'!E330&lt;&gt;""),1,0),1))</f>
        <v>0</v>
      </c>
      <c r="G329" s="13">
        <f ca="1">IF('Assemble Data'!F330="",0,IF(ISERROR(FIND("VLOOKUP",_xlfn.FORMULATEXT('Assemble Data'!F330),1)),1,0)+IFERROR(IF(AND('Assemble Data'!F330&lt;&gt;D329,'Assemble Data'!F330&lt;&gt;""),1,0),1))</f>
        <v>0</v>
      </c>
      <c r="H329" s="13">
        <f t="shared" si="26"/>
        <v>3</v>
      </c>
      <c r="I329" t="str">
        <f t="shared" si="25"/>
        <v>C1P13</v>
      </c>
    </row>
    <row r="330" spans="1:9">
      <c r="A330" t="str">
        <f>'Assemble Data'!B331</f>
        <v>P10</v>
      </c>
      <c r="B330" s="13">
        <f>IFERROR(SUMIF('Assemble Data'!K:K,'Assemble Data'!A331,'Assemble Data'!L:L),0)</f>
        <v>2880</v>
      </c>
      <c r="C330" s="13" t="str">
        <f>INDEX('Assemble Data'!$O$24:$O$1023,MATCH('Assemble Data'!A331,'Assemble Data'!$N$24:$N$1023,0))</f>
        <v>C1</v>
      </c>
      <c r="D330" s="13">
        <f>SUMIF('Assemble Data'!H:H,'Assemble Data'!A331,'Assemble Data'!I:I)</f>
        <v>3</v>
      </c>
      <c r="E330" s="13">
        <f>IFERROR(IF(AND('Assemble Data'!D331&lt;&gt;"",'Assemble Data'!D331&lt;&gt;B330),1,0),1)</f>
        <v>0</v>
      </c>
      <c r="F330" s="13">
        <f ca="1">IF('Assemble Data'!E331="",0,IF(ISERROR(FIND("INDEX",_xlfn.FORMULATEXT('Assemble Data'!E331),1)),1,0)+IFERROR(IF(AND('Assemble Data'!E331&lt;&gt;C330,'Assemble Data'!E331&lt;&gt;""),1,0),1))</f>
        <v>0</v>
      </c>
      <c r="G330" s="13">
        <f ca="1">IF('Assemble Data'!F331="",0,IF(ISERROR(FIND("VLOOKUP",_xlfn.FORMULATEXT('Assemble Data'!F331),1)),1,0)+IFERROR(IF(AND('Assemble Data'!F331&lt;&gt;D330,'Assemble Data'!F331&lt;&gt;""),1,0),1))</f>
        <v>0</v>
      </c>
      <c r="H330" s="13">
        <f t="shared" si="26"/>
        <v>8</v>
      </c>
      <c r="I330" t="str">
        <f t="shared" si="25"/>
        <v>C1P10</v>
      </c>
    </row>
    <row r="331" spans="1:9">
      <c r="A331" t="str">
        <f>'Assemble Data'!B332</f>
        <v>P11</v>
      </c>
      <c r="B331" s="13">
        <f>IFERROR(SUMIF('Assemble Data'!K:K,'Assemble Data'!A332,'Assemble Data'!L:L),0)</f>
        <v>13200</v>
      </c>
      <c r="C331" s="13" t="str">
        <f>INDEX('Assemble Data'!$O$24:$O$1023,MATCH('Assemble Data'!A332,'Assemble Data'!$N$24:$N$1023,0))</f>
        <v>C1</v>
      </c>
      <c r="D331" s="13">
        <f>SUMIF('Assemble Data'!H:H,'Assemble Data'!A332,'Assemble Data'!I:I)</f>
        <v>11</v>
      </c>
      <c r="E331" s="13">
        <f>IFERROR(IF(AND('Assemble Data'!D332&lt;&gt;"",'Assemble Data'!D332&lt;&gt;B331),1,0),1)</f>
        <v>0</v>
      </c>
      <c r="F331" s="13">
        <f ca="1">IF('Assemble Data'!E332="",0,IF(ISERROR(FIND("INDEX",_xlfn.FORMULATEXT('Assemble Data'!E332),1)),1,0)+IFERROR(IF(AND('Assemble Data'!E332&lt;&gt;C331,'Assemble Data'!E332&lt;&gt;""),1,0),1))</f>
        <v>0</v>
      </c>
      <c r="G331" s="13">
        <f ca="1">IF('Assemble Data'!F332="",0,IF(ISERROR(FIND("VLOOKUP",_xlfn.FORMULATEXT('Assemble Data'!F332),1)),1,0)+IFERROR(IF(AND('Assemble Data'!F332&lt;&gt;D331,'Assemble Data'!F332&lt;&gt;""),1,0),1))</f>
        <v>0</v>
      </c>
      <c r="H331" s="13">
        <f t="shared" si="26"/>
        <v>9</v>
      </c>
      <c r="I331" t="str">
        <f t="shared" si="25"/>
        <v>C1P11</v>
      </c>
    </row>
    <row r="332" spans="1:9">
      <c r="A332" t="str">
        <f>'Assemble Data'!B333</f>
        <v>P16</v>
      </c>
      <c r="B332" s="13">
        <f>IFERROR(SUMIF('Assemble Data'!K:K,'Assemble Data'!A333,'Assemble Data'!L:L),0)</f>
        <v>7279.9999999999991</v>
      </c>
      <c r="C332" s="13" t="str">
        <f>INDEX('Assemble Data'!$O$24:$O$1023,MATCH('Assemble Data'!A333,'Assemble Data'!$N$24:$N$1023,0))</f>
        <v>N1</v>
      </c>
      <c r="D332" s="13">
        <f>SUMIF('Assemble Data'!H:H,'Assemble Data'!A333,'Assemble Data'!I:I)</f>
        <v>4</v>
      </c>
      <c r="E332" s="13">
        <f>IFERROR(IF(AND('Assemble Data'!D333&lt;&gt;"",'Assemble Data'!D333&lt;&gt;B332),1,0),1)</f>
        <v>0</v>
      </c>
      <c r="F332" s="13">
        <f ca="1">IF('Assemble Data'!E333="",0,IF(ISERROR(FIND("INDEX",_xlfn.FORMULATEXT('Assemble Data'!E333),1)),1,0)+IFERROR(IF(AND('Assemble Data'!E333&lt;&gt;C332,'Assemble Data'!E333&lt;&gt;""),1,0),1))</f>
        <v>0</v>
      </c>
      <c r="G332" s="13">
        <f ca="1">IF('Assemble Data'!F333="",0,IF(ISERROR(FIND("VLOOKUP",_xlfn.FORMULATEXT('Assemble Data'!F333),1)),1,0)+IFERROR(IF(AND('Assemble Data'!F333&lt;&gt;D332,'Assemble Data'!F333&lt;&gt;""),1,0),1))</f>
        <v>0</v>
      </c>
      <c r="H332" s="13">
        <f t="shared" si="26"/>
        <v>0</v>
      </c>
      <c r="I332" t="str">
        <f t="shared" si="25"/>
        <v>N1P16</v>
      </c>
    </row>
    <row r="333" spans="1:9">
      <c r="A333" t="str">
        <f>'Assemble Data'!B334</f>
        <v>P17</v>
      </c>
      <c r="B333" s="13">
        <f>IFERROR(SUMIF('Assemble Data'!K:K,'Assemble Data'!A334,'Assemble Data'!L:L),0)</f>
        <v>10800</v>
      </c>
      <c r="C333" s="13" t="str">
        <f>INDEX('Assemble Data'!$O$24:$O$1023,MATCH('Assemble Data'!A334,'Assemble Data'!$N$24:$N$1023,0))</f>
        <v>O1</v>
      </c>
      <c r="D333" s="13">
        <f>SUMIF('Assemble Data'!H:H,'Assemble Data'!A334,'Assemble Data'!I:I)</f>
        <v>12</v>
      </c>
      <c r="E333" s="13">
        <f>IFERROR(IF(AND('Assemble Data'!D334&lt;&gt;"",'Assemble Data'!D334&lt;&gt;B333),1,0),1)</f>
        <v>0</v>
      </c>
      <c r="F333" s="13">
        <f ca="1">IF('Assemble Data'!E334="",0,IF(ISERROR(FIND("INDEX",_xlfn.FORMULATEXT('Assemble Data'!E334),1)),1,0)+IFERROR(IF(AND('Assemble Data'!E334&lt;&gt;C333,'Assemble Data'!E334&lt;&gt;""),1,0),1))</f>
        <v>0</v>
      </c>
      <c r="G333" s="13">
        <f ca="1">IF('Assemble Data'!F334="",0,IF(ISERROR(FIND("VLOOKUP",_xlfn.FORMULATEXT('Assemble Data'!F334),1)),1,0)+IFERROR(IF(AND('Assemble Data'!F334&lt;&gt;D333,'Assemble Data'!F334&lt;&gt;""),1,0),1))</f>
        <v>0</v>
      </c>
      <c r="H333" s="13">
        <f t="shared" si="26"/>
        <v>6</v>
      </c>
      <c r="I333" t="str">
        <f t="shared" si="25"/>
        <v>O1P17</v>
      </c>
    </row>
    <row r="334" spans="1:9">
      <c r="A334" t="str">
        <f>'Assemble Data'!B335</f>
        <v>P17</v>
      </c>
      <c r="B334" s="13">
        <f>IFERROR(SUMIF('Assemble Data'!K:K,'Assemble Data'!A335,'Assemble Data'!L:L),0)</f>
        <v>10800</v>
      </c>
      <c r="C334" s="13" t="str">
        <f>INDEX('Assemble Data'!$O$24:$O$1023,MATCH('Assemble Data'!A335,'Assemble Data'!$N$24:$N$1023,0))</f>
        <v>O1</v>
      </c>
      <c r="D334" s="13">
        <f>SUMIF('Assemble Data'!H:H,'Assemble Data'!A335,'Assemble Data'!I:I)</f>
        <v>12</v>
      </c>
      <c r="E334" s="13">
        <f>IFERROR(IF(AND('Assemble Data'!D335&lt;&gt;"",'Assemble Data'!D335&lt;&gt;B334),1,0),1)</f>
        <v>0</v>
      </c>
      <c r="F334" s="13">
        <f ca="1">IF('Assemble Data'!E335="",0,IF(ISERROR(FIND("INDEX",_xlfn.FORMULATEXT('Assemble Data'!E335),1)),1,0)+IFERROR(IF(AND('Assemble Data'!E335&lt;&gt;C334,'Assemble Data'!E335&lt;&gt;""),1,0),1))</f>
        <v>0</v>
      </c>
      <c r="G334" s="13">
        <f ca="1">IF('Assemble Data'!F335="",0,IF(ISERROR(FIND("VLOOKUP",_xlfn.FORMULATEXT('Assemble Data'!F335),1)),1,0)+IFERROR(IF(AND('Assemble Data'!F335&lt;&gt;D334,'Assemble Data'!F335&lt;&gt;""),1,0),1))</f>
        <v>0</v>
      </c>
      <c r="H334" s="13">
        <f t="shared" si="26"/>
        <v>6</v>
      </c>
      <c r="I334" t="str">
        <f t="shared" si="25"/>
        <v>O1P17</v>
      </c>
    </row>
    <row r="335" spans="1:9">
      <c r="A335" t="str">
        <f>'Assemble Data'!B336</f>
        <v>P13</v>
      </c>
      <c r="B335" s="13">
        <f>IFERROR(SUMIF('Assemble Data'!K:K,'Assemble Data'!A336,'Assemble Data'!L:L),0)</f>
        <v>5400</v>
      </c>
      <c r="C335" s="13" t="str">
        <f>INDEX('Assemble Data'!$O$24:$O$1023,MATCH('Assemble Data'!A336,'Assemble Data'!$N$24:$N$1023,0))</f>
        <v>C1</v>
      </c>
      <c r="D335" s="13">
        <f>SUMIF('Assemble Data'!H:H,'Assemble Data'!A336,'Assemble Data'!I:I)</f>
        <v>5</v>
      </c>
      <c r="E335" s="13">
        <f>IFERROR(IF(AND('Assemble Data'!D336&lt;&gt;"",'Assemble Data'!D336&lt;&gt;B335),1,0),1)</f>
        <v>0</v>
      </c>
      <c r="F335" s="13">
        <f ca="1">IF('Assemble Data'!E336="",0,IF(ISERROR(FIND("INDEX",_xlfn.FORMULATEXT('Assemble Data'!E336),1)),1,0)+IFERROR(IF(AND('Assemble Data'!E336&lt;&gt;C335,'Assemble Data'!E336&lt;&gt;""),1,0),1))</f>
        <v>0</v>
      </c>
      <c r="G335" s="13">
        <f ca="1">IF('Assemble Data'!F336="",0,IF(ISERROR(FIND("VLOOKUP",_xlfn.FORMULATEXT('Assemble Data'!F336),1)),1,0)+IFERROR(IF(AND('Assemble Data'!F336&lt;&gt;D335,'Assemble Data'!F336&lt;&gt;""),1,0),1))</f>
        <v>0</v>
      </c>
      <c r="H335" s="13">
        <f t="shared" si="26"/>
        <v>3</v>
      </c>
      <c r="I335" t="str">
        <f t="shared" si="25"/>
        <v>C1P13</v>
      </c>
    </row>
    <row r="336" spans="1:9">
      <c r="A336" t="str">
        <f>'Assemble Data'!B337</f>
        <v>P11</v>
      </c>
      <c r="B336" s="13">
        <f>IFERROR(SUMIF('Assemble Data'!K:K,'Assemble Data'!A337,'Assemble Data'!L:L),0)</f>
        <v>13200</v>
      </c>
      <c r="C336" s="13" t="str">
        <f>INDEX('Assemble Data'!$O$24:$O$1023,MATCH('Assemble Data'!A337,'Assemble Data'!$N$24:$N$1023,0))</f>
        <v>C1</v>
      </c>
      <c r="D336" s="13">
        <f>SUMIF('Assemble Data'!H:H,'Assemble Data'!A337,'Assemble Data'!I:I)</f>
        <v>11</v>
      </c>
      <c r="E336" s="13">
        <f>IFERROR(IF(AND('Assemble Data'!D337&lt;&gt;"",'Assemble Data'!D337&lt;&gt;B336),1,0),1)</f>
        <v>0</v>
      </c>
      <c r="F336" s="13">
        <f ca="1">IF('Assemble Data'!E337="",0,IF(ISERROR(FIND("INDEX",_xlfn.FORMULATEXT('Assemble Data'!E337),1)),1,0)+IFERROR(IF(AND('Assemble Data'!E337&lt;&gt;C336,'Assemble Data'!E337&lt;&gt;""),1,0),1))</f>
        <v>0</v>
      </c>
      <c r="G336" s="13">
        <f ca="1">IF('Assemble Data'!F337="",0,IF(ISERROR(FIND("VLOOKUP",_xlfn.FORMULATEXT('Assemble Data'!F337),1)),1,0)+IFERROR(IF(AND('Assemble Data'!F337&lt;&gt;D336,'Assemble Data'!F337&lt;&gt;""),1,0),1))</f>
        <v>0</v>
      </c>
      <c r="H336" s="13">
        <f t="shared" si="26"/>
        <v>9</v>
      </c>
      <c r="I336" t="str">
        <f t="shared" si="25"/>
        <v>C1P11</v>
      </c>
    </row>
    <row r="337" spans="1:9">
      <c r="A337" t="str">
        <f>'Assemble Data'!B338</f>
        <v>P11</v>
      </c>
      <c r="B337" s="13">
        <f>IFERROR(SUMIF('Assemble Data'!K:K,'Assemble Data'!A338,'Assemble Data'!L:L),0)</f>
        <v>13200</v>
      </c>
      <c r="C337" s="13" t="str">
        <f>INDEX('Assemble Data'!$O$24:$O$1023,MATCH('Assemble Data'!A338,'Assemble Data'!$N$24:$N$1023,0))</f>
        <v>C1</v>
      </c>
      <c r="D337" s="13">
        <f>SUMIF('Assemble Data'!H:H,'Assemble Data'!A338,'Assemble Data'!I:I)</f>
        <v>11</v>
      </c>
      <c r="E337" s="13">
        <f>IFERROR(IF(AND('Assemble Data'!D338&lt;&gt;"",'Assemble Data'!D338&lt;&gt;B337),1,0),1)</f>
        <v>0</v>
      </c>
      <c r="F337" s="13">
        <f ca="1">IF('Assemble Data'!E338="",0,IF(ISERROR(FIND("INDEX",_xlfn.FORMULATEXT('Assemble Data'!E338),1)),1,0)+IFERROR(IF(AND('Assemble Data'!E338&lt;&gt;C337,'Assemble Data'!E338&lt;&gt;""),1,0),1))</f>
        <v>0</v>
      </c>
      <c r="G337" s="13">
        <f ca="1">IF('Assemble Data'!F338="",0,IF(ISERROR(FIND("VLOOKUP",_xlfn.FORMULATEXT('Assemble Data'!F338),1)),1,0)+IFERROR(IF(AND('Assemble Data'!F338&lt;&gt;D337,'Assemble Data'!F338&lt;&gt;""),1,0),1))</f>
        <v>0</v>
      </c>
      <c r="H337" s="13">
        <f t="shared" si="26"/>
        <v>9</v>
      </c>
      <c r="I337" t="str">
        <f t="shared" si="25"/>
        <v>C1P11</v>
      </c>
    </row>
    <row r="338" spans="1:9">
      <c r="A338" t="str">
        <f>'Assemble Data'!B339</f>
        <v>P12</v>
      </c>
      <c r="B338" s="13">
        <f>IFERROR(SUMIF('Assemble Data'!K:K,'Assemble Data'!A339,'Assemble Data'!L:L),0)</f>
        <v>8190</v>
      </c>
      <c r="C338" s="13" t="str">
        <f>INDEX('Assemble Data'!$O$24:$O$1023,MATCH('Assemble Data'!A339,'Assemble Data'!$N$24:$N$1023,0))</f>
        <v>C1</v>
      </c>
      <c r="D338" s="13">
        <f>SUMIF('Assemble Data'!H:H,'Assemble Data'!A339,'Assemble Data'!I:I)</f>
        <v>6.5</v>
      </c>
      <c r="E338" s="13">
        <f>IFERROR(IF(AND('Assemble Data'!D339&lt;&gt;"",'Assemble Data'!D339&lt;&gt;B338),1,0),1)</f>
        <v>0</v>
      </c>
      <c r="F338" s="13">
        <f ca="1">IF('Assemble Data'!E339="",0,IF(ISERROR(FIND("INDEX",_xlfn.FORMULATEXT('Assemble Data'!E339),1)),1,0)+IFERROR(IF(AND('Assemble Data'!E339&lt;&gt;C338,'Assemble Data'!E339&lt;&gt;""),1,0),1))</f>
        <v>0</v>
      </c>
      <c r="G338" s="13">
        <f ca="1">IF('Assemble Data'!F339="",0,IF(ISERROR(FIND("VLOOKUP",_xlfn.FORMULATEXT('Assemble Data'!F339),1)),1,0)+IFERROR(IF(AND('Assemble Data'!F339&lt;&gt;D338,'Assemble Data'!F339&lt;&gt;""),1,0),1))</f>
        <v>0</v>
      </c>
      <c r="H338" s="13">
        <f t="shared" si="26"/>
        <v>7</v>
      </c>
      <c r="I338" t="str">
        <f t="shared" si="25"/>
        <v>C1P12</v>
      </c>
    </row>
    <row r="339" spans="1:9">
      <c r="A339" t="str">
        <f>'Assemble Data'!B340</f>
        <v>P10</v>
      </c>
      <c r="B339" s="13">
        <f>IFERROR(SUMIF('Assemble Data'!K:K,'Assemble Data'!A340,'Assemble Data'!L:L),0)</f>
        <v>2880</v>
      </c>
      <c r="C339" s="13" t="str">
        <f>INDEX('Assemble Data'!$O$24:$O$1023,MATCH('Assemble Data'!A340,'Assemble Data'!$N$24:$N$1023,0))</f>
        <v>C1</v>
      </c>
      <c r="D339" s="13">
        <f>SUMIF('Assemble Data'!H:H,'Assemble Data'!A340,'Assemble Data'!I:I)</f>
        <v>3</v>
      </c>
      <c r="E339" s="13">
        <f>IFERROR(IF(AND('Assemble Data'!D340&lt;&gt;"",'Assemble Data'!D340&lt;&gt;B339),1,0),1)</f>
        <v>0</v>
      </c>
      <c r="F339" s="13">
        <f ca="1">IF('Assemble Data'!E340="",0,IF(ISERROR(FIND("INDEX",_xlfn.FORMULATEXT('Assemble Data'!E340),1)),1,0)+IFERROR(IF(AND('Assemble Data'!E340&lt;&gt;C339,'Assemble Data'!E340&lt;&gt;""),1,0),1))</f>
        <v>0</v>
      </c>
      <c r="G339" s="13">
        <f ca="1">IF('Assemble Data'!F340="",0,IF(ISERROR(FIND("VLOOKUP",_xlfn.FORMULATEXT('Assemble Data'!F340),1)),1,0)+IFERROR(IF(AND('Assemble Data'!F340&lt;&gt;D339,'Assemble Data'!F340&lt;&gt;""),1,0),1))</f>
        <v>0</v>
      </c>
      <c r="H339" s="13">
        <f t="shared" si="26"/>
        <v>8</v>
      </c>
      <c r="I339" t="str">
        <f t="shared" si="25"/>
        <v>C1P10</v>
      </c>
    </row>
    <row r="340" spans="1:9">
      <c r="A340" t="str">
        <f>'Assemble Data'!B341</f>
        <v>P10</v>
      </c>
      <c r="B340" s="13">
        <f>IFERROR(SUMIF('Assemble Data'!K:K,'Assemble Data'!A341,'Assemble Data'!L:L),0)</f>
        <v>2880</v>
      </c>
      <c r="C340" s="13" t="str">
        <f>INDEX('Assemble Data'!$O$24:$O$1023,MATCH('Assemble Data'!A341,'Assemble Data'!$N$24:$N$1023,0))</f>
        <v>C1</v>
      </c>
      <c r="D340" s="13">
        <f>SUMIF('Assemble Data'!H:H,'Assemble Data'!A341,'Assemble Data'!I:I)</f>
        <v>3</v>
      </c>
      <c r="E340" s="13">
        <f>IFERROR(IF(AND('Assemble Data'!D341&lt;&gt;"",'Assemble Data'!D341&lt;&gt;B340),1,0),1)</f>
        <v>0</v>
      </c>
      <c r="F340" s="13">
        <f ca="1">IF('Assemble Data'!E341="",0,IF(ISERROR(FIND("INDEX",_xlfn.FORMULATEXT('Assemble Data'!E341),1)),1,0)+IFERROR(IF(AND('Assemble Data'!E341&lt;&gt;C340,'Assemble Data'!E341&lt;&gt;""),1,0),1))</f>
        <v>0</v>
      </c>
      <c r="G340" s="13">
        <f ca="1">IF('Assemble Data'!F341="",0,IF(ISERROR(FIND("VLOOKUP",_xlfn.FORMULATEXT('Assemble Data'!F341),1)),1,0)+IFERROR(IF(AND('Assemble Data'!F341&lt;&gt;D340,'Assemble Data'!F341&lt;&gt;""),1,0),1))</f>
        <v>0</v>
      </c>
      <c r="H340" s="13">
        <f t="shared" si="26"/>
        <v>8</v>
      </c>
      <c r="I340" t="str">
        <f t="shared" si="25"/>
        <v>C1P10</v>
      </c>
    </row>
    <row r="341" spans="1:9">
      <c r="A341" t="str">
        <f>'Assemble Data'!B342</f>
        <v>P11</v>
      </c>
      <c r="B341" s="13">
        <f>IFERROR(SUMIF('Assemble Data'!K:K,'Assemble Data'!A342,'Assemble Data'!L:L),0)</f>
        <v>13200</v>
      </c>
      <c r="C341" s="13" t="str">
        <f>INDEX('Assemble Data'!$O$24:$O$1023,MATCH('Assemble Data'!A342,'Assemble Data'!$N$24:$N$1023,0))</f>
        <v>C1</v>
      </c>
      <c r="D341" s="13">
        <f>SUMIF('Assemble Data'!H:H,'Assemble Data'!A342,'Assemble Data'!I:I)</f>
        <v>11</v>
      </c>
      <c r="E341" s="13">
        <f>IFERROR(IF(AND('Assemble Data'!D342&lt;&gt;"",'Assemble Data'!D342&lt;&gt;B341),1,0),1)</f>
        <v>0</v>
      </c>
      <c r="F341" s="13">
        <f ca="1">IF('Assemble Data'!E342="",0,IF(ISERROR(FIND("INDEX",_xlfn.FORMULATEXT('Assemble Data'!E342),1)),1,0)+IFERROR(IF(AND('Assemble Data'!E342&lt;&gt;C341,'Assemble Data'!E342&lt;&gt;""),1,0),1))</f>
        <v>0</v>
      </c>
      <c r="G341" s="13">
        <f ca="1">IF('Assemble Data'!F342="",0,IF(ISERROR(FIND("VLOOKUP",_xlfn.FORMULATEXT('Assemble Data'!F342),1)),1,0)+IFERROR(IF(AND('Assemble Data'!F342&lt;&gt;D341,'Assemble Data'!F342&lt;&gt;""),1,0),1))</f>
        <v>0</v>
      </c>
      <c r="H341" s="13">
        <f t="shared" si="26"/>
        <v>9</v>
      </c>
      <c r="I341" t="str">
        <f t="shared" si="25"/>
        <v>C1P11</v>
      </c>
    </row>
    <row r="342" spans="1:9">
      <c r="A342" t="str">
        <f>'Assemble Data'!B343</f>
        <v>P18</v>
      </c>
      <c r="B342" s="13">
        <f>IFERROR(SUMIF('Assemble Data'!K:K,'Assemble Data'!A343,'Assemble Data'!L:L),0)</f>
        <v>5940.0000000000009</v>
      </c>
      <c r="C342" s="13" t="str">
        <f>INDEX('Assemble Data'!$O$24:$O$1023,MATCH('Assemble Data'!A343,'Assemble Data'!$N$24:$N$1023,0))</f>
        <v>O2</v>
      </c>
      <c r="D342" s="13">
        <f>SUMIF('Assemble Data'!H:H,'Assemble Data'!A343,'Assemble Data'!I:I)</f>
        <v>6</v>
      </c>
      <c r="E342" s="13">
        <f>IFERROR(IF(AND('Assemble Data'!D343&lt;&gt;"",'Assemble Data'!D343&lt;&gt;B342),1,0),1)</f>
        <v>0</v>
      </c>
      <c r="F342" s="13">
        <f ca="1">IF('Assemble Data'!E343="",0,IF(ISERROR(FIND("INDEX",_xlfn.FORMULATEXT('Assemble Data'!E343),1)),1,0)+IFERROR(IF(AND('Assemble Data'!E343&lt;&gt;C342,'Assemble Data'!E343&lt;&gt;""),1,0),1))</f>
        <v>0</v>
      </c>
      <c r="G342" s="13">
        <f ca="1">IF('Assemble Data'!F343="",0,IF(ISERROR(FIND("VLOOKUP",_xlfn.FORMULATEXT('Assemble Data'!F343),1)),1,0)+IFERROR(IF(AND('Assemble Data'!F343&lt;&gt;D342,'Assemble Data'!F343&lt;&gt;""),1,0),1))</f>
        <v>0</v>
      </c>
      <c r="H342" s="13">
        <f t="shared" si="26"/>
        <v>2</v>
      </c>
      <c r="I342" t="str">
        <f t="shared" si="25"/>
        <v>O2P18</v>
      </c>
    </row>
    <row r="343" spans="1:9">
      <c r="A343" t="str">
        <f>'Assemble Data'!B344</f>
        <v>P14</v>
      </c>
      <c r="B343" s="13">
        <f>IFERROR(SUMIF('Assemble Data'!K:K,'Assemble Data'!A344,'Assemble Data'!L:L),0)</f>
        <v>6480</v>
      </c>
      <c r="C343" s="13" t="str">
        <f>INDEX('Assemble Data'!$O$24:$O$1023,MATCH('Assemble Data'!A344,'Assemble Data'!$N$24:$N$1023,0))</f>
        <v>N2</v>
      </c>
      <c r="D343" s="13">
        <f>SUMIF('Assemble Data'!H:H,'Assemble Data'!A344,'Assemble Data'!I:I)</f>
        <v>8</v>
      </c>
      <c r="E343" s="13">
        <f>IFERROR(IF(AND('Assemble Data'!D344&lt;&gt;"",'Assemble Data'!D344&lt;&gt;B343),1,0),1)</f>
        <v>0</v>
      </c>
      <c r="F343" s="13">
        <f ca="1">IF('Assemble Data'!E344="",0,IF(ISERROR(FIND("INDEX",_xlfn.FORMULATEXT('Assemble Data'!E344),1)),1,0)+IFERROR(IF(AND('Assemble Data'!E344&lt;&gt;C343,'Assemble Data'!E344&lt;&gt;""),1,0),1))</f>
        <v>0</v>
      </c>
      <c r="G343" s="13">
        <f ca="1">IF('Assemble Data'!F344="",0,IF(ISERROR(FIND("VLOOKUP",_xlfn.FORMULATEXT('Assemble Data'!F344),1)),1,0)+IFERROR(IF(AND('Assemble Data'!F344&lt;&gt;D343,'Assemble Data'!F344&lt;&gt;""),1,0),1))</f>
        <v>0</v>
      </c>
      <c r="H343" s="13">
        <f t="shared" si="26"/>
        <v>5</v>
      </c>
      <c r="I343" t="str">
        <f t="shared" si="25"/>
        <v>N2P14</v>
      </c>
    </row>
    <row r="344" spans="1:9">
      <c r="A344" t="str">
        <f>'Assemble Data'!B345</f>
        <v>P10</v>
      </c>
      <c r="B344" s="13">
        <f>IFERROR(SUMIF('Assemble Data'!K:K,'Assemble Data'!A345,'Assemble Data'!L:L),0)</f>
        <v>2400</v>
      </c>
      <c r="C344" s="13" t="str">
        <f>INDEX('Assemble Data'!$O$24:$O$1023,MATCH('Assemble Data'!A345,'Assemble Data'!$N$24:$N$1023,0))</f>
        <v>C2</v>
      </c>
      <c r="D344" s="13">
        <f>SUMIF('Assemble Data'!H:H,'Assemble Data'!A345,'Assemble Data'!I:I)</f>
        <v>3</v>
      </c>
      <c r="E344" s="13">
        <f>IFERROR(IF(AND('Assemble Data'!D345&lt;&gt;"",'Assemble Data'!D345&lt;&gt;B344),1,0),1)</f>
        <v>0</v>
      </c>
      <c r="F344" s="13">
        <f ca="1">IF('Assemble Data'!E345="",0,IF(ISERROR(FIND("INDEX",_xlfn.FORMULATEXT('Assemble Data'!E345),1)),1,0)+IFERROR(IF(AND('Assemble Data'!E345&lt;&gt;C344,'Assemble Data'!E345&lt;&gt;""),1,0),1))</f>
        <v>0</v>
      </c>
      <c r="G344" s="13">
        <f ca="1">IF('Assemble Data'!F345="",0,IF(ISERROR(FIND("VLOOKUP",_xlfn.FORMULATEXT('Assemble Data'!F345),1)),1,0)+IFERROR(IF(AND('Assemble Data'!F345&lt;&gt;D344,'Assemble Data'!F345&lt;&gt;""),1,0),1))</f>
        <v>0</v>
      </c>
      <c r="H344" s="13">
        <f t="shared" si="26"/>
        <v>8</v>
      </c>
      <c r="I344" t="str">
        <f t="shared" ref="I344:I407" si="27">C344&amp;A344</f>
        <v>C2P10</v>
      </c>
    </row>
    <row r="345" spans="1:9">
      <c r="A345" t="str">
        <f>'Assemble Data'!B346</f>
        <v>P13</v>
      </c>
      <c r="B345" s="13">
        <f>IFERROR(SUMIF('Assemble Data'!K:K,'Assemble Data'!A346,'Assemble Data'!L:L),0)</f>
        <v>4500</v>
      </c>
      <c r="C345" s="13" t="str">
        <f>INDEX('Assemble Data'!$O$24:$O$1023,MATCH('Assemble Data'!A346,'Assemble Data'!$N$24:$N$1023,0))</f>
        <v>C2</v>
      </c>
      <c r="D345" s="13">
        <f>SUMIF('Assemble Data'!H:H,'Assemble Data'!A346,'Assemble Data'!I:I)</f>
        <v>5</v>
      </c>
      <c r="E345" s="13">
        <f>IFERROR(IF(AND('Assemble Data'!D346&lt;&gt;"",'Assemble Data'!D346&lt;&gt;B345),1,0),1)</f>
        <v>0</v>
      </c>
      <c r="F345" s="13">
        <f ca="1">IF('Assemble Data'!E346="",0,IF(ISERROR(FIND("INDEX",_xlfn.FORMULATEXT('Assemble Data'!E346),1)),1,0)+IFERROR(IF(AND('Assemble Data'!E346&lt;&gt;C345,'Assemble Data'!E346&lt;&gt;""),1,0),1))</f>
        <v>0</v>
      </c>
      <c r="G345" s="13">
        <f ca="1">IF('Assemble Data'!F346="",0,IF(ISERROR(FIND("VLOOKUP",_xlfn.FORMULATEXT('Assemble Data'!F346),1)),1,0)+IFERROR(IF(AND('Assemble Data'!F346&lt;&gt;D345,'Assemble Data'!F346&lt;&gt;""),1,0),1))</f>
        <v>0</v>
      </c>
      <c r="H345" s="13">
        <f t="shared" si="26"/>
        <v>3</v>
      </c>
      <c r="I345" t="str">
        <f t="shared" si="27"/>
        <v>C2P13</v>
      </c>
    </row>
    <row r="346" spans="1:9">
      <c r="A346" t="str">
        <f>'Assemble Data'!B347</f>
        <v>P13</v>
      </c>
      <c r="B346" s="13">
        <f>IFERROR(SUMIF('Assemble Data'!K:K,'Assemble Data'!A347,'Assemble Data'!L:L),0)</f>
        <v>4500</v>
      </c>
      <c r="C346" s="13" t="str">
        <f>INDEX('Assemble Data'!$O$24:$O$1023,MATCH('Assemble Data'!A347,'Assemble Data'!$N$24:$N$1023,0))</f>
        <v>C2</v>
      </c>
      <c r="D346" s="13">
        <f>SUMIF('Assemble Data'!H:H,'Assemble Data'!A347,'Assemble Data'!I:I)</f>
        <v>5</v>
      </c>
      <c r="E346" s="13">
        <f>IFERROR(IF(AND('Assemble Data'!D347&lt;&gt;"",'Assemble Data'!D347&lt;&gt;B346),1,0),1)</f>
        <v>0</v>
      </c>
      <c r="F346" s="13">
        <f ca="1">IF('Assemble Data'!E347="",0,IF(ISERROR(FIND("INDEX",_xlfn.FORMULATEXT('Assemble Data'!E347),1)),1,0)+IFERROR(IF(AND('Assemble Data'!E347&lt;&gt;C346,'Assemble Data'!E347&lt;&gt;""),1,0),1))</f>
        <v>0</v>
      </c>
      <c r="G346" s="13">
        <f ca="1">IF('Assemble Data'!F347="",0,IF(ISERROR(FIND("VLOOKUP",_xlfn.FORMULATEXT('Assemble Data'!F347),1)),1,0)+IFERROR(IF(AND('Assemble Data'!F347&lt;&gt;D346,'Assemble Data'!F347&lt;&gt;""),1,0),1))</f>
        <v>0</v>
      </c>
      <c r="H346" s="13">
        <f t="shared" si="26"/>
        <v>3</v>
      </c>
      <c r="I346" t="str">
        <f t="shared" si="27"/>
        <v>C2P13</v>
      </c>
    </row>
    <row r="347" spans="1:9">
      <c r="A347" t="str">
        <f>'Assemble Data'!B348</f>
        <v>P10</v>
      </c>
      <c r="B347" s="13">
        <f>IFERROR(SUMIF('Assemble Data'!K:K,'Assemble Data'!A348,'Assemble Data'!L:L),0)</f>
        <v>2400</v>
      </c>
      <c r="C347" s="13" t="str">
        <f>INDEX('Assemble Data'!$O$24:$O$1023,MATCH('Assemble Data'!A348,'Assemble Data'!$N$24:$N$1023,0))</f>
        <v>C2</v>
      </c>
      <c r="D347" s="13">
        <f>SUMIF('Assemble Data'!H:H,'Assemble Data'!A348,'Assemble Data'!I:I)</f>
        <v>3</v>
      </c>
      <c r="E347" s="13">
        <f>IFERROR(IF(AND('Assemble Data'!D348&lt;&gt;"",'Assemble Data'!D348&lt;&gt;B347),1,0),1)</f>
        <v>0</v>
      </c>
      <c r="F347" s="13">
        <f ca="1">IF('Assemble Data'!E348="",0,IF(ISERROR(FIND("INDEX",_xlfn.FORMULATEXT('Assemble Data'!E348),1)),1,0)+IFERROR(IF(AND('Assemble Data'!E348&lt;&gt;C347,'Assemble Data'!E348&lt;&gt;""),1,0),1))</f>
        <v>0</v>
      </c>
      <c r="G347" s="13">
        <f ca="1">IF('Assemble Data'!F348="",0,IF(ISERROR(FIND("VLOOKUP",_xlfn.FORMULATEXT('Assemble Data'!F348),1)),1,0)+IFERROR(IF(AND('Assemble Data'!F348&lt;&gt;D347,'Assemble Data'!F348&lt;&gt;""),1,0),1))</f>
        <v>0</v>
      </c>
      <c r="H347" s="13">
        <f t="shared" si="26"/>
        <v>8</v>
      </c>
      <c r="I347" t="str">
        <f t="shared" si="27"/>
        <v>C2P10</v>
      </c>
    </row>
    <row r="348" spans="1:9">
      <c r="A348" t="str">
        <f>'Assemble Data'!B349</f>
        <v>P11</v>
      </c>
      <c r="B348" s="13">
        <f>IFERROR(SUMIF('Assemble Data'!K:K,'Assemble Data'!A349,'Assemble Data'!L:L),0)</f>
        <v>11000</v>
      </c>
      <c r="C348" s="13" t="str">
        <f>INDEX('Assemble Data'!$O$24:$O$1023,MATCH('Assemble Data'!A349,'Assemble Data'!$N$24:$N$1023,0))</f>
        <v>C2</v>
      </c>
      <c r="D348" s="13">
        <f>SUMIF('Assemble Data'!H:H,'Assemble Data'!A349,'Assemble Data'!I:I)</f>
        <v>11</v>
      </c>
      <c r="E348" s="13">
        <f>IFERROR(IF(AND('Assemble Data'!D349&lt;&gt;"",'Assemble Data'!D349&lt;&gt;B348),1,0),1)</f>
        <v>0</v>
      </c>
      <c r="F348" s="13">
        <f ca="1">IF('Assemble Data'!E349="",0,IF(ISERROR(FIND("INDEX",_xlfn.FORMULATEXT('Assemble Data'!E349),1)),1,0)+IFERROR(IF(AND('Assemble Data'!E349&lt;&gt;C348,'Assemble Data'!E349&lt;&gt;""),1,0),1))</f>
        <v>0</v>
      </c>
      <c r="G348" s="13">
        <f ca="1">IF('Assemble Data'!F349="",0,IF(ISERROR(FIND("VLOOKUP",_xlfn.FORMULATEXT('Assemble Data'!F349),1)),1,0)+IFERROR(IF(AND('Assemble Data'!F349&lt;&gt;D348,'Assemble Data'!F349&lt;&gt;""),1,0),1))</f>
        <v>0</v>
      </c>
      <c r="H348" s="13">
        <f t="shared" si="26"/>
        <v>9</v>
      </c>
      <c r="I348" t="str">
        <f t="shared" si="27"/>
        <v>C2P11</v>
      </c>
    </row>
    <row r="349" spans="1:9">
      <c r="A349" t="str">
        <f>'Assemble Data'!B350</f>
        <v>P16</v>
      </c>
      <c r="B349" s="13">
        <f>IFERROR(SUMIF('Assemble Data'!K:K,'Assemble Data'!A350,'Assemble Data'!L:L),0)</f>
        <v>4680</v>
      </c>
      <c r="C349" s="13" t="str">
        <f>INDEX('Assemble Data'!$O$24:$O$1023,MATCH('Assemble Data'!A350,'Assemble Data'!$N$24:$N$1023,0))</f>
        <v>N2</v>
      </c>
      <c r="D349" s="13">
        <f>SUMIF('Assemble Data'!H:H,'Assemble Data'!A350,'Assemble Data'!I:I)</f>
        <v>4</v>
      </c>
      <c r="E349" s="13">
        <f>IFERROR(IF(AND('Assemble Data'!D350&lt;&gt;"",'Assemble Data'!D350&lt;&gt;B349),1,0),1)</f>
        <v>0</v>
      </c>
      <c r="F349" s="13">
        <f ca="1">IF('Assemble Data'!E350="",0,IF(ISERROR(FIND("INDEX",_xlfn.FORMULATEXT('Assemble Data'!E350),1)),1,0)+IFERROR(IF(AND('Assemble Data'!E350&lt;&gt;C349,'Assemble Data'!E350&lt;&gt;""),1,0),1))</f>
        <v>0</v>
      </c>
      <c r="G349" s="13">
        <f ca="1">IF('Assemble Data'!F350="",0,IF(ISERROR(FIND("VLOOKUP",_xlfn.FORMULATEXT('Assemble Data'!F350),1)),1,0)+IFERROR(IF(AND('Assemble Data'!F350&lt;&gt;D349,'Assemble Data'!F350&lt;&gt;""),1,0),1))</f>
        <v>0</v>
      </c>
      <c r="H349" s="13">
        <f t="shared" si="26"/>
        <v>0</v>
      </c>
      <c r="I349" t="str">
        <f t="shared" si="27"/>
        <v>N2P16</v>
      </c>
    </row>
    <row r="350" spans="1:9">
      <c r="A350" t="str">
        <f>'Assemble Data'!B351</f>
        <v>P17</v>
      </c>
      <c r="B350" s="13">
        <f>IFERROR(SUMIF('Assemble Data'!K:K,'Assemble Data'!A351,'Assemble Data'!L:L),0)</f>
        <v>13200.000000000002</v>
      </c>
      <c r="C350" s="13" t="str">
        <f>INDEX('Assemble Data'!$O$24:$O$1023,MATCH('Assemble Data'!A351,'Assemble Data'!$N$24:$N$1023,0))</f>
        <v>O2</v>
      </c>
      <c r="D350" s="13">
        <f>SUMIF('Assemble Data'!H:H,'Assemble Data'!A351,'Assemble Data'!I:I)</f>
        <v>12</v>
      </c>
      <c r="E350" s="13">
        <f>IFERROR(IF(AND('Assemble Data'!D351&lt;&gt;"",'Assemble Data'!D351&lt;&gt;B350),1,0),1)</f>
        <v>0</v>
      </c>
      <c r="F350" s="13">
        <f ca="1">IF('Assemble Data'!E351="",0,IF(ISERROR(FIND("INDEX",_xlfn.FORMULATEXT('Assemble Data'!E351),1)),1,0)+IFERROR(IF(AND('Assemble Data'!E351&lt;&gt;C350,'Assemble Data'!E351&lt;&gt;""),1,0),1))</f>
        <v>0</v>
      </c>
      <c r="G350" s="13">
        <f ca="1">IF('Assemble Data'!F351="",0,IF(ISERROR(FIND("VLOOKUP",_xlfn.FORMULATEXT('Assemble Data'!F351),1)),1,0)+IFERROR(IF(AND('Assemble Data'!F351&lt;&gt;D350,'Assemble Data'!F351&lt;&gt;""),1,0),1))</f>
        <v>0</v>
      </c>
      <c r="H350" s="13">
        <f t="shared" si="26"/>
        <v>6</v>
      </c>
      <c r="I350" t="str">
        <f t="shared" si="27"/>
        <v>O2P17</v>
      </c>
    </row>
    <row r="351" spans="1:9">
      <c r="A351" t="str">
        <f>'Assemble Data'!B352</f>
        <v>P17</v>
      </c>
      <c r="B351" s="13">
        <f>IFERROR(SUMIF('Assemble Data'!K:K,'Assemble Data'!A352,'Assemble Data'!L:L),0)</f>
        <v>13200.000000000002</v>
      </c>
      <c r="C351" s="13" t="str">
        <f>INDEX('Assemble Data'!$O$24:$O$1023,MATCH('Assemble Data'!A352,'Assemble Data'!$N$24:$N$1023,0))</f>
        <v>O2</v>
      </c>
      <c r="D351" s="13">
        <f>SUMIF('Assemble Data'!H:H,'Assemble Data'!A352,'Assemble Data'!I:I)</f>
        <v>12</v>
      </c>
      <c r="E351" s="13">
        <f>IFERROR(IF(AND('Assemble Data'!D352&lt;&gt;"",'Assemble Data'!D352&lt;&gt;B351),1,0),1)</f>
        <v>0</v>
      </c>
      <c r="F351" s="13">
        <f ca="1">IF('Assemble Data'!E352="",0,IF(ISERROR(FIND("INDEX",_xlfn.FORMULATEXT('Assemble Data'!E352),1)),1,0)+IFERROR(IF(AND('Assemble Data'!E352&lt;&gt;C351,'Assemble Data'!E352&lt;&gt;""),1,0),1))</f>
        <v>0</v>
      </c>
      <c r="G351" s="13">
        <f ca="1">IF('Assemble Data'!F352="",0,IF(ISERROR(FIND("VLOOKUP",_xlfn.FORMULATEXT('Assemble Data'!F352),1)),1,0)+IFERROR(IF(AND('Assemble Data'!F352&lt;&gt;D351,'Assemble Data'!F352&lt;&gt;""),1,0),1))</f>
        <v>0</v>
      </c>
      <c r="H351" s="13">
        <f t="shared" si="26"/>
        <v>6</v>
      </c>
      <c r="I351" t="str">
        <f t="shared" si="27"/>
        <v>O2P17</v>
      </c>
    </row>
    <row r="352" spans="1:9">
      <c r="A352" t="str">
        <f>'Assemble Data'!B353</f>
        <v>P13</v>
      </c>
      <c r="B352" s="13">
        <f>IFERROR(SUMIF('Assemble Data'!K:K,'Assemble Data'!A353,'Assemble Data'!L:L),0)</f>
        <v>4500</v>
      </c>
      <c r="C352" s="13" t="str">
        <f>INDEX('Assemble Data'!$O$24:$O$1023,MATCH('Assemble Data'!A353,'Assemble Data'!$N$24:$N$1023,0))</f>
        <v>C2</v>
      </c>
      <c r="D352" s="13">
        <f>SUMIF('Assemble Data'!H:H,'Assemble Data'!A353,'Assemble Data'!I:I)</f>
        <v>5</v>
      </c>
      <c r="E352" s="13">
        <f>IFERROR(IF(AND('Assemble Data'!D353&lt;&gt;"",'Assemble Data'!D353&lt;&gt;B352),1,0),1)</f>
        <v>0</v>
      </c>
      <c r="F352" s="13">
        <f ca="1">IF('Assemble Data'!E353="",0,IF(ISERROR(FIND("INDEX",_xlfn.FORMULATEXT('Assemble Data'!E353),1)),1,0)+IFERROR(IF(AND('Assemble Data'!E353&lt;&gt;C352,'Assemble Data'!E353&lt;&gt;""),1,0),1))</f>
        <v>0</v>
      </c>
      <c r="G352" s="13">
        <f ca="1">IF('Assemble Data'!F353="",0,IF(ISERROR(FIND("VLOOKUP",_xlfn.FORMULATEXT('Assemble Data'!F353),1)),1,0)+IFERROR(IF(AND('Assemble Data'!F353&lt;&gt;D352,'Assemble Data'!F353&lt;&gt;""),1,0),1))</f>
        <v>0</v>
      </c>
      <c r="H352" s="13">
        <f t="shared" si="26"/>
        <v>3</v>
      </c>
      <c r="I352" t="str">
        <f t="shared" si="27"/>
        <v>C2P13</v>
      </c>
    </row>
    <row r="353" spans="1:9">
      <c r="A353" t="str">
        <f>'Assemble Data'!B354</f>
        <v>P11</v>
      </c>
      <c r="B353" s="13">
        <f>IFERROR(SUMIF('Assemble Data'!K:K,'Assemble Data'!A354,'Assemble Data'!L:L),0)</f>
        <v>11000</v>
      </c>
      <c r="C353" s="13" t="str">
        <f>INDEX('Assemble Data'!$O$24:$O$1023,MATCH('Assemble Data'!A354,'Assemble Data'!$N$24:$N$1023,0))</f>
        <v>C2</v>
      </c>
      <c r="D353" s="13">
        <f>SUMIF('Assemble Data'!H:H,'Assemble Data'!A354,'Assemble Data'!I:I)</f>
        <v>11</v>
      </c>
      <c r="E353" s="13">
        <f>IFERROR(IF(AND('Assemble Data'!D354&lt;&gt;"",'Assemble Data'!D354&lt;&gt;B353),1,0),1)</f>
        <v>0</v>
      </c>
      <c r="F353" s="13">
        <f ca="1">IF('Assemble Data'!E354="",0,IF(ISERROR(FIND("INDEX",_xlfn.FORMULATEXT('Assemble Data'!E354),1)),1,0)+IFERROR(IF(AND('Assemble Data'!E354&lt;&gt;C353,'Assemble Data'!E354&lt;&gt;""),1,0),1))</f>
        <v>0</v>
      </c>
      <c r="G353" s="13">
        <f ca="1">IF('Assemble Data'!F354="",0,IF(ISERROR(FIND("VLOOKUP",_xlfn.FORMULATEXT('Assemble Data'!F354),1)),1,0)+IFERROR(IF(AND('Assemble Data'!F354&lt;&gt;D353,'Assemble Data'!F354&lt;&gt;""),1,0),1))</f>
        <v>0</v>
      </c>
      <c r="H353" s="13">
        <f t="shared" si="26"/>
        <v>9</v>
      </c>
      <c r="I353" t="str">
        <f t="shared" si="27"/>
        <v>C2P11</v>
      </c>
    </row>
    <row r="354" spans="1:9">
      <c r="A354" t="str">
        <f>'Assemble Data'!B355</f>
        <v>P11</v>
      </c>
      <c r="B354" s="13">
        <f>IFERROR(SUMIF('Assemble Data'!K:K,'Assemble Data'!A355,'Assemble Data'!L:L),0)</f>
        <v>11000</v>
      </c>
      <c r="C354" s="13" t="str">
        <f>INDEX('Assemble Data'!$O$24:$O$1023,MATCH('Assemble Data'!A355,'Assemble Data'!$N$24:$N$1023,0))</f>
        <v>C2</v>
      </c>
      <c r="D354" s="13">
        <f>SUMIF('Assemble Data'!H:H,'Assemble Data'!A355,'Assemble Data'!I:I)</f>
        <v>11</v>
      </c>
      <c r="E354" s="13">
        <f>IFERROR(IF(AND('Assemble Data'!D355&lt;&gt;"",'Assemble Data'!D355&lt;&gt;B354),1,0),1)</f>
        <v>0</v>
      </c>
      <c r="F354" s="13">
        <f ca="1">IF('Assemble Data'!E355="",0,IF(ISERROR(FIND("INDEX",_xlfn.FORMULATEXT('Assemble Data'!E355),1)),1,0)+IFERROR(IF(AND('Assemble Data'!E355&lt;&gt;C354,'Assemble Data'!E355&lt;&gt;""),1,0),1))</f>
        <v>0</v>
      </c>
      <c r="G354" s="13">
        <f ca="1">IF('Assemble Data'!F355="",0,IF(ISERROR(FIND("VLOOKUP",_xlfn.FORMULATEXT('Assemble Data'!F355),1)),1,0)+IFERROR(IF(AND('Assemble Data'!F355&lt;&gt;D354,'Assemble Data'!F355&lt;&gt;""),1,0),1))</f>
        <v>0</v>
      </c>
      <c r="H354" s="13">
        <f t="shared" si="26"/>
        <v>9</v>
      </c>
      <c r="I354" t="str">
        <f t="shared" si="27"/>
        <v>C2P11</v>
      </c>
    </row>
    <row r="355" spans="1:9">
      <c r="A355" t="str">
        <f>'Assemble Data'!B356</f>
        <v>P12</v>
      </c>
      <c r="B355" s="13">
        <f>IFERROR(SUMIF('Assemble Data'!K:K,'Assemble Data'!A356,'Assemble Data'!L:L),0)</f>
        <v>6825</v>
      </c>
      <c r="C355" s="13" t="str">
        <f>INDEX('Assemble Data'!$O$24:$O$1023,MATCH('Assemble Data'!A356,'Assemble Data'!$N$24:$N$1023,0))</f>
        <v>C2</v>
      </c>
      <c r="D355" s="13">
        <f>SUMIF('Assemble Data'!H:H,'Assemble Data'!A356,'Assemble Data'!I:I)</f>
        <v>6.5</v>
      </c>
      <c r="E355" s="13">
        <f>IFERROR(IF(AND('Assemble Data'!D356&lt;&gt;"",'Assemble Data'!D356&lt;&gt;B355),1,0),1)</f>
        <v>0</v>
      </c>
      <c r="F355" s="13">
        <f ca="1">IF('Assemble Data'!E356="",0,IF(ISERROR(FIND("INDEX",_xlfn.FORMULATEXT('Assemble Data'!E356),1)),1,0)+IFERROR(IF(AND('Assemble Data'!E356&lt;&gt;C355,'Assemble Data'!E356&lt;&gt;""),1,0),1))</f>
        <v>0</v>
      </c>
      <c r="G355" s="13">
        <f ca="1">IF('Assemble Data'!F356="",0,IF(ISERROR(FIND("VLOOKUP",_xlfn.FORMULATEXT('Assemble Data'!F356),1)),1,0)+IFERROR(IF(AND('Assemble Data'!F356&lt;&gt;D355,'Assemble Data'!F356&lt;&gt;""),1,0),1))</f>
        <v>0</v>
      </c>
      <c r="H355" s="13">
        <f t="shared" si="26"/>
        <v>7</v>
      </c>
      <c r="I355" t="str">
        <f t="shared" si="27"/>
        <v>C2P12</v>
      </c>
    </row>
    <row r="356" spans="1:9">
      <c r="A356" t="str">
        <f>'Assemble Data'!B357</f>
        <v>P10</v>
      </c>
      <c r="B356" s="13">
        <f>IFERROR(SUMIF('Assemble Data'!K:K,'Assemble Data'!A357,'Assemble Data'!L:L),0)</f>
        <v>2400</v>
      </c>
      <c r="C356" s="13" t="str">
        <f>INDEX('Assemble Data'!$O$24:$O$1023,MATCH('Assemble Data'!A357,'Assemble Data'!$N$24:$N$1023,0))</f>
        <v>C2</v>
      </c>
      <c r="D356" s="13">
        <f>SUMIF('Assemble Data'!H:H,'Assemble Data'!A357,'Assemble Data'!I:I)</f>
        <v>3</v>
      </c>
      <c r="E356" s="13">
        <f>IFERROR(IF(AND('Assemble Data'!D357&lt;&gt;"",'Assemble Data'!D357&lt;&gt;B356),1,0),1)</f>
        <v>0</v>
      </c>
      <c r="F356" s="13">
        <f ca="1">IF('Assemble Data'!E357="",0,IF(ISERROR(FIND("INDEX",_xlfn.FORMULATEXT('Assemble Data'!E357),1)),1,0)+IFERROR(IF(AND('Assemble Data'!E357&lt;&gt;C356,'Assemble Data'!E357&lt;&gt;""),1,0),1))</f>
        <v>0</v>
      </c>
      <c r="G356" s="13">
        <f ca="1">IF('Assemble Data'!F357="",0,IF(ISERROR(FIND("VLOOKUP",_xlfn.FORMULATEXT('Assemble Data'!F357),1)),1,0)+IFERROR(IF(AND('Assemble Data'!F357&lt;&gt;D356,'Assemble Data'!F357&lt;&gt;""),1,0),1))</f>
        <v>0</v>
      </c>
      <c r="H356" s="13">
        <f t="shared" si="26"/>
        <v>8</v>
      </c>
      <c r="I356" t="str">
        <f t="shared" si="27"/>
        <v>C2P10</v>
      </c>
    </row>
    <row r="357" spans="1:9">
      <c r="A357" t="str">
        <f>'Assemble Data'!B358</f>
        <v>P10</v>
      </c>
      <c r="B357" s="13">
        <f>IFERROR(SUMIF('Assemble Data'!K:K,'Assemble Data'!A358,'Assemble Data'!L:L),0)</f>
        <v>2400</v>
      </c>
      <c r="C357" s="13" t="str">
        <f>INDEX('Assemble Data'!$O$24:$O$1023,MATCH('Assemble Data'!A358,'Assemble Data'!$N$24:$N$1023,0))</f>
        <v>C2</v>
      </c>
      <c r="D357" s="13">
        <f>SUMIF('Assemble Data'!H:H,'Assemble Data'!A358,'Assemble Data'!I:I)</f>
        <v>3</v>
      </c>
      <c r="E357" s="13">
        <f>IFERROR(IF(AND('Assemble Data'!D358&lt;&gt;"",'Assemble Data'!D358&lt;&gt;B357),1,0),1)</f>
        <v>0</v>
      </c>
      <c r="F357" s="13">
        <f ca="1">IF('Assemble Data'!E358="",0,IF(ISERROR(FIND("INDEX",_xlfn.FORMULATEXT('Assemble Data'!E358),1)),1,0)+IFERROR(IF(AND('Assemble Data'!E358&lt;&gt;C357,'Assemble Data'!E358&lt;&gt;""),1,0),1))</f>
        <v>0</v>
      </c>
      <c r="G357" s="13">
        <f ca="1">IF('Assemble Data'!F358="",0,IF(ISERROR(FIND("VLOOKUP",_xlfn.FORMULATEXT('Assemble Data'!F358),1)),1,0)+IFERROR(IF(AND('Assemble Data'!F358&lt;&gt;D357,'Assemble Data'!F358&lt;&gt;""),1,0),1))</f>
        <v>0</v>
      </c>
      <c r="H357" s="13">
        <f t="shared" si="26"/>
        <v>8</v>
      </c>
      <c r="I357" t="str">
        <f t="shared" si="27"/>
        <v>C2P10</v>
      </c>
    </row>
    <row r="358" spans="1:9">
      <c r="A358" t="str">
        <f>'Assemble Data'!B359</f>
        <v>P11</v>
      </c>
      <c r="B358" s="13">
        <f>IFERROR(SUMIF('Assemble Data'!K:K,'Assemble Data'!A359,'Assemble Data'!L:L),0)</f>
        <v>11000</v>
      </c>
      <c r="C358" s="13" t="str">
        <f>INDEX('Assemble Data'!$O$24:$O$1023,MATCH('Assemble Data'!A359,'Assemble Data'!$N$24:$N$1023,0))</f>
        <v>C2</v>
      </c>
      <c r="D358" s="13">
        <f>SUMIF('Assemble Data'!H:H,'Assemble Data'!A359,'Assemble Data'!I:I)</f>
        <v>11</v>
      </c>
      <c r="E358" s="13">
        <f>IFERROR(IF(AND('Assemble Data'!D359&lt;&gt;"",'Assemble Data'!D359&lt;&gt;B358),1,0),1)</f>
        <v>0</v>
      </c>
      <c r="F358" s="13">
        <f ca="1">IF('Assemble Data'!E359="",0,IF(ISERROR(FIND("INDEX",_xlfn.FORMULATEXT('Assemble Data'!E359),1)),1,0)+IFERROR(IF(AND('Assemble Data'!E359&lt;&gt;C358,'Assemble Data'!E359&lt;&gt;""),1,0),1))</f>
        <v>0</v>
      </c>
      <c r="G358" s="13">
        <f ca="1">IF('Assemble Data'!F359="",0,IF(ISERROR(FIND("VLOOKUP",_xlfn.FORMULATEXT('Assemble Data'!F359),1)),1,0)+IFERROR(IF(AND('Assemble Data'!F359&lt;&gt;D358,'Assemble Data'!F359&lt;&gt;""),1,0),1))</f>
        <v>0</v>
      </c>
      <c r="H358" s="13">
        <f t="shared" si="26"/>
        <v>9</v>
      </c>
      <c r="I358" t="str">
        <f t="shared" si="27"/>
        <v>C2P11</v>
      </c>
    </row>
    <row r="359" spans="1:9">
      <c r="A359" t="str">
        <f>'Assemble Data'!B360</f>
        <v>P18</v>
      </c>
      <c r="B359" s="13">
        <f>IFERROR(SUMIF('Assemble Data'!K:K,'Assemble Data'!A360,'Assemble Data'!L:L),0)</f>
        <v>5940.0000000000009</v>
      </c>
      <c r="C359" s="13" t="str">
        <f>INDEX('Assemble Data'!$O$24:$O$1023,MATCH('Assemble Data'!A360,'Assemble Data'!$N$24:$N$1023,0))</f>
        <v>O2</v>
      </c>
      <c r="D359" s="13">
        <f>SUMIF('Assemble Data'!H:H,'Assemble Data'!A360,'Assemble Data'!I:I)</f>
        <v>6</v>
      </c>
      <c r="E359" s="13">
        <f>IFERROR(IF(AND('Assemble Data'!D360&lt;&gt;"",'Assemble Data'!D360&lt;&gt;B359),1,0),1)</f>
        <v>0</v>
      </c>
      <c r="F359" s="13">
        <f ca="1">IF('Assemble Data'!E360="",0,IF(ISERROR(FIND("INDEX",_xlfn.FORMULATEXT('Assemble Data'!E360),1)),1,0)+IFERROR(IF(AND('Assemble Data'!E360&lt;&gt;C359,'Assemble Data'!E360&lt;&gt;""),1,0),1))</f>
        <v>0</v>
      </c>
      <c r="G359" s="13">
        <f ca="1">IF('Assemble Data'!F360="",0,IF(ISERROR(FIND("VLOOKUP",_xlfn.FORMULATEXT('Assemble Data'!F360),1)),1,0)+IFERROR(IF(AND('Assemble Data'!F360&lt;&gt;D359,'Assemble Data'!F360&lt;&gt;""),1,0),1))</f>
        <v>0</v>
      </c>
      <c r="H359" s="13">
        <f t="shared" si="26"/>
        <v>2</v>
      </c>
      <c r="I359" t="str">
        <f t="shared" si="27"/>
        <v>O2P18</v>
      </c>
    </row>
    <row r="360" spans="1:9">
      <c r="A360" t="str">
        <f>'Assemble Data'!B361</f>
        <v>P14</v>
      </c>
      <c r="B360" s="13">
        <f>IFERROR(SUMIF('Assemble Data'!K:K,'Assemble Data'!A361,'Assemble Data'!L:L),0)</f>
        <v>12960</v>
      </c>
      <c r="C360" s="13" t="str">
        <f>INDEX('Assemble Data'!$O$24:$O$1023,MATCH('Assemble Data'!A361,'Assemble Data'!$N$24:$N$1023,0))</f>
        <v>N2</v>
      </c>
      <c r="D360" s="13">
        <f>SUMIF('Assemble Data'!H:H,'Assemble Data'!A361,'Assemble Data'!I:I)</f>
        <v>8</v>
      </c>
      <c r="E360" s="13">
        <f>IFERROR(IF(AND('Assemble Data'!D361&lt;&gt;"",'Assemble Data'!D361&lt;&gt;B360),1,0),1)</f>
        <v>0</v>
      </c>
      <c r="F360" s="13">
        <f ca="1">IF('Assemble Data'!E361="",0,IF(ISERROR(FIND("INDEX",_xlfn.FORMULATEXT('Assemble Data'!E361),1)),1,0)+IFERROR(IF(AND('Assemble Data'!E361&lt;&gt;C360,'Assemble Data'!E361&lt;&gt;""),1,0),1))</f>
        <v>0</v>
      </c>
      <c r="G360" s="13">
        <f ca="1">IF('Assemble Data'!F361="",0,IF(ISERROR(FIND("VLOOKUP",_xlfn.FORMULATEXT('Assemble Data'!F361),1)),1,0)+IFERROR(IF(AND('Assemble Data'!F361&lt;&gt;D360,'Assemble Data'!F361&lt;&gt;""),1,0),1))</f>
        <v>0</v>
      </c>
      <c r="H360" s="13">
        <f t="shared" si="26"/>
        <v>5</v>
      </c>
      <c r="I360" t="str">
        <f t="shared" si="27"/>
        <v>N2P14</v>
      </c>
    </row>
    <row r="361" spans="1:9">
      <c r="A361" t="str">
        <f>'Assemble Data'!B362</f>
        <v>P10</v>
      </c>
      <c r="B361" s="13">
        <f>IFERROR(SUMIF('Assemble Data'!K:K,'Assemble Data'!A362,'Assemble Data'!L:L),0)</f>
        <v>2400</v>
      </c>
      <c r="C361" s="13" t="str">
        <f>INDEX('Assemble Data'!$O$24:$O$1023,MATCH('Assemble Data'!A362,'Assemble Data'!$N$24:$N$1023,0))</f>
        <v>C2</v>
      </c>
      <c r="D361" s="13">
        <f>SUMIF('Assemble Data'!H:H,'Assemble Data'!A362,'Assemble Data'!I:I)</f>
        <v>3</v>
      </c>
      <c r="E361" s="13">
        <f>IFERROR(IF(AND('Assemble Data'!D362&lt;&gt;"",'Assemble Data'!D362&lt;&gt;B361),1,0),1)</f>
        <v>0</v>
      </c>
      <c r="F361" s="13">
        <f ca="1">IF('Assemble Data'!E362="",0,IF(ISERROR(FIND("INDEX",_xlfn.FORMULATEXT('Assemble Data'!E362),1)),1,0)+IFERROR(IF(AND('Assemble Data'!E362&lt;&gt;C361,'Assemble Data'!E362&lt;&gt;""),1,0),1))</f>
        <v>0</v>
      </c>
      <c r="G361" s="13">
        <f ca="1">IF('Assemble Data'!F362="",0,IF(ISERROR(FIND("VLOOKUP",_xlfn.FORMULATEXT('Assemble Data'!F362),1)),1,0)+IFERROR(IF(AND('Assemble Data'!F362&lt;&gt;D361,'Assemble Data'!F362&lt;&gt;""),1,0),1))</f>
        <v>0</v>
      </c>
      <c r="H361" s="13">
        <f t="shared" si="26"/>
        <v>8</v>
      </c>
      <c r="I361" t="str">
        <f t="shared" si="27"/>
        <v>C2P10</v>
      </c>
    </row>
    <row r="362" spans="1:9">
      <c r="A362" t="str">
        <f>'Assemble Data'!B363</f>
        <v>P13</v>
      </c>
      <c r="B362" s="13">
        <f>IFERROR(SUMIF('Assemble Data'!K:K,'Assemble Data'!A363,'Assemble Data'!L:L),0)</f>
        <v>4500</v>
      </c>
      <c r="C362" s="13" t="str">
        <f>INDEX('Assemble Data'!$O$24:$O$1023,MATCH('Assemble Data'!A363,'Assemble Data'!$N$24:$N$1023,0))</f>
        <v>C2</v>
      </c>
      <c r="D362" s="13">
        <f>SUMIF('Assemble Data'!H:H,'Assemble Data'!A363,'Assemble Data'!I:I)</f>
        <v>5</v>
      </c>
      <c r="E362" s="13">
        <f>IFERROR(IF(AND('Assemble Data'!D363&lt;&gt;"",'Assemble Data'!D363&lt;&gt;B362),1,0),1)</f>
        <v>0</v>
      </c>
      <c r="F362" s="13">
        <f ca="1">IF('Assemble Data'!E363="",0,IF(ISERROR(FIND("INDEX",_xlfn.FORMULATEXT('Assemble Data'!E363),1)),1,0)+IFERROR(IF(AND('Assemble Data'!E363&lt;&gt;C362,'Assemble Data'!E363&lt;&gt;""),1,0),1))</f>
        <v>0</v>
      </c>
      <c r="G362" s="13">
        <f ca="1">IF('Assemble Data'!F363="",0,IF(ISERROR(FIND("VLOOKUP",_xlfn.FORMULATEXT('Assemble Data'!F363),1)),1,0)+IFERROR(IF(AND('Assemble Data'!F363&lt;&gt;D362,'Assemble Data'!F363&lt;&gt;""),1,0),1))</f>
        <v>0</v>
      </c>
      <c r="H362" s="13">
        <f t="shared" si="26"/>
        <v>3</v>
      </c>
      <c r="I362" t="str">
        <f t="shared" si="27"/>
        <v>C2P13</v>
      </c>
    </row>
    <row r="363" spans="1:9">
      <c r="A363" t="str">
        <f>'Assemble Data'!B364</f>
        <v>P13</v>
      </c>
      <c r="B363" s="13">
        <f>IFERROR(SUMIF('Assemble Data'!K:K,'Assemble Data'!A364,'Assemble Data'!L:L),0)</f>
        <v>4500</v>
      </c>
      <c r="C363" s="13" t="str">
        <f>INDEX('Assemble Data'!$O$24:$O$1023,MATCH('Assemble Data'!A364,'Assemble Data'!$N$24:$N$1023,0))</f>
        <v>C2</v>
      </c>
      <c r="D363" s="13">
        <f>SUMIF('Assemble Data'!H:H,'Assemble Data'!A364,'Assemble Data'!I:I)</f>
        <v>5</v>
      </c>
      <c r="E363" s="13">
        <f>IFERROR(IF(AND('Assemble Data'!D364&lt;&gt;"",'Assemble Data'!D364&lt;&gt;B363),1,0),1)</f>
        <v>0</v>
      </c>
      <c r="F363" s="13">
        <f ca="1">IF('Assemble Data'!E364="",0,IF(ISERROR(FIND("INDEX",_xlfn.FORMULATEXT('Assemble Data'!E364),1)),1,0)+IFERROR(IF(AND('Assemble Data'!E364&lt;&gt;C363,'Assemble Data'!E364&lt;&gt;""),1,0),1))</f>
        <v>0</v>
      </c>
      <c r="G363" s="13">
        <f ca="1">IF('Assemble Data'!F364="",0,IF(ISERROR(FIND("VLOOKUP",_xlfn.FORMULATEXT('Assemble Data'!F364),1)),1,0)+IFERROR(IF(AND('Assemble Data'!F364&lt;&gt;D363,'Assemble Data'!F364&lt;&gt;""),1,0),1))</f>
        <v>0</v>
      </c>
      <c r="H363" s="13">
        <f t="shared" si="26"/>
        <v>3</v>
      </c>
      <c r="I363" t="str">
        <f t="shared" si="27"/>
        <v>C2P13</v>
      </c>
    </row>
    <row r="364" spans="1:9">
      <c r="A364" t="str">
        <f>'Assemble Data'!B365</f>
        <v>P10</v>
      </c>
      <c r="B364" s="13">
        <f>IFERROR(SUMIF('Assemble Data'!K:K,'Assemble Data'!A365,'Assemble Data'!L:L),0)</f>
        <v>2400</v>
      </c>
      <c r="C364" s="13" t="str">
        <f>INDEX('Assemble Data'!$O$24:$O$1023,MATCH('Assemble Data'!A365,'Assemble Data'!$N$24:$N$1023,0))</f>
        <v>C2</v>
      </c>
      <c r="D364" s="13">
        <f>SUMIF('Assemble Data'!H:H,'Assemble Data'!A365,'Assemble Data'!I:I)</f>
        <v>3</v>
      </c>
      <c r="E364" s="13">
        <f>IFERROR(IF(AND('Assemble Data'!D365&lt;&gt;"",'Assemble Data'!D365&lt;&gt;B364),1,0),1)</f>
        <v>0</v>
      </c>
      <c r="F364" s="13">
        <f ca="1">IF('Assemble Data'!E365="",0,IF(ISERROR(FIND("INDEX",_xlfn.FORMULATEXT('Assemble Data'!E365),1)),1,0)+IFERROR(IF(AND('Assemble Data'!E365&lt;&gt;C364,'Assemble Data'!E365&lt;&gt;""),1,0),1))</f>
        <v>0</v>
      </c>
      <c r="G364" s="13">
        <f ca="1">IF('Assemble Data'!F365="",0,IF(ISERROR(FIND("VLOOKUP",_xlfn.FORMULATEXT('Assemble Data'!F365),1)),1,0)+IFERROR(IF(AND('Assemble Data'!F365&lt;&gt;D364,'Assemble Data'!F365&lt;&gt;""),1,0),1))</f>
        <v>0</v>
      </c>
      <c r="H364" s="13">
        <f t="shared" si="26"/>
        <v>8</v>
      </c>
      <c r="I364" t="str">
        <f t="shared" si="27"/>
        <v>C2P10</v>
      </c>
    </row>
    <row r="365" spans="1:9">
      <c r="A365" t="str">
        <f>'Assemble Data'!B366</f>
        <v>P11</v>
      </c>
      <c r="B365" s="13">
        <f>IFERROR(SUMIF('Assemble Data'!K:K,'Assemble Data'!A366,'Assemble Data'!L:L),0)</f>
        <v>11000</v>
      </c>
      <c r="C365" s="13" t="str">
        <f>INDEX('Assemble Data'!$O$24:$O$1023,MATCH('Assemble Data'!A366,'Assemble Data'!$N$24:$N$1023,0))</f>
        <v>C2</v>
      </c>
      <c r="D365" s="13">
        <f>SUMIF('Assemble Data'!H:H,'Assemble Data'!A366,'Assemble Data'!I:I)</f>
        <v>11</v>
      </c>
      <c r="E365" s="13">
        <f>IFERROR(IF(AND('Assemble Data'!D366&lt;&gt;"",'Assemble Data'!D366&lt;&gt;B365),1,0),1)</f>
        <v>0</v>
      </c>
      <c r="F365" s="13">
        <f ca="1">IF('Assemble Data'!E366="",0,IF(ISERROR(FIND("INDEX",_xlfn.FORMULATEXT('Assemble Data'!E366),1)),1,0)+IFERROR(IF(AND('Assemble Data'!E366&lt;&gt;C365,'Assemble Data'!E366&lt;&gt;""),1,0),1))</f>
        <v>0</v>
      </c>
      <c r="G365" s="13">
        <f ca="1">IF('Assemble Data'!F366="",0,IF(ISERROR(FIND("VLOOKUP",_xlfn.FORMULATEXT('Assemble Data'!F366),1)),1,0)+IFERROR(IF(AND('Assemble Data'!F366&lt;&gt;D365,'Assemble Data'!F366&lt;&gt;""),1,0),1))</f>
        <v>0</v>
      </c>
      <c r="H365" s="13">
        <f t="shared" si="26"/>
        <v>9</v>
      </c>
      <c r="I365" t="str">
        <f t="shared" si="27"/>
        <v>C2P11</v>
      </c>
    </row>
    <row r="366" spans="1:9">
      <c r="A366" t="str">
        <f>'Assemble Data'!B367</f>
        <v>P16</v>
      </c>
      <c r="B366" s="13">
        <f>IFERROR(SUMIF('Assemble Data'!K:K,'Assemble Data'!A367,'Assemble Data'!L:L),0)</f>
        <v>4680</v>
      </c>
      <c r="C366" s="13" t="str">
        <f>INDEX('Assemble Data'!$O$24:$O$1023,MATCH('Assemble Data'!A367,'Assemble Data'!$N$24:$N$1023,0))</f>
        <v>N2</v>
      </c>
      <c r="D366" s="13">
        <f>SUMIF('Assemble Data'!H:H,'Assemble Data'!A367,'Assemble Data'!I:I)</f>
        <v>4</v>
      </c>
      <c r="E366" s="13">
        <f>IFERROR(IF(AND('Assemble Data'!D367&lt;&gt;"",'Assemble Data'!D367&lt;&gt;B366),1,0),1)</f>
        <v>0</v>
      </c>
      <c r="F366" s="13">
        <f ca="1">IF('Assemble Data'!E367="",0,IF(ISERROR(FIND("INDEX",_xlfn.FORMULATEXT('Assemble Data'!E367),1)),1,0)+IFERROR(IF(AND('Assemble Data'!E367&lt;&gt;C366,'Assemble Data'!E367&lt;&gt;""),1,0),1))</f>
        <v>0</v>
      </c>
      <c r="G366" s="13">
        <f ca="1">IF('Assemble Data'!F367="",0,IF(ISERROR(FIND("VLOOKUP",_xlfn.FORMULATEXT('Assemble Data'!F367),1)),1,0)+IFERROR(IF(AND('Assemble Data'!F367&lt;&gt;D366,'Assemble Data'!F367&lt;&gt;""),1,0),1))</f>
        <v>0</v>
      </c>
      <c r="H366" s="13">
        <f t="shared" si="26"/>
        <v>0</v>
      </c>
      <c r="I366" t="str">
        <f t="shared" si="27"/>
        <v>N2P16</v>
      </c>
    </row>
    <row r="367" spans="1:9">
      <c r="A367" t="str">
        <f>'Assemble Data'!B368</f>
        <v>P17</v>
      </c>
      <c r="B367" s="13">
        <f>IFERROR(SUMIF('Assemble Data'!K:K,'Assemble Data'!A368,'Assemble Data'!L:L),0)</f>
        <v>13200.000000000002</v>
      </c>
      <c r="C367" s="13" t="str">
        <f>INDEX('Assemble Data'!$O$24:$O$1023,MATCH('Assemble Data'!A368,'Assemble Data'!$N$24:$N$1023,0))</f>
        <v>O2</v>
      </c>
      <c r="D367" s="13">
        <f>SUMIF('Assemble Data'!H:H,'Assemble Data'!A368,'Assemble Data'!I:I)</f>
        <v>12</v>
      </c>
      <c r="E367" s="13">
        <f>IFERROR(IF(AND('Assemble Data'!D368&lt;&gt;"",'Assemble Data'!D368&lt;&gt;B367),1,0),1)</f>
        <v>0</v>
      </c>
      <c r="F367" s="13">
        <f ca="1">IF('Assemble Data'!E368="",0,IF(ISERROR(FIND("INDEX",_xlfn.FORMULATEXT('Assemble Data'!E368),1)),1,0)+IFERROR(IF(AND('Assemble Data'!E368&lt;&gt;C367,'Assemble Data'!E368&lt;&gt;""),1,0),1))</f>
        <v>0</v>
      </c>
      <c r="G367" s="13">
        <f ca="1">IF('Assemble Data'!F368="",0,IF(ISERROR(FIND("VLOOKUP",_xlfn.FORMULATEXT('Assemble Data'!F368),1)),1,0)+IFERROR(IF(AND('Assemble Data'!F368&lt;&gt;D367,'Assemble Data'!F368&lt;&gt;""),1,0),1))</f>
        <v>0</v>
      </c>
      <c r="H367" s="13">
        <f t="shared" si="26"/>
        <v>6</v>
      </c>
      <c r="I367" t="str">
        <f t="shared" si="27"/>
        <v>O2P17</v>
      </c>
    </row>
    <row r="368" spans="1:9">
      <c r="A368" t="str">
        <f>'Assemble Data'!B369</f>
        <v>P17</v>
      </c>
      <c r="B368" s="13">
        <f>IFERROR(SUMIF('Assemble Data'!K:K,'Assemble Data'!A369,'Assemble Data'!L:L),0)</f>
        <v>13200.000000000002</v>
      </c>
      <c r="C368" s="13" t="str">
        <f>INDEX('Assemble Data'!$O$24:$O$1023,MATCH('Assemble Data'!A369,'Assemble Data'!$N$24:$N$1023,0))</f>
        <v>O2</v>
      </c>
      <c r="D368" s="13">
        <f>SUMIF('Assemble Data'!H:H,'Assemble Data'!A369,'Assemble Data'!I:I)</f>
        <v>12</v>
      </c>
      <c r="E368" s="13">
        <f>IFERROR(IF(AND('Assemble Data'!D369&lt;&gt;"",'Assemble Data'!D369&lt;&gt;B368),1,0),1)</f>
        <v>0</v>
      </c>
      <c r="F368" s="13">
        <f ca="1">IF('Assemble Data'!E369="",0,IF(ISERROR(FIND("INDEX",_xlfn.FORMULATEXT('Assemble Data'!E369),1)),1,0)+IFERROR(IF(AND('Assemble Data'!E369&lt;&gt;C368,'Assemble Data'!E369&lt;&gt;""),1,0),1))</f>
        <v>0</v>
      </c>
      <c r="G368" s="13">
        <f ca="1">IF('Assemble Data'!F369="",0,IF(ISERROR(FIND("VLOOKUP",_xlfn.FORMULATEXT('Assemble Data'!F369),1)),1,0)+IFERROR(IF(AND('Assemble Data'!F369&lt;&gt;D368,'Assemble Data'!F369&lt;&gt;""),1,0),1))</f>
        <v>0</v>
      </c>
      <c r="H368" s="13">
        <f t="shared" si="26"/>
        <v>6</v>
      </c>
      <c r="I368" t="str">
        <f t="shared" si="27"/>
        <v>O2P17</v>
      </c>
    </row>
    <row r="369" spans="1:9">
      <c r="A369" t="str">
        <f>'Assemble Data'!B370</f>
        <v>P13</v>
      </c>
      <c r="B369" s="13">
        <f>IFERROR(SUMIF('Assemble Data'!K:K,'Assemble Data'!A370,'Assemble Data'!L:L),0)</f>
        <v>4500</v>
      </c>
      <c r="C369" s="13" t="str">
        <f>INDEX('Assemble Data'!$O$24:$O$1023,MATCH('Assemble Data'!A370,'Assemble Data'!$N$24:$N$1023,0))</f>
        <v>C2</v>
      </c>
      <c r="D369" s="13">
        <f>SUMIF('Assemble Data'!H:H,'Assemble Data'!A370,'Assemble Data'!I:I)</f>
        <v>5</v>
      </c>
      <c r="E369" s="13">
        <f>IFERROR(IF(AND('Assemble Data'!D370&lt;&gt;"",'Assemble Data'!D370&lt;&gt;B369),1,0),1)</f>
        <v>0</v>
      </c>
      <c r="F369" s="13">
        <f ca="1">IF('Assemble Data'!E370="",0,IF(ISERROR(FIND("INDEX",_xlfn.FORMULATEXT('Assemble Data'!E370),1)),1,0)+IFERROR(IF(AND('Assemble Data'!E370&lt;&gt;C369,'Assemble Data'!E370&lt;&gt;""),1,0),1))</f>
        <v>0</v>
      </c>
      <c r="G369" s="13">
        <f ca="1">IF('Assemble Data'!F370="",0,IF(ISERROR(FIND("VLOOKUP",_xlfn.FORMULATEXT('Assemble Data'!F370),1)),1,0)+IFERROR(IF(AND('Assemble Data'!F370&lt;&gt;D369,'Assemble Data'!F370&lt;&gt;""),1,0),1))</f>
        <v>0</v>
      </c>
      <c r="H369" s="13">
        <f t="shared" si="26"/>
        <v>3</v>
      </c>
      <c r="I369" t="str">
        <f t="shared" si="27"/>
        <v>C2P13</v>
      </c>
    </row>
    <row r="370" spans="1:9">
      <c r="A370" t="str">
        <f>'Assemble Data'!B371</f>
        <v>P11</v>
      </c>
      <c r="B370" s="13">
        <f>IFERROR(SUMIF('Assemble Data'!K:K,'Assemble Data'!A371,'Assemble Data'!L:L),0)</f>
        <v>11000</v>
      </c>
      <c r="C370" s="13" t="str">
        <f>INDEX('Assemble Data'!$O$24:$O$1023,MATCH('Assemble Data'!A371,'Assemble Data'!$N$24:$N$1023,0))</f>
        <v>C2</v>
      </c>
      <c r="D370" s="13">
        <f>SUMIF('Assemble Data'!H:H,'Assemble Data'!A371,'Assemble Data'!I:I)</f>
        <v>11</v>
      </c>
      <c r="E370" s="13">
        <f>IFERROR(IF(AND('Assemble Data'!D371&lt;&gt;"",'Assemble Data'!D371&lt;&gt;B370),1,0),1)</f>
        <v>0</v>
      </c>
      <c r="F370" s="13">
        <f ca="1">IF('Assemble Data'!E371="",0,IF(ISERROR(FIND("INDEX",_xlfn.FORMULATEXT('Assemble Data'!E371),1)),1,0)+IFERROR(IF(AND('Assemble Data'!E371&lt;&gt;C370,'Assemble Data'!E371&lt;&gt;""),1,0),1))</f>
        <v>0</v>
      </c>
      <c r="G370" s="13">
        <f ca="1">IF('Assemble Data'!F371="",0,IF(ISERROR(FIND("VLOOKUP",_xlfn.FORMULATEXT('Assemble Data'!F371),1)),1,0)+IFERROR(IF(AND('Assemble Data'!F371&lt;&gt;D370,'Assemble Data'!F371&lt;&gt;""),1,0),1))</f>
        <v>0</v>
      </c>
      <c r="H370" s="13">
        <f t="shared" si="26"/>
        <v>9</v>
      </c>
      <c r="I370" t="str">
        <f t="shared" si="27"/>
        <v>C2P11</v>
      </c>
    </row>
    <row r="371" spans="1:9">
      <c r="A371" t="str">
        <f>'Assemble Data'!B372</f>
        <v>P11</v>
      </c>
      <c r="B371" s="13">
        <f>IFERROR(SUMIF('Assemble Data'!K:K,'Assemble Data'!A372,'Assemble Data'!L:L),0)</f>
        <v>11000</v>
      </c>
      <c r="C371" s="13" t="str">
        <f>INDEX('Assemble Data'!$O$24:$O$1023,MATCH('Assemble Data'!A372,'Assemble Data'!$N$24:$N$1023,0))</f>
        <v>C2</v>
      </c>
      <c r="D371" s="13">
        <f>SUMIF('Assemble Data'!H:H,'Assemble Data'!A372,'Assemble Data'!I:I)</f>
        <v>11</v>
      </c>
      <c r="E371" s="13">
        <f>IFERROR(IF(AND('Assemble Data'!D372&lt;&gt;"",'Assemble Data'!D372&lt;&gt;B371),1,0),1)</f>
        <v>0</v>
      </c>
      <c r="F371" s="13">
        <f ca="1">IF('Assemble Data'!E372="",0,IF(ISERROR(FIND("INDEX",_xlfn.FORMULATEXT('Assemble Data'!E372),1)),1,0)+IFERROR(IF(AND('Assemble Data'!E372&lt;&gt;C371,'Assemble Data'!E372&lt;&gt;""),1,0),1))</f>
        <v>0</v>
      </c>
      <c r="G371" s="13">
        <f ca="1">IF('Assemble Data'!F372="",0,IF(ISERROR(FIND("VLOOKUP",_xlfn.FORMULATEXT('Assemble Data'!F372),1)),1,0)+IFERROR(IF(AND('Assemble Data'!F372&lt;&gt;D371,'Assemble Data'!F372&lt;&gt;""),1,0),1))</f>
        <v>0</v>
      </c>
      <c r="H371" s="13">
        <f t="shared" si="26"/>
        <v>9</v>
      </c>
      <c r="I371" t="str">
        <f t="shared" si="27"/>
        <v>C2P11</v>
      </c>
    </row>
    <row r="372" spans="1:9">
      <c r="A372" t="str">
        <f>'Assemble Data'!B373</f>
        <v>P12</v>
      </c>
      <c r="B372" s="13">
        <f>IFERROR(SUMIF('Assemble Data'!K:K,'Assemble Data'!A373,'Assemble Data'!L:L),0)</f>
        <v>6825</v>
      </c>
      <c r="C372" s="13" t="str">
        <f>INDEX('Assemble Data'!$O$24:$O$1023,MATCH('Assemble Data'!A373,'Assemble Data'!$N$24:$N$1023,0))</f>
        <v>C2</v>
      </c>
      <c r="D372" s="13">
        <f>SUMIF('Assemble Data'!H:H,'Assemble Data'!A373,'Assemble Data'!I:I)</f>
        <v>6.5</v>
      </c>
      <c r="E372" s="13">
        <f>IFERROR(IF(AND('Assemble Data'!D373&lt;&gt;"",'Assemble Data'!D373&lt;&gt;B372),1,0),1)</f>
        <v>0</v>
      </c>
      <c r="F372" s="13">
        <f ca="1">IF('Assemble Data'!E373="",0,IF(ISERROR(FIND("INDEX",_xlfn.FORMULATEXT('Assemble Data'!E373),1)),1,0)+IFERROR(IF(AND('Assemble Data'!E373&lt;&gt;C372,'Assemble Data'!E373&lt;&gt;""),1,0),1))</f>
        <v>0</v>
      </c>
      <c r="G372" s="13">
        <f ca="1">IF('Assemble Data'!F373="",0,IF(ISERROR(FIND("VLOOKUP",_xlfn.FORMULATEXT('Assemble Data'!F373),1)),1,0)+IFERROR(IF(AND('Assemble Data'!F373&lt;&gt;D372,'Assemble Data'!F373&lt;&gt;""),1,0),1))</f>
        <v>0</v>
      </c>
      <c r="H372" s="13">
        <f t="shared" si="26"/>
        <v>7</v>
      </c>
      <c r="I372" t="str">
        <f t="shared" si="27"/>
        <v>C2P12</v>
      </c>
    </row>
    <row r="373" spans="1:9">
      <c r="A373" t="str">
        <f>'Assemble Data'!B374</f>
        <v>P10</v>
      </c>
      <c r="B373" s="13">
        <f>IFERROR(SUMIF('Assemble Data'!K:K,'Assemble Data'!A374,'Assemble Data'!L:L),0)</f>
        <v>2400</v>
      </c>
      <c r="C373" s="13" t="str">
        <f>INDEX('Assemble Data'!$O$24:$O$1023,MATCH('Assemble Data'!A374,'Assemble Data'!$N$24:$N$1023,0))</f>
        <v>C2</v>
      </c>
      <c r="D373" s="13">
        <f>SUMIF('Assemble Data'!H:H,'Assemble Data'!A374,'Assemble Data'!I:I)</f>
        <v>3</v>
      </c>
      <c r="E373" s="13">
        <f>IFERROR(IF(AND('Assemble Data'!D374&lt;&gt;"",'Assemble Data'!D374&lt;&gt;B373),1,0),1)</f>
        <v>0</v>
      </c>
      <c r="F373" s="13">
        <f ca="1">IF('Assemble Data'!E374="",0,IF(ISERROR(FIND("INDEX",_xlfn.FORMULATEXT('Assemble Data'!E374),1)),1,0)+IFERROR(IF(AND('Assemble Data'!E374&lt;&gt;C373,'Assemble Data'!E374&lt;&gt;""),1,0),1))</f>
        <v>0</v>
      </c>
      <c r="G373" s="13">
        <f ca="1">IF('Assemble Data'!F374="",0,IF(ISERROR(FIND("VLOOKUP",_xlfn.FORMULATEXT('Assemble Data'!F374),1)),1,0)+IFERROR(IF(AND('Assemble Data'!F374&lt;&gt;D373,'Assemble Data'!F374&lt;&gt;""),1,0),1))</f>
        <v>0</v>
      </c>
      <c r="H373" s="13">
        <f t="shared" si="26"/>
        <v>8</v>
      </c>
      <c r="I373" t="str">
        <f t="shared" si="27"/>
        <v>C2P10</v>
      </c>
    </row>
    <row r="374" spans="1:9">
      <c r="A374" t="str">
        <f>'Assemble Data'!B375</f>
        <v>P10</v>
      </c>
      <c r="B374" s="13">
        <f>IFERROR(SUMIF('Assemble Data'!K:K,'Assemble Data'!A375,'Assemble Data'!L:L),0)</f>
        <v>2400</v>
      </c>
      <c r="C374" s="13" t="str">
        <f>INDEX('Assemble Data'!$O$24:$O$1023,MATCH('Assemble Data'!A375,'Assemble Data'!$N$24:$N$1023,0))</f>
        <v>C2</v>
      </c>
      <c r="D374" s="13">
        <f>SUMIF('Assemble Data'!H:H,'Assemble Data'!A375,'Assemble Data'!I:I)</f>
        <v>3</v>
      </c>
      <c r="E374" s="13">
        <f>IFERROR(IF(AND('Assemble Data'!D375&lt;&gt;"",'Assemble Data'!D375&lt;&gt;B374),1,0),1)</f>
        <v>0</v>
      </c>
      <c r="F374" s="13">
        <f ca="1">IF('Assemble Data'!E375="",0,IF(ISERROR(FIND("INDEX",_xlfn.FORMULATEXT('Assemble Data'!E375),1)),1,0)+IFERROR(IF(AND('Assemble Data'!E375&lt;&gt;C374,'Assemble Data'!E375&lt;&gt;""),1,0),1))</f>
        <v>0</v>
      </c>
      <c r="G374" s="13">
        <f ca="1">IF('Assemble Data'!F375="",0,IF(ISERROR(FIND("VLOOKUP",_xlfn.FORMULATEXT('Assemble Data'!F375),1)),1,0)+IFERROR(IF(AND('Assemble Data'!F375&lt;&gt;D374,'Assemble Data'!F375&lt;&gt;""),1,0),1))</f>
        <v>0</v>
      </c>
      <c r="H374" s="13">
        <f t="shared" si="26"/>
        <v>8</v>
      </c>
      <c r="I374" t="str">
        <f t="shared" si="27"/>
        <v>C2P10</v>
      </c>
    </row>
    <row r="375" spans="1:9">
      <c r="A375" t="str">
        <f>'Assemble Data'!B376</f>
        <v>P11</v>
      </c>
      <c r="B375" s="13">
        <f>IFERROR(SUMIF('Assemble Data'!K:K,'Assemble Data'!A376,'Assemble Data'!L:L),0)</f>
        <v>22000</v>
      </c>
      <c r="C375" s="13" t="str">
        <f>INDEX('Assemble Data'!$O$24:$O$1023,MATCH('Assemble Data'!A376,'Assemble Data'!$N$24:$N$1023,0))</f>
        <v>C2</v>
      </c>
      <c r="D375" s="13">
        <f>SUMIF('Assemble Data'!H:H,'Assemble Data'!A376,'Assemble Data'!I:I)</f>
        <v>11</v>
      </c>
      <c r="E375" s="13">
        <f>IFERROR(IF(AND('Assemble Data'!D376&lt;&gt;"",'Assemble Data'!D376&lt;&gt;B375),1,0),1)</f>
        <v>0</v>
      </c>
      <c r="F375" s="13">
        <f ca="1">IF('Assemble Data'!E376="",0,IF(ISERROR(FIND("INDEX",_xlfn.FORMULATEXT('Assemble Data'!E376),1)),1,0)+IFERROR(IF(AND('Assemble Data'!E376&lt;&gt;C375,'Assemble Data'!E376&lt;&gt;""),1,0),1))</f>
        <v>0</v>
      </c>
      <c r="G375" s="13">
        <f ca="1">IF('Assemble Data'!F376="",0,IF(ISERROR(FIND("VLOOKUP",_xlfn.FORMULATEXT('Assemble Data'!F376),1)),1,0)+IFERROR(IF(AND('Assemble Data'!F376&lt;&gt;D375,'Assemble Data'!F376&lt;&gt;""),1,0),1))</f>
        <v>0</v>
      </c>
      <c r="H375" s="13">
        <f t="shared" si="26"/>
        <v>9</v>
      </c>
      <c r="I375" t="str">
        <f t="shared" si="27"/>
        <v>C2P11</v>
      </c>
    </row>
    <row r="376" spans="1:9">
      <c r="A376" t="str">
        <f>'Assemble Data'!B377</f>
        <v>P18</v>
      </c>
      <c r="B376" s="13">
        <f>IFERROR(SUMIF('Assemble Data'!K:K,'Assemble Data'!A377,'Assemble Data'!L:L),0)</f>
        <v>5940.0000000000009</v>
      </c>
      <c r="C376" s="13" t="str">
        <f>INDEX('Assemble Data'!$O$24:$O$1023,MATCH('Assemble Data'!A377,'Assemble Data'!$N$24:$N$1023,0))</f>
        <v>O2</v>
      </c>
      <c r="D376" s="13">
        <f>SUMIF('Assemble Data'!H:H,'Assemble Data'!A377,'Assemble Data'!I:I)</f>
        <v>6</v>
      </c>
      <c r="E376" s="13">
        <f>IFERROR(IF(AND('Assemble Data'!D377&lt;&gt;"",'Assemble Data'!D377&lt;&gt;B376),1,0),1)</f>
        <v>0</v>
      </c>
      <c r="F376" s="13">
        <f ca="1">IF('Assemble Data'!E377="",0,IF(ISERROR(FIND("INDEX",_xlfn.FORMULATEXT('Assemble Data'!E377),1)),1,0)+IFERROR(IF(AND('Assemble Data'!E377&lt;&gt;C376,'Assemble Data'!E377&lt;&gt;""),1,0),1))</f>
        <v>0</v>
      </c>
      <c r="G376" s="13">
        <f ca="1">IF('Assemble Data'!F377="",0,IF(ISERROR(FIND("VLOOKUP",_xlfn.FORMULATEXT('Assemble Data'!F377),1)),1,0)+IFERROR(IF(AND('Assemble Data'!F377&lt;&gt;D376,'Assemble Data'!F377&lt;&gt;""),1,0),1))</f>
        <v>0</v>
      </c>
      <c r="H376" s="13">
        <f t="shared" si="26"/>
        <v>2</v>
      </c>
      <c r="I376" t="str">
        <f t="shared" si="27"/>
        <v>O2P18</v>
      </c>
    </row>
    <row r="377" spans="1:9">
      <c r="A377" t="str">
        <f>'Assemble Data'!B378</f>
        <v>P14</v>
      </c>
      <c r="B377" s="13">
        <f>IFERROR(SUMIF('Assemble Data'!K:K,'Assemble Data'!A378,'Assemble Data'!L:L),0)</f>
        <v>6480</v>
      </c>
      <c r="C377" s="13" t="str">
        <f>INDEX('Assemble Data'!$O$24:$O$1023,MATCH('Assemble Data'!A378,'Assemble Data'!$N$24:$N$1023,0))</f>
        <v>N2</v>
      </c>
      <c r="D377" s="13">
        <f>SUMIF('Assemble Data'!H:H,'Assemble Data'!A378,'Assemble Data'!I:I)</f>
        <v>8</v>
      </c>
      <c r="E377" s="13">
        <f>IFERROR(IF(AND('Assemble Data'!D378&lt;&gt;"",'Assemble Data'!D378&lt;&gt;B377),1,0),1)</f>
        <v>0</v>
      </c>
      <c r="F377" s="13">
        <f ca="1">IF('Assemble Data'!E378="",0,IF(ISERROR(FIND("INDEX",_xlfn.FORMULATEXT('Assemble Data'!E378),1)),1,0)+IFERROR(IF(AND('Assemble Data'!E378&lt;&gt;C377,'Assemble Data'!E378&lt;&gt;""),1,0),1))</f>
        <v>0</v>
      </c>
      <c r="G377" s="13">
        <f ca="1">IF('Assemble Data'!F378="",0,IF(ISERROR(FIND("VLOOKUP",_xlfn.FORMULATEXT('Assemble Data'!F378),1)),1,0)+IFERROR(IF(AND('Assemble Data'!F378&lt;&gt;D377,'Assemble Data'!F378&lt;&gt;""),1,0),1))</f>
        <v>0</v>
      </c>
      <c r="H377" s="13">
        <f t="shared" si="26"/>
        <v>5</v>
      </c>
      <c r="I377" t="str">
        <f t="shared" si="27"/>
        <v>N2P14</v>
      </c>
    </row>
    <row r="378" spans="1:9">
      <c r="A378" t="str">
        <f>'Assemble Data'!B379</f>
        <v>P10</v>
      </c>
      <c r="B378" s="13">
        <f>IFERROR(SUMIF('Assemble Data'!K:K,'Assemble Data'!A379,'Assemble Data'!L:L),0)</f>
        <v>2400</v>
      </c>
      <c r="C378" s="13" t="str">
        <f>INDEX('Assemble Data'!$O$24:$O$1023,MATCH('Assemble Data'!A379,'Assemble Data'!$N$24:$N$1023,0))</f>
        <v>C2</v>
      </c>
      <c r="D378" s="13">
        <f>SUMIF('Assemble Data'!H:H,'Assemble Data'!A379,'Assemble Data'!I:I)</f>
        <v>3</v>
      </c>
      <c r="E378" s="13">
        <f>IFERROR(IF(AND('Assemble Data'!D379&lt;&gt;"",'Assemble Data'!D379&lt;&gt;B378),1,0),1)</f>
        <v>0</v>
      </c>
      <c r="F378" s="13">
        <f ca="1">IF('Assemble Data'!E379="",0,IF(ISERROR(FIND("INDEX",_xlfn.FORMULATEXT('Assemble Data'!E379),1)),1,0)+IFERROR(IF(AND('Assemble Data'!E379&lt;&gt;C378,'Assemble Data'!E379&lt;&gt;""),1,0),1))</f>
        <v>0</v>
      </c>
      <c r="G378" s="13">
        <f ca="1">IF('Assemble Data'!F379="",0,IF(ISERROR(FIND("VLOOKUP",_xlfn.FORMULATEXT('Assemble Data'!F379),1)),1,0)+IFERROR(IF(AND('Assemble Data'!F379&lt;&gt;D378,'Assemble Data'!F379&lt;&gt;""),1,0),1))</f>
        <v>0</v>
      </c>
      <c r="H378" s="13">
        <f t="shared" si="26"/>
        <v>8</v>
      </c>
      <c r="I378" t="str">
        <f t="shared" si="27"/>
        <v>C2P10</v>
      </c>
    </row>
    <row r="379" spans="1:9">
      <c r="A379" t="str">
        <f>'Assemble Data'!B380</f>
        <v>P13</v>
      </c>
      <c r="B379" s="13">
        <f>IFERROR(SUMIF('Assemble Data'!K:K,'Assemble Data'!A380,'Assemble Data'!L:L),0)</f>
        <v>4500</v>
      </c>
      <c r="C379" s="13" t="str">
        <f>INDEX('Assemble Data'!$O$24:$O$1023,MATCH('Assemble Data'!A380,'Assemble Data'!$N$24:$N$1023,0))</f>
        <v>C2</v>
      </c>
      <c r="D379" s="13">
        <f>SUMIF('Assemble Data'!H:H,'Assemble Data'!A380,'Assemble Data'!I:I)</f>
        <v>5</v>
      </c>
      <c r="E379" s="13">
        <f>IFERROR(IF(AND('Assemble Data'!D380&lt;&gt;"",'Assemble Data'!D380&lt;&gt;B379),1,0),1)</f>
        <v>0</v>
      </c>
      <c r="F379" s="13">
        <f ca="1">IF('Assemble Data'!E380="",0,IF(ISERROR(FIND("INDEX",_xlfn.FORMULATEXT('Assemble Data'!E380),1)),1,0)+IFERROR(IF(AND('Assemble Data'!E380&lt;&gt;C379,'Assemble Data'!E380&lt;&gt;""),1,0),1))</f>
        <v>0</v>
      </c>
      <c r="G379" s="13">
        <f ca="1">IF('Assemble Data'!F380="",0,IF(ISERROR(FIND("VLOOKUP",_xlfn.FORMULATEXT('Assemble Data'!F380),1)),1,0)+IFERROR(IF(AND('Assemble Data'!F380&lt;&gt;D379,'Assemble Data'!F380&lt;&gt;""),1,0),1))</f>
        <v>0</v>
      </c>
      <c r="H379" s="13">
        <f t="shared" ref="H379:H442" si="28">H362</f>
        <v>3</v>
      </c>
      <c r="I379" t="str">
        <f t="shared" si="27"/>
        <v>C2P13</v>
      </c>
    </row>
    <row r="380" spans="1:9">
      <c r="A380" t="str">
        <f>'Assemble Data'!B381</f>
        <v>P13</v>
      </c>
      <c r="B380" s="13">
        <f>IFERROR(SUMIF('Assemble Data'!K:K,'Assemble Data'!A381,'Assemble Data'!L:L),0)</f>
        <v>4500</v>
      </c>
      <c r="C380" s="13" t="str">
        <f>INDEX('Assemble Data'!$O$24:$O$1023,MATCH('Assemble Data'!A381,'Assemble Data'!$N$24:$N$1023,0))</f>
        <v>C2</v>
      </c>
      <c r="D380" s="13">
        <f>SUMIF('Assemble Data'!H:H,'Assemble Data'!A381,'Assemble Data'!I:I)</f>
        <v>5</v>
      </c>
      <c r="E380" s="13">
        <f>IFERROR(IF(AND('Assemble Data'!D381&lt;&gt;"",'Assemble Data'!D381&lt;&gt;B380),1,0),1)</f>
        <v>0</v>
      </c>
      <c r="F380" s="13">
        <f ca="1">IF('Assemble Data'!E381="",0,IF(ISERROR(FIND("INDEX",_xlfn.FORMULATEXT('Assemble Data'!E381),1)),1,0)+IFERROR(IF(AND('Assemble Data'!E381&lt;&gt;C380,'Assemble Data'!E381&lt;&gt;""),1,0),1))</f>
        <v>0</v>
      </c>
      <c r="G380" s="13">
        <f ca="1">IF('Assemble Data'!F381="",0,IF(ISERROR(FIND("VLOOKUP",_xlfn.FORMULATEXT('Assemble Data'!F381),1)),1,0)+IFERROR(IF(AND('Assemble Data'!F381&lt;&gt;D380,'Assemble Data'!F381&lt;&gt;""),1,0),1))</f>
        <v>0</v>
      </c>
      <c r="H380" s="13">
        <f t="shared" si="28"/>
        <v>3</v>
      </c>
      <c r="I380" t="str">
        <f t="shared" si="27"/>
        <v>C2P13</v>
      </c>
    </row>
    <row r="381" spans="1:9">
      <c r="A381" t="str">
        <f>'Assemble Data'!B382</f>
        <v>P10</v>
      </c>
      <c r="B381" s="13">
        <f>IFERROR(SUMIF('Assemble Data'!K:K,'Assemble Data'!A382,'Assemble Data'!L:L),0)</f>
        <v>2400</v>
      </c>
      <c r="C381" s="13" t="str">
        <f>INDEX('Assemble Data'!$O$24:$O$1023,MATCH('Assemble Data'!A382,'Assemble Data'!$N$24:$N$1023,0))</f>
        <v>C2</v>
      </c>
      <c r="D381" s="13">
        <f>SUMIF('Assemble Data'!H:H,'Assemble Data'!A382,'Assemble Data'!I:I)</f>
        <v>3</v>
      </c>
      <c r="E381" s="13">
        <f>IFERROR(IF(AND('Assemble Data'!D382&lt;&gt;"",'Assemble Data'!D382&lt;&gt;B381),1,0),1)</f>
        <v>0</v>
      </c>
      <c r="F381" s="13">
        <f ca="1">IF('Assemble Data'!E382="",0,IF(ISERROR(FIND("INDEX",_xlfn.FORMULATEXT('Assemble Data'!E382),1)),1,0)+IFERROR(IF(AND('Assemble Data'!E382&lt;&gt;C381,'Assemble Data'!E382&lt;&gt;""),1,0),1))</f>
        <v>0</v>
      </c>
      <c r="G381" s="13">
        <f ca="1">IF('Assemble Data'!F382="",0,IF(ISERROR(FIND("VLOOKUP",_xlfn.FORMULATEXT('Assemble Data'!F382),1)),1,0)+IFERROR(IF(AND('Assemble Data'!F382&lt;&gt;D381,'Assemble Data'!F382&lt;&gt;""),1,0),1))</f>
        <v>0</v>
      </c>
      <c r="H381" s="13">
        <f t="shared" si="28"/>
        <v>8</v>
      </c>
      <c r="I381" t="str">
        <f t="shared" si="27"/>
        <v>C2P10</v>
      </c>
    </row>
    <row r="382" spans="1:9">
      <c r="A382" t="str">
        <f>'Assemble Data'!B383</f>
        <v>P11</v>
      </c>
      <c r="B382" s="13">
        <f>IFERROR(SUMIF('Assemble Data'!K:K,'Assemble Data'!A383,'Assemble Data'!L:L),0)</f>
        <v>11000</v>
      </c>
      <c r="C382" s="13" t="str">
        <f>INDEX('Assemble Data'!$O$24:$O$1023,MATCH('Assemble Data'!A383,'Assemble Data'!$N$24:$N$1023,0))</f>
        <v>C2</v>
      </c>
      <c r="D382" s="13">
        <f>SUMIF('Assemble Data'!H:H,'Assemble Data'!A383,'Assemble Data'!I:I)</f>
        <v>11</v>
      </c>
      <c r="E382" s="13">
        <f>IFERROR(IF(AND('Assemble Data'!D383&lt;&gt;"",'Assemble Data'!D383&lt;&gt;B382),1,0),1)</f>
        <v>0</v>
      </c>
      <c r="F382" s="13">
        <f ca="1">IF('Assemble Data'!E383="",0,IF(ISERROR(FIND("INDEX",_xlfn.FORMULATEXT('Assemble Data'!E383),1)),1,0)+IFERROR(IF(AND('Assemble Data'!E383&lt;&gt;C382,'Assemble Data'!E383&lt;&gt;""),1,0),1))</f>
        <v>0</v>
      </c>
      <c r="G382" s="13">
        <f ca="1">IF('Assemble Data'!F383="",0,IF(ISERROR(FIND("VLOOKUP",_xlfn.FORMULATEXT('Assemble Data'!F383),1)),1,0)+IFERROR(IF(AND('Assemble Data'!F383&lt;&gt;D382,'Assemble Data'!F383&lt;&gt;""),1,0),1))</f>
        <v>0</v>
      </c>
      <c r="H382" s="13">
        <f t="shared" si="28"/>
        <v>9</v>
      </c>
      <c r="I382" t="str">
        <f t="shared" si="27"/>
        <v>C2P11</v>
      </c>
    </row>
    <row r="383" spans="1:9">
      <c r="A383" t="str">
        <f>'Assemble Data'!B384</f>
        <v>P16</v>
      </c>
      <c r="B383" s="13">
        <f>IFERROR(SUMIF('Assemble Data'!K:K,'Assemble Data'!A384,'Assemble Data'!L:L),0)</f>
        <v>4680</v>
      </c>
      <c r="C383" s="13" t="str">
        <f>INDEX('Assemble Data'!$O$24:$O$1023,MATCH('Assemble Data'!A384,'Assemble Data'!$N$24:$N$1023,0))</f>
        <v>N2</v>
      </c>
      <c r="D383" s="13">
        <f>SUMIF('Assemble Data'!H:H,'Assemble Data'!A384,'Assemble Data'!I:I)</f>
        <v>4</v>
      </c>
      <c r="E383" s="13">
        <f>IFERROR(IF(AND('Assemble Data'!D384&lt;&gt;"",'Assemble Data'!D384&lt;&gt;B383),1,0),1)</f>
        <v>0</v>
      </c>
      <c r="F383" s="13">
        <f ca="1">IF('Assemble Data'!E384="",0,IF(ISERROR(FIND("INDEX",_xlfn.FORMULATEXT('Assemble Data'!E384),1)),1,0)+IFERROR(IF(AND('Assemble Data'!E384&lt;&gt;C383,'Assemble Data'!E384&lt;&gt;""),1,0),1))</f>
        <v>0</v>
      </c>
      <c r="G383" s="13">
        <f ca="1">IF('Assemble Data'!F384="",0,IF(ISERROR(FIND("VLOOKUP",_xlfn.FORMULATEXT('Assemble Data'!F384),1)),1,0)+IFERROR(IF(AND('Assemble Data'!F384&lt;&gt;D383,'Assemble Data'!F384&lt;&gt;""),1,0),1))</f>
        <v>0</v>
      </c>
      <c r="H383" s="13">
        <f t="shared" si="28"/>
        <v>0</v>
      </c>
      <c r="I383" t="str">
        <f t="shared" si="27"/>
        <v>N2P16</v>
      </c>
    </row>
    <row r="384" spans="1:9">
      <c r="A384" t="str">
        <f>'Assemble Data'!B385</f>
        <v>P17</v>
      </c>
      <c r="B384" s="13">
        <f>IFERROR(SUMIF('Assemble Data'!K:K,'Assemble Data'!A385,'Assemble Data'!L:L),0)</f>
        <v>13200.000000000002</v>
      </c>
      <c r="C384" s="13" t="str">
        <f>INDEX('Assemble Data'!$O$24:$O$1023,MATCH('Assemble Data'!A385,'Assemble Data'!$N$24:$N$1023,0))</f>
        <v>O2</v>
      </c>
      <c r="D384" s="13">
        <f>SUMIF('Assemble Data'!H:H,'Assemble Data'!A385,'Assemble Data'!I:I)</f>
        <v>12</v>
      </c>
      <c r="E384" s="13">
        <f>IFERROR(IF(AND('Assemble Data'!D385&lt;&gt;"",'Assemble Data'!D385&lt;&gt;B384),1,0),1)</f>
        <v>0</v>
      </c>
      <c r="F384" s="13">
        <f ca="1">IF('Assemble Data'!E385="",0,IF(ISERROR(FIND("INDEX",_xlfn.FORMULATEXT('Assemble Data'!E385),1)),1,0)+IFERROR(IF(AND('Assemble Data'!E385&lt;&gt;C384,'Assemble Data'!E385&lt;&gt;""),1,0),1))</f>
        <v>0</v>
      </c>
      <c r="G384" s="13">
        <f ca="1">IF('Assemble Data'!F385="",0,IF(ISERROR(FIND("VLOOKUP",_xlfn.FORMULATEXT('Assemble Data'!F385),1)),1,0)+IFERROR(IF(AND('Assemble Data'!F385&lt;&gt;D384,'Assemble Data'!F385&lt;&gt;""),1,0),1))</f>
        <v>0</v>
      </c>
      <c r="H384" s="13">
        <f t="shared" si="28"/>
        <v>6</v>
      </c>
      <c r="I384" t="str">
        <f t="shared" si="27"/>
        <v>O2P17</v>
      </c>
    </row>
    <row r="385" spans="1:9">
      <c r="A385" t="str">
        <f>'Assemble Data'!B386</f>
        <v>P17</v>
      </c>
      <c r="B385" s="13">
        <f>IFERROR(SUMIF('Assemble Data'!K:K,'Assemble Data'!A386,'Assemble Data'!L:L),0)</f>
        <v>13200.000000000002</v>
      </c>
      <c r="C385" s="13" t="str">
        <f>INDEX('Assemble Data'!$O$24:$O$1023,MATCH('Assemble Data'!A386,'Assemble Data'!$N$24:$N$1023,0))</f>
        <v>O2</v>
      </c>
      <c r="D385" s="13">
        <f>SUMIF('Assemble Data'!H:H,'Assemble Data'!A386,'Assemble Data'!I:I)</f>
        <v>12</v>
      </c>
      <c r="E385" s="13">
        <f>IFERROR(IF(AND('Assemble Data'!D386&lt;&gt;"",'Assemble Data'!D386&lt;&gt;B385),1,0),1)</f>
        <v>0</v>
      </c>
      <c r="F385" s="13">
        <f ca="1">IF('Assemble Data'!E386="",0,IF(ISERROR(FIND("INDEX",_xlfn.FORMULATEXT('Assemble Data'!E386),1)),1,0)+IFERROR(IF(AND('Assemble Data'!E386&lt;&gt;C385,'Assemble Data'!E386&lt;&gt;""),1,0),1))</f>
        <v>0</v>
      </c>
      <c r="G385" s="13">
        <f ca="1">IF('Assemble Data'!F386="",0,IF(ISERROR(FIND("VLOOKUP",_xlfn.FORMULATEXT('Assemble Data'!F386),1)),1,0)+IFERROR(IF(AND('Assemble Data'!F386&lt;&gt;D385,'Assemble Data'!F386&lt;&gt;""),1,0),1))</f>
        <v>0</v>
      </c>
      <c r="H385" s="13">
        <f t="shared" si="28"/>
        <v>6</v>
      </c>
      <c r="I385" t="str">
        <f t="shared" si="27"/>
        <v>O2P17</v>
      </c>
    </row>
    <row r="386" spans="1:9">
      <c r="A386" t="str">
        <f>'Assemble Data'!B387</f>
        <v>P13</v>
      </c>
      <c r="B386" s="13">
        <f>IFERROR(SUMIF('Assemble Data'!K:K,'Assemble Data'!A387,'Assemble Data'!L:L),0)</f>
        <v>4500</v>
      </c>
      <c r="C386" s="13" t="str">
        <f>INDEX('Assemble Data'!$O$24:$O$1023,MATCH('Assemble Data'!A387,'Assemble Data'!$N$24:$N$1023,0))</f>
        <v>C2</v>
      </c>
      <c r="D386" s="13">
        <f>SUMIF('Assemble Data'!H:H,'Assemble Data'!A387,'Assemble Data'!I:I)</f>
        <v>5</v>
      </c>
      <c r="E386" s="13">
        <f>IFERROR(IF(AND('Assemble Data'!D387&lt;&gt;"",'Assemble Data'!D387&lt;&gt;B386),1,0),1)</f>
        <v>0</v>
      </c>
      <c r="F386" s="13">
        <f ca="1">IF('Assemble Data'!E387="",0,IF(ISERROR(FIND("INDEX",_xlfn.FORMULATEXT('Assemble Data'!E387),1)),1,0)+IFERROR(IF(AND('Assemble Data'!E387&lt;&gt;C386,'Assemble Data'!E387&lt;&gt;""),1,0),1))</f>
        <v>0</v>
      </c>
      <c r="G386" s="13">
        <f ca="1">IF('Assemble Data'!F387="",0,IF(ISERROR(FIND("VLOOKUP",_xlfn.FORMULATEXT('Assemble Data'!F387),1)),1,0)+IFERROR(IF(AND('Assemble Data'!F387&lt;&gt;D386,'Assemble Data'!F387&lt;&gt;""),1,0),1))</f>
        <v>0</v>
      </c>
      <c r="H386" s="13">
        <f t="shared" si="28"/>
        <v>3</v>
      </c>
      <c r="I386" t="str">
        <f t="shared" si="27"/>
        <v>C2P13</v>
      </c>
    </row>
    <row r="387" spans="1:9">
      <c r="A387" t="str">
        <f>'Assemble Data'!B388</f>
        <v>P11</v>
      </c>
      <c r="B387" s="13">
        <f>IFERROR(SUMIF('Assemble Data'!K:K,'Assemble Data'!A388,'Assemble Data'!L:L),0)</f>
        <v>11000</v>
      </c>
      <c r="C387" s="13" t="str">
        <f>INDEX('Assemble Data'!$O$24:$O$1023,MATCH('Assemble Data'!A388,'Assemble Data'!$N$24:$N$1023,0))</f>
        <v>C2</v>
      </c>
      <c r="D387" s="13">
        <f>SUMIF('Assemble Data'!H:H,'Assemble Data'!A388,'Assemble Data'!I:I)</f>
        <v>11</v>
      </c>
      <c r="E387" s="13">
        <f>IFERROR(IF(AND('Assemble Data'!D388&lt;&gt;"",'Assemble Data'!D388&lt;&gt;B387),1,0),1)</f>
        <v>0</v>
      </c>
      <c r="F387" s="13">
        <f ca="1">IF('Assemble Data'!E388="",0,IF(ISERROR(FIND("INDEX",_xlfn.FORMULATEXT('Assemble Data'!E388),1)),1,0)+IFERROR(IF(AND('Assemble Data'!E388&lt;&gt;C387,'Assemble Data'!E388&lt;&gt;""),1,0),1))</f>
        <v>0</v>
      </c>
      <c r="G387" s="13">
        <f ca="1">IF('Assemble Data'!F388="",0,IF(ISERROR(FIND("VLOOKUP",_xlfn.FORMULATEXT('Assemble Data'!F388),1)),1,0)+IFERROR(IF(AND('Assemble Data'!F388&lt;&gt;D387,'Assemble Data'!F388&lt;&gt;""),1,0),1))</f>
        <v>0</v>
      </c>
      <c r="H387" s="13">
        <f t="shared" si="28"/>
        <v>9</v>
      </c>
      <c r="I387" t="str">
        <f t="shared" si="27"/>
        <v>C2P11</v>
      </c>
    </row>
    <row r="388" spans="1:9">
      <c r="A388" t="str">
        <f>'Assemble Data'!B389</f>
        <v>P11</v>
      </c>
      <c r="B388" s="13">
        <f>IFERROR(SUMIF('Assemble Data'!K:K,'Assemble Data'!A389,'Assemble Data'!L:L),0)</f>
        <v>11000</v>
      </c>
      <c r="C388" s="13" t="str">
        <f>INDEX('Assemble Data'!$O$24:$O$1023,MATCH('Assemble Data'!A389,'Assemble Data'!$N$24:$N$1023,0))</f>
        <v>C2</v>
      </c>
      <c r="D388" s="13">
        <f>SUMIF('Assemble Data'!H:H,'Assemble Data'!A389,'Assemble Data'!I:I)</f>
        <v>11</v>
      </c>
      <c r="E388" s="13">
        <f>IFERROR(IF(AND('Assemble Data'!D389&lt;&gt;"",'Assemble Data'!D389&lt;&gt;B388),1,0),1)</f>
        <v>0</v>
      </c>
      <c r="F388" s="13">
        <f ca="1">IF('Assemble Data'!E389="",0,IF(ISERROR(FIND("INDEX",_xlfn.FORMULATEXT('Assemble Data'!E389),1)),1,0)+IFERROR(IF(AND('Assemble Data'!E389&lt;&gt;C388,'Assemble Data'!E389&lt;&gt;""),1,0),1))</f>
        <v>0</v>
      </c>
      <c r="G388" s="13">
        <f ca="1">IF('Assemble Data'!F389="",0,IF(ISERROR(FIND("VLOOKUP",_xlfn.FORMULATEXT('Assemble Data'!F389),1)),1,0)+IFERROR(IF(AND('Assemble Data'!F389&lt;&gt;D388,'Assemble Data'!F389&lt;&gt;""),1,0),1))</f>
        <v>0</v>
      </c>
      <c r="H388" s="13">
        <f t="shared" si="28"/>
        <v>9</v>
      </c>
      <c r="I388" t="str">
        <f t="shared" si="27"/>
        <v>C2P11</v>
      </c>
    </row>
    <row r="389" spans="1:9">
      <c r="A389" t="str">
        <f>'Assemble Data'!B390</f>
        <v>P12</v>
      </c>
      <c r="B389" s="13">
        <f>IFERROR(SUMIF('Assemble Data'!K:K,'Assemble Data'!A390,'Assemble Data'!L:L),0)</f>
        <v>6825</v>
      </c>
      <c r="C389" s="13" t="str">
        <f>INDEX('Assemble Data'!$O$24:$O$1023,MATCH('Assemble Data'!A390,'Assemble Data'!$N$24:$N$1023,0))</f>
        <v>C2</v>
      </c>
      <c r="D389" s="13">
        <f>SUMIF('Assemble Data'!H:H,'Assemble Data'!A390,'Assemble Data'!I:I)</f>
        <v>6.5</v>
      </c>
      <c r="E389" s="13">
        <f>IFERROR(IF(AND('Assemble Data'!D390&lt;&gt;"",'Assemble Data'!D390&lt;&gt;B389),1,0),1)</f>
        <v>0</v>
      </c>
      <c r="F389" s="13">
        <f ca="1">IF('Assemble Data'!E390="",0,IF(ISERROR(FIND("INDEX",_xlfn.FORMULATEXT('Assemble Data'!E390),1)),1,0)+IFERROR(IF(AND('Assemble Data'!E390&lt;&gt;C389,'Assemble Data'!E390&lt;&gt;""),1,0),1))</f>
        <v>0</v>
      </c>
      <c r="G389" s="13">
        <f ca="1">IF('Assemble Data'!F390="",0,IF(ISERROR(FIND("VLOOKUP",_xlfn.FORMULATEXT('Assemble Data'!F390),1)),1,0)+IFERROR(IF(AND('Assemble Data'!F390&lt;&gt;D389,'Assemble Data'!F390&lt;&gt;""),1,0),1))</f>
        <v>0</v>
      </c>
      <c r="H389" s="13">
        <f t="shared" si="28"/>
        <v>7</v>
      </c>
      <c r="I389" t="str">
        <f t="shared" si="27"/>
        <v>C2P12</v>
      </c>
    </row>
    <row r="390" spans="1:9">
      <c r="A390" t="str">
        <f>'Assemble Data'!B391</f>
        <v>P10</v>
      </c>
      <c r="B390" s="13">
        <f>IFERROR(SUMIF('Assemble Data'!K:K,'Assemble Data'!A391,'Assemble Data'!L:L),0)</f>
        <v>2400</v>
      </c>
      <c r="C390" s="13" t="str">
        <f>INDEX('Assemble Data'!$O$24:$O$1023,MATCH('Assemble Data'!A391,'Assemble Data'!$N$24:$N$1023,0))</f>
        <v>C2</v>
      </c>
      <c r="D390" s="13">
        <f>SUMIF('Assemble Data'!H:H,'Assemble Data'!A391,'Assemble Data'!I:I)</f>
        <v>3</v>
      </c>
      <c r="E390" s="13">
        <f>IFERROR(IF(AND('Assemble Data'!D391&lt;&gt;"",'Assemble Data'!D391&lt;&gt;B390),1,0),1)</f>
        <v>0</v>
      </c>
      <c r="F390" s="13">
        <f ca="1">IF('Assemble Data'!E391="",0,IF(ISERROR(FIND("INDEX",_xlfn.FORMULATEXT('Assemble Data'!E391),1)),1,0)+IFERROR(IF(AND('Assemble Data'!E391&lt;&gt;C390,'Assemble Data'!E391&lt;&gt;""),1,0),1))</f>
        <v>0</v>
      </c>
      <c r="G390" s="13">
        <f ca="1">IF('Assemble Data'!F391="",0,IF(ISERROR(FIND("VLOOKUP",_xlfn.FORMULATEXT('Assemble Data'!F391),1)),1,0)+IFERROR(IF(AND('Assemble Data'!F391&lt;&gt;D390,'Assemble Data'!F391&lt;&gt;""),1,0),1))</f>
        <v>0</v>
      </c>
      <c r="H390" s="13">
        <f t="shared" si="28"/>
        <v>8</v>
      </c>
      <c r="I390" t="str">
        <f t="shared" si="27"/>
        <v>C2P10</v>
      </c>
    </row>
    <row r="391" spans="1:9">
      <c r="A391" t="str">
        <f>'Assemble Data'!B392</f>
        <v>P10</v>
      </c>
      <c r="B391" s="13">
        <f>IFERROR(SUMIF('Assemble Data'!K:K,'Assemble Data'!A392,'Assemble Data'!L:L),0)</f>
        <v>2400</v>
      </c>
      <c r="C391" s="13" t="str">
        <f>INDEX('Assemble Data'!$O$24:$O$1023,MATCH('Assemble Data'!A392,'Assemble Data'!$N$24:$N$1023,0))</f>
        <v>C2</v>
      </c>
      <c r="D391" s="13">
        <f>SUMIF('Assemble Data'!H:H,'Assemble Data'!A392,'Assemble Data'!I:I)</f>
        <v>3</v>
      </c>
      <c r="E391" s="13">
        <f>IFERROR(IF(AND('Assemble Data'!D392&lt;&gt;"",'Assemble Data'!D392&lt;&gt;B391),1,0),1)</f>
        <v>0</v>
      </c>
      <c r="F391" s="13">
        <f ca="1">IF('Assemble Data'!E392="",0,IF(ISERROR(FIND("INDEX",_xlfn.FORMULATEXT('Assemble Data'!E392),1)),1,0)+IFERROR(IF(AND('Assemble Data'!E392&lt;&gt;C391,'Assemble Data'!E392&lt;&gt;""),1,0),1))</f>
        <v>0</v>
      </c>
      <c r="G391" s="13">
        <f ca="1">IF('Assemble Data'!F392="",0,IF(ISERROR(FIND("VLOOKUP",_xlfn.FORMULATEXT('Assemble Data'!F392),1)),1,0)+IFERROR(IF(AND('Assemble Data'!F392&lt;&gt;D391,'Assemble Data'!F392&lt;&gt;""),1,0),1))</f>
        <v>0</v>
      </c>
      <c r="H391" s="13">
        <f t="shared" si="28"/>
        <v>8</v>
      </c>
      <c r="I391" t="str">
        <f t="shared" si="27"/>
        <v>C2P10</v>
      </c>
    </row>
    <row r="392" spans="1:9">
      <c r="A392" t="str">
        <f>'Assemble Data'!B393</f>
        <v>P11</v>
      </c>
      <c r="B392" s="13">
        <f>IFERROR(SUMIF('Assemble Data'!K:K,'Assemble Data'!A393,'Assemble Data'!L:L),0)</f>
        <v>8800</v>
      </c>
      <c r="C392" s="13" t="str">
        <f>INDEX('Assemble Data'!$O$24:$O$1023,MATCH('Assemble Data'!A393,'Assemble Data'!$N$24:$N$1023,0))</f>
        <v>C3</v>
      </c>
      <c r="D392" s="13">
        <f>SUMIF('Assemble Data'!H:H,'Assemble Data'!A393,'Assemble Data'!I:I)</f>
        <v>11</v>
      </c>
      <c r="E392" s="13">
        <f>IFERROR(IF(AND('Assemble Data'!D393&lt;&gt;"",'Assemble Data'!D393&lt;&gt;B392),1,0),1)</f>
        <v>0</v>
      </c>
      <c r="F392" s="13">
        <f ca="1">IF('Assemble Data'!E393="",0,IF(ISERROR(FIND("INDEX",_xlfn.FORMULATEXT('Assemble Data'!E393),1)),1,0)+IFERROR(IF(AND('Assemble Data'!E393&lt;&gt;C392,'Assemble Data'!E393&lt;&gt;""),1,0),1))</f>
        <v>0</v>
      </c>
      <c r="G392" s="13">
        <f ca="1">IF('Assemble Data'!F393="",0,IF(ISERROR(FIND("VLOOKUP",_xlfn.FORMULATEXT('Assemble Data'!F393),1)),1,0)+IFERROR(IF(AND('Assemble Data'!F393&lt;&gt;D392,'Assemble Data'!F393&lt;&gt;""),1,0),1))</f>
        <v>0</v>
      </c>
      <c r="H392" s="13">
        <f t="shared" si="28"/>
        <v>9</v>
      </c>
      <c r="I392" t="str">
        <f t="shared" si="27"/>
        <v>C3P11</v>
      </c>
    </row>
    <row r="393" spans="1:9">
      <c r="A393" t="str">
        <f>'Assemble Data'!B394</f>
        <v>P18</v>
      </c>
      <c r="B393" s="13">
        <f>IFERROR(SUMIF('Assemble Data'!K:K,'Assemble Data'!A394,'Assemble Data'!L:L),0)</f>
        <v>4320</v>
      </c>
      <c r="C393" s="13" t="str">
        <f>INDEX('Assemble Data'!$O$24:$O$1023,MATCH('Assemble Data'!A394,'Assemble Data'!$N$24:$N$1023,0))</f>
        <v>O3</v>
      </c>
      <c r="D393" s="13">
        <f>SUMIF('Assemble Data'!H:H,'Assemble Data'!A394,'Assemble Data'!I:I)</f>
        <v>6</v>
      </c>
      <c r="E393" s="13">
        <f>IFERROR(IF(AND('Assemble Data'!D394&lt;&gt;"",'Assemble Data'!D394&lt;&gt;B393),1,0),1)</f>
        <v>0</v>
      </c>
      <c r="F393" s="13">
        <f ca="1">IF('Assemble Data'!E394="",0,IF(ISERROR(FIND("INDEX",_xlfn.FORMULATEXT('Assemble Data'!E394),1)),1,0)+IFERROR(IF(AND('Assemble Data'!E394&lt;&gt;C393,'Assemble Data'!E394&lt;&gt;""),1,0),1))</f>
        <v>0</v>
      </c>
      <c r="G393" s="13">
        <f ca="1">IF('Assemble Data'!F394="",0,IF(ISERROR(FIND("VLOOKUP",_xlfn.FORMULATEXT('Assemble Data'!F394),1)),1,0)+IFERROR(IF(AND('Assemble Data'!F394&lt;&gt;D393,'Assemble Data'!F394&lt;&gt;""),1,0),1))</f>
        <v>0</v>
      </c>
      <c r="H393" s="13">
        <f t="shared" si="28"/>
        <v>2</v>
      </c>
      <c r="I393" t="str">
        <f t="shared" si="27"/>
        <v>O3P18</v>
      </c>
    </row>
    <row r="394" spans="1:9">
      <c r="A394" t="str">
        <f>'Assemble Data'!B395</f>
        <v>P14</v>
      </c>
      <c r="B394" s="13">
        <f>IFERROR(SUMIF('Assemble Data'!K:K,'Assemble Data'!A395,'Assemble Data'!L:L),0)</f>
        <v>7200</v>
      </c>
      <c r="C394" s="13" t="str">
        <f>INDEX('Assemble Data'!$O$24:$O$1023,MATCH('Assemble Data'!A395,'Assemble Data'!$N$24:$N$1023,0))</f>
        <v>N3</v>
      </c>
      <c r="D394" s="13">
        <f>SUMIF('Assemble Data'!H:H,'Assemble Data'!A395,'Assemble Data'!I:I)</f>
        <v>8</v>
      </c>
      <c r="E394" s="13">
        <f>IFERROR(IF(AND('Assemble Data'!D395&lt;&gt;"",'Assemble Data'!D395&lt;&gt;B394),1,0),1)</f>
        <v>0</v>
      </c>
      <c r="F394" s="13">
        <f ca="1">IF('Assemble Data'!E395="",0,IF(ISERROR(FIND("INDEX",_xlfn.FORMULATEXT('Assemble Data'!E395),1)),1,0)+IFERROR(IF(AND('Assemble Data'!E395&lt;&gt;C394,'Assemble Data'!E395&lt;&gt;""),1,0),1))</f>
        <v>0</v>
      </c>
      <c r="G394" s="13">
        <f ca="1">IF('Assemble Data'!F395="",0,IF(ISERROR(FIND("VLOOKUP",_xlfn.FORMULATEXT('Assemble Data'!F395),1)),1,0)+IFERROR(IF(AND('Assemble Data'!F395&lt;&gt;D394,'Assemble Data'!F395&lt;&gt;""),1,0),1))</f>
        <v>0</v>
      </c>
      <c r="H394" s="13">
        <f t="shared" si="28"/>
        <v>5</v>
      </c>
      <c r="I394" t="str">
        <f t="shared" si="27"/>
        <v>N3P14</v>
      </c>
    </row>
    <row r="395" spans="1:9">
      <c r="A395" t="str">
        <f>'Assemble Data'!B396</f>
        <v>P10</v>
      </c>
      <c r="B395" s="13">
        <f>IFERROR(SUMIF('Assemble Data'!K:K,'Assemble Data'!A396,'Assemble Data'!L:L),0)</f>
        <v>1920</v>
      </c>
      <c r="C395" s="13" t="str">
        <f>INDEX('Assemble Data'!$O$24:$O$1023,MATCH('Assemble Data'!A396,'Assemble Data'!$N$24:$N$1023,0))</f>
        <v>C3</v>
      </c>
      <c r="D395" s="13">
        <f>SUMIF('Assemble Data'!H:H,'Assemble Data'!A396,'Assemble Data'!I:I)</f>
        <v>3</v>
      </c>
      <c r="E395" s="13">
        <f>IFERROR(IF(AND('Assemble Data'!D396&lt;&gt;"",'Assemble Data'!D396&lt;&gt;B395),1,0),1)</f>
        <v>0</v>
      </c>
      <c r="F395" s="13">
        <f ca="1">IF('Assemble Data'!E396="",0,IF(ISERROR(FIND("INDEX",_xlfn.FORMULATEXT('Assemble Data'!E396),1)),1,0)+IFERROR(IF(AND('Assemble Data'!E396&lt;&gt;C395,'Assemble Data'!E396&lt;&gt;""),1,0),1))</f>
        <v>0</v>
      </c>
      <c r="G395" s="13">
        <f ca="1">IF('Assemble Data'!F396="",0,IF(ISERROR(FIND("VLOOKUP",_xlfn.FORMULATEXT('Assemble Data'!F396),1)),1,0)+IFERROR(IF(AND('Assemble Data'!F396&lt;&gt;D395,'Assemble Data'!F396&lt;&gt;""),1,0),1))</f>
        <v>0</v>
      </c>
      <c r="H395" s="13">
        <f t="shared" si="28"/>
        <v>8</v>
      </c>
      <c r="I395" t="str">
        <f t="shared" si="27"/>
        <v>C3P10</v>
      </c>
    </row>
    <row r="396" spans="1:9">
      <c r="A396" t="str">
        <f>'Assemble Data'!B397</f>
        <v>P13</v>
      </c>
      <c r="B396" s="13">
        <f>IFERROR(SUMIF('Assemble Data'!K:K,'Assemble Data'!A397,'Assemble Data'!L:L),0)</f>
        <v>3600</v>
      </c>
      <c r="C396" s="13" t="str">
        <f>INDEX('Assemble Data'!$O$24:$O$1023,MATCH('Assemble Data'!A397,'Assemble Data'!$N$24:$N$1023,0))</f>
        <v>C3</v>
      </c>
      <c r="D396" s="13">
        <f>SUMIF('Assemble Data'!H:H,'Assemble Data'!A397,'Assemble Data'!I:I)</f>
        <v>5</v>
      </c>
      <c r="E396" s="13">
        <f>IFERROR(IF(AND('Assemble Data'!D397&lt;&gt;"",'Assemble Data'!D397&lt;&gt;B396),1,0),1)</f>
        <v>0</v>
      </c>
      <c r="F396" s="13">
        <f ca="1">IF('Assemble Data'!E397="",0,IF(ISERROR(FIND("INDEX",_xlfn.FORMULATEXT('Assemble Data'!E397),1)),1,0)+IFERROR(IF(AND('Assemble Data'!E397&lt;&gt;C396,'Assemble Data'!E397&lt;&gt;""),1,0),1))</f>
        <v>0</v>
      </c>
      <c r="G396" s="13">
        <f ca="1">IF('Assemble Data'!F397="",0,IF(ISERROR(FIND("VLOOKUP",_xlfn.FORMULATEXT('Assemble Data'!F397),1)),1,0)+IFERROR(IF(AND('Assemble Data'!F397&lt;&gt;D396,'Assemble Data'!F397&lt;&gt;""),1,0),1))</f>
        <v>0</v>
      </c>
      <c r="H396" s="13">
        <f t="shared" si="28"/>
        <v>3</v>
      </c>
      <c r="I396" t="str">
        <f t="shared" si="27"/>
        <v>C3P13</v>
      </c>
    </row>
    <row r="397" spans="1:9">
      <c r="A397" t="str">
        <f>'Assemble Data'!B398</f>
        <v>P13</v>
      </c>
      <c r="B397" s="13">
        <f>IFERROR(SUMIF('Assemble Data'!K:K,'Assemble Data'!A398,'Assemble Data'!L:L),0)</f>
        <v>3600</v>
      </c>
      <c r="C397" s="13" t="str">
        <f>INDEX('Assemble Data'!$O$24:$O$1023,MATCH('Assemble Data'!A398,'Assemble Data'!$N$24:$N$1023,0))</f>
        <v>C3</v>
      </c>
      <c r="D397" s="13">
        <f>SUMIF('Assemble Data'!H:H,'Assemble Data'!A398,'Assemble Data'!I:I)</f>
        <v>5</v>
      </c>
      <c r="E397" s="13">
        <f>IFERROR(IF(AND('Assemble Data'!D398&lt;&gt;"",'Assemble Data'!D398&lt;&gt;B397),1,0),1)</f>
        <v>0</v>
      </c>
      <c r="F397" s="13">
        <f ca="1">IF('Assemble Data'!E398="",0,IF(ISERROR(FIND("INDEX",_xlfn.FORMULATEXT('Assemble Data'!E398),1)),1,0)+IFERROR(IF(AND('Assemble Data'!E398&lt;&gt;C397,'Assemble Data'!E398&lt;&gt;""),1,0),1))</f>
        <v>0</v>
      </c>
      <c r="G397" s="13">
        <f ca="1">IF('Assemble Data'!F398="",0,IF(ISERROR(FIND("VLOOKUP",_xlfn.FORMULATEXT('Assemble Data'!F398),1)),1,0)+IFERROR(IF(AND('Assemble Data'!F398&lt;&gt;D397,'Assemble Data'!F398&lt;&gt;""),1,0),1))</f>
        <v>0</v>
      </c>
      <c r="H397" s="13">
        <f t="shared" si="28"/>
        <v>3</v>
      </c>
      <c r="I397" t="str">
        <f t="shared" si="27"/>
        <v>C3P13</v>
      </c>
    </row>
    <row r="398" spans="1:9">
      <c r="A398" t="str">
        <f>'Assemble Data'!B399</f>
        <v>P10</v>
      </c>
      <c r="B398" s="13">
        <f>IFERROR(SUMIF('Assemble Data'!K:K,'Assemble Data'!A399,'Assemble Data'!L:L),0)</f>
        <v>1920</v>
      </c>
      <c r="C398" s="13" t="str">
        <f>INDEX('Assemble Data'!$O$24:$O$1023,MATCH('Assemble Data'!A399,'Assemble Data'!$N$24:$N$1023,0))</f>
        <v>C3</v>
      </c>
      <c r="D398" s="13">
        <f>SUMIF('Assemble Data'!H:H,'Assemble Data'!A399,'Assemble Data'!I:I)</f>
        <v>3</v>
      </c>
      <c r="E398" s="13">
        <f>IFERROR(IF(AND('Assemble Data'!D399&lt;&gt;"",'Assemble Data'!D399&lt;&gt;B398),1,0),1)</f>
        <v>0</v>
      </c>
      <c r="F398" s="13">
        <f ca="1">IF('Assemble Data'!E399="",0,IF(ISERROR(FIND("INDEX",_xlfn.FORMULATEXT('Assemble Data'!E399),1)),1,0)+IFERROR(IF(AND('Assemble Data'!E399&lt;&gt;C398,'Assemble Data'!E399&lt;&gt;""),1,0),1))</f>
        <v>0</v>
      </c>
      <c r="G398" s="13">
        <f ca="1">IF('Assemble Data'!F399="",0,IF(ISERROR(FIND("VLOOKUP",_xlfn.FORMULATEXT('Assemble Data'!F399),1)),1,0)+IFERROR(IF(AND('Assemble Data'!F399&lt;&gt;D398,'Assemble Data'!F399&lt;&gt;""),1,0),1))</f>
        <v>0</v>
      </c>
      <c r="H398" s="13">
        <f t="shared" si="28"/>
        <v>8</v>
      </c>
      <c r="I398" t="str">
        <f t="shared" si="27"/>
        <v>C3P10</v>
      </c>
    </row>
    <row r="399" spans="1:9">
      <c r="A399" t="str">
        <f>'Assemble Data'!B400</f>
        <v>P11</v>
      </c>
      <c r="B399" s="13">
        <f>IFERROR(SUMIF('Assemble Data'!K:K,'Assemble Data'!A400,'Assemble Data'!L:L),0)</f>
        <v>8800</v>
      </c>
      <c r="C399" s="13" t="str">
        <f>INDEX('Assemble Data'!$O$24:$O$1023,MATCH('Assemble Data'!A400,'Assemble Data'!$N$24:$N$1023,0))</f>
        <v>C3</v>
      </c>
      <c r="D399" s="13">
        <f>SUMIF('Assemble Data'!H:H,'Assemble Data'!A400,'Assemble Data'!I:I)</f>
        <v>11</v>
      </c>
      <c r="E399" s="13">
        <f>IFERROR(IF(AND('Assemble Data'!D400&lt;&gt;"",'Assemble Data'!D400&lt;&gt;B399),1,0),1)</f>
        <v>0</v>
      </c>
      <c r="F399" s="13">
        <f ca="1">IF('Assemble Data'!E400="",0,IF(ISERROR(FIND("INDEX",_xlfn.FORMULATEXT('Assemble Data'!E400),1)),1,0)+IFERROR(IF(AND('Assemble Data'!E400&lt;&gt;C399,'Assemble Data'!E400&lt;&gt;""),1,0),1))</f>
        <v>0</v>
      </c>
      <c r="G399" s="13">
        <f ca="1">IF('Assemble Data'!F400="",0,IF(ISERROR(FIND("VLOOKUP",_xlfn.FORMULATEXT('Assemble Data'!F400),1)),1,0)+IFERROR(IF(AND('Assemble Data'!F400&lt;&gt;D399,'Assemble Data'!F400&lt;&gt;""),1,0),1))</f>
        <v>0</v>
      </c>
      <c r="H399" s="13">
        <f t="shared" si="28"/>
        <v>9</v>
      </c>
      <c r="I399" t="str">
        <f t="shared" si="27"/>
        <v>C3P11</v>
      </c>
    </row>
    <row r="400" spans="1:9">
      <c r="A400" t="str">
        <f>'Assemble Data'!B401</f>
        <v>P16</v>
      </c>
      <c r="B400" s="13">
        <f>IFERROR(SUMIF('Assemble Data'!K:K,'Assemble Data'!A401,'Assemble Data'!L:L),0)</f>
        <v>5200</v>
      </c>
      <c r="C400" s="13" t="str">
        <f>INDEX('Assemble Data'!$O$24:$O$1023,MATCH('Assemble Data'!A401,'Assemble Data'!$N$24:$N$1023,0))</f>
        <v>N3</v>
      </c>
      <c r="D400" s="13">
        <f>SUMIF('Assemble Data'!H:H,'Assemble Data'!A401,'Assemble Data'!I:I)</f>
        <v>4</v>
      </c>
      <c r="E400" s="13">
        <f>IFERROR(IF(AND('Assemble Data'!D401&lt;&gt;"",'Assemble Data'!D401&lt;&gt;B400),1,0),1)</f>
        <v>0</v>
      </c>
      <c r="F400" s="13">
        <f ca="1">IF('Assemble Data'!E401="",0,IF(ISERROR(FIND("INDEX",_xlfn.FORMULATEXT('Assemble Data'!E401),1)),1,0)+IFERROR(IF(AND('Assemble Data'!E401&lt;&gt;C400,'Assemble Data'!E401&lt;&gt;""),1,0),1))</f>
        <v>0</v>
      </c>
      <c r="G400" s="13">
        <f ca="1">IF('Assemble Data'!F401="",0,IF(ISERROR(FIND("VLOOKUP",_xlfn.FORMULATEXT('Assemble Data'!F401),1)),1,0)+IFERROR(IF(AND('Assemble Data'!F401&lt;&gt;D400,'Assemble Data'!F401&lt;&gt;""),1,0),1))</f>
        <v>0</v>
      </c>
      <c r="H400" s="13">
        <f t="shared" si="28"/>
        <v>0</v>
      </c>
      <c r="I400" t="str">
        <f t="shared" si="27"/>
        <v>N3P16</v>
      </c>
    </row>
    <row r="401" spans="1:9">
      <c r="A401" t="str">
        <f>'Assemble Data'!B402</f>
        <v>P17</v>
      </c>
      <c r="B401" s="13">
        <f>IFERROR(SUMIF('Assemble Data'!K:K,'Assemble Data'!A402,'Assemble Data'!L:L),0)</f>
        <v>9600</v>
      </c>
      <c r="C401" s="13" t="str">
        <f>INDEX('Assemble Data'!$O$24:$O$1023,MATCH('Assemble Data'!A402,'Assemble Data'!$N$24:$N$1023,0))</f>
        <v>O3</v>
      </c>
      <c r="D401" s="13">
        <f>SUMIF('Assemble Data'!H:H,'Assemble Data'!A402,'Assemble Data'!I:I)</f>
        <v>12</v>
      </c>
      <c r="E401" s="13">
        <f>IFERROR(IF(AND('Assemble Data'!D402&lt;&gt;"",'Assemble Data'!D402&lt;&gt;B401),1,0),1)</f>
        <v>0</v>
      </c>
      <c r="F401" s="13">
        <f ca="1">IF('Assemble Data'!E402="",0,IF(ISERROR(FIND("INDEX",_xlfn.FORMULATEXT('Assemble Data'!E402),1)),1,0)+IFERROR(IF(AND('Assemble Data'!E402&lt;&gt;C401,'Assemble Data'!E402&lt;&gt;""),1,0),1))</f>
        <v>0</v>
      </c>
      <c r="G401" s="13">
        <f ca="1">IF('Assemble Data'!F402="",0,IF(ISERROR(FIND("VLOOKUP",_xlfn.FORMULATEXT('Assemble Data'!F402),1)),1,0)+IFERROR(IF(AND('Assemble Data'!F402&lt;&gt;D401,'Assemble Data'!F402&lt;&gt;""),1,0),1))</f>
        <v>0</v>
      </c>
      <c r="H401" s="13">
        <f t="shared" si="28"/>
        <v>6</v>
      </c>
      <c r="I401" t="str">
        <f t="shared" si="27"/>
        <v>O3P17</v>
      </c>
    </row>
    <row r="402" spans="1:9">
      <c r="A402" t="str">
        <f>'Assemble Data'!B403</f>
        <v>P17</v>
      </c>
      <c r="B402" s="13">
        <f>IFERROR(SUMIF('Assemble Data'!K:K,'Assemble Data'!A403,'Assemble Data'!L:L),0)</f>
        <v>9600</v>
      </c>
      <c r="C402" s="13" t="str">
        <f>INDEX('Assemble Data'!$O$24:$O$1023,MATCH('Assemble Data'!A403,'Assemble Data'!$N$24:$N$1023,0))</f>
        <v>O3</v>
      </c>
      <c r="D402" s="13">
        <f>SUMIF('Assemble Data'!H:H,'Assemble Data'!A403,'Assemble Data'!I:I)</f>
        <v>12</v>
      </c>
      <c r="E402" s="13">
        <f>IFERROR(IF(AND('Assemble Data'!D403&lt;&gt;"",'Assemble Data'!D403&lt;&gt;B402),1,0),1)</f>
        <v>0</v>
      </c>
      <c r="F402" s="13">
        <f ca="1">IF('Assemble Data'!E403="",0,IF(ISERROR(FIND("INDEX",_xlfn.FORMULATEXT('Assemble Data'!E403),1)),1,0)+IFERROR(IF(AND('Assemble Data'!E403&lt;&gt;C402,'Assemble Data'!E403&lt;&gt;""),1,0),1))</f>
        <v>0</v>
      </c>
      <c r="G402" s="13">
        <f ca="1">IF('Assemble Data'!F403="",0,IF(ISERROR(FIND("VLOOKUP",_xlfn.FORMULATEXT('Assemble Data'!F403),1)),1,0)+IFERROR(IF(AND('Assemble Data'!F403&lt;&gt;D402,'Assemble Data'!F403&lt;&gt;""),1,0),1))</f>
        <v>0</v>
      </c>
      <c r="H402" s="13">
        <f t="shared" si="28"/>
        <v>6</v>
      </c>
      <c r="I402" t="str">
        <f t="shared" si="27"/>
        <v>O3P17</v>
      </c>
    </row>
    <row r="403" spans="1:9">
      <c r="A403" t="str">
        <f>'Assemble Data'!B404</f>
        <v>P13</v>
      </c>
      <c r="B403" s="13">
        <f>IFERROR(SUMIF('Assemble Data'!K:K,'Assemble Data'!A404,'Assemble Data'!L:L),0)</f>
        <v>3600</v>
      </c>
      <c r="C403" s="13" t="str">
        <f>INDEX('Assemble Data'!$O$24:$O$1023,MATCH('Assemble Data'!A404,'Assemble Data'!$N$24:$N$1023,0))</f>
        <v>C3</v>
      </c>
      <c r="D403" s="13">
        <f>SUMIF('Assemble Data'!H:H,'Assemble Data'!A404,'Assemble Data'!I:I)</f>
        <v>5</v>
      </c>
      <c r="E403" s="13">
        <f>IFERROR(IF(AND('Assemble Data'!D404&lt;&gt;"",'Assemble Data'!D404&lt;&gt;B403),1,0),1)</f>
        <v>0</v>
      </c>
      <c r="F403" s="13">
        <f ca="1">IF('Assemble Data'!E404="",0,IF(ISERROR(FIND("INDEX",_xlfn.FORMULATEXT('Assemble Data'!E404),1)),1,0)+IFERROR(IF(AND('Assemble Data'!E404&lt;&gt;C403,'Assemble Data'!E404&lt;&gt;""),1,0),1))</f>
        <v>0</v>
      </c>
      <c r="G403" s="13">
        <f ca="1">IF('Assemble Data'!F404="",0,IF(ISERROR(FIND("VLOOKUP",_xlfn.FORMULATEXT('Assemble Data'!F404),1)),1,0)+IFERROR(IF(AND('Assemble Data'!F404&lt;&gt;D403,'Assemble Data'!F404&lt;&gt;""),1,0),1))</f>
        <v>0</v>
      </c>
      <c r="H403" s="13">
        <f t="shared" si="28"/>
        <v>3</v>
      </c>
      <c r="I403" t="str">
        <f t="shared" si="27"/>
        <v>C3P13</v>
      </c>
    </row>
    <row r="404" spans="1:9">
      <c r="A404" t="str">
        <f>'Assemble Data'!B405</f>
        <v>P11</v>
      </c>
      <c r="B404" s="13">
        <f>IFERROR(SUMIF('Assemble Data'!K:K,'Assemble Data'!A405,'Assemble Data'!L:L),0)</f>
        <v>8800</v>
      </c>
      <c r="C404" s="13" t="str">
        <f>INDEX('Assemble Data'!$O$24:$O$1023,MATCH('Assemble Data'!A405,'Assemble Data'!$N$24:$N$1023,0))</f>
        <v>C3</v>
      </c>
      <c r="D404" s="13">
        <f>SUMIF('Assemble Data'!H:H,'Assemble Data'!A405,'Assemble Data'!I:I)</f>
        <v>11</v>
      </c>
      <c r="E404" s="13">
        <f>IFERROR(IF(AND('Assemble Data'!D405&lt;&gt;"",'Assemble Data'!D405&lt;&gt;B404),1,0),1)</f>
        <v>0</v>
      </c>
      <c r="F404" s="13">
        <f ca="1">IF('Assemble Data'!E405="",0,IF(ISERROR(FIND("INDEX",_xlfn.FORMULATEXT('Assemble Data'!E405),1)),1,0)+IFERROR(IF(AND('Assemble Data'!E405&lt;&gt;C404,'Assemble Data'!E405&lt;&gt;""),1,0),1))</f>
        <v>0</v>
      </c>
      <c r="G404" s="13">
        <f ca="1">IF('Assemble Data'!F405="",0,IF(ISERROR(FIND("VLOOKUP",_xlfn.FORMULATEXT('Assemble Data'!F405),1)),1,0)+IFERROR(IF(AND('Assemble Data'!F405&lt;&gt;D404,'Assemble Data'!F405&lt;&gt;""),1,0),1))</f>
        <v>0</v>
      </c>
      <c r="H404" s="13">
        <f t="shared" si="28"/>
        <v>9</v>
      </c>
      <c r="I404" t="str">
        <f t="shared" si="27"/>
        <v>C3P11</v>
      </c>
    </row>
    <row r="405" spans="1:9">
      <c r="A405" t="str">
        <f>'Assemble Data'!B406</f>
        <v>P11</v>
      </c>
      <c r="B405" s="13">
        <f>IFERROR(SUMIF('Assemble Data'!K:K,'Assemble Data'!A406,'Assemble Data'!L:L),0)</f>
        <v>8800</v>
      </c>
      <c r="C405" s="13" t="str">
        <f>INDEX('Assemble Data'!$O$24:$O$1023,MATCH('Assemble Data'!A406,'Assemble Data'!$N$24:$N$1023,0))</f>
        <v>C3</v>
      </c>
      <c r="D405" s="13">
        <f>SUMIF('Assemble Data'!H:H,'Assemble Data'!A406,'Assemble Data'!I:I)</f>
        <v>11</v>
      </c>
      <c r="E405" s="13">
        <f>IFERROR(IF(AND('Assemble Data'!D406&lt;&gt;"",'Assemble Data'!D406&lt;&gt;B405),1,0),1)</f>
        <v>0</v>
      </c>
      <c r="F405" s="13">
        <f ca="1">IF('Assemble Data'!E406="",0,IF(ISERROR(FIND("INDEX",_xlfn.FORMULATEXT('Assemble Data'!E406),1)),1,0)+IFERROR(IF(AND('Assemble Data'!E406&lt;&gt;C405,'Assemble Data'!E406&lt;&gt;""),1,0),1))</f>
        <v>0</v>
      </c>
      <c r="G405" s="13">
        <f ca="1">IF('Assemble Data'!F406="",0,IF(ISERROR(FIND("VLOOKUP",_xlfn.FORMULATEXT('Assemble Data'!F406),1)),1,0)+IFERROR(IF(AND('Assemble Data'!F406&lt;&gt;D405,'Assemble Data'!F406&lt;&gt;""),1,0),1))</f>
        <v>0</v>
      </c>
      <c r="H405" s="13">
        <f t="shared" si="28"/>
        <v>9</v>
      </c>
      <c r="I405" t="str">
        <f t="shared" si="27"/>
        <v>C3P11</v>
      </c>
    </row>
    <row r="406" spans="1:9">
      <c r="A406" t="str">
        <f>'Assemble Data'!B407</f>
        <v>P12</v>
      </c>
      <c r="B406" s="13">
        <f>IFERROR(SUMIF('Assemble Data'!K:K,'Assemble Data'!A407,'Assemble Data'!L:L),0)</f>
        <v>5460</v>
      </c>
      <c r="C406" s="13" t="str">
        <f>INDEX('Assemble Data'!$O$24:$O$1023,MATCH('Assemble Data'!A407,'Assemble Data'!$N$24:$N$1023,0))</f>
        <v>C3</v>
      </c>
      <c r="D406" s="13">
        <f>SUMIF('Assemble Data'!H:H,'Assemble Data'!A407,'Assemble Data'!I:I)</f>
        <v>6.5</v>
      </c>
      <c r="E406" s="13">
        <f>IFERROR(IF(AND('Assemble Data'!D407&lt;&gt;"",'Assemble Data'!D407&lt;&gt;B406),1,0),1)</f>
        <v>0</v>
      </c>
      <c r="F406" s="13">
        <f ca="1">IF('Assemble Data'!E407="",0,IF(ISERROR(FIND("INDEX",_xlfn.FORMULATEXT('Assemble Data'!E407),1)),1,0)+IFERROR(IF(AND('Assemble Data'!E407&lt;&gt;C406,'Assemble Data'!E407&lt;&gt;""),1,0),1))</f>
        <v>0</v>
      </c>
      <c r="G406" s="13">
        <f ca="1">IF('Assemble Data'!F407="",0,IF(ISERROR(FIND("VLOOKUP",_xlfn.FORMULATEXT('Assemble Data'!F407),1)),1,0)+IFERROR(IF(AND('Assemble Data'!F407&lt;&gt;D406,'Assemble Data'!F407&lt;&gt;""),1,0),1))</f>
        <v>0</v>
      </c>
      <c r="H406" s="13">
        <f t="shared" si="28"/>
        <v>7</v>
      </c>
      <c r="I406" t="str">
        <f t="shared" si="27"/>
        <v>C3P12</v>
      </c>
    </row>
    <row r="407" spans="1:9">
      <c r="A407" t="str">
        <f>'Assemble Data'!B408</f>
        <v>P10</v>
      </c>
      <c r="B407" s="13">
        <f>IFERROR(SUMIF('Assemble Data'!K:K,'Assemble Data'!A408,'Assemble Data'!L:L),0)</f>
        <v>1920</v>
      </c>
      <c r="C407" s="13" t="str">
        <f>INDEX('Assemble Data'!$O$24:$O$1023,MATCH('Assemble Data'!A408,'Assemble Data'!$N$24:$N$1023,0))</f>
        <v>C3</v>
      </c>
      <c r="D407" s="13">
        <f>SUMIF('Assemble Data'!H:H,'Assemble Data'!A408,'Assemble Data'!I:I)</f>
        <v>3</v>
      </c>
      <c r="E407" s="13">
        <f>IFERROR(IF(AND('Assemble Data'!D408&lt;&gt;"",'Assemble Data'!D408&lt;&gt;B407),1,0),1)</f>
        <v>0</v>
      </c>
      <c r="F407" s="13">
        <f ca="1">IF('Assemble Data'!E408="",0,IF(ISERROR(FIND("INDEX",_xlfn.FORMULATEXT('Assemble Data'!E408),1)),1,0)+IFERROR(IF(AND('Assemble Data'!E408&lt;&gt;C407,'Assemble Data'!E408&lt;&gt;""),1,0),1))</f>
        <v>0</v>
      </c>
      <c r="G407" s="13">
        <f ca="1">IF('Assemble Data'!F408="",0,IF(ISERROR(FIND("VLOOKUP",_xlfn.FORMULATEXT('Assemble Data'!F408),1)),1,0)+IFERROR(IF(AND('Assemble Data'!F408&lt;&gt;D407,'Assemble Data'!F408&lt;&gt;""),1,0),1))</f>
        <v>0</v>
      </c>
      <c r="H407" s="13">
        <f t="shared" si="28"/>
        <v>8</v>
      </c>
      <c r="I407" t="str">
        <f t="shared" si="27"/>
        <v>C3P10</v>
      </c>
    </row>
    <row r="408" spans="1:9">
      <c r="A408" t="str">
        <f>'Assemble Data'!B409</f>
        <v>P10</v>
      </c>
      <c r="B408" s="13">
        <f>IFERROR(SUMIF('Assemble Data'!K:K,'Assemble Data'!A409,'Assemble Data'!L:L),0)</f>
        <v>1920</v>
      </c>
      <c r="C408" s="13" t="str">
        <f>INDEX('Assemble Data'!$O$24:$O$1023,MATCH('Assemble Data'!A409,'Assemble Data'!$N$24:$N$1023,0))</f>
        <v>C3</v>
      </c>
      <c r="D408" s="13">
        <f>SUMIF('Assemble Data'!H:H,'Assemble Data'!A409,'Assemble Data'!I:I)</f>
        <v>3</v>
      </c>
      <c r="E408" s="13">
        <f>IFERROR(IF(AND('Assemble Data'!D409&lt;&gt;"",'Assemble Data'!D409&lt;&gt;B408),1,0),1)</f>
        <v>0</v>
      </c>
      <c r="F408" s="13">
        <f ca="1">IF('Assemble Data'!E409="",0,IF(ISERROR(FIND("INDEX",_xlfn.FORMULATEXT('Assemble Data'!E409),1)),1,0)+IFERROR(IF(AND('Assemble Data'!E409&lt;&gt;C408,'Assemble Data'!E409&lt;&gt;""),1,0),1))</f>
        <v>0</v>
      </c>
      <c r="G408" s="13">
        <f ca="1">IF('Assemble Data'!F409="",0,IF(ISERROR(FIND("VLOOKUP",_xlfn.FORMULATEXT('Assemble Data'!F409),1)),1,0)+IFERROR(IF(AND('Assemble Data'!F409&lt;&gt;D408,'Assemble Data'!F409&lt;&gt;""),1,0),1))</f>
        <v>0</v>
      </c>
      <c r="H408" s="13">
        <f t="shared" si="28"/>
        <v>8</v>
      </c>
      <c r="I408" t="str">
        <f t="shared" ref="I408:I471" si="29">C408&amp;A408</f>
        <v>C3P10</v>
      </c>
    </row>
    <row r="409" spans="1:9">
      <c r="A409" t="str">
        <f>'Assemble Data'!B410</f>
        <v>P11</v>
      </c>
      <c r="B409" s="13">
        <f>IFERROR(SUMIF('Assemble Data'!K:K,'Assemble Data'!A410,'Assemble Data'!L:L),0)</f>
        <v>8800</v>
      </c>
      <c r="C409" s="13" t="str">
        <f>INDEX('Assemble Data'!$O$24:$O$1023,MATCH('Assemble Data'!A410,'Assemble Data'!$N$24:$N$1023,0))</f>
        <v>C3</v>
      </c>
      <c r="D409" s="13">
        <f>SUMIF('Assemble Data'!H:H,'Assemble Data'!A410,'Assemble Data'!I:I)</f>
        <v>11</v>
      </c>
      <c r="E409" s="13">
        <f>IFERROR(IF(AND('Assemble Data'!D410&lt;&gt;"",'Assemble Data'!D410&lt;&gt;B409),1,0),1)</f>
        <v>0</v>
      </c>
      <c r="F409" s="13">
        <f ca="1">IF('Assemble Data'!E410="",0,IF(ISERROR(FIND("INDEX",_xlfn.FORMULATEXT('Assemble Data'!E410),1)),1,0)+IFERROR(IF(AND('Assemble Data'!E410&lt;&gt;C409,'Assemble Data'!E410&lt;&gt;""),1,0),1))</f>
        <v>0</v>
      </c>
      <c r="G409" s="13">
        <f ca="1">IF('Assemble Data'!F410="",0,IF(ISERROR(FIND("VLOOKUP",_xlfn.FORMULATEXT('Assemble Data'!F410),1)),1,0)+IFERROR(IF(AND('Assemble Data'!F410&lt;&gt;D409,'Assemble Data'!F410&lt;&gt;""),1,0),1))</f>
        <v>0</v>
      </c>
      <c r="H409" s="13">
        <f t="shared" si="28"/>
        <v>9</v>
      </c>
      <c r="I409" t="str">
        <f t="shared" si="29"/>
        <v>C3P11</v>
      </c>
    </row>
    <row r="410" spans="1:9">
      <c r="A410" t="str">
        <f>'Assemble Data'!B411</f>
        <v>P18</v>
      </c>
      <c r="B410" s="13">
        <f>IFERROR(SUMIF('Assemble Data'!K:K,'Assemble Data'!A411,'Assemble Data'!L:L),0)</f>
        <v>4320</v>
      </c>
      <c r="C410" s="13" t="str">
        <f>INDEX('Assemble Data'!$O$24:$O$1023,MATCH('Assemble Data'!A411,'Assemble Data'!$N$24:$N$1023,0))</f>
        <v>O3</v>
      </c>
      <c r="D410" s="13">
        <f>SUMIF('Assemble Data'!H:H,'Assemble Data'!A411,'Assemble Data'!I:I)</f>
        <v>6</v>
      </c>
      <c r="E410" s="13">
        <f>IFERROR(IF(AND('Assemble Data'!D411&lt;&gt;"",'Assemble Data'!D411&lt;&gt;B410),1,0),1)</f>
        <v>0</v>
      </c>
      <c r="F410" s="13">
        <f ca="1">IF('Assemble Data'!E411="",0,IF(ISERROR(FIND("INDEX",_xlfn.FORMULATEXT('Assemble Data'!E411),1)),1,0)+IFERROR(IF(AND('Assemble Data'!E411&lt;&gt;C410,'Assemble Data'!E411&lt;&gt;""),1,0),1))</f>
        <v>0</v>
      </c>
      <c r="G410" s="13">
        <f ca="1">IF('Assemble Data'!F411="",0,IF(ISERROR(FIND("VLOOKUP",_xlfn.FORMULATEXT('Assemble Data'!F411),1)),1,0)+IFERROR(IF(AND('Assemble Data'!F411&lt;&gt;D410,'Assemble Data'!F411&lt;&gt;""),1,0),1))</f>
        <v>0</v>
      </c>
      <c r="H410" s="13">
        <f t="shared" si="28"/>
        <v>2</v>
      </c>
      <c r="I410" t="str">
        <f t="shared" si="29"/>
        <v>O3P18</v>
      </c>
    </row>
    <row r="411" spans="1:9">
      <c r="A411" t="str">
        <f>'Assemble Data'!B412</f>
        <v>P14</v>
      </c>
      <c r="B411" s="13">
        <f>IFERROR(SUMIF('Assemble Data'!K:K,'Assemble Data'!A412,'Assemble Data'!L:L),0)</f>
        <v>7200</v>
      </c>
      <c r="C411" s="13" t="str">
        <f>INDEX('Assemble Data'!$O$24:$O$1023,MATCH('Assemble Data'!A412,'Assemble Data'!$N$24:$N$1023,0))</f>
        <v>N3</v>
      </c>
      <c r="D411" s="13">
        <f>SUMIF('Assemble Data'!H:H,'Assemble Data'!A412,'Assemble Data'!I:I)</f>
        <v>8</v>
      </c>
      <c r="E411" s="13">
        <f>IFERROR(IF(AND('Assemble Data'!D412&lt;&gt;"",'Assemble Data'!D412&lt;&gt;B411),1,0),1)</f>
        <v>0</v>
      </c>
      <c r="F411" s="13">
        <f ca="1">IF('Assemble Data'!E412="",0,IF(ISERROR(FIND("INDEX",_xlfn.FORMULATEXT('Assemble Data'!E412),1)),1,0)+IFERROR(IF(AND('Assemble Data'!E412&lt;&gt;C411,'Assemble Data'!E412&lt;&gt;""),1,0),1))</f>
        <v>0</v>
      </c>
      <c r="G411" s="13">
        <f ca="1">IF('Assemble Data'!F412="",0,IF(ISERROR(FIND("VLOOKUP",_xlfn.FORMULATEXT('Assemble Data'!F412),1)),1,0)+IFERROR(IF(AND('Assemble Data'!F412&lt;&gt;D411,'Assemble Data'!F412&lt;&gt;""),1,0),1))</f>
        <v>0</v>
      </c>
      <c r="H411" s="13">
        <f t="shared" si="28"/>
        <v>5</v>
      </c>
      <c r="I411" t="str">
        <f t="shared" si="29"/>
        <v>N3P14</v>
      </c>
    </row>
    <row r="412" spans="1:9">
      <c r="A412" t="str">
        <f>'Assemble Data'!B413</f>
        <v>P10</v>
      </c>
      <c r="B412" s="13">
        <f>IFERROR(SUMIF('Assemble Data'!K:K,'Assemble Data'!A413,'Assemble Data'!L:L),0)</f>
        <v>1920</v>
      </c>
      <c r="C412" s="13" t="str">
        <f>INDEX('Assemble Data'!$O$24:$O$1023,MATCH('Assemble Data'!A413,'Assemble Data'!$N$24:$N$1023,0))</f>
        <v>C3</v>
      </c>
      <c r="D412" s="13">
        <f>SUMIF('Assemble Data'!H:H,'Assemble Data'!A413,'Assemble Data'!I:I)</f>
        <v>3</v>
      </c>
      <c r="E412" s="13">
        <f>IFERROR(IF(AND('Assemble Data'!D413&lt;&gt;"",'Assemble Data'!D413&lt;&gt;B412),1,0),1)</f>
        <v>0</v>
      </c>
      <c r="F412" s="13">
        <f ca="1">IF('Assemble Data'!E413="",0,IF(ISERROR(FIND("INDEX",_xlfn.FORMULATEXT('Assemble Data'!E413),1)),1,0)+IFERROR(IF(AND('Assemble Data'!E413&lt;&gt;C412,'Assemble Data'!E413&lt;&gt;""),1,0),1))</f>
        <v>0</v>
      </c>
      <c r="G412" s="13">
        <f ca="1">IF('Assemble Data'!F413="",0,IF(ISERROR(FIND("VLOOKUP",_xlfn.FORMULATEXT('Assemble Data'!F413),1)),1,0)+IFERROR(IF(AND('Assemble Data'!F413&lt;&gt;D412,'Assemble Data'!F413&lt;&gt;""),1,0),1))</f>
        <v>0</v>
      </c>
      <c r="H412" s="13">
        <f t="shared" si="28"/>
        <v>8</v>
      </c>
      <c r="I412" t="str">
        <f t="shared" si="29"/>
        <v>C3P10</v>
      </c>
    </row>
    <row r="413" spans="1:9">
      <c r="A413" t="str">
        <f>'Assemble Data'!B414</f>
        <v>P13</v>
      </c>
      <c r="B413" s="13">
        <f>IFERROR(SUMIF('Assemble Data'!K:K,'Assemble Data'!A414,'Assemble Data'!L:L),0)</f>
        <v>3600</v>
      </c>
      <c r="C413" s="13" t="str">
        <f>INDEX('Assemble Data'!$O$24:$O$1023,MATCH('Assemble Data'!A414,'Assemble Data'!$N$24:$N$1023,0))</f>
        <v>C3</v>
      </c>
      <c r="D413" s="13">
        <f>SUMIF('Assemble Data'!H:H,'Assemble Data'!A414,'Assemble Data'!I:I)</f>
        <v>5</v>
      </c>
      <c r="E413" s="13">
        <f>IFERROR(IF(AND('Assemble Data'!D414&lt;&gt;"",'Assemble Data'!D414&lt;&gt;B413),1,0),1)</f>
        <v>0</v>
      </c>
      <c r="F413" s="13">
        <f ca="1">IF('Assemble Data'!E414="",0,IF(ISERROR(FIND("INDEX",_xlfn.FORMULATEXT('Assemble Data'!E414),1)),1,0)+IFERROR(IF(AND('Assemble Data'!E414&lt;&gt;C413,'Assemble Data'!E414&lt;&gt;""),1,0),1))</f>
        <v>0</v>
      </c>
      <c r="G413" s="13">
        <f ca="1">IF('Assemble Data'!F414="",0,IF(ISERROR(FIND("VLOOKUP",_xlfn.FORMULATEXT('Assemble Data'!F414),1)),1,0)+IFERROR(IF(AND('Assemble Data'!F414&lt;&gt;D413,'Assemble Data'!F414&lt;&gt;""),1,0),1))</f>
        <v>0</v>
      </c>
      <c r="H413" s="13">
        <f t="shared" si="28"/>
        <v>3</v>
      </c>
      <c r="I413" t="str">
        <f t="shared" si="29"/>
        <v>C3P13</v>
      </c>
    </row>
    <row r="414" spans="1:9">
      <c r="A414" t="str">
        <f>'Assemble Data'!B415</f>
        <v>P13</v>
      </c>
      <c r="B414" s="13">
        <f>IFERROR(SUMIF('Assemble Data'!K:K,'Assemble Data'!A415,'Assemble Data'!L:L),0)</f>
        <v>3600</v>
      </c>
      <c r="C414" s="13" t="str">
        <f>INDEX('Assemble Data'!$O$24:$O$1023,MATCH('Assemble Data'!A415,'Assemble Data'!$N$24:$N$1023,0))</f>
        <v>C3</v>
      </c>
      <c r="D414" s="13">
        <f>SUMIF('Assemble Data'!H:H,'Assemble Data'!A415,'Assemble Data'!I:I)</f>
        <v>5</v>
      </c>
      <c r="E414" s="13">
        <f>IFERROR(IF(AND('Assemble Data'!D415&lt;&gt;"",'Assemble Data'!D415&lt;&gt;B414),1,0),1)</f>
        <v>0</v>
      </c>
      <c r="F414" s="13">
        <f ca="1">IF('Assemble Data'!E415="",0,IF(ISERROR(FIND("INDEX",_xlfn.FORMULATEXT('Assemble Data'!E415),1)),1,0)+IFERROR(IF(AND('Assemble Data'!E415&lt;&gt;C414,'Assemble Data'!E415&lt;&gt;""),1,0),1))</f>
        <v>0</v>
      </c>
      <c r="G414" s="13">
        <f ca="1">IF('Assemble Data'!F415="",0,IF(ISERROR(FIND("VLOOKUP",_xlfn.FORMULATEXT('Assemble Data'!F415),1)),1,0)+IFERROR(IF(AND('Assemble Data'!F415&lt;&gt;D414,'Assemble Data'!F415&lt;&gt;""),1,0),1))</f>
        <v>0</v>
      </c>
      <c r="H414" s="13">
        <f t="shared" si="28"/>
        <v>3</v>
      </c>
      <c r="I414" t="str">
        <f t="shared" si="29"/>
        <v>C3P13</v>
      </c>
    </row>
    <row r="415" spans="1:9">
      <c r="A415" t="str">
        <f>'Assemble Data'!B416</f>
        <v>P10</v>
      </c>
      <c r="B415" s="13">
        <f>IFERROR(SUMIF('Assemble Data'!K:K,'Assemble Data'!A416,'Assemble Data'!L:L),0)</f>
        <v>1920</v>
      </c>
      <c r="C415" s="13" t="str">
        <f>INDEX('Assemble Data'!$O$24:$O$1023,MATCH('Assemble Data'!A416,'Assemble Data'!$N$24:$N$1023,0))</f>
        <v>C3</v>
      </c>
      <c r="D415" s="13">
        <f>SUMIF('Assemble Data'!H:H,'Assemble Data'!A416,'Assemble Data'!I:I)</f>
        <v>3</v>
      </c>
      <c r="E415" s="13">
        <f>IFERROR(IF(AND('Assemble Data'!D416&lt;&gt;"",'Assemble Data'!D416&lt;&gt;B415),1,0),1)</f>
        <v>0</v>
      </c>
      <c r="F415" s="13">
        <f ca="1">IF('Assemble Data'!E416="",0,IF(ISERROR(FIND("INDEX",_xlfn.FORMULATEXT('Assemble Data'!E416),1)),1,0)+IFERROR(IF(AND('Assemble Data'!E416&lt;&gt;C415,'Assemble Data'!E416&lt;&gt;""),1,0),1))</f>
        <v>0</v>
      </c>
      <c r="G415" s="13">
        <f ca="1">IF('Assemble Data'!F416="",0,IF(ISERROR(FIND("VLOOKUP",_xlfn.FORMULATEXT('Assemble Data'!F416),1)),1,0)+IFERROR(IF(AND('Assemble Data'!F416&lt;&gt;D415,'Assemble Data'!F416&lt;&gt;""),1,0),1))</f>
        <v>0</v>
      </c>
      <c r="H415" s="13">
        <f t="shared" si="28"/>
        <v>8</v>
      </c>
      <c r="I415" t="str">
        <f t="shared" si="29"/>
        <v>C3P10</v>
      </c>
    </row>
    <row r="416" spans="1:9">
      <c r="A416" t="str">
        <f>'Assemble Data'!B417</f>
        <v>P11</v>
      </c>
      <c r="B416" s="13">
        <f>IFERROR(SUMIF('Assemble Data'!K:K,'Assemble Data'!A417,'Assemble Data'!L:L),0)</f>
        <v>17600</v>
      </c>
      <c r="C416" s="13" t="str">
        <f>INDEX('Assemble Data'!$O$24:$O$1023,MATCH('Assemble Data'!A417,'Assemble Data'!$N$24:$N$1023,0))</f>
        <v>C3</v>
      </c>
      <c r="D416" s="13">
        <f>SUMIF('Assemble Data'!H:H,'Assemble Data'!A417,'Assemble Data'!I:I)</f>
        <v>11</v>
      </c>
      <c r="E416" s="13">
        <f>IFERROR(IF(AND('Assemble Data'!D417&lt;&gt;"",'Assemble Data'!D417&lt;&gt;B416),1,0),1)</f>
        <v>0</v>
      </c>
      <c r="F416" s="13">
        <f ca="1">IF('Assemble Data'!E417="",0,IF(ISERROR(FIND("INDEX",_xlfn.FORMULATEXT('Assemble Data'!E417),1)),1,0)+IFERROR(IF(AND('Assemble Data'!E417&lt;&gt;C416,'Assemble Data'!E417&lt;&gt;""),1,0),1))</f>
        <v>0</v>
      </c>
      <c r="G416" s="13">
        <f ca="1">IF('Assemble Data'!F417="",0,IF(ISERROR(FIND("VLOOKUP",_xlfn.FORMULATEXT('Assemble Data'!F417),1)),1,0)+IFERROR(IF(AND('Assemble Data'!F417&lt;&gt;D416,'Assemble Data'!F417&lt;&gt;""),1,0),1))</f>
        <v>0</v>
      </c>
      <c r="H416" s="13">
        <f t="shared" si="28"/>
        <v>9</v>
      </c>
      <c r="I416" t="str">
        <f t="shared" si="29"/>
        <v>C3P11</v>
      </c>
    </row>
    <row r="417" spans="1:9">
      <c r="A417" t="str">
        <f>'Assemble Data'!B418</f>
        <v>P16</v>
      </c>
      <c r="B417" s="13">
        <f>IFERROR(SUMIF('Assemble Data'!K:K,'Assemble Data'!A418,'Assemble Data'!L:L),0)</f>
        <v>5200</v>
      </c>
      <c r="C417" s="13" t="str">
        <f>INDEX('Assemble Data'!$O$24:$O$1023,MATCH('Assemble Data'!A418,'Assemble Data'!$N$24:$N$1023,0))</f>
        <v>N3</v>
      </c>
      <c r="D417" s="13">
        <f>SUMIF('Assemble Data'!H:H,'Assemble Data'!A418,'Assemble Data'!I:I)</f>
        <v>4</v>
      </c>
      <c r="E417" s="13">
        <f>IFERROR(IF(AND('Assemble Data'!D418&lt;&gt;"",'Assemble Data'!D418&lt;&gt;B417),1,0),1)</f>
        <v>0</v>
      </c>
      <c r="F417" s="13">
        <f ca="1">IF('Assemble Data'!E418="",0,IF(ISERROR(FIND("INDEX",_xlfn.FORMULATEXT('Assemble Data'!E418),1)),1,0)+IFERROR(IF(AND('Assemble Data'!E418&lt;&gt;C417,'Assemble Data'!E418&lt;&gt;""),1,0),1))</f>
        <v>0</v>
      </c>
      <c r="G417" s="13">
        <f ca="1">IF('Assemble Data'!F418="",0,IF(ISERROR(FIND("VLOOKUP",_xlfn.FORMULATEXT('Assemble Data'!F418),1)),1,0)+IFERROR(IF(AND('Assemble Data'!F418&lt;&gt;D417,'Assemble Data'!F418&lt;&gt;""),1,0),1))</f>
        <v>0</v>
      </c>
      <c r="H417" s="13">
        <f t="shared" si="28"/>
        <v>0</v>
      </c>
      <c r="I417" t="str">
        <f t="shared" si="29"/>
        <v>N3P16</v>
      </c>
    </row>
    <row r="418" spans="1:9">
      <c r="A418" t="str">
        <f>'Assemble Data'!B419</f>
        <v>P17</v>
      </c>
      <c r="B418" s="13">
        <f>IFERROR(SUMIF('Assemble Data'!K:K,'Assemble Data'!A419,'Assemble Data'!L:L),0)</f>
        <v>9600</v>
      </c>
      <c r="C418" s="13" t="str">
        <f>INDEX('Assemble Data'!$O$24:$O$1023,MATCH('Assemble Data'!A419,'Assemble Data'!$N$24:$N$1023,0))</f>
        <v>O3</v>
      </c>
      <c r="D418" s="13">
        <f>SUMIF('Assemble Data'!H:H,'Assemble Data'!A419,'Assemble Data'!I:I)</f>
        <v>12</v>
      </c>
      <c r="E418" s="13">
        <f>IFERROR(IF(AND('Assemble Data'!D419&lt;&gt;"",'Assemble Data'!D419&lt;&gt;B418),1,0),1)</f>
        <v>0</v>
      </c>
      <c r="F418" s="13">
        <f ca="1">IF('Assemble Data'!E419="",0,IF(ISERROR(FIND("INDEX",_xlfn.FORMULATEXT('Assemble Data'!E419),1)),1,0)+IFERROR(IF(AND('Assemble Data'!E419&lt;&gt;C418,'Assemble Data'!E419&lt;&gt;""),1,0),1))</f>
        <v>0</v>
      </c>
      <c r="G418" s="13">
        <f ca="1">IF('Assemble Data'!F419="",0,IF(ISERROR(FIND("VLOOKUP",_xlfn.FORMULATEXT('Assemble Data'!F419),1)),1,0)+IFERROR(IF(AND('Assemble Data'!F419&lt;&gt;D418,'Assemble Data'!F419&lt;&gt;""),1,0),1))</f>
        <v>0</v>
      </c>
      <c r="H418" s="13">
        <f t="shared" si="28"/>
        <v>6</v>
      </c>
      <c r="I418" t="str">
        <f t="shared" si="29"/>
        <v>O3P17</v>
      </c>
    </row>
    <row r="419" spans="1:9">
      <c r="A419" t="str">
        <f>'Assemble Data'!B420</f>
        <v>P17</v>
      </c>
      <c r="B419" s="13">
        <f>IFERROR(SUMIF('Assemble Data'!K:K,'Assemble Data'!A420,'Assemble Data'!L:L),0)</f>
        <v>9600</v>
      </c>
      <c r="C419" s="13" t="str">
        <f>INDEX('Assemble Data'!$O$24:$O$1023,MATCH('Assemble Data'!A420,'Assemble Data'!$N$24:$N$1023,0))</f>
        <v>O3</v>
      </c>
      <c r="D419" s="13">
        <f>SUMIF('Assemble Data'!H:H,'Assemble Data'!A420,'Assemble Data'!I:I)</f>
        <v>12</v>
      </c>
      <c r="E419" s="13">
        <f>IFERROR(IF(AND('Assemble Data'!D420&lt;&gt;"",'Assemble Data'!D420&lt;&gt;B419),1,0),1)</f>
        <v>0</v>
      </c>
      <c r="F419" s="13">
        <f ca="1">IF('Assemble Data'!E420="",0,IF(ISERROR(FIND("INDEX",_xlfn.FORMULATEXT('Assemble Data'!E420),1)),1,0)+IFERROR(IF(AND('Assemble Data'!E420&lt;&gt;C419,'Assemble Data'!E420&lt;&gt;""),1,0),1))</f>
        <v>0</v>
      </c>
      <c r="G419" s="13">
        <f ca="1">IF('Assemble Data'!F420="",0,IF(ISERROR(FIND("VLOOKUP",_xlfn.FORMULATEXT('Assemble Data'!F420),1)),1,0)+IFERROR(IF(AND('Assemble Data'!F420&lt;&gt;D419,'Assemble Data'!F420&lt;&gt;""),1,0),1))</f>
        <v>0</v>
      </c>
      <c r="H419" s="13">
        <f t="shared" si="28"/>
        <v>6</v>
      </c>
      <c r="I419" t="str">
        <f t="shared" si="29"/>
        <v>O3P17</v>
      </c>
    </row>
    <row r="420" spans="1:9">
      <c r="A420" t="str">
        <f>'Assemble Data'!B421</f>
        <v>P13</v>
      </c>
      <c r="B420" s="13">
        <f>IFERROR(SUMIF('Assemble Data'!K:K,'Assemble Data'!A421,'Assemble Data'!L:L),0)</f>
        <v>3600</v>
      </c>
      <c r="C420" s="13" t="str">
        <f>INDEX('Assemble Data'!$O$24:$O$1023,MATCH('Assemble Data'!A421,'Assemble Data'!$N$24:$N$1023,0))</f>
        <v>C3</v>
      </c>
      <c r="D420" s="13">
        <f>SUMIF('Assemble Data'!H:H,'Assemble Data'!A421,'Assemble Data'!I:I)</f>
        <v>5</v>
      </c>
      <c r="E420" s="13">
        <f>IFERROR(IF(AND('Assemble Data'!D421&lt;&gt;"",'Assemble Data'!D421&lt;&gt;B420),1,0),1)</f>
        <v>0</v>
      </c>
      <c r="F420" s="13">
        <f ca="1">IF('Assemble Data'!E421="",0,IF(ISERROR(FIND("INDEX",_xlfn.FORMULATEXT('Assemble Data'!E421),1)),1,0)+IFERROR(IF(AND('Assemble Data'!E421&lt;&gt;C420,'Assemble Data'!E421&lt;&gt;""),1,0),1))</f>
        <v>0</v>
      </c>
      <c r="G420" s="13">
        <f ca="1">IF('Assemble Data'!F421="",0,IF(ISERROR(FIND("VLOOKUP",_xlfn.FORMULATEXT('Assemble Data'!F421),1)),1,0)+IFERROR(IF(AND('Assemble Data'!F421&lt;&gt;D420,'Assemble Data'!F421&lt;&gt;""),1,0),1))</f>
        <v>0</v>
      </c>
      <c r="H420" s="13">
        <f t="shared" si="28"/>
        <v>3</v>
      </c>
      <c r="I420" t="str">
        <f t="shared" si="29"/>
        <v>C3P13</v>
      </c>
    </row>
    <row r="421" spans="1:9">
      <c r="A421" t="str">
        <f>'Assemble Data'!B422</f>
        <v>P11</v>
      </c>
      <c r="B421" s="13">
        <f>IFERROR(SUMIF('Assemble Data'!K:K,'Assemble Data'!A422,'Assemble Data'!L:L),0)</f>
        <v>8800</v>
      </c>
      <c r="C421" s="13" t="str">
        <f>INDEX('Assemble Data'!$O$24:$O$1023,MATCH('Assemble Data'!A422,'Assemble Data'!$N$24:$N$1023,0))</f>
        <v>C3</v>
      </c>
      <c r="D421" s="13">
        <f>SUMIF('Assemble Data'!H:H,'Assemble Data'!A422,'Assemble Data'!I:I)</f>
        <v>11</v>
      </c>
      <c r="E421" s="13">
        <f>IFERROR(IF(AND('Assemble Data'!D422&lt;&gt;"",'Assemble Data'!D422&lt;&gt;B421),1,0),1)</f>
        <v>0</v>
      </c>
      <c r="F421" s="13">
        <f ca="1">IF('Assemble Data'!E422="",0,IF(ISERROR(FIND("INDEX",_xlfn.FORMULATEXT('Assemble Data'!E422),1)),1,0)+IFERROR(IF(AND('Assemble Data'!E422&lt;&gt;C421,'Assemble Data'!E422&lt;&gt;""),1,0),1))</f>
        <v>0</v>
      </c>
      <c r="G421" s="13">
        <f ca="1">IF('Assemble Data'!F422="",0,IF(ISERROR(FIND("VLOOKUP",_xlfn.FORMULATEXT('Assemble Data'!F422),1)),1,0)+IFERROR(IF(AND('Assemble Data'!F422&lt;&gt;D421,'Assemble Data'!F422&lt;&gt;""),1,0),1))</f>
        <v>0</v>
      </c>
      <c r="H421" s="13">
        <f t="shared" si="28"/>
        <v>9</v>
      </c>
      <c r="I421" t="str">
        <f t="shared" si="29"/>
        <v>C3P11</v>
      </c>
    </row>
    <row r="422" spans="1:9">
      <c r="A422" t="str">
        <f>'Assemble Data'!B423</f>
        <v>P11</v>
      </c>
      <c r="B422" s="13">
        <f>IFERROR(SUMIF('Assemble Data'!K:K,'Assemble Data'!A423,'Assemble Data'!L:L),0)</f>
        <v>13200</v>
      </c>
      <c r="C422" s="13" t="str">
        <f>INDEX('Assemble Data'!$O$24:$O$1023,MATCH('Assemble Data'!A423,'Assemble Data'!$N$24:$N$1023,0))</f>
        <v>C1</v>
      </c>
      <c r="D422" s="13">
        <f>SUMIF('Assemble Data'!H:H,'Assemble Data'!A423,'Assemble Data'!I:I)</f>
        <v>11</v>
      </c>
      <c r="E422" s="13">
        <f>IFERROR(IF(AND('Assemble Data'!D423&lt;&gt;"",'Assemble Data'!D423&lt;&gt;B422),1,0),1)</f>
        <v>0</v>
      </c>
      <c r="F422" s="13">
        <f ca="1">IF('Assemble Data'!E423="",0,IF(ISERROR(FIND("INDEX",_xlfn.FORMULATEXT('Assemble Data'!E423),1)),1,0)+IFERROR(IF(AND('Assemble Data'!E423&lt;&gt;C422,'Assemble Data'!E423&lt;&gt;""),1,0),1))</f>
        <v>0</v>
      </c>
      <c r="G422" s="13">
        <f ca="1">IF('Assemble Data'!F423="",0,IF(ISERROR(FIND("VLOOKUP",_xlfn.FORMULATEXT('Assemble Data'!F423),1)),1,0)+IFERROR(IF(AND('Assemble Data'!F423&lt;&gt;D422,'Assemble Data'!F423&lt;&gt;""),1,0),1))</f>
        <v>0</v>
      </c>
      <c r="H422" s="13">
        <f t="shared" si="28"/>
        <v>9</v>
      </c>
      <c r="I422" t="str">
        <f t="shared" si="29"/>
        <v>C1P11</v>
      </c>
    </row>
    <row r="423" spans="1:9">
      <c r="A423" t="str">
        <f>'Assemble Data'!B424</f>
        <v>P12</v>
      </c>
      <c r="B423" s="13">
        <f>IFERROR(SUMIF('Assemble Data'!K:K,'Assemble Data'!A424,'Assemble Data'!L:L),0)</f>
        <v>8190</v>
      </c>
      <c r="C423" s="13" t="str">
        <f>INDEX('Assemble Data'!$O$24:$O$1023,MATCH('Assemble Data'!A424,'Assemble Data'!$N$24:$N$1023,0))</f>
        <v>C1</v>
      </c>
      <c r="D423" s="13">
        <f>SUMIF('Assemble Data'!H:H,'Assemble Data'!A424,'Assemble Data'!I:I)</f>
        <v>6.5</v>
      </c>
      <c r="E423" s="13">
        <f>IFERROR(IF(AND('Assemble Data'!D424&lt;&gt;"",'Assemble Data'!D424&lt;&gt;B423),1,0),1)</f>
        <v>0</v>
      </c>
      <c r="F423" s="13">
        <f ca="1">IF('Assemble Data'!E424="",0,IF(ISERROR(FIND("INDEX",_xlfn.FORMULATEXT('Assemble Data'!E424),1)),1,0)+IFERROR(IF(AND('Assemble Data'!E424&lt;&gt;C423,'Assemble Data'!E424&lt;&gt;""),1,0),1))</f>
        <v>0</v>
      </c>
      <c r="G423" s="13">
        <f ca="1">IF('Assemble Data'!F424="",0,IF(ISERROR(FIND("VLOOKUP",_xlfn.FORMULATEXT('Assemble Data'!F424),1)),1,0)+IFERROR(IF(AND('Assemble Data'!F424&lt;&gt;D423,'Assemble Data'!F424&lt;&gt;""),1,0),1))</f>
        <v>0</v>
      </c>
      <c r="H423" s="13">
        <f t="shared" si="28"/>
        <v>7</v>
      </c>
      <c r="I423" t="str">
        <f t="shared" si="29"/>
        <v>C1P12</v>
      </c>
    </row>
    <row r="424" spans="1:9">
      <c r="A424" t="str">
        <f>'Assemble Data'!B425</f>
        <v>P10</v>
      </c>
      <c r="B424" s="13">
        <f>IFERROR(SUMIF('Assemble Data'!K:K,'Assemble Data'!A425,'Assemble Data'!L:L),0)</f>
        <v>2880</v>
      </c>
      <c r="C424" s="13" t="str">
        <f>INDEX('Assemble Data'!$O$24:$O$1023,MATCH('Assemble Data'!A425,'Assemble Data'!$N$24:$N$1023,0))</f>
        <v>C1</v>
      </c>
      <c r="D424" s="13">
        <f>SUMIF('Assemble Data'!H:H,'Assemble Data'!A425,'Assemble Data'!I:I)</f>
        <v>3</v>
      </c>
      <c r="E424" s="13">
        <f>IFERROR(IF(AND('Assemble Data'!D425&lt;&gt;"",'Assemble Data'!D425&lt;&gt;B424),1,0),1)</f>
        <v>0</v>
      </c>
      <c r="F424" s="13">
        <f ca="1">IF('Assemble Data'!E425="",0,IF(ISERROR(FIND("INDEX",_xlfn.FORMULATEXT('Assemble Data'!E425),1)),1,0)+IFERROR(IF(AND('Assemble Data'!E425&lt;&gt;C424,'Assemble Data'!E425&lt;&gt;""),1,0),1))</f>
        <v>0</v>
      </c>
      <c r="G424" s="13">
        <f ca="1">IF('Assemble Data'!F425="",0,IF(ISERROR(FIND("VLOOKUP",_xlfn.FORMULATEXT('Assemble Data'!F425),1)),1,0)+IFERROR(IF(AND('Assemble Data'!F425&lt;&gt;D424,'Assemble Data'!F425&lt;&gt;""),1,0),1))</f>
        <v>0</v>
      </c>
      <c r="H424" s="13">
        <f t="shared" si="28"/>
        <v>8</v>
      </c>
      <c r="I424" t="str">
        <f t="shared" si="29"/>
        <v>C1P10</v>
      </c>
    </row>
    <row r="425" spans="1:9">
      <c r="A425" t="str">
        <f>'Assemble Data'!B426</f>
        <v>P10</v>
      </c>
      <c r="B425" s="13">
        <f>IFERROR(SUMIF('Assemble Data'!K:K,'Assemble Data'!A426,'Assemble Data'!L:L),0)</f>
        <v>2880</v>
      </c>
      <c r="C425" s="13" t="str">
        <f>INDEX('Assemble Data'!$O$24:$O$1023,MATCH('Assemble Data'!A426,'Assemble Data'!$N$24:$N$1023,0))</f>
        <v>C1</v>
      </c>
      <c r="D425" s="13">
        <f>SUMIF('Assemble Data'!H:H,'Assemble Data'!A426,'Assemble Data'!I:I)</f>
        <v>3</v>
      </c>
      <c r="E425" s="13">
        <f>IFERROR(IF(AND('Assemble Data'!D426&lt;&gt;"",'Assemble Data'!D426&lt;&gt;B425),1,0),1)</f>
        <v>0</v>
      </c>
      <c r="F425" s="13">
        <f ca="1">IF('Assemble Data'!E426="",0,IF(ISERROR(FIND("INDEX",_xlfn.FORMULATEXT('Assemble Data'!E426),1)),1,0)+IFERROR(IF(AND('Assemble Data'!E426&lt;&gt;C425,'Assemble Data'!E426&lt;&gt;""),1,0),1))</f>
        <v>0</v>
      </c>
      <c r="G425" s="13">
        <f ca="1">IF('Assemble Data'!F426="",0,IF(ISERROR(FIND("VLOOKUP",_xlfn.FORMULATEXT('Assemble Data'!F426),1)),1,0)+IFERROR(IF(AND('Assemble Data'!F426&lt;&gt;D425,'Assemble Data'!F426&lt;&gt;""),1,0),1))</f>
        <v>0</v>
      </c>
      <c r="H425" s="13">
        <f t="shared" si="28"/>
        <v>8</v>
      </c>
      <c r="I425" t="str">
        <f t="shared" si="29"/>
        <v>C1P10</v>
      </c>
    </row>
    <row r="426" spans="1:9">
      <c r="A426" t="str">
        <f>'Assemble Data'!B427</f>
        <v>P11</v>
      </c>
      <c r="B426" s="13">
        <f>IFERROR(SUMIF('Assemble Data'!K:K,'Assemble Data'!A427,'Assemble Data'!L:L),0)</f>
        <v>13200</v>
      </c>
      <c r="C426" s="13" t="str">
        <f>INDEX('Assemble Data'!$O$24:$O$1023,MATCH('Assemble Data'!A427,'Assemble Data'!$N$24:$N$1023,0))</f>
        <v>C1</v>
      </c>
      <c r="D426" s="13">
        <f>SUMIF('Assemble Data'!H:H,'Assemble Data'!A427,'Assemble Data'!I:I)</f>
        <v>11</v>
      </c>
      <c r="E426" s="13">
        <f>IFERROR(IF(AND('Assemble Data'!D427&lt;&gt;"",'Assemble Data'!D427&lt;&gt;B426),1,0),1)</f>
        <v>0</v>
      </c>
      <c r="F426" s="13">
        <f ca="1">IF('Assemble Data'!E427="",0,IF(ISERROR(FIND("INDEX",_xlfn.FORMULATEXT('Assemble Data'!E427),1)),1,0)+IFERROR(IF(AND('Assemble Data'!E427&lt;&gt;C426,'Assemble Data'!E427&lt;&gt;""),1,0),1))</f>
        <v>0</v>
      </c>
      <c r="G426" s="13">
        <f ca="1">IF('Assemble Data'!F427="",0,IF(ISERROR(FIND("VLOOKUP",_xlfn.FORMULATEXT('Assemble Data'!F427),1)),1,0)+IFERROR(IF(AND('Assemble Data'!F427&lt;&gt;D426,'Assemble Data'!F427&lt;&gt;""),1,0),1))</f>
        <v>0</v>
      </c>
      <c r="H426" s="13">
        <f t="shared" si="28"/>
        <v>9</v>
      </c>
      <c r="I426" t="str">
        <f t="shared" si="29"/>
        <v>C1P11</v>
      </c>
    </row>
    <row r="427" spans="1:9">
      <c r="A427" t="str">
        <f>'Assemble Data'!B428</f>
        <v>P18</v>
      </c>
      <c r="B427" s="13">
        <f>IFERROR(SUMIF('Assemble Data'!K:K,'Assemble Data'!A428,'Assemble Data'!L:L),0)</f>
        <v>4860</v>
      </c>
      <c r="C427" s="13" t="str">
        <f>INDEX('Assemble Data'!$O$24:$O$1023,MATCH('Assemble Data'!A428,'Assemble Data'!$N$24:$N$1023,0))</f>
        <v>O1</v>
      </c>
      <c r="D427" s="13">
        <f>SUMIF('Assemble Data'!H:H,'Assemble Data'!A428,'Assemble Data'!I:I)</f>
        <v>6</v>
      </c>
      <c r="E427" s="13">
        <f>IFERROR(IF(AND('Assemble Data'!D428&lt;&gt;"",'Assemble Data'!D428&lt;&gt;B427),1,0),1)</f>
        <v>0</v>
      </c>
      <c r="F427" s="13">
        <f ca="1">IF('Assemble Data'!E428="",0,IF(ISERROR(FIND("INDEX",_xlfn.FORMULATEXT('Assemble Data'!E428),1)),1,0)+IFERROR(IF(AND('Assemble Data'!E428&lt;&gt;C427,'Assemble Data'!E428&lt;&gt;""),1,0),1))</f>
        <v>0</v>
      </c>
      <c r="G427" s="13">
        <f ca="1">IF('Assemble Data'!F428="",0,IF(ISERROR(FIND("VLOOKUP",_xlfn.FORMULATEXT('Assemble Data'!F428),1)),1,0)+IFERROR(IF(AND('Assemble Data'!F428&lt;&gt;D427,'Assemble Data'!F428&lt;&gt;""),1,0),1))</f>
        <v>0</v>
      </c>
      <c r="H427" s="13">
        <f t="shared" si="28"/>
        <v>2</v>
      </c>
      <c r="I427" t="str">
        <f t="shared" si="29"/>
        <v>O1P18</v>
      </c>
    </row>
    <row r="428" spans="1:9">
      <c r="A428" t="str">
        <f>'Assemble Data'!B429</f>
        <v>P14</v>
      </c>
      <c r="B428" s="13">
        <f>IFERROR(SUMIF('Assemble Data'!K:K,'Assemble Data'!A429,'Assemble Data'!L:L),0)</f>
        <v>10080</v>
      </c>
      <c r="C428" s="13" t="str">
        <f>INDEX('Assemble Data'!$O$24:$O$1023,MATCH('Assemble Data'!A429,'Assemble Data'!$N$24:$N$1023,0))</f>
        <v>N1</v>
      </c>
      <c r="D428" s="13">
        <f>SUMIF('Assemble Data'!H:H,'Assemble Data'!A429,'Assemble Data'!I:I)</f>
        <v>8</v>
      </c>
      <c r="E428" s="13">
        <f>IFERROR(IF(AND('Assemble Data'!D429&lt;&gt;"",'Assemble Data'!D429&lt;&gt;B428),1,0),1)</f>
        <v>0</v>
      </c>
      <c r="F428" s="13">
        <f ca="1">IF('Assemble Data'!E429="",0,IF(ISERROR(FIND("INDEX",_xlfn.FORMULATEXT('Assemble Data'!E429),1)),1,0)+IFERROR(IF(AND('Assemble Data'!E429&lt;&gt;C428,'Assemble Data'!E429&lt;&gt;""),1,0),1))</f>
        <v>0</v>
      </c>
      <c r="G428" s="13">
        <f ca="1">IF('Assemble Data'!F429="",0,IF(ISERROR(FIND("VLOOKUP",_xlfn.FORMULATEXT('Assemble Data'!F429),1)),1,0)+IFERROR(IF(AND('Assemble Data'!F429&lt;&gt;D428,'Assemble Data'!F429&lt;&gt;""),1,0),1))</f>
        <v>0</v>
      </c>
      <c r="H428" s="13">
        <f t="shared" si="28"/>
        <v>5</v>
      </c>
      <c r="I428" t="str">
        <f t="shared" si="29"/>
        <v>N1P14</v>
      </c>
    </row>
    <row r="429" spans="1:9">
      <c r="A429" t="str">
        <f>'Assemble Data'!B430</f>
        <v>P10</v>
      </c>
      <c r="B429" s="13">
        <f>IFERROR(SUMIF('Assemble Data'!K:K,'Assemble Data'!A430,'Assemble Data'!L:L),0)</f>
        <v>2880</v>
      </c>
      <c r="C429" s="13" t="str">
        <f>INDEX('Assemble Data'!$O$24:$O$1023,MATCH('Assemble Data'!A430,'Assemble Data'!$N$24:$N$1023,0))</f>
        <v>C1</v>
      </c>
      <c r="D429" s="13">
        <f>SUMIF('Assemble Data'!H:H,'Assemble Data'!A430,'Assemble Data'!I:I)</f>
        <v>3</v>
      </c>
      <c r="E429" s="13">
        <f>IFERROR(IF(AND('Assemble Data'!D430&lt;&gt;"",'Assemble Data'!D430&lt;&gt;B429),1,0),1)</f>
        <v>0</v>
      </c>
      <c r="F429" s="13">
        <f ca="1">IF('Assemble Data'!E430="",0,IF(ISERROR(FIND("INDEX",_xlfn.FORMULATEXT('Assemble Data'!E430),1)),1,0)+IFERROR(IF(AND('Assemble Data'!E430&lt;&gt;C429,'Assemble Data'!E430&lt;&gt;""),1,0),1))</f>
        <v>0</v>
      </c>
      <c r="G429" s="13">
        <f ca="1">IF('Assemble Data'!F430="",0,IF(ISERROR(FIND("VLOOKUP",_xlfn.FORMULATEXT('Assemble Data'!F430),1)),1,0)+IFERROR(IF(AND('Assemble Data'!F430&lt;&gt;D429,'Assemble Data'!F430&lt;&gt;""),1,0),1))</f>
        <v>0</v>
      </c>
      <c r="H429" s="13">
        <f t="shared" si="28"/>
        <v>8</v>
      </c>
      <c r="I429" t="str">
        <f t="shared" si="29"/>
        <v>C1P10</v>
      </c>
    </row>
    <row r="430" spans="1:9">
      <c r="A430" t="str">
        <f>'Assemble Data'!B431</f>
        <v>P13</v>
      </c>
      <c r="B430" s="13">
        <f>IFERROR(SUMIF('Assemble Data'!K:K,'Assemble Data'!A431,'Assemble Data'!L:L),0)</f>
        <v>5400</v>
      </c>
      <c r="C430" s="13" t="str">
        <f>INDEX('Assemble Data'!$O$24:$O$1023,MATCH('Assemble Data'!A431,'Assemble Data'!$N$24:$N$1023,0))</f>
        <v>C1</v>
      </c>
      <c r="D430" s="13">
        <f>SUMIF('Assemble Data'!H:H,'Assemble Data'!A431,'Assemble Data'!I:I)</f>
        <v>5</v>
      </c>
      <c r="E430" s="13">
        <f>IFERROR(IF(AND('Assemble Data'!D431&lt;&gt;"",'Assemble Data'!D431&lt;&gt;B430),1,0),1)</f>
        <v>0</v>
      </c>
      <c r="F430" s="13">
        <f ca="1">IF('Assemble Data'!E431="",0,IF(ISERROR(FIND("INDEX",_xlfn.FORMULATEXT('Assemble Data'!E431),1)),1,0)+IFERROR(IF(AND('Assemble Data'!E431&lt;&gt;C430,'Assemble Data'!E431&lt;&gt;""),1,0),1))</f>
        <v>0</v>
      </c>
      <c r="G430" s="13">
        <f ca="1">IF('Assemble Data'!F431="",0,IF(ISERROR(FIND("VLOOKUP",_xlfn.FORMULATEXT('Assemble Data'!F431),1)),1,0)+IFERROR(IF(AND('Assemble Data'!F431&lt;&gt;D430,'Assemble Data'!F431&lt;&gt;""),1,0),1))</f>
        <v>0</v>
      </c>
      <c r="H430" s="13">
        <f t="shared" si="28"/>
        <v>3</v>
      </c>
      <c r="I430" t="str">
        <f t="shared" si="29"/>
        <v>C1P13</v>
      </c>
    </row>
    <row r="431" spans="1:9">
      <c r="A431" t="str">
        <f>'Assemble Data'!B432</f>
        <v>P13</v>
      </c>
      <c r="B431" s="13">
        <f>IFERROR(SUMIF('Assemble Data'!K:K,'Assemble Data'!A432,'Assemble Data'!L:L),0)</f>
        <v>5400</v>
      </c>
      <c r="C431" s="13" t="str">
        <f>INDEX('Assemble Data'!$O$24:$O$1023,MATCH('Assemble Data'!A432,'Assemble Data'!$N$24:$N$1023,0))</f>
        <v>C1</v>
      </c>
      <c r="D431" s="13">
        <f>SUMIF('Assemble Data'!H:H,'Assemble Data'!A432,'Assemble Data'!I:I)</f>
        <v>5</v>
      </c>
      <c r="E431" s="13">
        <f>IFERROR(IF(AND('Assemble Data'!D432&lt;&gt;"",'Assemble Data'!D432&lt;&gt;B431),1,0),1)</f>
        <v>0</v>
      </c>
      <c r="F431" s="13">
        <f ca="1">IF('Assemble Data'!E432="",0,IF(ISERROR(FIND("INDEX",_xlfn.FORMULATEXT('Assemble Data'!E432),1)),1,0)+IFERROR(IF(AND('Assemble Data'!E432&lt;&gt;C431,'Assemble Data'!E432&lt;&gt;""),1,0),1))</f>
        <v>0</v>
      </c>
      <c r="G431" s="13">
        <f ca="1">IF('Assemble Data'!F432="",0,IF(ISERROR(FIND("VLOOKUP",_xlfn.FORMULATEXT('Assemble Data'!F432),1)),1,0)+IFERROR(IF(AND('Assemble Data'!F432&lt;&gt;D431,'Assemble Data'!F432&lt;&gt;""),1,0),1))</f>
        <v>0</v>
      </c>
      <c r="H431" s="13">
        <f t="shared" si="28"/>
        <v>3</v>
      </c>
      <c r="I431" t="str">
        <f t="shared" si="29"/>
        <v>C1P13</v>
      </c>
    </row>
    <row r="432" spans="1:9">
      <c r="A432" t="str">
        <f>'Assemble Data'!B433</f>
        <v>P10</v>
      </c>
      <c r="B432" s="13">
        <f>IFERROR(SUMIF('Assemble Data'!K:K,'Assemble Data'!A433,'Assemble Data'!L:L),0)</f>
        <v>2880</v>
      </c>
      <c r="C432" s="13" t="str">
        <f>INDEX('Assemble Data'!$O$24:$O$1023,MATCH('Assemble Data'!A433,'Assemble Data'!$N$24:$N$1023,0))</f>
        <v>C1</v>
      </c>
      <c r="D432" s="13">
        <f>SUMIF('Assemble Data'!H:H,'Assemble Data'!A433,'Assemble Data'!I:I)</f>
        <v>3</v>
      </c>
      <c r="E432" s="13">
        <f>IFERROR(IF(AND('Assemble Data'!D433&lt;&gt;"",'Assemble Data'!D433&lt;&gt;B432),1,0),1)</f>
        <v>0</v>
      </c>
      <c r="F432" s="13">
        <f ca="1">IF('Assemble Data'!E433="",0,IF(ISERROR(FIND("INDEX",_xlfn.FORMULATEXT('Assemble Data'!E433),1)),1,0)+IFERROR(IF(AND('Assemble Data'!E433&lt;&gt;C432,'Assemble Data'!E433&lt;&gt;""),1,0),1))</f>
        <v>0</v>
      </c>
      <c r="G432" s="13">
        <f ca="1">IF('Assemble Data'!F433="",0,IF(ISERROR(FIND("VLOOKUP",_xlfn.FORMULATEXT('Assemble Data'!F433),1)),1,0)+IFERROR(IF(AND('Assemble Data'!F433&lt;&gt;D432,'Assemble Data'!F433&lt;&gt;""),1,0),1))</f>
        <v>0</v>
      </c>
      <c r="H432" s="13">
        <f t="shared" si="28"/>
        <v>8</v>
      </c>
      <c r="I432" t="str">
        <f t="shared" si="29"/>
        <v>C1P10</v>
      </c>
    </row>
    <row r="433" spans="1:9">
      <c r="A433" t="str">
        <f>'Assemble Data'!B434</f>
        <v>P11</v>
      </c>
      <c r="B433" s="13">
        <f>IFERROR(SUMIF('Assemble Data'!K:K,'Assemble Data'!A434,'Assemble Data'!L:L),0)</f>
        <v>13200</v>
      </c>
      <c r="C433" s="13" t="str">
        <f>INDEX('Assemble Data'!$O$24:$O$1023,MATCH('Assemble Data'!A434,'Assemble Data'!$N$24:$N$1023,0))</f>
        <v>C1</v>
      </c>
      <c r="D433" s="13">
        <f>SUMIF('Assemble Data'!H:H,'Assemble Data'!A434,'Assemble Data'!I:I)</f>
        <v>11</v>
      </c>
      <c r="E433" s="13">
        <f>IFERROR(IF(AND('Assemble Data'!D434&lt;&gt;"",'Assemble Data'!D434&lt;&gt;B433),1,0),1)</f>
        <v>0</v>
      </c>
      <c r="F433" s="13">
        <f ca="1">IF('Assemble Data'!E434="",0,IF(ISERROR(FIND("INDEX",_xlfn.FORMULATEXT('Assemble Data'!E434),1)),1,0)+IFERROR(IF(AND('Assemble Data'!E434&lt;&gt;C433,'Assemble Data'!E434&lt;&gt;""),1,0),1))</f>
        <v>0</v>
      </c>
      <c r="G433" s="13">
        <f ca="1">IF('Assemble Data'!F434="",0,IF(ISERROR(FIND("VLOOKUP",_xlfn.FORMULATEXT('Assemble Data'!F434),1)),1,0)+IFERROR(IF(AND('Assemble Data'!F434&lt;&gt;D433,'Assemble Data'!F434&lt;&gt;""),1,0),1))</f>
        <v>0</v>
      </c>
      <c r="H433" s="13">
        <f t="shared" si="28"/>
        <v>9</v>
      </c>
      <c r="I433" t="str">
        <f t="shared" si="29"/>
        <v>C1P11</v>
      </c>
    </row>
    <row r="434" spans="1:9">
      <c r="A434" t="str">
        <f>'Assemble Data'!B435</f>
        <v>P16</v>
      </c>
      <c r="B434" s="13">
        <f>IFERROR(SUMIF('Assemble Data'!K:K,'Assemble Data'!A435,'Assemble Data'!L:L),0)</f>
        <v>7279.9999999999991</v>
      </c>
      <c r="C434" s="13" t="str">
        <f>INDEX('Assemble Data'!$O$24:$O$1023,MATCH('Assemble Data'!A435,'Assemble Data'!$N$24:$N$1023,0))</f>
        <v>N1</v>
      </c>
      <c r="D434" s="13">
        <f>SUMIF('Assemble Data'!H:H,'Assemble Data'!A435,'Assemble Data'!I:I)</f>
        <v>4</v>
      </c>
      <c r="E434" s="13">
        <f>IFERROR(IF(AND('Assemble Data'!D435&lt;&gt;"",'Assemble Data'!D435&lt;&gt;B434),1,0),1)</f>
        <v>0</v>
      </c>
      <c r="F434" s="13">
        <f ca="1">IF('Assemble Data'!E435="",0,IF(ISERROR(FIND("INDEX",_xlfn.FORMULATEXT('Assemble Data'!E435),1)),1,0)+IFERROR(IF(AND('Assemble Data'!E435&lt;&gt;C434,'Assemble Data'!E435&lt;&gt;""),1,0),1))</f>
        <v>0</v>
      </c>
      <c r="G434" s="13">
        <f ca="1">IF('Assemble Data'!F435="",0,IF(ISERROR(FIND("VLOOKUP",_xlfn.FORMULATEXT('Assemble Data'!F435),1)),1,0)+IFERROR(IF(AND('Assemble Data'!F435&lt;&gt;D434,'Assemble Data'!F435&lt;&gt;""),1,0),1))</f>
        <v>0</v>
      </c>
      <c r="H434" s="13">
        <f t="shared" si="28"/>
        <v>0</v>
      </c>
      <c r="I434" t="str">
        <f t="shared" si="29"/>
        <v>N1P16</v>
      </c>
    </row>
    <row r="435" spans="1:9">
      <c r="A435" t="str">
        <f>'Assemble Data'!B436</f>
        <v>P17</v>
      </c>
      <c r="B435" s="13">
        <f>IFERROR(SUMIF('Assemble Data'!K:K,'Assemble Data'!A436,'Assemble Data'!L:L),0)</f>
        <v>10800</v>
      </c>
      <c r="C435" s="13" t="str">
        <f>INDEX('Assemble Data'!$O$24:$O$1023,MATCH('Assemble Data'!A436,'Assemble Data'!$N$24:$N$1023,0))</f>
        <v>O1</v>
      </c>
      <c r="D435" s="13">
        <f>SUMIF('Assemble Data'!H:H,'Assemble Data'!A436,'Assemble Data'!I:I)</f>
        <v>12</v>
      </c>
      <c r="E435" s="13">
        <f>IFERROR(IF(AND('Assemble Data'!D436&lt;&gt;"",'Assemble Data'!D436&lt;&gt;B435),1,0),1)</f>
        <v>0</v>
      </c>
      <c r="F435" s="13">
        <f ca="1">IF('Assemble Data'!E436="",0,IF(ISERROR(FIND("INDEX",_xlfn.FORMULATEXT('Assemble Data'!E436),1)),1,0)+IFERROR(IF(AND('Assemble Data'!E436&lt;&gt;C435,'Assemble Data'!E436&lt;&gt;""),1,0),1))</f>
        <v>0</v>
      </c>
      <c r="G435" s="13">
        <f ca="1">IF('Assemble Data'!F436="",0,IF(ISERROR(FIND("VLOOKUP",_xlfn.FORMULATEXT('Assemble Data'!F436),1)),1,0)+IFERROR(IF(AND('Assemble Data'!F436&lt;&gt;D435,'Assemble Data'!F436&lt;&gt;""),1,0),1))</f>
        <v>0</v>
      </c>
      <c r="H435" s="13">
        <f t="shared" si="28"/>
        <v>6</v>
      </c>
      <c r="I435" t="str">
        <f t="shared" si="29"/>
        <v>O1P17</v>
      </c>
    </row>
    <row r="436" spans="1:9">
      <c r="A436" t="str">
        <f>'Assemble Data'!B437</f>
        <v>P17</v>
      </c>
      <c r="B436" s="13">
        <f>IFERROR(SUMIF('Assemble Data'!K:K,'Assemble Data'!A437,'Assemble Data'!L:L),0)</f>
        <v>10800</v>
      </c>
      <c r="C436" s="13" t="str">
        <f>INDEX('Assemble Data'!$O$24:$O$1023,MATCH('Assemble Data'!A437,'Assemble Data'!$N$24:$N$1023,0))</f>
        <v>O1</v>
      </c>
      <c r="D436" s="13">
        <f>SUMIF('Assemble Data'!H:H,'Assemble Data'!A437,'Assemble Data'!I:I)</f>
        <v>12</v>
      </c>
      <c r="E436" s="13">
        <f>IFERROR(IF(AND('Assemble Data'!D437&lt;&gt;"",'Assemble Data'!D437&lt;&gt;B436),1,0),1)</f>
        <v>0</v>
      </c>
      <c r="F436" s="13">
        <f ca="1">IF('Assemble Data'!E437="",0,IF(ISERROR(FIND("INDEX",_xlfn.FORMULATEXT('Assemble Data'!E437),1)),1,0)+IFERROR(IF(AND('Assemble Data'!E437&lt;&gt;C436,'Assemble Data'!E437&lt;&gt;""),1,0),1))</f>
        <v>0</v>
      </c>
      <c r="G436" s="13">
        <f ca="1">IF('Assemble Data'!F437="",0,IF(ISERROR(FIND("VLOOKUP",_xlfn.FORMULATEXT('Assemble Data'!F437),1)),1,0)+IFERROR(IF(AND('Assemble Data'!F437&lt;&gt;D436,'Assemble Data'!F437&lt;&gt;""),1,0),1))</f>
        <v>0</v>
      </c>
      <c r="H436" s="13">
        <f t="shared" si="28"/>
        <v>6</v>
      </c>
      <c r="I436" t="str">
        <f t="shared" si="29"/>
        <v>O1P17</v>
      </c>
    </row>
    <row r="437" spans="1:9">
      <c r="A437" t="str">
        <f>'Assemble Data'!B438</f>
        <v>P13</v>
      </c>
      <c r="B437" s="13">
        <f>IFERROR(SUMIF('Assemble Data'!K:K,'Assemble Data'!A438,'Assemble Data'!L:L),0)</f>
        <v>5400</v>
      </c>
      <c r="C437" s="13" t="str">
        <f>INDEX('Assemble Data'!$O$24:$O$1023,MATCH('Assemble Data'!A438,'Assemble Data'!$N$24:$N$1023,0))</f>
        <v>C1</v>
      </c>
      <c r="D437" s="13">
        <f>SUMIF('Assemble Data'!H:H,'Assemble Data'!A438,'Assemble Data'!I:I)</f>
        <v>5</v>
      </c>
      <c r="E437" s="13">
        <f>IFERROR(IF(AND('Assemble Data'!D438&lt;&gt;"",'Assemble Data'!D438&lt;&gt;B437),1,0),1)</f>
        <v>0</v>
      </c>
      <c r="F437" s="13">
        <f ca="1">IF('Assemble Data'!E438="",0,IF(ISERROR(FIND("INDEX",_xlfn.FORMULATEXT('Assemble Data'!E438),1)),1,0)+IFERROR(IF(AND('Assemble Data'!E438&lt;&gt;C437,'Assemble Data'!E438&lt;&gt;""),1,0),1))</f>
        <v>0</v>
      </c>
      <c r="G437" s="13">
        <f ca="1">IF('Assemble Data'!F438="",0,IF(ISERROR(FIND("VLOOKUP",_xlfn.FORMULATEXT('Assemble Data'!F438),1)),1,0)+IFERROR(IF(AND('Assemble Data'!F438&lt;&gt;D437,'Assemble Data'!F438&lt;&gt;""),1,0),1))</f>
        <v>0</v>
      </c>
      <c r="H437" s="13">
        <f t="shared" si="28"/>
        <v>3</v>
      </c>
      <c r="I437" t="str">
        <f t="shared" si="29"/>
        <v>C1P13</v>
      </c>
    </row>
    <row r="438" spans="1:9">
      <c r="A438" t="str">
        <f>'Assemble Data'!B439</f>
        <v>P11</v>
      </c>
      <c r="B438" s="13">
        <f>IFERROR(SUMIF('Assemble Data'!K:K,'Assemble Data'!A439,'Assemble Data'!L:L),0)</f>
        <v>13200</v>
      </c>
      <c r="C438" s="13" t="str">
        <f>INDEX('Assemble Data'!$O$24:$O$1023,MATCH('Assemble Data'!A439,'Assemble Data'!$N$24:$N$1023,0))</f>
        <v>C1</v>
      </c>
      <c r="D438" s="13">
        <f>SUMIF('Assemble Data'!H:H,'Assemble Data'!A439,'Assemble Data'!I:I)</f>
        <v>11</v>
      </c>
      <c r="E438" s="13">
        <f>IFERROR(IF(AND('Assemble Data'!D439&lt;&gt;"",'Assemble Data'!D439&lt;&gt;B438),1,0),1)</f>
        <v>0</v>
      </c>
      <c r="F438" s="13">
        <f ca="1">IF('Assemble Data'!E439="",0,IF(ISERROR(FIND("INDEX",_xlfn.FORMULATEXT('Assemble Data'!E439),1)),1,0)+IFERROR(IF(AND('Assemble Data'!E439&lt;&gt;C438,'Assemble Data'!E439&lt;&gt;""),1,0),1))</f>
        <v>0</v>
      </c>
      <c r="G438" s="13">
        <f ca="1">IF('Assemble Data'!F439="",0,IF(ISERROR(FIND("VLOOKUP",_xlfn.FORMULATEXT('Assemble Data'!F439),1)),1,0)+IFERROR(IF(AND('Assemble Data'!F439&lt;&gt;D438,'Assemble Data'!F439&lt;&gt;""),1,0),1))</f>
        <v>0</v>
      </c>
      <c r="H438" s="13">
        <f t="shared" si="28"/>
        <v>9</v>
      </c>
      <c r="I438" t="str">
        <f t="shared" si="29"/>
        <v>C1P11</v>
      </c>
    </row>
    <row r="439" spans="1:9">
      <c r="A439" t="str">
        <f>'Assemble Data'!B440</f>
        <v>P11</v>
      </c>
      <c r="B439" s="13">
        <f>IFERROR(SUMIF('Assemble Data'!K:K,'Assemble Data'!A440,'Assemble Data'!L:L),0)</f>
        <v>13200</v>
      </c>
      <c r="C439" s="13" t="str">
        <f>INDEX('Assemble Data'!$O$24:$O$1023,MATCH('Assemble Data'!A440,'Assemble Data'!$N$24:$N$1023,0))</f>
        <v>C1</v>
      </c>
      <c r="D439" s="13">
        <f>SUMIF('Assemble Data'!H:H,'Assemble Data'!A440,'Assemble Data'!I:I)</f>
        <v>11</v>
      </c>
      <c r="E439" s="13">
        <f>IFERROR(IF(AND('Assemble Data'!D440&lt;&gt;"",'Assemble Data'!D440&lt;&gt;B439),1,0),1)</f>
        <v>0</v>
      </c>
      <c r="F439" s="13">
        <f ca="1">IF('Assemble Data'!E440="",0,IF(ISERROR(FIND("INDEX",_xlfn.FORMULATEXT('Assemble Data'!E440),1)),1,0)+IFERROR(IF(AND('Assemble Data'!E440&lt;&gt;C439,'Assemble Data'!E440&lt;&gt;""),1,0),1))</f>
        <v>0</v>
      </c>
      <c r="G439" s="13">
        <f ca="1">IF('Assemble Data'!F440="",0,IF(ISERROR(FIND("VLOOKUP",_xlfn.FORMULATEXT('Assemble Data'!F440),1)),1,0)+IFERROR(IF(AND('Assemble Data'!F440&lt;&gt;D439,'Assemble Data'!F440&lt;&gt;""),1,0),1))</f>
        <v>0</v>
      </c>
      <c r="H439" s="13">
        <f t="shared" si="28"/>
        <v>9</v>
      </c>
      <c r="I439" t="str">
        <f t="shared" si="29"/>
        <v>C1P11</v>
      </c>
    </row>
    <row r="440" spans="1:9">
      <c r="A440" t="str">
        <f>'Assemble Data'!B441</f>
        <v>P12</v>
      </c>
      <c r="B440" s="13">
        <f>IFERROR(SUMIF('Assemble Data'!K:K,'Assemble Data'!A441,'Assemble Data'!L:L),0)</f>
        <v>8190</v>
      </c>
      <c r="C440" s="13" t="str">
        <f>INDEX('Assemble Data'!$O$24:$O$1023,MATCH('Assemble Data'!A441,'Assemble Data'!$N$24:$N$1023,0))</f>
        <v>C1</v>
      </c>
      <c r="D440" s="13">
        <f>SUMIF('Assemble Data'!H:H,'Assemble Data'!A441,'Assemble Data'!I:I)</f>
        <v>6.5</v>
      </c>
      <c r="E440" s="13">
        <f>IFERROR(IF(AND('Assemble Data'!D441&lt;&gt;"",'Assemble Data'!D441&lt;&gt;B440),1,0),1)</f>
        <v>0</v>
      </c>
      <c r="F440" s="13">
        <f ca="1">IF('Assemble Data'!E441="",0,IF(ISERROR(FIND("INDEX",_xlfn.FORMULATEXT('Assemble Data'!E441),1)),1,0)+IFERROR(IF(AND('Assemble Data'!E441&lt;&gt;C440,'Assemble Data'!E441&lt;&gt;""),1,0),1))</f>
        <v>0</v>
      </c>
      <c r="G440" s="13">
        <f ca="1">IF('Assemble Data'!F441="",0,IF(ISERROR(FIND("VLOOKUP",_xlfn.FORMULATEXT('Assemble Data'!F441),1)),1,0)+IFERROR(IF(AND('Assemble Data'!F441&lt;&gt;D440,'Assemble Data'!F441&lt;&gt;""),1,0),1))</f>
        <v>0</v>
      </c>
      <c r="H440" s="13">
        <f t="shared" si="28"/>
        <v>7</v>
      </c>
      <c r="I440" t="str">
        <f t="shared" si="29"/>
        <v>C1P12</v>
      </c>
    </row>
    <row r="441" spans="1:9">
      <c r="A441" t="str">
        <f>'Assemble Data'!B442</f>
        <v>P10</v>
      </c>
      <c r="B441" s="13">
        <f>IFERROR(SUMIF('Assemble Data'!K:K,'Assemble Data'!A442,'Assemble Data'!L:L),0)</f>
        <v>2880</v>
      </c>
      <c r="C441" s="13" t="str">
        <f>INDEX('Assemble Data'!$O$24:$O$1023,MATCH('Assemble Data'!A442,'Assemble Data'!$N$24:$N$1023,0))</f>
        <v>C1</v>
      </c>
      <c r="D441" s="13">
        <f>SUMIF('Assemble Data'!H:H,'Assemble Data'!A442,'Assemble Data'!I:I)</f>
        <v>3</v>
      </c>
      <c r="E441" s="13">
        <f>IFERROR(IF(AND('Assemble Data'!D442&lt;&gt;"",'Assemble Data'!D442&lt;&gt;B441),1,0),1)</f>
        <v>0</v>
      </c>
      <c r="F441" s="13">
        <f ca="1">IF('Assemble Data'!E442="",0,IF(ISERROR(FIND("INDEX",_xlfn.FORMULATEXT('Assemble Data'!E442),1)),1,0)+IFERROR(IF(AND('Assemble Data'!E442&lt;&gt;C441,'Assemble Data'!E442&lt;&gt;""),1,0),1))</f>
        <v>0</v>
      </c>
      <c r="G441" s="13">
        <f ca="1">IF('Assemble Data'!F442="",0,IF(ISERROR(FIND("VLOOKUP",_xlfn.FORMULATEXT('Assemble Data'!F442),1)),1,0)+IFERROR(IF(AND('Assemble Data'!F442&lt;&gt;D441,'Assemble Data'!F442&lt;&gt;""),1,0),1))</f>
        <v>0</v>
      </c>
      <c r="H441" s="13">
        <f t="shared" si="28"/>
        <v>8</v>
      </c>
      <c r="I441" t="str">
        <f t="shared" si="29"/>
        <v>C1P10</v>
      </c>
    </row>
    <row r="442" spans="1:9">
      <c r="A442" t="str">
        <f>'Assemble Data'!B443</f>
        <v>P10</v>
      </c>
      <c r="B442" s="13">
        <f>IFERROR(SUMIF('Assemble Data'!K:K,'Assemble Data'!A443,'Assemble Data'!L:L),0)</f>
        <v>2400</v>
      </c>
      <c r="C442" s="13" t="str">
        <f>INDEX('Assemble Data'!$O$24:$O$1023,MATCH('Assemble Data'!A443,'Assemble Data'!$N$24:$N$1023,0))</f>
        <v>C2</v>
      </c>
      <c r="D442" s="13">
        <f>SUMIF('Assemble Data'!H:H,'Assemble Data'!A443,'Assemble Data'!I:I)</f>
        <v>3</v>
      </c>
      <c r="E442" s="13">
        <f>IFERROR(IF(AND('Assemble Data'!D443&lt;&gt;"",'Assemble Data'!D443&lt;&gt;B442),1,0),1)</f>
        <v>0</v>
      </c>
      <c r="F442" s="13">
        <f ca="1">IF('Assemble Data'!E443="",0,IF(ISERROR(FIND("INDEX",_xlfn.FORMULATEXT('Assemble Data'!E443),1)),1,0)+IFERROR(IF(AND('Assemble Data'!E443&lt;&gt;C442,'Assemble Data'!E443&lt;&gt;""),1,0),1))</f>
        <v>0</v>
      </c>
      <c r="G442" s="13">
        <f ca="1">IF('Assemble Data'!F443="",0,IF(ISERROR(FIND("VLOOKUP",_xlfn.FORMULATEXT('Assemble Data'!F443),1)),1,0)+IFERROR(IF(AND('Assemble Data'!F443&lt;&gt;D442,'Assemble Data'!F443&lt;&gt;""),1,0),1))</f>
        <v>0</v>
      </c>
      <c r="H442" s="13">
        <f t="shared" si="28"/>
        <v>8</v>
      </c>
      <c r="I442" t="str">
        <f t="shared" si="29"/>
        <v>C2P10</v>
      </c>
    </row>
    <row r="443" spans="1:9">
      <c r="A443" t="str">
        <f>'Assemble Data'!B444</f>
        <v>P11</v>
      </c>
      <c r="B443" s="13">
        <f>IFERROR(SUMIF('Assemble Data'!K:K,'Assemble Data'!A444,'Assemble Data'!L:L),0)</f>
        <v>11000</v>
      </c>
      <c r="C443" s="13" t="str">
        <f>INDEX('Assemble Data'!$O$24:$O$1023,MATCH('Assemble Data'!A444,'Assemble Data'!$N$24:$N$1023,0))</f>
        <v>C2</v>
      </c>
      <c r="D443" s="13">
        <f>SUMIF('Assemble Data'!H:H,'Assemble Data'!A444,'Assemble Data'!I:I)</f>
        <v>11</v>
      </c>
      <c r="E443" s="13">
        <f>IFERROR(IF(AND('Assemble Data'!D444&lt;&gt;"",'Assemble Data'!D444&lt;&gt;B443),1,0),1)</f>
        <v>0</v>
      </c>
      <c r="F443" s="13">
        <f ca="1">IF('Assemble Data'!E444="",0,IF(ISERROR(FIND("INDEX",_xlfn.FORMULATEXT('Assemble Data'!E444),1)),1,0)+IFERROR(IF(AND('Assemble Data'!E444&lt;&gt;C443,'Assemble Data'!E444&lt;&gt;""),1,0),1))</f>
        <v>0</v>
      </c>
      <c r="G443" s="13">
        <f ca="1">IF('Assemble Data'!F444="",0,IF(ISERROR(FIND("VLOOKUP",_xlfn.FORMULATEXT('Assemble Data'!F444),1)),1,0)+IFERROR(IF(AND('Assemble Data'!F444&lt;&gt;D443,'Assemble Data'!F444&lt;&gt;""),1,0),1))</f>
        <v>0</v>
      </c>
      <c r="H443" s="13">
        <f t="shared" ref="H443:H506" si="30">H426</f>
        <v>9</v>
      </c>
      <c r="I443" t="str">
        <f t="shared" si="29"/>
        <v>C2P11</v>
      </c>
    </row>
    <row r="444" spans="1:9">
      <c r="A444" t="str">
        <f>'Assemble Data'!B445</f>
        <v>P18</v>
      </c>
      <c r="B444" s="13">
        <f>IFERROR(SUMIF('Assemble Data'!K:K,'Assemble Data'!A445,'Assemble Data'!L:L),0)</f>
        <v>5940.0000000000009</v>
      </c>
      <c r="C444" s="13" t="str">
        <f>INDEX('Assemble Data'!$O$24:$O$1023,MATCH('Assemble Data'!A445,'Assemble Data'!$N$24:$N$1023,0))</f>
        <v>O2</v>
      </c>
      <c r="D444" s="13">
        <f>SUMIF('Assemble Data'!H:H,'Assemble Data'!A445,'Assemble Data'!I:I)</f>
        <v>6</v>
      </c>
      <c r="E444" s="13">
        <f>IFERROR(IF(AND('Assemble Data'!D445&lt;&gt;"",'Assemble Data'!D445&lt;&gt;B444),1,0),1)</f>
        <v>0</v>
      </c>
      <c r="F444" s="13">
        <f ca="1">IF('Assemble Data'!E445="",0,IF(ISERROR(FIND("INDEX",_xlfn.FORMULATEXT('Assemble Data'!E445),1)),1,0)+IFERROR(IF(AND('Assemble Data'!E445&lt;&gt;C444,'Assemble Data'!E445&lt;&gt;""),1,0),1))</f>
        <v>0</v>
      </c>
      <c r="G444" s="13">
        <f ca="1">IF('Assemble Data'!F445="",0,IF(ISERROR(FIND("VLOOKUP",_xlfn.FORMULATEXT('Assemble Data'!F445),1)),1,0)+IFERROR(IF(AND('Assemble Data'!F445&lt;&gt;D444,'Assemble Data'!F445&lt;&gt;""),1,0),1))</f>
        <v>0</v>
      </c>
      <c r="H444" s="13">
        <f t="shared" si="30"/>
        <v>2</v>
      </c>
      <c r="I444" t="str">
        <f t="shared" si="29"/>
        <v>O2P18</v>
      </c>
    </row>
    <row r="445" spans="1:9">
      <c r="A445" t="str">
        <f>'Assemble Data'!B446</f>
        <v>P14</v>
      </c>
      <c r="B445" s="13">
        <f>IFERROR(SUMIF('Assemble Data'!K:K,'Assemble Data'!A446,'Assemble Data'!L:L),0)</f>
        <v>6480</v>
      </c>
      <c r="C445" s="13" t="str">
        <f>INDEX('Assemble Data'!$O$24:$O$1023,MATCH('Assemble Data'!A446,'Assemble Data'!$N$24:$N$1023,0))</f>
        <v>N2</v>
      </c>
      <c r="D445" s="13">
        <f>SUMIF('Assemble Data'!H:H,'Assemble Data'!A446,'Assemble Data'!I:I)</f>
        <v>8</v>
      </c>
      <c r="E445" s="13">
        <f>IFERROR(IF(AND('Assemble Data'!D446&lt;&gt;"",'Assemble Data'!D446&lt;&gt;B445),1,0),1)</f>
        <v>0</v>
      </c>
      <c r="F445" s="13">
        <f ca="1">IF('Assemble Data'!E446="",0,IF(ISERROR(FIND("INDEX",_xlfn.FORMULATEXT('Assemble Data'!E446),1)),1,0)+IFERROR(IF(AND('Assemble Data'!E446&lt;&gt;C445,'Assemble Data'!E446&lt;&gt;""),1,0),1))</f>
        <v>0</v>
      </c>
      <c r="G445" s="13">
        <f ca="1">IF('Assemble Data'!F446="",0,IF(ISERROR(FIND("VLOOKUP",_xlfn.FORMULATEXT('Assemble Data'!F446),1)),1,0)+IFERROR(IF(AND('Assemble Data'!F446&lt;&gt;D445,'Assemble Data'!F446&lt;&gt;""),1,0),1))</f>
        <v>0</v>
      </c>
      <c r="H445" s="13">
        <f t="shared" si="30"/>
        <v>5</v>
      </c>
      <c r="I445" t="str">
        <f t="shared" si="29"/>
        <v>N2P14</v>
      </c>
    </row>
    <row r="446" spans="1:9">
      <c r="A446" t="str">
        <f>'Assemble Data'!B447</f>
        <v>P10</v>
      </c>
      <c r="B446" s="13">
        <f>IFERROR(SUMIF('Assemble Data'!K:K,'Assemble Data'!A447,'Assemble Data'!L:L),0)</f>
        <v>2400</v>
      </c>
      <c r="C446" s="13" t="str">
        <f>INDEX('Assemble Data'!$O$24:$O$1023,MATCH('Assemble Data'!A447,'Assemble Data'!$N$24:$N$1023,0))</f>
        <v>C2</v>
      </c>
      <c r="D446" s="13">
        <f>SUMIF('Assemble Data'!H:H,'Assemble Data'!A447,'Assemble Data'!I:I)</f>
        <v>3</v>
      </c>
      <c r="E446" s="13">
        <f>IFERROR(IF(AND('Assemble Data'!D447&lt;&gt;"",'Assemble Data'!D447&lt;&gt;B446),1,0),1)</f>
        <v>0</v>
      </c>
      <c r="F446" s="13">
        <f ca="1">IF('Assemble Data'!E447="",0,IF(ISERROR(FIND("INDEX",_xlfn.FORMULATEXT('Assemble Data'!E447),1)),1,0)+IFERROR(IF(AND('Assemble Data'!E447&lt;&gt;C446,'Assemble Data'!E447&lt;&gt;""),1,0),1))</f>
        <v>0</v>
      </c>
      <c r="G446" s="13">
        <f ca="1">IF('Assemble Data'!F447="",0,IF(ISERROR(FIND("VLOOKUP",_xlfn.FORMULATEXT('Assemble Data'!F447),1)),1,0)+IFERROR(IF(AND('Assemble Data'!F447&lt;&gt;D446,'Assemble Data'!F447&lt;&gt;""),1,0),1))</f>
        <v>0</v>
      </c>
      <c r="H446" s="13">
        <f t="shared" si="30"/>
        <v>8</v>
      </c>
      <c r="I446" t="str">
        <f t="shared" si="29"/>
        <v>C2P10</v>
      </c>
    </row>
    <row r="447" spans="1:9">
      <c r="A447" t="str">
        <f>'Assemble Data'!B448</f>
        <v>P13</v>
      </c>
      <c r="B447" s="13">
        <f>IFERROR(SUMIF('Assemble Data'!K:K,'Assemble Data'!A448,'Assemble Data'!L:L),0)</f>
        <v>4500</v>
      </c>
      <c r="C447" s="13" t="str">
        <f>INDEX('Assemble Data'!$O$24:$O$1023,MATCH('Assemble Data'!A448,'Assemble Data'!$N$24:$N$1023,0))</f>
        <v>C2</v>
      </c>
      <c r="D447" s="13">
        <f>SUMIF('Assemble Data'!H:H,'Assemble Data'!A448,'Assemble Data'!I:I)</f>
        <v>5</v>
      </c>
      <c r="E447" s="13">
        <f>IFERROR(IF(AND('Assemble Data'!D448&lt;&gt;"",'Assemble Data'!D448&lt;&gt;B447),1,0),1)</f>
        <v>0</v>
      </c>
      <c r="F447" s="13">
        <f ca="1">IF('Assemble Data'!E448="",0,IF(ISERROR(FIND("INDEX",_xlfn.FORMULATEXT('Assemble Data'!E448),1)),1,0)+IFERROR(IF(AND('Assemble Data'!E448&lt;&gt;C447,'Assemble Data'!E448&lt;&gt;""),1,0),1))</f>
        <v>0</v>
      </c>
      <c r="G447" s="13">
        <f ca="1">IF('Assemble Data'!F448="",0,IF(ISERROR(FIND("VLOOKUP",_xlfn.FORMULATEXT('Assemble Data'!F448),1)),1,0)+IFERROR(IF(AND('Assemble Data'!F448&lt;&gt;D447,'Assemble Data'!F448&lt;&gt;""),1,0),1))</f>
        <v>0</v>
      </c>
      <c r="H447" s="13">
        <f t="shared" si="30"/>
        <v>3</v>
      </c>
      <c r="I447" t="str">
        <f t="shared" si="29"/>
        <v>C2P13</v>
      </c>
    </row>
    <row r="448" spans="1:9">
      <c r="A448" t="str">
        <f>'Assemble Data'!B449</f>
        <v>P13</v>
      </c>
      <c r="B448" s="13">
        <f>IFERROR(SUMIF('Assemble Data'!K:K,'Assemble Data'!A449,'Assemble Data'!L:L),0)</f>
        <v>4500</v>
      </c>
      <c r="C448" s="13" t="str">
        <f>INDEX('Assemble Data'!$O$24:$O$1023,MATCH('Assemble Data'!A449,'Assemble Data'!$N$24:$N$1023,0))</f>
        <v>C2</v>
      </c>
      <c r="D448" s="13">
        <f>SUMIF('Assemble Data'!H:H,'Assemble Data'!A449,'Assemble Data'!I:I)</f>
        <v>5</v>
      </c>
      <c r="E448" s="13">
        <f>IFERROR(IF(AND('Assemble Data'!D449&lt;&gt;"",'Assemble Data'!D449&lt;&gt;B448),1,0),1)</f>
        <v>0</v>
      </c>
      <c r="F448" s="13">
        <f ca="1">IF('Assemble Data'!E449="",0,IF(ISERROR(FIND("INDEX",_xlfn.FORMULATEXT('Assemble Data'!E449),1)),1,0)+IFERROR(IF(AND('Assemble Data'!E449&lt;&gt;C448,'Assemble Data'!E449&lt;&gt;""),1,0),1))</f>
        <v>0</v>
      </c>
      <c r="G448" s="13">
        <f ca="1">IF('Assemble Data'!F449="",0,IF(ISERROR(FIND("VLOOKUP",_xlfn.FORMULATEXT('Assemble Data'!F449),1)),1,0)+IFERROR(IF(AND('Assemble Data'!F449&lt;&gt;D448,'Assemble Data'!F449&lt;&gt;""),1,0),1))</f>
        <v>0</v>
      </c>
      <c r="H448" s="13">
        <f t="shared" si="30"/>
        <v>3</v>
      </c>
      <c r="I448" t="str">
        <f t="shared" si="29"/>
        <v>C2P13</v>
      </c>
    </row>
    <row r="449" spans="1:9">
      <c r="A449" t="str">
        <f>'Assemble Data'!B450</f>
        <v>P10</v>
      </c>
      <c r="B449" s="13">
        <f>IFERROR(SUMIF('Assemble Data'!K:K,'Assemble Data'!A450,'Assemble Data'!L:L),0)</f>
        <v>2400</v>
      </c>
      <c r="C449" s="13" t="str">
        <f>INDEX('Assemble Data'!$O$24:$O$1023,MATCH('Assemble Data'!A450,'Assemble Data'!$N$24:$N$1023,0))</f>
        <v>C2</v>
      </c>
      <c r="D449" s="13">
        <f>SUMIF('Assemble Data'!H:H,'Assemble Data'!A450,'Assemble Data'!I:I)</f>
        <v>3</v>
      </c>
      <c r="E449" s="13">
        <f>IFERROR(IF(AND('Assemble Data'!D450&lt;&gt;"",'Assemble Data'!D450&lt;&gt;B449),1,0),1)</f>
        <v>0</v>
      </c>
      <c r="F449" s="13">
        <f ca="1">IF('Assemble Data'!E450="",0,IF(ISERROR(FIND("INDEX",_xlfn.FORMULATEXT('Assemble Data'!E450),1)),1,0)+IFERROR(IF(AND('Assemble Data'!E450&lt;&gt;C449,'Assemble Data'!E450&lt;&gt;""),1,0),1))</f>
        <v>0</v>
      </c>
      <c r="G449" s="13">
        <f ca="1">IF('Assemble Data'!F450="",0,IF(ISERROR(FIND("VLOOKUP",_xlfn.FORMULATEXT('Assemble Data'!F450),1)),1,0)+IFERROR(IF(AND('Assemble Data'!F450&lt;&gt;D449,'Assemble Data'!F450&lt;&gt;""),1,0),1))</f>
        <v>0</v>
      </c>
      <c r="H449" s="13">
        <f t="shared" si="30"/>
        <v>8</v>
      </c>
      <c r="I449" t="str">
        <f t="shared" si="29"/>
        <v>C2P10</v>
      </c>
    </row>
    <row r="450" spans="1:9">
      <c r="A450" t="str">
        <f>'Assemble Data'!B451</f>
        <v>P11</v>
      </c>
      <c r="B450" s="13">
        <f>IFERROR(SUMIF('Assemble Data'!K:K,'Assemble Data'!A451,'Assemble Data'!L:L),0)</f>
        <v>11000</v>
      </c>
      <c r="C450" s="13" t="str">
        <f>INDEX('Assemble Data'!$O$24:$O$1023,MATCH('Assemble Data'!A451,'Assemble Data'!$N$24:$N$1023,0))</f>
        <v>C2</v>
      </c>
      <c r="D450" s="13">
        <f>SUMIF('Assemble Data'!H:H,'Assemble Data'!A451,'Assemble Data'!I:I)</f>
        <v>11</v>
      </c>
      <c r="E450" s="13">
        <f>IFERROR(IF(AND('Assemble Data'!D451&lt;&gt;"",'Assemble Data'!D451&lt;&gt;B450),1,0),1)</f>
        <v>0</v>
      </c>
      <c r="F450" s="13">
        <f ca="1">IF('Assemble Data'!E451="",0,IF(ISERROR(FIND("INDEX",_xlfn.FORMULATEXT('Assemble Data'!E451),1)),1,0)+IFERROR(IF(AND('Assemble Data'!E451&lt;&gt;C450,'Assemble Data'!E451&lt;&gt;""),1,0),1))</f>
        <v>0</v>
      </c>
      <c r="G450" s="13">
        <f ca="1">IF('Assemble Data'!F451="",0,IF(ISERROR(FIND("VLOOKUP",_xlfn.FORMULATEXT('Assemble Data'!F451),1)),1,0)+IFERROR(IF(AND('Assemble Data'!F451&lt;&gt;D450,'Assemble Data'!F451&lt;&gt;""),1,0),1))</f>
        <v>0</v>
      </c>
      <c r="H450" s="13">
        <f t="shared" si="30"/>
        <v>9</v>
      </c>
      <c r="I450" t="str">
        <f t="shared" si="29"/>
        <v>C2P11</v>
      </c>
    </row>
    <row r="451" spans="1:9">
      <c r="A451" t="str">
        <f>'Assemble Data'!B452</f>
        <v>P16</v>
      </c>
      <c r="B451" s="13">
        <f>IFERROR(SUMIF('Assemble Data'!K:K,'Assemble Data'!A452,'Assemble Data'!L:L),0)</f>
        <v>4680</v>
      </c>
      <c r="C451" s="13" t="str">
        <f>INDEX('Assemble Data'!$O$24:$O$1023,MATCH('Assemble Data'!A452,'Assemble Data'!$N$24:$N$1023,0))</f>
        <v>N2</v>
      </c>
      <c r="D451" s="13">
        <f>SUMIF('Assemble Data'!H:H,'Assemble Data'!A452,'Assemble Data'!I:I)</f>
        <v>4</v>
      </c>
      <c r="E451" s="13">
        <f>IFERROR(IF(AND('Assemble Data'!D452&lt;&gt;"",'Assemble Data'!D452&lt;&gt;B451),1,0),1)</f>
        <v>0</v>
      </c>
      <c r="F451" s="13">
        <f ca="1">IF('Assemble Data'!E452="",0,IF(ISERROR(FIND("INDEX",_xlfn.FORMULATEXT('Assemble Data'!E452),1)),1,0)+IFERROR(IF(AND('Assemble Data'!E452&lt;&gt;C451,'Assemble Data'!E452&lt;&gt;""),1,0),1))</f>
        <v>0</v>
      </c>
      <c r="G451" s="13">
        <f ca="1">IF('Assemble Data'!F452="",0,IF(ISERROR(FIND("VLOOKUP",_xlfn.FORMULATEXT('Assemble Data'!F452),1)),1,0)+IFERROR(IF(AND('Assemble Data'!F452&lt;&gt;D451,'Assemble Data'!F452&lt;&gt;""),1,0),1))</f>
        <v>0</v>
      </c>
      <c r="H451" s="13">
        <f t="shared" si="30"/>
        <v>0</v>
      </c>
      <c r="I451" t="str">
        <f t="shared" si="29"/>
        <v>N2P16</v>
      </c>
    </row>
    <row r="452" spans="1:9">
      <c r="A452" t="str">
        <f>'Assemble Data'!B453</f>
        <v>P17</v>
      </c>
      <c r="B452" s="13">
        <f>IFERROR(SUMIF('Assemble Data'!K:K,'Assemble Data'!A453,'Assemble Data'!L:L),0)</f>
        <v>13200.000000000002</v>
      </c>
      <c r="C452" s="13" t="str">
        <f>INDEX('Assemble Data'!$O$24:$O$1023,MATCH('Assemble Data'!A453,'Assemble Data'!$N$24:$N$1023,0))</f>
        <v>O2</v>
      </c>
      <c r="D452" s="13">
        <f>SUMIF('Assemble Data'!H:H,'Assemble Data'!A453,'Assemble Data'!I:I)</f>
        <v>12</v>
      </c>
      <c r="E452" s="13">
        <f>IFERROR(IF(AND('Assemble Data'!D453&lt;&gt;"",'Assemble Data'!D453&lt;&gt;B452),1,0),1)</f>
        <v>0</v>
      </c>
      <c r="F452" s="13">
        <f ca="1">IF('Assemble Data'!E453="",0,IF(ISERROR(FIND("INDEX",_xlfn.FORMULATEXT('Assemble Data'!E453),1)),1,0)+IFERROR(IF(AND('Assemble Data'!E453&lt;&gt;C452,'Assemble Data'!E453&lt;&gt;""),1,0),1))</f>
        <v>0</v>
      </c>
      <c r="G452" s="13">
        <f ca="1">IF('Assemble Data'!F453="",0,IF(ISERROR(FIND("VLOOKUP",_xlfn.FORMULATEXT('Assemble Data'!F453),1)),1,0)+IFERROR(IF(AND('Assemble Data'!F453&lt;&gt;D452,'Assemble Data'!F453&lt;&gt;""),1,0),1))</f>
        <v>0</v>
      </c>
      <c r="H452" s="13">
        <f t="shared" si="30"/>
        <v>6</v>
      </c>
      <c r="I452" t="str">
        <f t="shared" si="29"/>
        <v>O2P17</v>
      </c>
    </row>
    <row r="453" spans="1:9">
      <c r="A453" t="str">
        <f>'Assemble Data'!B454</f>
        <v>P17</v>
      </c>
      <c r="B453" s="13">
        <f>IFERROR(SUMIF('Assemble Data'!K:K,'Assemble Data'!A454,'Assemble Data'!L:L),0)</f>
        <v>13200.000000000002</v>
      </c>
      <c r="C453" s="13" t="str">
        <f>INDEX('Assemble Data'!$O$24:$O$1023,MATCH('Assemble Data'!A454,'Assemble Data'!$N$24:$N$1023,0))</f>
        <v>O2</v>
      </c>
      <c r="D453" s="13">
        <f>SUMIF('Assemble Data'!H:H,'Assemble Data'!A454,'Assemble Data'!I:I)</f>
        <v>12</v>
      </c>
      <c r="E453" s="13">
        <f>IFERROR(IF(AND('Assemble Data'!D454&lt;&gt;"",'Assemble Data'!D454&lt;&gt;B453),1,0),1)</f>
        <v>0</v>
      </c>
      <c r="F453" s="13">
        <f ca="1">IF('Assemble Data'!E454="",0,IF(ISERROR(FIND("INDEX",_xlfn.FORMULATEXT('Assemble Data'!E454),1)),1,0)+IFERROR(IF(AND('Assemble Data'!E454&lt;&gt;C453,'Assemble Data'!E454&lt;&gt;""),1,0),1))</f>
        <v>0</v>
      </c>
      <c r="G453" s="13">
        <f ca="1">IF('Assemble Data'!F454="",0,IF(ISERROR(FIND("VLOOKUP",_xlfn.FORMULATEXT('Assemble Data'!F454),1)),1,0)+IFERROR(IF(AND('Assemble Data'!F454&lt;&gt;D453,'Assemble Data'!F454&lt;&gt;""),1,0),1))</f>
        <v>0</v>
      </c>
      <c r="H453" s="13">
        <f t="shared" si="30"/>
        <v>6</v>
      </c>
      <c r="I453" t="str">
        <f t="shared" si="29"/>
        <v>O2P17</v>
      </c>
    </row>
    <row r="454" spans="1:9">
      <c r="A454" t="str">
        <f>'Assemble Data'!B455</f>
        <v>P13</v>
      </c>
      <c r="B454" s="13">
        <f>IFERROR(SUMIF('Assemble Data'!K:K,'Assemble Data'!A455,'Assemble Data'!L:L),0)</f>
        <v>4500</v>
      </c>
      <c r="C454" s="13" t="str">
        <f>INDEX('Assemble Data'!$O$24:$O$1023,MATCH('Assemble Data'!A455,'Assemble Data'!$N$24:$N$1023,0))</f>
        <v>C2</v>
      </c>
      <c r="D454" s="13">
        <f>SUMIF('Assemble Data'!H:H,'Assemble Data'!A455,'Assemble Data'!I:I)</f>
        <v>5</v>
      </c>
      <c r="E454" s="13">
        <f>IFERROR(IF(AND('Assemble Data'!D455&lt;&gt;"",'Assemble Data'!D455&lt;&gt;B454),1,0),1)</f>
        <v>0</v>
      </c>
      <c r="F454" s="13">
        <f ca="1">IF('Assemble Data'!E455="",0,IF(ISERROR(FIND("INDEX",_xlfn.FORMULATEXT('Assemble Data'!E455),1)),1,0)+IFERROR(IF(AND('Assemble Data'!E455&lt;&gt;C454,'Assemble Data'!E455&lt;&gt;""),1,0),1))</f>
        <v>0</v>
      </c>
      <c r="G454" s="13">
        <f ca="1">IF('Assemble Data'!F455="",0,IF(ISERROR(FIND("VLOOKUP",_xlfn.FORMULATEXT('Assemble Data'!F455),1)),1,0)+IFERROR(IF(AND('Assemble Data'!F455&lt;&gt;D454,'Assemble Data'!F455&lt;&gt;""),1,0),1))</f>
        <v>0</v>
      </c>
      <c r="H454" s="13">
        <f t="shared" si="30"/>
        <v>3</v>
      </c>
      <c r="I454" t="str">
        <f t="shared" si="29"/>
        <v>C2P13</v>
      </c>
    </row>
    <row r="455" spans="1:9">
      <c r="A455" t="str">
        <f>'Assemble Data'!B456</f>
        <v>P11</v>
      </c>
      <c r="B455" s="13">
        <f>IFERROR(SUMIF('Assemble Data'!K:K,'Assemble Data'!A456,'Assemble Data'!L:L),0)</f>
        <v>11000</v>
      </c>
      <c r="C455" s="13" t="str">
        <f>INDEX('Assemble Data'!$O$24:$O$1023,MATCH('Assemble Data'!A456,'Assemble Data'!$N$24:$N$1023,0))</f>
        <v>C2</v>
      </c>
      <c r="D455" s="13">
        <f>SUMIF('Assemble Data'!H:H,'Assemble Data'!A456,'Assemble Data'!I:I)</f>
        <v>11</v>
      </c>
      <c r="E455" s="13">
        <f>IFERROR(IF(AND('Assemble Data'!D456&lt;&gt;"",'Assemble Data'!D456&lt;&gt;B455),1,0),1)</f>
        <v>0</v>
      </c>
      <c r="F455" s="13">
        <f ca="1">IF('Assemble Data'!E456="",0,IF(ISERROR(FIND("INDEX",_xlfn.FORMULATEXT('Assemble Data'!E456),1)),1,0)+IFERROR(IF(AND('Assemble Data'!E456&lt;&gt;C455,'Assemble Data'!E456&lt;&gt;""),1,0),1))</f>
        <v>0</v>
      </c>
      <c r="G455" s="13">
        <f ca="1">IF('Assemble Data'!F456="",0,IF(ISERROR(FIND("VLOOKUP",_xlfn.FORMULATEXT('Assemble Data'!F456),1)),1,0)+IFERROR(IF(AND('Assemble Data'!F456&lt;&gt;D455,'Assemble Data'!F456&lt;&gt;""),1,0),1))</f>
        <v>0</v>
      </c>
      <c r="H455" s="13">
        <f t="shared" si="30"/>
        <v>9</v>
      </c>
      <c r="I455" t="str">
        <f t="shared" si="29"/>
        <v>C2P11</v>
      </c>
    </row>
    <row r="456" spans="1:9">
      <c r="A456" t="str">
        <f>'Assemble Data'!B457</f>
        <v>P11</v>
      </c>
      <c r="B456" s="13">
        <f>IFERROR(SUMIF('Assemble Data'!K:K,'Assemble Data'!A457,'Assemble Data'!L:L),0)</f>
        <v>11000</v>
      </c>
      <c r="C456" s="13" t="str">
        <f>INDEX('Assemble Data'!$O$24:$O$1023,MATCH('Assemble Data'!A457,'Assemble Data'!$N$24:$N$1023,0))</f>
        <v>C2</v>
      </c>
      <c r="D456" s="13">
        <f>SUMIF('Assemble Data'!H:H,'Assemble Data'!A457,'Assemble Data'!I:I)</f>
        <v>11</v>
      </c>
      <c r="E456" s="13">
        <f>IFERROR(IF(AND('Assemble Data'!D457&lt;&gt;"",'Assemble Data'!D457&lt;&gt;B456),1,0),1)</f>
        <v>0</v>
      </c>
      <c r="F456" s="13">
        <f ca="1">IF('Assemble Data'!E457="",0,IF(ISERROR(FIND("INDEX",_xlfn.FORMULATEXT('Assemble Data'!E457),1)),1,0)+IFERROR(IF(AND('Assemble Data'!E457&lt;&gt;C456,'Assemble Data'!E457&lt;&gt;""),1,0),1))</f>
        <v>0</v>
      </c>
      <c r="G456" s="13">
        <f ca="1">IF('Assemble Data'!F457="",0,IF(ISERROR(FIND("VLOOKUP",_xlfn.FORMULATEXT('Assemble Data'!F457),1)),1,0)+IFERROR(IF(AND('Assemble Data'!F457&lt;&gt;D456,'Assemble Data'!F457&lt;&gt;""),1,0),1))</f>
        <v>0</v>
      </c>
      <c r="H456" s="13">
        <f t="shared" si="30"/>
        <v>9</v>
      </c>
      <c r="I456" t="str">
        <f t="shared" si="29"/>
        <v>C2P11</v>
      </c>
    </row>
    <row r="457" spans="1:9">
      <c r="A457" t="str">
        <f>'Assemble Data'!B458</f>
        <v>P12</v>
      </c>
      <c r="B457" s="13">
        <f>IFERROR(SUMIF('Assemble Data'!K:K,'Assemble Data'!A458,'Assemble Data'!L:L),0)</f>
        <v>6825</v>
      </c>
      <c r="C457" s="13" t="str">
        <f>INDEX('Assemble Data'!$O$24:$O$1023,MATCH('Assemble Data'!A458,'Assemble Data'!$N$24:$N$1023,0))</f>
        <v>C2</v>
      </c>
      <c r="D457" s="13">
        <f>SUMIF('Assemble Data'!H:H,'Assemble Data'!A458,'Assemble Data'!I:I)</f>
        <v>6.5</v>
      </c>
      <c r="E457" s="13">
        <f>IFERROR(IF(AND('Assemble Data'!D458&lt;&gt;"",'Assemble Data'!D458&lt;&gt;B457),1,0),1)</f>
        <v>0</v>
      </c>
      <c r="F457" s="13">
        <f ca="1">IF('Assemble Data'!E458="",0,IF(ISERROR(FIND("INDEX",_xlfn.FORMULATEXT('Assemble Data'!E458),1)),1,0)+IFERROR(IF(AND('Assemble Data'!E458&lt;&gt;C457,'Assemble Data'!E458&lt;&gt;""),1,0),1))</f>
        <v>0</v>
      </c>
      <c r="G457" s="13">
        <f ca="1">IF('Assemble Data'!F458="",0,IF(ISERROR(FIND("VLOOKUP",_xlfn.FORMULATEXT('Assemble Data'!F458),1)),1,0)+IFERROR(IF(AND('Assemble Data'!F458&lt;&gt;D457,'Assemble Data'!F458&lt;&gt;""),1,0),1))</f>
        <v>0</v>
      </c>
      <c r="H457" s="13">
        <f t="shared" si="30"/>
        <v>7</v>
      </c>
      <c r="I457" t="str">
        <f t="shared" si="29"/>
        <v>C2P12</v>
      </c>
    </row>
    <row r="458" spans="1:9">
      <c r="A458" t="str">
        <f>'Assemble Data'!B459</f>
        <v>P10</v>
      </c>
      <c r="B458" s="13">
        <f>IFERROR(SUMIF('Assemble Data'!K:K,'Assemble Data'!A459,'Assemble Data'!L:L),0)</f>
        <v>2400</v>
      </c>
      <c r="C458" s="13" t="str">
        <f>INDEX('Assemble Data'!$O$24:$O$1023,MATCH('Assemble Data'!A459,'Assemble Data'!$N$24:$N$1023,0))</f>
        <v>C2</v>
      </c>
      <c r="D458" s="13">
        <f>SUMIF('Assemble Data'!H:H,'Assemble Data'!A459,'Assemble Data'!I:I)</f>
        <v>3</v>
      </c>
      <c r="E458" s="13">
        <f>IFERROR(IF(AND('Assemble Data'!D459&lt;&gt;"",'Assemble Data'!D459&lt;&gt;B458),1,0),1)</f>
        <v>0</v>
      </c>
      <c r="F458" s="13">
        <f ca="1">IF('Assemble Data'!E459="",0,IF(ISERROR(FIND("INDEX",_xlfn.FORMULATEXT('Assemble Data'!E459),1)),1,0)+IFERROR(IF(AND('Assemble Data'!E459&lt;&gt;C458,'Assemble Data'!E459&lt;&gt;""),1,0),1))</f>
        <v>0</v>
      </c>
      <c r="G458" s="13">
        <f ca="1">IF('Assemble Data'!F459="",0,IF(ISERROR(FIND("VLOOKUP",_xlfn.FORMULATEXT('Assemble Data'!F459),1)),1,0)+IFERROR(IF(AND('Assemble Data'!F459&lt;&gt;D458,'Assemble Data'!F459&lt;&gt;""),1,0),1))</f>
        <v>0</v>
      </c>
      <c r="H458" s="13">
        <f t="shared" si="30"/>
        <v>8</v>
      </c>
      <c r="I458" t="str">
        <f t="shared" si="29"/>
        <v>C2P10</v>
      </c>
    </row>
    <row r="459" spans="1:9">
      <c r="A459" t="str">
        <f>'Assemble Data'!B460</f>
        <v>P10</v>
      </c>
      <c r="B459" s="13">
        <f>IFERROR(SUMIF('Assemble Data'!K:K,'Assemble Data'!A460,'Assemble Data'!L:L),0)</f>
        <v>2400</v>
      </c>
      <c r="C459" s="13" t="str">
        <f>INDEX('Assemble Data'!$O$24:$O$1023,MATCH('Assemble Data'!A460,'Assemble Data'!$N$24:$N$1023,0))</f>
        <v>C2</v>
      </c>
      <c r="D459" s="13">
        <f>SUMIF('Assemble Data'!H:H,'Assemble Data'!A460,'Assemble Data'!I:I)</f>
        <v>3</v>
      </c>
      <c r="E459" s="13">
        <f>IFERROR(IF(AND('Assemble Data'!D460&lt;&gt;"",'Assemble Data'!D460&lt;&gt;B459),1,0),1)</f>
        <v>0</v>
      </c>
      <c r="F459" s="13">
        <f ca="1">IF('Assemble Data'!E460="",0,IF(ISERROR(FIND("INDEX",_xlfn.FORMULATEXT('Assemble Data'!E460),1)),1,0)+IFERROR(IF(AND('Assemble Data'!E460&lt;&gt;C459,'Assemble Data'!E460&lt;&gt;""),1,0),1))</f>
        <v>0</v>
      </c>
      <c r="G459" s="13">
        <f ca="1">IF('Assemble Data'!F460="",0,IF(ISERROR(FIND("VLOOKUP",_xlfn.FORMULATEXT('Assemble Data'!F460),1)),1,0)+IFERROR(IF(AND('Assemble Data'!F460&lt;&gt;D459,'Assemble Data'!F460&lt;&gt;""),1,0),1))</f>
        <v>0</v>
      </c>
      <c r="H459" s="13">
        <f t="shared" si="30"/>
        <v>8</v>
      </c>
      <c r="I459" t="str">
        <f t="shared" si="29"/>
        <v>C2P10</v>
      </c>
    </row>
    <row r="460" spans="1:9">
      <c r="A460" t="str">
        <f>'Assemble Data'!B461</f>
        <v>P11</v>
      </c>
      <c r="B460" s="13">
        <f>IFERROR(SUMIF('Assemble Data'!K:K,'Assemble Data'!A461,'Assemble Data'!L:L),0)</f>
        <v>22000</v>
      </c>
      <c r="C460" s="13" t="str">
        <f>INDEX('Assemble Data'!$O$24:$O$1023,MATCH('Assemble Data'!A461,'Assemble Data'!$N$24:$N$1023,0))</f>
        <v>C2</v>
      </c>
      <c r="D460" s="13">
        <f>SUMIF('Assemble Data'!H:H,'Assemble Data'!A461,'Assemble Data'!I:I)</f>
        <v>11</v>
      </c>
      <c r="E460" s="13">
        <f>IFERROR(IF(AND('Assemble Data'!D461&lt;&gt;"",'Assemble Data'!D461&lt;&gt;B460),1,0),1)</f>
        <v>0</v>
      </c>
      <c r="F460" s="13">
        <f ca="1">IF('Assemble Data'!E461="",0,IF(ISERROR(FIND("INDEX",_xlfn.FORMULATEXT('Assemble Data'!E461),1)),1,0)+IFERROR(IF(AND('Assemble Data'!E461&lt;&gt;C460,'Assemble Data'!E461&lt;&gt;""),1,0),1))</f>
        <v>0</v>
      </c>
      <c r="G460" s="13">
        <f ca="1">IF('Assemble Data'!F461="",0,IF(ISERROR(FIND("VLOOKUP",_xlfn.FORMULATEXT('Assemble Data'!F461),1)),1,0)+IFERROR(IF(AND('Assemble Data'!F461&lt;&gt;D460,'Assemble Data'!F461&lt;&gt;""),1,0),1))</f>
        <v>0</v>
      </c>
      <c r="H460" s="13">
        <f t="shared" si="30"/>
        <v>9</v>
      </c>
      <c r="I460" t="str">
        <f t="shared" si="29"/>
        <v>C2P11</v>
      </c>
    </row>
    <row r="461" spans="1:9">
      <c r="A461" t="str">
        <f>'Assemble Data'!B462</f>
        <v>P18</v>
      </c>
      <c r="B461" s="13">
        <f>IFERROR(SUMIF('Assemble Data'!K:K,'Assemble Data'!A462,'Assemble Data'!L:L),0)</f>
        <v>5940.0000000000009</v>
      </c>
      <c r="C461" s="13" t="str">
        <f>INDEX('Assemble Data'!$O$24:$O$1023,MATCH('Assemble Data'!A462,'Assemble Data'!$N$24:$N$1023,0))</f>
        <v>O2</v>
      </c>
      <c r="D461" s="13">
        <f>SUMIF('Assemble Data'!H:H,'Assemble Data'!A462,'Assemble Data'!I:I)</f>
        <v>6</v>
      </c>
      <c r="E461" s="13">
        <f>IFERROR(IF(AND('Assemble Data'!D462&lt;&gt;"",'Assemble Data'!D462&lt;&gt;B461),1,0),1)</f>
        <v>0</v>
      </c>
      <c r="F461" s="13">
        <f ca="1">IF('Assemble Data'!E462="",0,IF(ISERROR(FIND("INDEX",_xlfn.FORMULATEXT('Assemble Data'!E462),1)),1,0)+IFERROR(IF(AND('Assemble Data'!E462&lt;&gt;C461,'Assemble Data'!E462&lt;&gt;""),1,0),1))</f>
        <v>0</v>
      </c>
      <c r="G461" s="13">
        <f ca="1">IF('Assemble Data'!F462="",0,IF(ISERROR(FIND("VLOOKUP",_xlfn.FORMULATEXT('Assemble Data'!F462),1)),1,0)+IFERROR(IF(AND('Assemble Data'!F462&lt;&gt;D461,'Assemble Data'!F462&lt;&gt;""),1,0),1))</f>
        <v>0</v>
      </c>
      <c r="H461" s="13">
        <f t="shared" si="30"/>
        <v>2</v>
      </c>
      <c r="I461" t="str">
        <f t="shared" si="29"/>
        <v>O2P18</v>
      </c>
    </row>
    <row r="462" spans="1:9">
      <c r="A462" t="str">
        <f>'Assemble Data'!B463</f>
        <v>P14</v>
      </c>
      <c r="B462" s="13">
        <f>IFERROR(SUMIF('Assemble Data'!K:K,'Assemble Data'!A463,'Assemble Data'!L:L),0)</f>
        <v>6480</v>
      </c>
      <c r="C462" s="13" t="str">
        <f>INDEX('Assemble Data'!$O$24:$O$1023,MATCH('Assemble Data'!A463,'Assemble Data'!$N$24:$N$1023,0))</f>
        <v>N2</v>
      </c>
      <c r="D462" s="13">
        <f>SUMIF('Assemble Data'!H:H,'Assemble Data'!A463,'Assemble Data'!I:I)</f>
        <v>8</v>
      </c>
      <c r="E462" s="13">
        <f>IFERROR(IF(AND('Assemble Data'!D463&lt;&gt;"",'Assemble Data'!D463&lt;&gt;B462),1,0),1)</f>
        <v>0</v>
      </c>
      <c r="F462" s="13">
        <f ca="1">IF('Assemble Data'!E463="",0,IF(ISERROR(FIND("INDEX",_xlfn.FORMULATEXT('Assemble Data'!E463),1)),1,0)+IFERROR(IF(AND('Assemble Data'!E463&lt;&gt;C462,'Assemble Data'!E463&lt;&gt;""),1,0),1))</f>
        <v>0</v>
      </c>
      <c r="G462" s="13">
        <f ca="1">IF('Assemble Data'!F463="",0,IF(ISERROR(FIND("VLOOKUP",_xlfn.FORMULATEXT('Assemble Data'!F463),1)),1,0)+IFERROR(IF(AND('Assemble Data'!F463&lt;&gt;D462,'Assemble Data'!F463&lt;&gt;""),1,0),1))</f>
        <v>0</v>
      </c>
      <c r="H462" s="13">
        <f t="shared" si="30"/>
        <v>5</v>
      </c>
      <c r="I462" t="str">
        <f t="shared" si="29"/>
        <v>N2P14</v>
      </c>
    </row>
    <row r="463" spans="1:9">
      <c r="A463" t="str">
        <f>'Assemble Data'!B464</f>
        <v>P10</v>
      </c>
      <c r="B463" s="13">
        <f>IFERROR(SUMIF('Assemble Data'!K:K,'Assemble Data'!A464,'Assemble Data'!L:L),0)</f>
        <v>2400</v>
      </c>
      <c r="C463" s="13" t="str">
        <f>INDEX('Assemble Data'!$O$24:$O$1023,MATCH('Assemble Data'!A464,'Assemble Data'!$N$24:$N$1023,0))</f>
        <v>C2</v>
      </c>
      <c r="D463" s="13">
        <f>SUMIF('Assemble Data'!H:H,'Assemble Data'!A464,'Assemble Data'!I:I)</f>
        <v>3</v>
      </c>
      <c r="E463" s="13">
        <f>IFERROR(IF(AND('Assemble Data'!D464&lt;&gt;"",'Assemble Data'!D464&lt;&gt;B463),1,0),1)</f>
        <v>0</v>
      </c>
      <c r="F463" s="13">
        <f ca="1">IF('Assemble Data'!E464="",0,IF(ISERROR(FIND("INDEX",_xlfn.FORMULATEXT('Assemble Data'!E464),1)),1,0)+IFERROR(IF(AND('Assemble Data'!E464&lt;&gt;C463,'Assemble Data'!E464&lt;&gt;""),1,0),1))</f>
        <v>0</v>
      </c>
      <c r="G463" s="13">
        <f ca="1">IF('Assemble Data'!F464="",0,IF(ISERROR(FIND("VLOOKUP",_xlfn.FORMULATEXT('Assemble Data'!F464),1)),1,0)+IFERROR(IF(AND('Assemble Data'!F464&lt;&gt;D463,'Assemble Data'!F464&lt;&gt;""),1,0),1))</f>
        <v>0</v>
      </c>
      <c r="H463" s="13">
        <f t="shared" si="30"/>
        <v>8</v>
      </c>
      <c r="I463" t="str">
        <f t="shared" si="29"/>
        <v>C2P10</v>
      </c>
    </row>
    <row r="464" spans="1:9">
      <c r="A464" t="str">
        <f>'Assemble Data'!B465</f>
        <v>P13</v>
      </c>
      <c r="B464" s="13">
        <f>IFERROR(SUMIF('Assemble Data'!K:K,'Assemble Data'!A465,'Assemble Data'!L:L),0)</f>
        <v>4500</v>
      </c>
      <c r="C464" s="13" t="str">
        <f>INDEX('Assemble Data'!$O$24:$O$1023,MATCH('Assemble Data'!A465,'Assemble Data'!$N$24:$N$1023,0))</f>
        <v>C2</v>
      </c>
      <c r="D464" s="13">
        <f>SUMIF('Assemble Data'!H:H,'Assemble Data'!A465,'Assemble Data'!I:I)</f>
        <v>5</v>
      </c>
      <c r="E464" s="13">
        <f>IFERROR(IF(AND('Assemble Data'!D465&lt;&gt;"",'Assemble Data'!D465&lt;&gt;B464),1,0),1)</f>
        <v>0</v>
      </c>
      <c r="F464" s="13">
        <f ca="1">IF('Assemble Data'!E465="",0,IF(ISERROR(FIND("INDEX",_xlfn.FORMULATEXT('Assemble Data'!E465),1)),1,0)+IFERROR(IF(AND('Assemble Data'!E465&lt;&gt;C464,'Assemble Data'!E465&lt;&gt;""),1,0),1))</f>
        <v>0</v>
      </c>
      <c r="G464" s="13">
        <f ca="1">IF('Assemble Data'!F465="",0,IF(ISERROR(FIND("VLOOKUP",_xlfn.FORMULATEXT('Assemble Data'!F465),1)),1,0)+IFERROR(IF(AND('Assemble Data'!F465&lt;&gt;D464,'Assemble Data'!F465&lt;&gt;""),1,0),1))</f>
        <v>0</v>
      </c>
      <c r="H464" s="13">
        <f t="shared" si="30"/>
        <v>3</v>
      </c>
      <c r="I464" t="str">
        <f t="shared" si="29"/>
        <v>C2P13</v>
      </c>
    </row>
    <row r="465" spans="1:9">
      <c r="A465" t="str">
        <f>'Assemble Data'!B466</f>
        <v>P13</v>
      </c>
      <c r="B465" s="13">
        <f>IFERROR(SUMIF('Assemble Data'!K:K,'Assemble Data'!A466,'Assemble Data'!L:L),0)</f>
        <v>4500</v>
      </c>
      <c r="C465" s="13" t="str">
        <f>INDEX('Assemble Data'!$O$24:$O$1023,MATCH('Assemble Data'!A466,'Assemble Data'!$N$24:$N$1023,0))</f>
        <v>C2</v>
      </c>
      <c r="D465" s="13">
        <f>SUMIF('Assemble Data'!H:H,'Assemble Data'!A466,'Assemble Data'!I:I)</f>
        <v>5</v>
      </c>
      <c r="E465" s="13">
        <f>IFERROR(IF(AND('Assemble Data'!D466&lt;&gt;"",'Assemble Data'!D466&lt;&gt;B465),1,0),1)</f>
        <v>0</v>
      </c>
      <c r="F465" s="13">
        <f ca="1">IF('Assemble Data'!E466="",0,IF(ISERROR(FIND("INDEX",_xlfn.FORMULATEXT('Assemble Data'!E466),1)),1,0)+IFERROR(IF(AND('Assemble Data'!E466&lt;&gt;C465,'Assemble Data'!E466&lt;&gt;""),1,0),1))</f>
        <v>0</v>
      </c>
      <c r="G465" s="13">
        <f ca="1">IF('Assemble Data'!F466="",0,IF(ISERROR(FIND("VLOOKUP",_xlfn.FORMULATEXT('Assemble Data'!F466),1)),1,0)+IFERROR(IF(AND('Assemble Data'!F466&lt;&gt;D465,'Assemble Data'!F466&lt;&gt;""),1,0),1))</f>
        <v>0</v>
      </c>
      <c r="H465" s="13">
        <f t="shared" si="30"/>
        <v>3</v>
      </c>
      <c r="I465" t="str">
        <f t="shared" si="29"/>
        <v>C2P13</v>
      </c>
    </row>
    <row r="466" spans="1:9">
      <c r="A466" t="str">
        <f>'Assemble Data'!B467</f>
        <v>P10</v>
      </c>
      <c r="B466" s="13">
        <f>IFERROR(SUMIF('Assemble Data'!K:K,'Assemble Data'!A467,'Assemble Data'!L:L),0)</f>
        <v>2400</v>
      </c>
      <c r="C466" s="13" t="str">
        <f>INDEX('Assemble Data'!$O$24:$O$1023,MATCH('Assemble Data'!A467,'Assemble Data'!$N$24:$N$1023,0))</f>
        <v>C2</v>
      </c>
      <c r="D466" s="13">
        <f>SUMIF('Assemble Data'!H:H,'Assemble Data'!A467,'Assemble Data'!I:I)</f>
        <v>3</v>
      </c>
      <c r="E466" s="13">
        <f>IFERROR(IF(AND('Assemble Data'!D467&lt;&gt;"",'Assemble Data'!D467&lt;&gt;B466),1,0),1)</f>
        <v>0</v>
      </c>
      <c r="F466" s="13">
        <f ca="1">IF('Assemble Data'!E467="",0,IF(ISERROR(FIND("INDEX",_xlfn.FORMULATEXT('Assemble Data'!E467),1)),1,0)+IFERROR(IF(AND('Assemble Data'!E467&lt;&gt;C466,'Assemble Data'!E467&lt;&gt;""),1,0),1))</f>
        <v>0</v>
      </c>
      <c r="G466" s="13">
        <f ca="1">IF('Assemble Data'!F467="",0,IF(ISERROR(FIND("VLOOKUP",_xlfn.FORMULATEXT('Assemble Data'!F467),1)),1,0)+IFERROR(IF(AND('Assemble Data'!F467&lt;&gt;D466,'Assemble Data'!F467&lt;&gt;""),1,0),1))</f>
        <v>0</v>
      </c>
      <c r="H466" s="13">
        <f t="shared" si="30"/>
        <v>8</v>
      </c>
      <c r="I466" t="str">
        <f t="shared" si="29"/>
        <v>C2P10</v>
      </c>
    </row>
    <row r="467" spans="1:9">
      <c r="A467" t="str">
        <f>'Assemble Data'!B468</f>
        <v>P11</v>
      </c>
      <c r="B467" s="13">
        <f>IFERROR(SUMIF('Assemble Data'!K:K,'Assemble Data'!A468,'Assemble Data'!L:L),0)</f>
        <v>11000</v>
      </c>
      <c r="C467" s="13" t="str">
        <f>INDEX('Assemble Data'!$O$24:$O$1023,MATCH('Assemble Data'!A468,'Assemble Data'!$N$24:$N$1023,0))</f>
        <v>C2</v>
      </c>
      <c r="D467" s="13">
        <f>SUMIF('Assemble Data'!H:H,'Assemble Data'!A468,'Assemble Data'!I:I)</f>
        <v>11</v>
      </c>
      <c r="E467" s="13">
        <f>IFERROR(IF(AND('Assemble Data'!D468&lt;&gt;"",'Assemble Data'!D468&lt;&gt;B467),1,0),1)</f>
        <v>0</v>
      </c>
      <c r="F467" s="13">
        <f ca="1">IF('Assemble Data'!E468="",0,IF(ISERROR(FIND("INDEX",_xlfn.FORMULATEXT('Assemble Data'!E468),1)),1,0)+IFERROR(IF(AND('Assemble Data'!E468&lt;&gt;C467,'Assemble Data'!E468&lt;&gt;""),1,0),1))</f>
        <v>0</v>
      </c>
      <c r="G467" s="13">
        <f ca="1">IF('Assemble Data'!F468="",0,IF(ISERROR(FIND("VLOOKUP",_xlfn.FORMULATEXT('Assemble Data'!F468),1)),1,0)+IFERROR(IF(AND('Assemble Data'!F468&lt;&gt;D467,'Assemble Data'!F468&lt;&gt;""),1,0),1))</f>
        <v>0</v>
      </c>
      <c r="H467" s="13">
        <f t="shared" si="30"/>
        <v>9</v>
      </c>
      <c r="I467" t="str">
        <f t="shared" si="29"/>
        <v>C2P11</v>
      </c>
    </row>
    <row r="468" spans="1:9">
      <c r="A468" t="str">
        <f>'Assemble Data'!B469</f>
        <v>P16</v>
      </c>
      <c r="B468" s="13">
        <f>IFERROR(SUMIF('Assemble Data'!K:K,'Assemble Data'!A469,'Assemble Data'!L:L),0)</f>
        <v>4680</v>
      </c>
      <c r="C468" s="13" t="str">
        <f>INDEX('Assemble Data'!$O$24:$O$1023,MATCH('Assemble Data'!A469,'Assemble Data'!$N$24:$N$1023,0))</f>
        <v>N2</v>
      </c>
      <c r="D468" s="13">
        <f>SUMIF('Assemble Data'!H:H,'Assemble Data'!A469,'Assemble Data'!I:I)</f>
        <v>4</v>
      </c>
      <c r="E468" s="13">
        <f>IFERROR(IF(AND('Assemble Data'!D469&lt;&gt;"",'Assemble Data'!D469&lt;&gt;B468),1,0),1)</f>
        <v>0</v>
      </c>
      <c r="F468" s="13">
        <f ca="1">IF('Assemble Data'!E469="",0,IF(ISERROR(FIND("INDEX",_xlfn.FORMULATEXT('Assemble Data'!E469),1)),1,0)+IFERROR(IF(AND('Assemble Data'!E469&lt;&gt;C468,'Assemble Data'!E469&lt;&gt;""),1,0),1))</f>
        <v>0</v>
      </c>
      <c r="G468" s="13">
        <f ca="1">IF('Assemble Data'!F469="",0,IF(ISERROR(FIND("VLOOKUP",_xlfn.FORMULATEXT('Assemble Data'!F469),1)),1,0)+IFERROR(IF(AND('Assemble Data'!F469&lt;&gt;D468,'Assemble Data'!F469&lt;&gt;""),1,0),1))</f>
        <v>0</v>
      </c>
      <c r="H468" s="13">
        <f t="shared" si="30"/>
        <v>0</v>
      </c>
      <c r="I468" t="str">
        <f t="shared" si="29"/>
        <v>N2P16</v>
      </c>
    </row>
    <row r="469" spans="1:9">
      <c r="A469" t="str">
        <f>'Assemble Data'!B470</f>
        <v>P17</v>
      </c>
      <c r="B469" s="13">
        <f>IFERROR(SUMIF('Assemble Data'!K:K,'Assemble Data'!A470,'Assemble Data'!L:L),0)</f>
        <v>13200.000000000002</v>
      </c>
      <c r="C469" s="13" t="str">
        <f>INDEX('Assemble Data'!$O$24:$O$1023,MATCH('Assemble Data'!A470,'Assemble Data'!$N$24:$N$1023,0))</f>
        <v>O2</v>
      </c>
      <c r="D469" s="13">
        <f>SUMIF('Assemble Data'!H:H,'Assemble Data'!A470,'Assemble Data'!I:I)</f>
        <v>12</v>
      </c>
      <c r="E469" s="13">
        <f>IFERROR(IF(AND('Assemble Data'!D470&lt;&gt;"",'Assemble Data'!D470&lt;&gt;B469),1,0),1)</f>
        <v>0</v>
      </c>
      <c r="F469" s="13">
        <f ca="1">IF('Assemble Data'!E470="",0,IF(ISERROR(FIND("INDEX",_xlfn.FORMULATEXT('Assemble Data'!E470),1)),1,0)+IFERROR(IF(AND('Assemble Data'!E470&lt;&gt;C469,'Assemble Data'!E470&lt;&gt;""),1,0),1))</f>
        <v>0</v>
      </c>
      <c r="G469" s="13">
        <f ca="1">IF('Assemble Data'!F470="",0,IF(ISERROR(FIND("VLOOKUP",_xlfn.FORMULATEXT('Assemble Data'!F470),1)),1,0)+IFERROR(IF(AND('Assemble Data'!F470&lt;&gt;D469,'Assemble Data'!F470&lt;&gt;""),1,0),1))</f>
        <v>0</v>
      </c>
      <c r="H469" s="13">
        <f t="shared" si="30"/>
        <v>6</v>
      </c>
      <c r="I469" t="str">
        <f t="shared" si="29"/>
        <v>O2P17</v>
      </c>
    </row>
    <row r="470" spans="1:9">
      <c r="A470" t="str">
        <f>'Assemble Data'!B471</f>
        <v>P17</v>
      </c>
      <c r="B470" s="13">
        <f>IFERROR(SUMIF('Assemble Data'!K:K,'Assemble Data'!A471,'Assemble Data'!L:L),0)</f>
        <v>13200.000000000002</v>
      </c>
      <c r="C470" s="13" t="str">
        <f>INDEX('Assemble Data'!$O$24:$O$1023,MATCH('Assemble Data'!A471,'Assemble Data'!$N$24:$N$1023,0))</f>
        <v>O2</v>
      </c>
      <c r="D470" s="13">
        <f>SUMIF('Assemble Data'!H:H,'Assemble Data'!A471,'Assemble Data'!I:I)</f>
        <v>12</v>
      </c>
      <c r="E470" s="13">
        <f>IFERROR(IF(AND('Assemble Data'!D471&lt;&gt;"",'Assemble Data'!D471&lt;&gt;B470),1,0),1)</f>
        <v>0</v>
      </c>
      <c r="F470" s="13">
        <f ca="1">IF('Assemble Data'!E471="",0,IF(ISERROR(FIND("INDEX",_xlfn.FORMULATEXT('Assemble Data'!E471),1)),1,0)+IFERROR(IF(AND('Assemble Data'!E471&lt;&gt;C470,'Assemble Data'!E471&lt;&gt;""),1,0),1))</f>
        <v>0</v>
      </c>
      <c r="G470" s="13">
        <f ca="1">IF('Assemble Data'!F471="",0,IF(ISERROR(FIND("VLOOKUP",_xlfn.FORMULATEXT('Assemble Data'!F471),1)),1,0)+IFERROR(IF(AND('Assemble Data'!F471&lt;&gt;D470,'Assemble Data'!F471&lt;&gt;""),1,0),1))</f>
        <v>0</v>
      </c>
      <c r="H470" s="13">
        <f t="shared" si="30"/>
        <v>6</v>
      </c>
      <c r="I470" t="str">
        <f t="shared" si="29"/>
        <v>O2P17</v>
      </c>
    </row>
    <row r="471" spans="1:9">
      <c r="A471" t="str">
        <f>'Assemble Data'!B472</f>
        <v>P13</v>
      </c>
      <c r="B471" s="13">
        <f>IFERROR(SUMIF('Assemble Data'!K:K,'Assemble Data'!A472,'Assemble Data'!L:L),0)</f>
        <v>4500</v>
      </c>
      <c r="C471" s="13" t="str">
        <f>INDEX('Assemble Data'!$O$24:$O$1023,MATCH('Assemble Data'!A472,'Assemble Data'!$N$24:$N$1023,0))</f>
        <v>C2</v>
      </c>
      <c r="D471" s="13">
        <f>SUMIF('Assemble Data'!H:H,'Assemble Data'!A472,'Assemble Data'!I:I)</f>
        <v>5</v>
      </c>
      <c r="E471" s="13">
        <f>IFERROR(IF(AND('Assemble Data'!D472&lt;&gt;"",'Assemble Data'!D472&lt;&gt;B471),1,0),1)</f>
        <v>0</v>
      </c>
      <c r="F471" s="13">
        <f ca="1">IF('Assemble Data'!E472="",0,IF(ISERROR(FIND("INDEX",_xlfn.FORMULATEXT('Assemble Data'!E472),1)),1,0)+IFERROR(IF(AND('Assemble Data'!E472&lt;&gt;C471,'Assemble Data'!E472&lt;&gt;""),1,0),1))</f>
        <v>0</v>
      </c>
      <c r="G471" s="13">
        <f ca="1">IF('Assemble Data'!F472="",0,IF(ISERROR(FIND("VLOOKUP",_xlfn.FORMULATEXT('Assemble Data'!F472),1)),1,0)+IFERROR(IF(AND('Assemble Data'!F472&lt;&gt;D471,'Assemble Data'!F472&lt;&gt;""),1,0),1))</f>
        <v>0</v>
      </c>
      <c r="H471" s="13">
        <f t="shared" si="30"/>
        <v>3</v>
      </c>
      <c r="I471" t="str">
        <f t="shared" si="29"/>
        <v>C2P13</v>
      </c>
    </row>
    <row r="472" spans="1:9">
      <c r="A472" t="str">
        <f>'Assemble Data'!B473</f>
        <v>P11</v>
      </c>
      <c r="B472" s="13">
        <f>IFERROR(SUMIF('Assemble Data'!K:K,'Assemble Data'!A473,'Assemble Data'!L:L),0)</f>
        <v>11000</v>
      </c>
      <c r="C472" s="13" t="str">
        <f>INDEX('Assemble Data'!$O$24:$O$1023,MATCH('Assemble Data'!A473,'Assemble Data'!$N$24:$N$1023,0))</f>
        <v>C2</v>
      </c>
      <c r="D472" s="13">
        <f>SUMIF('Assemble Data'!H:H,'Assemble Data'!A473,'Assemble Data'!I:I)</f>
        <v>11</v>
      </c>
      <c r="E472" s="13">
        <f>IFERROR(IF(AND('Assemble Data'!D473&lt;&gt;"",'Assemble Data'!D473&lt;&gt;B472),1,0),1)</f>
        <v>0</v>
      </c>
      <c r="F472" s="13">
        <f ca="1">IF('Assemble Data'!E473="",0,IF(ISERROR(FIND("INDEX",_xlfn.FORMULATEXT('Assemble Data'!E473),1)),1,0)+IFERROR(IF(AND('Assemble Data'!E473&lt;&gt;C472,'Assemble Data'!E473&lt;&gt;""),1,0),1))</f>
        <v>0</v>
      </c>
      <c r="G472" s="13">
        <f ca="1">IF('Assemble Data'!F473="",0,IF(ISERROR(FIND("VLOOKUP",_xlfn.FORMULATEXT('Assemble Data'!F473),1)),1,0)+IFERROR(IF(AND('Assemble Data'!F473&lt;&gt;D472,'Assemble Data'!F473&lt;&gt;""),1,0),1))</f>
        <v>0</v>
      </c>
      <c r="H472" s="13">
        <f t="shared" si="30"/>
        <v>9</v>
      </c>
      <c r="I472" t="str">
        <f t="shared" ref="I472:I535" si="31">C472&amp;A472</f>
        <v>C2P11</v>
      </c>
    </row>
    <row r="473" spans="1:9">
      <c r="A473" t="str">
        <f>'Assemble Data'!B474</f>
        <v>P11</v>
      </c>
      <c r="B473" s="13">
        <f>IFERROR(SUMIF('Assemble Data'!K:K,'Assemble Data'!A474,'Assemble Data'!L:L),0)</f>
        <v>11000</v>
      </c>
      <c r="C473" s="13" t="str">
        <f>INDEX('Assemble Data'!$O$24:$O$1023,MATCH('Assemble Data'!A474,'Assemble Data'!$N$24:$N$1023,0))</f>
        <v>C2</v>
      </c>
      <c r="D473" s="13">
        <f>SUMIF('Assemble Data'!H:H,'Assemble Data'!A474,'Assemble Data'!I:I)</f>
        <v>11</v>
      </c>
      <c r="E473" s="13">
        <f>IFERROR(IF(AND('Assemble Data'!D474&lt;&gt;"",'Assemble Data'!D474&lt;&gt;B473),1,0),1)</f>
        <v>0</v>
      </c>
      <c r="F473" s="13">
        <f ca="1">IF('Assemble Data'!E474="",0,IF(ISERROR(FIND("INDEX",_xlfn.FORMULATEXT('Assemble Data'!E474),1)),1,0)+IFERROR(IF(AND('Assemble Data'!E474&lt;&gt;C473,'Assemble Data'!E474&lt;&gt;""),1,0),1))</f>
        <v>0</v>
      </c>
      <c r="G473" s="13">
        <f ca="1">IF('Assemble Data'!F474="",0,IF(ISERROR(FIND("VLOOKUP",_xlfn.FORMULATEXT('Assemble Data'!F474),1)),1,0)+IFERROR(IF(AND('Assemble Data'!F474&lt;&gt;D473,'Assemble Data'!F474&lt;&gt;""),1,0),1))</f>
        <v>0</v>
      </c>
      <c r="H473" s="13">
        <f t="shared" si="30"/>
        <v>9</v>
      </c>
      <c r="I473" t="str">
        <f t="shared" si="31"/>
        <v>C2P11</v>
      </c>
    </row>
    <row r="474" spans="1:9">
      <c r="A474" t="str">
        <f>'Assemble Data'!B475</f>
        <v>P12</v>
      </c>
      <c r="B474" s="13">
        <f>IFERROR(SUMIF('Assemble Data'!K:K,'Assemble Data'!A475,'Assemble Data'!L:L),0)</f>
        <v>6825</v>
      </c>
      <c r="C474" s="13" t="str">
        <f>INDEX('Assemble Data'!$O$24:$O$1023,MATCH('Assemble Data'!A475,'Assemble Data'!$N$24:$N$1023,0))</f>
        <v>C2</v>
      </c>
      <c r="D474" s="13">
        <f>SUMIF('Assemble Data'!H:H,'Assemble Data'!A475,'Assemble Data'!I:I)</f>
        <v>6.5</v>
      </c>
      <c r="E474" s="13">
        <f>IFERROR(IF(AND('Assemble Data'!D475&lt;&gt;"",'Assemble Data'!D475&lt;&gt;B474),1,0),1)</f>
        <v>0</v>
      </c>
      <c r="F474" s="13">
        <f ca="1">IF('Assemble Data'!E475="",0,IF(ISERROR(FIND("INDEX",_xlfn.FORMULATEXT('Assemble Data'!E475),1)),1,0)+IFERROR(IF(AND('Assemble Data'!E475&lt;&gt;C474,'Assemble Data'!E475&lt;&gt;""),1,0),1))</f>
        <v>0</v>
      </c>
      <c r="G474" s="13">
        <f ca="1">IF('Assemble Data'!F475="",0,IF(ISERROR(FIND("VLOOKUP",_xlfn.FORMULATEXT('Assemble Data'!F475),1)),1,0)+IFERROR(IF(AND('Assemble Data'!F475&lt;&gt;D474,'Assemble Data'!F475&lt;&gt;""),1,0),1))</f>
        <v>0</v>
      </c>
      <c r="H474" s="13">
        <f t="shared" si="30"/>
        <v>7</v>
      </c>
      <c r="I474" t="str">
        <f t="shared" si="31"/>
        <v>C2P12</v>
      </c>
    </row>
    <row r="475" spans="1:9">
      <c r="A475" t="str">
        <f>'Assemble Data'!B476</f>
        <v>P10</v>
      </c>
      <c r="B475" s="13">
        <f>IFERROR(SUMIF('Assemble Data'!K:K,'Assemble Data'!A476,'Assemble Data'!L:L),0)</f>
        <v>4800</v>
      </c>
      <c r="C475" s="13" t="str">
        <f>INDEX('Assemble Data'!$O$24:$O$1023,MATCH('Assemble Data'!A476,'Assemble Data'!$N$24:$N$1023,0))</f>
        <v>C2</v>
      </c>
      <c r="D475" s="13">
        <f>SUMIF('Assemble Data'!H:H,'Assemble Data'!A476,'Assemble Data'!I:I)</f>
        <v>3</v>
      </c>
      <c r="E475" s="13">
        <f>IFERROR(IF(AND('Assemble Data'!D476&lt;&gt;"",'Assemble Data'!D476&lt;&gt;B475),1,0),1)</f>
        <v>0</v>
      </c>
      <c r="F475" s="13">
        <f ca="1">IF('Assemble Data'!E476="",0,IF(ISERROR(FIND("INDEX",_xlfn.FORMULATEXT('Assemble Data'!E476),1)),1,0)+IFERROR(IF(AND('Assemble Data'!E476&lt;&gt;C475,'Assemble Data'!E476&lt;&gt;""),1,0),1))</f>
        <v>0</v>
      </c>
      <c r="G475" s="13">
        <f ca="1">IF('Assemble Data'!F476="",0,IF(ISERROR(FIND("VLOOKUP",_xlfn.FORMULATEXT('Assemble Data'!F476),1)),1,0)+IFERROR(IF(AND('Assemble Data'!F476&lt;&gt;D475,'Assemble Data'!F476&lt;&gt;""),1,0),1))</f>
        <v>0</v>
      </c>
      <c r="H475" s="13">
        <f t="shared" si="30"/>
        <v>8</v>
      </c>
      <c r="I475" t="str">
        <f t="shared" si="31"/>
        <v>C2P10</v>
      </c>
    </row>
    <row r="476" spans="1:9">
      <c r="A476" t="str">
        <f>'Assemble Data'!B477</f>
        <v>P10</v>
      </c>
      <c r="B476" s="13">
        <f>IFERROR(SUMIF('Assemble Data'!K:K,'Assemble Data'!A477,'Assemble Data'!L:L),0)</f>
        <v>2400</v>
      </c>
      <c r="C476" s="13" t="str">
        <f>INDEX('Assemble Data'!$O$24:$O$1023,MATCH('Assemble Data'!A477,'Assemble Data'!$N$24:$N$1023,0))</f>
        <v>C2</v>
      </c>
      <c r="D476" s="13">
        <f>SUMIF('Assemble Data'!H:H,'Assemble Data'!A477,'Assemble Data'!I:I)</f>
        <v>3</v>
      </c>
      <c r="E476" s="13">
        <f>IFERROR(IF(AND('Assemble Data'!D477&lt;&gt;"",'Assemble Data'!D477&lt;&gt;B476),1,0),1)</f>
        <v>0</v>
      </c>
      <c r="F476" s="13">
        <f ca="1">IF('Assemble Data'!E477="",0,IF(ISERROR(FIND("INDEX",_xlfn.FORMULATEXT('Assemble Data'!E477),1)),1,0)+IFERROR(IF(AND('Assemble Data'!E477&lt;&gt;C476,'Assemble Data'!E477&lt;&gt;""),1,0),1))</f>
        <v>0</v>
      </c>
      <c r="G476" s="13">
        <f ca="1">IF('Assemble Data'!F477="",0,IF(ISERROR(FIND("VLOOKUP",_xlfn.FORMULATEXT('Assemble Data'!F477),1)),1,0)+IFERROR(IF(AND('Assemble Data'!F477&lt;&gt;D476,'Assemble Data'!F477&lt;&gt;""),1,0),1))</f>
        <v>0</v>
      </c>
      <c r="H476" s="13">
        <f t="shared" si="30"/>
        <v>8</v>
      </c>
      <c r="I476" t="str">
        <f t="shared" si="31"/>
        <v>C2P10</v>
      </c>
    </row>
    <row r="477" spans="1:9">
      <c r="A477" t="str">
        <f>'Assemble Data'!B478</f>
        <v>P11</v>
      </c>
      <c r="B477" s="13">
        <f>IFERROR(SUMIF('Assemble Data'!K:K,'Assemble Data'!A478,'Assemble Data'!L:L),0)</f>
        <v>11000</v>
      </c>
      <c r="C477" s="13" t="str">
        <f>INDEX('Assemble Data'!$O$24:$O$1023,MATCH('Assemble Data'!A478,'Assemble Data'!$N$24:$N$1023,0))</f>
        <v>C2</v>
      </c>
      <c r="D477" s="13">
        <f>SUMIF('Assemble Data'!H:H,'Assemble Data'!A478,'Assemble Data'!I:I)</f>
        <v>11</v>
      </c>
      <c r="E477" s="13">
        <f>IFERROR(IF(AND('Assemble Data'!D478&lt;&gt;"",'Assemble Data'!D478&lt;&gt;B477),1,0),1)</f>
        <v>0</v>
      </c>
      <c r="F477" s="13">
        <f ca="1">IF('Assemble Data'!E478="",0,IF(ISERROR(FIND("INDEX",_xlfn.FORMULATEXT('Assemble Data'!E478),1)),1,0)+IFERROR(IF(AND('Assemble Data'!E478&lt;&gt;C477,'Assemble Data'!E478&lt;&gt;""),1,0),1))</f>
        <v>0</v>
      </c>
      <c r="G477" s="13">
        <f ca="1">IF('Assemble Data'!F478="",0,IF(ISERROR(FIND("VLOOKUP",_xlfn.FORMULATEXT('Assemble Data'!F478),1)),1,0)+IFERROR(IF(AND('Assemble Data'!F478&lt;&gt;D477,'Assemble Data'!F478&lt;&gt;""),1,0),1))</f>
        <v>0</v>
      </c>
      <c r="H477" s="13">
        <f t="shared" si="30"/>
        <v>9</v>
      </c>
      <c r="I477" t="str">
        <f t="shared" si="31"/>
        <v>C2P11</v>
      </c>
    </row>
    <row r="478" spans="1:9">
      <c r="A478" t="str">
        <f>'Assemble Data'!B479</f>
        <v>P18</v>
      </c>
      <c r="B478" s="13">
        <f>IFERROR(SUMIF('Assemble Data'!K:K,'Assemble Data'!A479,'Assemble Data'!L:L),0)</f>
        <v>5940.0000000000009</v>
      </c>
      <c r="C478" s="13" t="str">
        <f>INDEX('Assemble Data'!$O$24:$O$1023,MATCH('Assemble Data'!A479,'Assemble Data'!$N$24:$N$1023,0))</f>
        <v>O2</v>
      </c>
      <c r="D478" s="13">
        <f>SUMIF('Assemble Data'!H:H,'Assemble Data'!A479,'Assemble Data'!I:I)</f>
        <v>6</v>
      </c>
      <c r="E478" s="13">
        <f>IFERROR(IF(AND('Assemble Data'!D479&lt;&gt;"",'Assemble Data'!D479&lt;&gt;B478),1,0),1)</f>
        <v>0</v>
      </c>
      <c r="F478" s="13">
        <f ca="1">IF('Assemble Data'!E479="",0,IF(ISERROR(FIND("INDEX",_xlfn.FORMULATEXT('Assemble Data'!E479),1)),1,0)+IFERROR(IF(AND('Assemble Data'!E479&lt;&gt;C478,'Assemble Data'!E479&lt;&gt;""),1,0),1))</f>
        <v>0</v>
      </c>
      <c r="G478" s="13">
        <f ca="1">IF('Assemble Data'!F479="",0,IF(ISERROR(FIND("VLOOKUP",_xlfn.FORMULATEXT('Assemble Data'!F479),1)),1,0)+IFERROR(IF(AND('Assemble Data'!F479&lt;&gt;D478,'Assemble Data'!F479&lt;&gt;""),1,0),1))</f>
        <v>0</v>
      </c>
      <c r="H478" s="13">
        <f t="shared" si="30"/>
        <v>2</v>
      </c>
      <c r="I478" t="str">
        <f t="shared" si="31"/>
        <v>O2P18</v>
      </c>
    </row>
    <row r="479" spans="1:9">
      <c r="A479" t="str">
        <f>'Assemble Data'!B480</f>
        <v>P14</v>
      </c>
      <c r="B479" s="13">
        <f>IFERROR(SUMIF('Assemble Data'!K:K,'Assemble Data'!A480,'Assemble Data'!L:L),0)</f>
        <v>6480</v>
      </c>
      <c r="C479" s="13" t="str">
        <f>INDEX('Assemble Data'!$O$24:$O$1023,MATCH('Assemble Data'!A480,'Assemble Data'!$N$24:$N$1023,0))</f>
        <v>N2</v>
      </c>
      <c r="D479" s="13">
        <f>SUMIF('Assemble Data'!H:H,'Assemble Data'!A480,'Assemble Data'!I:I)</f>
        <v>8</v>
      </c>
      <c r="E479" s="13">
        <f>IFERROR(IF(AND('Assemble Data'!D480&lt;&gt;"",'Assemble Data'!D480&lt;&gt;B479),1,0),1)</f>
        <v>0</v>
      </c>
      <c r="F479" s="13">
        <f ca="1">IF('Assemble Data'!E480="",0,IF(ISERROR(FIND("INDEX",_xlfn.FORMULATEXT('Assemble Data'!E480),1)),1,0)+IFERROR(IF(AND('Assemble Data'!E480&lt;&gt;C479,'Assemble Data'!E480&lt;&gt;""),1,0),1))</f>
        <v>0</v>
      </c>
      <c r="G479" s="13">
        <f ca="1">IF('Assemble Data'!F480="",0,IF(ISERROR(FIND("VLOOKUP",_xlfn.FORMULATEXT('Assemble Data'!F480),1)),1,0)+IFERROR(IF(AND('Assemble Data'!F480&lt;&gt;D479,'Assemble Data'!F480&lt;&gt;""),1,0),1))</f>
        <v>0</v>
      </c>
      <c r="H479" s="13">
        <f t="shared" si="30"/>
        <v>5</v>
      </c>
      <c r="I479" t="str">
        <f t="shared" si="31"/>
        <v>N2P14</v>
      </c>
    </row>
    <row r="480" spans="1:9">
      <c r="A480" t="str">
        <f>'Assemble Data'!B481</f>
        <v>P10</v>
      </c>
      <c r="B480" s="13">
        <f>IFERROR(SUMIF('Assemble Data'!K:K,'Assemble Data'!A481,'Assemble Data'!L:L),0)</f>
        <v>2400</v>
      </c>
      <c r="C480" s="13" t="str">
        <f>INDEX('Assemble Data'!$O$24:$O$1023,MATCH('Assemble Data'!A481,'Assemble Data'!$N$24:$N$1023,0))</f>
        <v>C2</v>
      </c>
      <c r="D480" s="13">
        <f>SUMIF('Assemble Data'!H:H,'Assemble Data'!A481,'Assemble Data'!I:I)</f>
        <v>3</v>
      </c>
      <c r="E480" s="13">
        <f>IFERROR(IF(AND('Assemble Data'!D481&lt;&gt;"",'Assemble Data'!D481&lt;&gt;B480),1,0),1)</f>
        <v>0</v>
      </c>
      <c r="F480" s="13">
        <f ca="1">IF('Assemble Data'!E481="",0,IF(ISERROR(FIND("INDEX",_xlfn.FORMULATEXT('Assemble Data'!E481),1)),1,0)+IFERROR(IF(AND('Assemble Data'!E481&lt;&gt;C480,'Assemble Data'!E481&lt;&gt;""),1,0),1))</f>
        <v>0</v>
      </c>
      <c r="G480" s="13">
        <f ca="1">IF('Assemble Data'!F481="",0,IF(ISERROR(FIND("VLOOKUP",_xlfn.FORMULATEXT('Assemble Data'!F481),1)),1,0)+IFERROR(IF(AND('Assemble Data'!F481&lt;&gt;D480,'Assemble Data'!F481&lt;&gt;""),1,0),1))</f>
        <v>0</v>
      </c>
      <c r="H480" s="13">
        <f t="shared" si="30"/>
        <v>8</v>
      </c>
      <c r="I480" t="str">
        <f t="shared" si="31"/>
        <v>C2P10</v>
      </c>
    </row>
    <row r="481" spans="1:9">
      <c r="A481" t="str">
        <f>'Assemble Data'!B482</f>
        <v>P13</v>
      </c>
      <c r="B481" s="13">
        <f>IFERROR(SUMIF('Assemble Data'!K:K,'Assemble Data'!A482,'Assemble Data'!L:L),0)</f>
        <v>4500</v>
      </c>
      <c r="C481" s="13" t="str">
        <f>INDEX('Assemble Data'!$O$24:$O$1023,MATCH('Assemble Data'!A482,'Assemble Data'!$N$24:$N$1023,0))</f>
        <v>C2</v>
      </c>
      <c r="D481" s="13">
        <f>SUMIF('Assemble Data'!H:H,'Assemble Data'!A482,'Assemble Data'!I:I)</f>
        <v>5</v>
      </c>
      <c r="E481" s="13">
        <f>IFERROR(IF(AND('Assemble Data'!D482&lt;&gt;"",'Assemble Data'!D482&lt;&gt;B481),1,0),1)</f>
        <v>0</v>
      </c>
      <c r="F481" s="13">
        <f ca="1">IF('Assemble Data'!E482="",0,IF(ISERROR(FIND("INDEX",_xlfn.FORMULATEXT('Assemble Data'!E482),1)),1,0)+IFERROR(IF(AND('Assemble Data'!E482&lt;&gt;C481,'Assemble Data'!E482&lt;&gt;""),1,0),1))</f>
        <v>0</v>
      </c>
      <c r="G481" s="13">
        <f ca="1">IF('Assemble Data'!F482="",0,IF(ISERROR(FIND("VLOOKUP",_xlfn.FORMULATEXT('Assemble Data'!F482),1)),1,0)+IFERROR(IF(AND('Assemble Data'!F482&lt;&gt;D481,'Assemble Data'!F482&lt;&gt;""),1,0),1))</f>
        <v>0</v>
      </c>
      <c r="H481" s="13">
        <f t="shared" si="30"/>
        <v>3</v>
      </c>
      <c r="I481" t="str">
        <f t="shared" si="31"/>
        <v>C2P13</v>
      </c>
    </row>
    <row r="482" spans="1:9">
      <c r="A482" t="str">
        <f>'Assemble Data'!B483</f>
        <v>P13</v>
      </c>
      <c r="B482" s="13">
        <f>IFERROR(SUMIF('Assemble Data'!K:K,'Assemble Data'!A483,'Assemble Data'!L:L),0)</f>
        <v>4500</v>
      </c>
      <c r="C482" s="13" t="str">
        <f>INDEX('Assemble Data'!$O$24:$O$1023,MATCH('Assemble Data'!A483,'Assemble Data'!$N$24:$N$1023,0))</f>
        <v>C2</v>
      </c>
      <c r="D482" s="13">
        <f>SUMIF('Assemble Data'!H:H,'Assemble Data'!A483,'Assemble Data'!I:I)</f>
        <v>5</v>
      </c>
      <c r="E482" s="13">
        <f>IFERROR(IF(AND('Assemble Data'!D483&lt;&gt;"",'Assemble Data'!D483&lt;&gt;B482),1,0),1)</f>
        <v>0</v>
      </c>
      <c r="F482" s="13">
        <f ca="1">IF('Assemble Data'!E483="",0,IF(ISERROR(FIND("INDEX",_xlfn.FORMULATEXT('Assemble Data'!E483),1)),1,0)+IFERROR(IF(AND('Assemble Data'!E483&lt;&gt;C482,'Assemble Data'!E483&lt;&gt;""),1,0),1))</f>
        <v>0</v>
      </c>
      <c r="G482" s="13">
        <f ca="1">IF('Assemble Data'!F483="",0,IF(ISERROR(FIND("VLOOKUP",_xlfn.FORMULATEXT('Assemble Data'!F483),1)),1,0)+IFERROR(IF(AND('Assemble Data'!F483&lt;&gt;D482,'Assemble Data'!F483&lt;&gt;""),1,0),1))</f>
        <v>0</v>
      </c>
      <c r="H482" s="13">
        <f t="shared" si="30"/>
        <v>3</v>
      </c>
      <c r="I482" t="str">
        <f t="shared" si="31"/>
        <v>C2P13</v>
      </c>
    </row>
    <row r="483" spans="1:9">
      <c r="A483" t="str">
        <f>'Assemble Data'!B484</f>
        <v>P10</v>
      </c>
      <c r="B483" s="13">
        <f>IFERROR(SUMIF('Assemble Data'!K:K,'Assemble Data'!A484,'Assemble Data'!L:L),0)</f>
        <v>2400</v>
      </c>
      <c r="C483" s="13" t="str">
        <f>INDEX('Assemble Data'!$O$24:$O$1023,MATCH('Assemble Data'!A484,'Assemble Data'!$N$24:$N$1023,0))</f>
        <v>C2</v>
      </c>
      <c r="D483" s="13">
        <f>SUMIF('Assemble Data'!H:H,'Assemble Data'!A484,'Assemble Data'!I:I)</f>
        <v>3</v>
      </c>
      <c r="E483" s="13">
        <f>IFERROR(IF(AND('Assemble Data'!D484&lt;&gt;"",'Assemble Data'!D484&lt;&gt;B483),1,0),1)</f>
        <v>0</v>
      </c>
      <c r="F483" s="13">
        <f ca="1">IF('Assemble Data'!E484="",0,IF(ISERROR(FIND("INDEX",_xlfn.FORMULATEXT('Assemble Data'!E484),1)),1,0)+IFERROR(IF(AND('Assemble Data'!E484&lt;&gt;C483,'Assemble Data'!E484&lt;&gt;""),1,0),1))</f>
        <v>0</v>
      </c>
      <c r="G483" s="13">
        <f ca="1">IF('Assemble Data'!F484="",0,IF(ISERROR(FIND("VLOOKUP",_xlfn.FORMULATEXT('Assemble Data'!F484),1)),1,0)+IFERROR(IF(AND('Assemble Data'!F484&lt;&gt;D483,'Assemble Data'!F484&lt;&gt;""),1,0),1))</f>
        <v>0</v>
      </c>
      <c r="H483" s="13">
        <f t="shared" si="30"/>
        <v>8</v>
      </c>
      <c r="I483" t="str">
        <f t="shared" si="31"/>
        <v>C2P10</v>
      </c>
    </row>
    <row r="484" spans="1:9">
      <c r="A484" t="str">
        <f>'Assemble Data'!B485</f>
        <v>P11</v>
      </c>
      <c r="B484" s="13">
        <f>IFERROR(SUMIF('Assemble Data'!K:K,'Assemble Data'!A485,'Assemble Data'!L:L),0)</f>
        <v>11000</v>
      </c>
      <c r="C484" s="13" t="str">
        <f>INDEX('Assemble Data'!$O$24:$O$1023,MATCH('Assemble Data'!A485,'Assemble Data'!$N$24:$N$1023,0))</f>
        <v>C2</v>
      </c>
      <c r="D484" s="13">
        <f>SUMIF('Assemble Data'!H:H,'Assemble Data'!A485,'Assemble Data'!I:I)</f>
        <v>11</v>
      </c>
      <c r="E484" s="13">
        <f>IFERROR(IF(AND('Assemble Data'!D485&lt;&gt;"",'Assemble Data'!D485&lt;&gt;B484),1,0),1)</f>
        <v>0</v>
      </c>
      <c r="F484" s="13">
        <f ca="1">IF('Assemble Data'!E485="",0,IF(ISERROR(FIND("INDEX",_xlfn.FORMULATEXT('Assemble Data'!E485),1)),1,0)+IFERROR(IF(AND('Assemble Data'!E485&lt;&gt;C484,'Assemble Data'!E485&lt;&gt;""),1,0),1))</f>
        <v>0</v>
      </c>
      <c r="G484" s="13">
        <f ca="1">IF('Assemble Data'!F485="",0,IF(ISERROR(FIND("VLOOKUP",_xlfn.FORMULATEXT('Assemble Data'!F485),1)),1,0)+IFERROR(IF(AND('Assemble Data'!F485&lt;&gt;D484,'Assemble Data'!F485&lt;&gt;""),1,0),1))</f>
        <v>0</v>
      </c>
      <c r="H484" s="13">
        <f t="shared" si="30"/>
        <v>9</v>
      </c>
      <c r="I484" t="str">
        <f t="shared" si="31"/>
        <v>C2P11</v>
      </c>
    </row>
    <row r="485" spans="1:9">
      <c r="A485" t="str">
        <f>'Assemble Data'!B486</f>
        <v>P16</v>
      </c>
      <c r="B485" s="13">
        <f>IFERROR(SUMIF('Assemble Data'!K:K,'Assemble Data'!A486,'Assemble Data'!L:L),0)</f>
        <v>4680</v>
      </c>
      <c r="C485" s="13" t="str">
        <f>INDEX('Assemble Data'!$O$24:$O$1023,MATCH('Assemble Data'!A486,'Assemble Data'!$N$24:$N$1023,0))</f>
        <v>N2</v>
      </c>
      <c r="D485" s="13">
        <f>SUMIF('Assemble Data'!H:H,'Assemble Data'!A486,'Assemble Data'!I:I)</f>
        <v>4</v>
      </c>
      <c r="E485" s="13">
        <f>IFERROR(IF(AND('Assemble Data'!D486&lt;&gt;"",'Assemble Data'!D486&lt;&gt;B485),1,0),1)</f>
        <v>0</v>
      </c>
      <c r="F485" s="13">
        <f ca="1">IF('Assemble Data'!E486="",0,IF(ISERROR(FIND("INDEX",_xlfn.FORMULATEXT('Assemble Data'!E486),1)),1,0)+IFERROR(IF(AND('Assemble Data'!E486&lt;&gt;C485,'Assemble Data'!E486&lt;&gt;""),1,0),1))</f>
        <v>0</v>
      </c>
      <c r="G485" s="13">
        <f ca="1">IF('Assemble Data'!F486="",0,IF(ISERROR(FIND("VLOOKUP",_xlfn.FORMULATEXT('Assemble Data'!F486),1)),1,0)+IFERROR(IF(AND('Assemble Data'!F486&lt;&gt;D485,'Assemble Data'!F486&lt;&gt;""),1,0),1))</f>
        <v>0</v>
      </c>
      <c r="H485" s="13">
        <f t="shared" si="30"/>
        <v>0</v>
      </c>
      <c r="I485" t="str">
        <f t="shared" si="31"/>
        <v>N2P16</v>
      </c>
    </row>
    <row r="486" spans="1:9">
      <c r="A486" t="str">
        <f>'Assemble Data'!B487</f>
        <v>P17</v>
      </c>
      <c r="B486" s="13">
        <f>IFERROR(SUMIF('Assemble Data'!K:K,'Assemble Data'!A487,'Assemble Data'!L:L),0)</f>
        <v>13200.000000000002</v>
      </c>
      <c r="C486" s="13" t="str">
        <f>INDEX('Assemble Data'!$O$24:$O$1023,MATCH('Assemble Data'!A487,'Assemble Data'!$N$24:$N$1023,0))</f>
        <v>O2</v>
      </c>
      <c r="D486" s="13">
        <f>SUMIF('Assemble Data'!H:H,'Assemble Data'!A487,'Assemble Data'!I:I)</f>
        <v>12</v>
      </c>
      <c r="E486" s="13">
        <f>IFERROR(IF(AND('Assemble Data'!D487&lt;&gt;"",'Assemble Data'!D487&lt;&gt;B486),1,0),1)</f>
        <v>0</v>
      </c>
      <c r="F486" s="13">
        <f ca="1">IF('Assemble Data'!E487="",0,IF(ISERROR(FIND("INDEX",_xlfn.FORMULATEXT('Assemble Data'!E487),1)),1,0)+IFERROR(IF(AND('Assemble Data'!E487&lt;&gt;C486,'Assemble Data'!E487&lt;&gt;""),1,0),1))</f>
        <v>0</v>
      </c>
      <c r="G486" s="13">
        <f ca="1">IF('Assemble Data'!F487="",0,IF(ISERROR(FIND("VLOOKUP",_xlfn.FORMULATEXT('Assemble Data'!F487),1)),1,0)+IFERROR(IF(AND('Assemble Data'!F487&lt;&gt;D486,'Assemble Data'!F487&lt;&gt;""),1,0),1))</f>
        <v>0</v>
      </c>
      <c r="H486" s="13">
        <f t="shared" si="30"/>
        <v>6</v>
      </c>
      <c r="I486" t="str">
        <f t="shared" si="31"/>
        <v>O2P17</v>
      </c>
    </row>
    <row r="487" spans="1:9">
      <c r="A487" t="str">
        <f>'Assemble Data'!B488</f>
        <v>P17</v>
      </c>
      <c r="B487" s="13">
        <f>IFERROR(SUMIF('Assemble Data'!K:K,'Assemble Data'!A488,'Assemble Data'!L:L),0)</f>
        <v>13200.000000000002</v>
      </c>
      <c r="C487" s="13" t="str">
        <f>INDEX('Assemble Data'!$O$24:$O$1023,MATCH('Assemble Data'!A488,'Assemble Data'!$N$24:$N$1023,0))</f>
        <v>O2</v>
      </c>
      <c r="D487" s="13">
        <f>SUMIF('Assemble Data'!H:H,'Assemble Data'!A488,'Assemble Data'!I:I)</f>
        <v>12</v>
      </c>
      <c r="E487" s="13">
        <f>IFERROR(IF(AND('Assemble Data'!D488&lt;&gt;"",'Assemble Data'!D488&lt;&gt;B487),1,0),1)</f>
        <v>0</v>
      </c>
      <c r="F487" s="13">
        <f ca="1">IF('Assemble Data'!E488="",0,IF(ISERROR(FIND("INDEX",_xlfn.FORMULATEXT('Assemble Data'!E488),1)),1,0)+IFERROR(IF(AND('Assemble Data'!E488&lt;&gt;C487,'Assemble Data'!E488&lt;&gt;""),1,0),1))</f>
        <v>0</v>
      </c>
      <c r="G487" s="13">
        <f ca="1">IF('Assemble Data'!F488="",0,IF(ISERROR(FIND("VLOOKUP",_xlfn.FORMULATEXT('Assemble Data'!F488),1)),1,0)+IFERROR(IF(AND('Assemble Data'!F488&lt;&gt;D487,'Assemble Data'!F488&lt;&gt;""),1,0),1))</f>
        <v>0</v>
      </c>
      <c r="H487" s="13">
        <f t="shared" si="30"/>
        <v>6</v>
      </c>
      <c r="I487" t="str">
        <f t="shared" si="31"/>
        <v>O2P17</v>
      </c>
    </row>
    <row r="488" spans="1:9">
      <c r="A488" t="str">
        <f>'Assemble Data'!B489</f>
        <v>P13</v>
      </c>
      <c r="B488" s="13">
        <f>IFERROR(SUMIF('Assemble Data'!K:K,'Assemble Data'!A489,'Assemble Data'!L:L),0)</f>
        <v>4500</v>
      </c>
      <c r="C488" s="13" t="str">
        <f>INDEX('Assemble Data'!$O$24:$O$1023,MATCH('Assemble Data'!A489,'Assemble Data'!$N$24:$N$1023,0))</f>
        <v>C2</v>
      </c>
      <c r="D488" s="13">
        <f>SUMIF('Assemble Data'!H:H,'Assemble Data'!A489,'Assemble Data'!I:I)</f>
        <v>5</v>
      </c>
      <c r="E488" s="13">
        <f>IFERROR(IF(AND('Assemble Data'!D489&lt;&gt;"",'Assemble Data'!D489&lt;&gt;B488),1,0),1)</f>
        <v>0</v>
      </c>
      <c r="F488" s="13">
        <f ca="1">IF('Assemble Data'!E489="",0,IF(ISERROR(FIND("INDEX",_xlfn.FORMULATEXT('Assemble Data'!E489),1)),1,0)+IFERROR(IF(AND('Assemble Data'!E489&lt;&gt;C488,'Assemble Data'!E489&lt;&gt;""),1,0),1))</f>
        <v>0</v>
      </c>
      <c r="G488" s="13">
        <f ca="1">IF('Assemble Data'!F489="",0,IF(ISERROR(FIND("VLOOKUP",_xlfn.FORMULATEXT('Assemble Data'!F489),1)),1,0)+IFERROR(IF(AND('Assemble Data'!F489&lt;&gt;D488,'Assemble Data'!F489&lt;&gt;""),1,0),1))</f>
        <v>0</v>
      </c>
      <c r="H488" s="13">
        <f t="shared" si="30"/>
        <v>3</v>
      </c>
      <c r="I488" t="str">
        <f t="shared" si="31"/>
        <v>C2P13</v>
      </c>
    </row>
    <row r="489" spans="1:9">
      <c r="A489" t="str">
        <f>'Assemble Data'!B490</f>
        <v>P11</v>
      </c>
      <c r="B489" s="13">
        <f>IFERROR(SUMIF('Assemble Data'!K:K,'Assemble Data'!A490,'Assemble Data'!L:L),0)</f>
        <v>11000</v>
      </c>
      <c r="C489" s="13" t="str">
        <f>INDEX('Assemble Data'!$O$24:$O$1023,MATCH('Assemble Data'!A490,'Assemble Data'!$N$24:$N$1023,0))</f>
        <v>C2</v>
      </c>
      <c r="D489" s="13">
        <f>SUMIF('Assemble Data'!H:H,'Assemble Data'!A490,'Assemble Data'!I:I)</f>
        <v>11</v>
      </c>
      <c r="E489" s="13">
        <f>IFERROR(IF(AND('Assemble Data'!D490&lt;&gt;"",'Assemble Data'!D490&lt;&gt;B489),1,0),1)</f>
        <v>0</v>
      </c>
      <c r="F489" s="13">
        <f ca="1">IF('Assemble Data'!E490="",0,IF(ISERROR(FIND("INDEX",_xlfn.FORMULATEXT('Assemble Data'!E490),1)),1,0)+IFERROR(IF(AND('Assemble Data'!E490&lt;&gt;C489,'Assemble Data'!E490&lt;&gt;""),1,0),1))</f>
        <v>0</v>
      </c>
      <c r="G489" s="13">
        <f ca="1">IF('Assemble Data'!F490="",0,IF(ISERROR(FIND("VLOOKUP",_xlfn.FORMULATEXT('Assemble Data'!F490),1)),1,0)+IFERROR(IF(AND('Assemble Data'!F490&lt;&gt;D489,'Assemble Data'!F490&lt;&gt;""),1,0),1))</f>
        <v>0</v>
      </c>
      <c r="H489" s="13">
        <f t="shared" si="30"/>
        <v>9</v>
      </c>
      <c r="I489" t="str">
        <f t="shared" si="31"/>
        <v>C2P11</v>
      </c>
    </row>
    <row r="490" spans="1:9">
      <c r="A490" t="str">
        <f>'Assemble Data'!B491</f>
        <v>P11</v>
      </c>
      <c r="B490" s="13">
        <f>IFERROR(SUMIF('Assemble Data'!K:K,'Assemble Data'!A491,'Assemble Data'!L:L),0)</f>
        <v>11000</v>
      </c>
      <c r="C490" s="13" t="str">
        <f>INDEX('Assemble Data'!$O$24:$O$1023,MATCH('Assemble Data'!A491,'Assemble Data'!$N$24:$N$1023,0))</f>
        <v>C2</v>
      </c>
      <c r="D490" s="13">
        <f>SUMIF('Assemble Data'!H:H,'Assemble Data'!A491,'Assemble Data'!I:I)</f>
        <v>11</v>
      </c>
      <c r="E490" s="13">
        <f>IFERROR(IF(AND('Assemble Data'!D491&lt;&gt;"",'Assemble Data'!D491&lt;&gt;B490),1,0),1)</f>
        <v>0</v>
      </c>
      <c r="F490" s="13">
        <f ca="1">IF('Assemble Data'!E491="",0,IF(ISERROR(FIND("INDEX",_xlfn.FORMULATEXT('Assemble Data'!E491),1)),1,0)+IFERROR(IF(AND('Assemble Data'!E491&lt;&gt;C490,'Assemble Data'!E491&lt;&gt;""),1,0),1))</f>
        <v>0</v>
      </c>
      <c r="G490" s="13">
        <f ca="1">IF('Assemble Data'!F491="",0,IF(ISERROR(FIND("VLOOKUP",_xlfn.FORMULATEXT('Assemble Data'!F491),1)),1,0)+IFERROR(IF(AND('Assemble Data'!F491&lt;&gt;D490,'Assemble Data'!F491&lt;&gt;""),1,0),1))</f>
        <v>0</v>
      </c>
      <c r="H490" s="13">
        <f t="shared" si="30"/>
        <v>9</v>
      </c>
      <c r="I490" t="str">
        <f t="shared" si="31"/>
        <v>C2P11</v>
      </c>
    </row>
    <row r="491" spans="1:9">
      <c r="A491" t="str">
        <f>'Assemble Data'!B492</f>
        <v>P12</v>
      </c>
      <c r="B491" s="13">
        <f>IFERROR(SUMIF('Assemble Data'!K:K,'Assemble Data'!A492,'Assemble Data'!L:L),0)</f>
        <v>6825</v>
      </c>
      <c r="C491" s="13" t="str">
        <f>INDEX('Assemble Data'!$O$24:$O$1023,MATCH('Assemble Data'!A492,'Assemble Data'!$N$24:$N$1023,0))</f>
        <v>C2</v>
      </c>
      <c r="D491" s="13">
        <f>SUMIF('Assemble Data'!H:H,'Assemble Data'!A492,'Assemble Data'!I:I)</f>
        <v>6.5</v>
      </c>
      <c r="E491" s="13">
        <f>IFERROR(IF(AND('Assemble Data'!D492&lt;&gt;"",'Assemble Data'!D492&lt;&gt;B491),1,0),1)</f>
        <v>0</v>
      </c>
      <c r="F491" s="13">
        <f ca="1">IF('Assemble Data'!E492="",0,IF(ISERROR(FIND("INDEX",_xlfn.FORMULATEXT('Assemble Data'!E492),1)),1,0)+IFERROR(IF(AND('Assemble Data'!E492&lt;&gt;C491,'Assemble Data'!E492&lt;&gt;""),1,0),1))</f>
        <v>0</v>
      </c>
      <c r="G491" s="13">
        <f ca="1">IF('Assemble Data'!F492="",0,IF(ISERROR(FIND("VLOOKUP",_xlfn.FORMULATEXT('Assemble Data'!F492),1)),1,0)+IFERROR(IF(AND('Assemble Data'!F492&lt;&gt;D491,'Assemble Data'!F492&lt;&gt;""),1,0),1))</f>
        <v>0</v>
      </c>
      <c r="H491" s="13">
        <f t="shared" si="30"/>
        <v>7</v>
      </c>
      <c r="I491" t="str">
        <f t="shared" si="31"/>
        <v>C2P12</v>
      </c>
    </row>
    <row r="492" spans="1:9">
      <c r="A492" t="str">
        <f>'Assemble Data'!B493</f>
        <v>P10</v>
      </c>
      <c r="B492" s="13">
        <f>IFERROR(SUMIF('Assemble Data'!K:K,'Assemble Data'!A493,'Assemble Data'!L:L),0)</f>
        <v>1920</v>
      </c>
      <c r="C492" s="13" t="str">
        <f>INDEX('Assemble Data'!$O$24:$O$1023,MATCH('Assemble Data'!A493,'Assemble Data'!$N$24:$N$1023,0))</f>
        <v>C3</v>
      </c>
      <c r="D492" s="13">
        <f>SUMIF('Assemble Data'!H:H,'Assemble Data'!A493,'Assemble Data'!I:I)</f>
        <v>3</v>
      </c>
      <c r="E492" s="13">
        <f>IFERROR(IF(AND('Assemble Data'!D493&lt;&gt;"",'Assemble Data'!D493&lt;&gt;B492),1,0),1)</f>
        <v>0</v>
      </c>
      <c r="F492" s="13">
        <f ca="1">IF('Assemble Data'!E493="",0,IF(ISERROR(FIND("INDEX",_xlfn.FORMULATEXT('Assemble Data'!E493),1)),1,0)+IFERROR(IF(AND('Assemble Data'!E493&lt;&gt;C492,'Assemble Data'!E493&lt;&gt;""),1,0),1))</f>
        <v>0</v>
      </c>
      <c r="G492" s="13">
        <f ca="1">IF('Assemble Data'!F493="",0,IF(ISERROR(FIND("VLOOKUP",_xlfn.FORMULATEXT('Assemble Data'!F493),1)),1,0)+IFERROR(IF(AND('Assemble Data'!F493&lt;&gt;D492,'Assemble Data'!F493&lt;&gt;""),1,0),1))</f>
        <v>0</v>
      </c>
      <c r="H492" s="13">
        <f t="shared" si="30"/>
        <v>8</v>
      </c>
      <c r="I492" t="str">
        <f t="shared" si="31"/>
        <v>C3P10</v>
      </c>
    </row>
    <row r="493" spans="1:9">
      <c r="A493" t="str">
        <f>'Assemble Data'!B494</f>
        <v>P10</v>
      </c>
      <c r="B493" s="13">
        <f>IFERROR(SUMIF('Assemble Data'!K:K,'Assemble Data'!A494,'Assemble Data'!L:L),0)</f>
        <v>1920</v>
      </c>
      <c r="C493" s="13" t="str">
        <f>INDEX('Assemble Data'!$O$24:$O$1023,MATCH('Assemble Data'!A494,'Assemble Data'!$N$24:$N$1023,0))</f>
        <v>C3</v>
      </c>
      <c r="D493" s="13">
        <f>SUMIF('Assemble Data'!H:H,'Assemble Data'!A494,'Assemble Data'!I:I)</f>
        <v>3</v>
      </c>
      <c r="E493" s="13">
        <f>IFERROR(IF(AND('Assemble Data'!D494&lt;&gt;"",'Assemble Data'!D494&lt;&gt;B493),1,0),1)</f>
        <v>0</v>
      </c>
      <c r="F493" s="13">
        <f ca="1">IF('Assemble Data'!E494="",0,IF(ISERROR(FIND("INDEX",_xlfn.FORMULATEXT('Assemble Data'!E494),1)),1,0)+IFERROR(IF(AND('Assemble Data'!E494&lt;&gt;C493,'Assemble Data'!E494&lt;&gt;""),1,0),1))</f>
        <v>0</v>
      </c>
      <c r="G493" s="13">
        <f ca="1">IF('Assemble Data'!F494="",0,IF(ISERROR(FIND("VLOOKUP",_xlfn.FORMULATEXT('Assemble Data'!F494),1)),1,0)+IFERROR(IF(AND('Assemble Data'!F494&lt;&gt;D493,'Assemble Data'!F494&lt;&gt;""),1,0),1))</f>
        <v>0</v>
      </c>
      <c r="H493" s="13">
        <f t="shared" si="30"/>
        <v>8</v>
      </c>
      <c r="I493" t="str">
        <f t="shared" si="31"/>
        <v>C3P10</v>
      </c>
    </row>
    <row r="494" spans="1:9">
      <c r="A494" t="str">
        <f>'Assemble Data'!B495</f>
        <v>P11</v>
      </c>
      <c r="B494" s="13">
        <f>IFERROR(SUMIF('Assemble Data'!K:K,'Assemble Data'!A495,'Assemble Data'!L:L),0)</f>
        <v>8800</v>
      </c>
      <c r="C494" s="13" t="str">
        <f>INDEX('Assemble Data'!$O$24:$O$1023,MATCH('Assemble Data'!A495,'Assemble Data'!$N$24:$N$1023,0))</f>
        <v>C3</v>
      </c>
      <c r="D494" s="13">
        <f>SUMIF('Assemble Data'!H:H,'Assemble Data'!A495,'Assemble Data'!I:I)</f>
        <v>11</v>
      </c>
      <c r="E494" s="13">
        <f>IFERROR(IF(AND('Assemble Data'!D495&lt;&gt;"",'Assemble Data'!D495&lt;&gt;B494),1,0),1)</f>
        <v>0</v>
      </c>
      <c r="F494" s="13">
        <f ca="1">IF('Assemble Data'!E495="",0,IF(ISERROR(FIND("INDEX",_xlfn.FORMULATEXT('Assemble Data'!E495),1)),1,0)+IFERROR(IF(AND('Assemble Data'!E495&lt;&gt;C494,'Assemble Data'!E495&lt;&gt;""),1,0),1))</f>
        <v>0</v>
      </c>
      <c r="G494" s="13">
        <f ca="1">IF('Assemble Data'!F495="",0,IF(ISERROR(FIND("VLOOKUP",_xlfn.FORMULATEXT('Assemble Data'!F495),1)),1,0)+IFERROR(IF(AND('Assemble Data'!F495&lt;&gt;D494,'Assemble Data'!F495&lt;&gt;""),1,0),1))</f>
        <v>0</v>
      </c>
      <c r="H494" s="13">
        <f t="shared" si="30"/>
        <v>9</v>
      </c>
      <c r="I494" t="str">
        <f t="shared" si="31"/>
        <v>C3P11</v>
      </c>
    </row>
    <row r="495" spans="1:9">
      <c r="A495" t="str">
        <f>'Assemble Data'!B496</f>
        <v>P18</v>
      </c>
      <c r="B495" s="13">
        <f>IFERROR(SUMIF('Assemble Data'!K:K,'Assemble Data'!A496,'Assemble Data'!L:L),0)</f>
        <v>4320</v>
      </c>
      <c r="C495" s="13" t="str">
        <f>INDEX('Assemble Data'!$O$24:$O$1023,MATCH('Assemble Data'!A496,'Assemble Data'!$N$24:$N$1023,0))</f>
        <v>O3</v>
      </c>
      <c r="D495" s="13">
        <f>SUMIF('Assemble Data'!H:H,'Assemble Data'!A496,'Assemble Data'!I:I)</f>
        <v>6</v>
      </c>
      <c r="E495" s="13">
        <f>IFERROR(IF(AND('Assemble Data'!D496&lt;&gt;"",'Assemble Data'!D496&lt;&gt;B495),1,0),1)</f>
        <v>0</v>
      </c>
      <c r="F495" s="13">
        <f ca="1">IF('Assemble Data'!E496="",0,IF(ISERROR(FIND("INDEX",_xlfn.FORMULATEXT('Assemble Data'!E496),1)),1,0)+IFERROR(IF(AND('Assemble Data'!E496&lt;&gt;C495,'Assemble Data'!E496&lt;&gt;""),1,0),1))</f>
        <v>0</v>
      </c>
      <c r="G495" s="13">
        <f ca="1">IF('Assemble Data'!F496="",0,IF(ISERROR(FIND("VLOOKUP",_xlfn.FORMULATEXT('Assemble Data'!F496),1)),1,0)+IFERROR(IF(AND('Assemble Data'!F496&lt;&gt;D495,'Assemble Data'!F496&lt;&gt;""),1,0),1))</f>
        <v>0</v>
      </c>
      <c r="H495" s="13">
        <f t="shared" si="30"/>
        <v>2</v>
      </c>
      <c r="I495" t="str">
        <f t="shared" si="31"/>
        <v>O3P18</v>
      </c>
    </row>
    <row r="496" spans="1:9">
      <c r="A496" t="str">
        <f>'Assemble Data'!B497</f>
        <v>P14</v>
      </c>
      <c r="B496" s="13">
        <f>IFERROR(SUMIF('Assemble Data'!K:K,'Assemble Data'!A497,'Assemble Data'!L:L),0)</f>
        <v>7200</v>
      </c>
      <c r="C496" s="13" t="str">
        <f>INDEX('Assemble Data'!$O$24:$O$1023,MATCH('Assemble Data'!A497,'Assemble Data'!$N$24:$N$1023,0))</f>
        <v>N3</v>
      </c>
      <c r="D496" s="13">
        <f>SUMIF('Assemble Data'!H:H,'Assemble Data'!A497,'Assemble Data'!I:I)</f>
        <v>8</v>
      </c>
      <c r="E496" s="13">
        <f>IFERROR(IF(AND('Assemble Data'!D497&lt;&gt;"",'Assemble Data'!D497&lt;&gt;B496),1,0),1)</f>
        <v>0</v>
      </c>
      <c r="F496" s="13">
        <f ca="1">IF('Assemble Data'!E497="",0,IF(ISERROR(FIND("INDEX",_xlfn.FORMULATEXT('Assemble Data'!E497),1)),1,0)+IFERROR(IF(AND('Assemble Data'!E497&lt;&gt;C496,'Assemble Data'!E497&lt;&gt;""),1,0),1))</f>
        <v>0</v>
      </c>
      <c r="G496" s="13">
        <f ca="1">IF('Assemble Data'!F497="",0,IF(ISERROR(FIND("VLOOKUP",_xlfn.FORMULATEXT('Assemble Data'!F497),1)),1,0)+IFERROR(IF(AND('Assemble Data'!F497&lt;&gt;D496,'Assemble Data'!F497&lt;&gt;""),1,0),1))</f>
        <v>0</v>
      </c>
      <c r="H496" s="13">
        <f t="shared" si="30"/>
        <v>5</v>
      </c>
      <c r="I496" t="str">
        <f t="shared" si="31"/>
        <v>N3P14</v>
      </c>
    </row>
    <row r="497" spans="1:9">
      <c r="A497" t="str">
        <f>'Assemble Data'!B498</f>
        <v>P10</v>
      </c>
      <c r="B497" s="13">
        <f>IFERROR(SUMIF('Assemble Data'!K:K,'Assemble Data'!A498,'Assemble Data'!L:L),0)</f>
        <v>1920</v>
      </c>
      <c r="C497" s="13" t="str">
        <f>INDEX('Assemble Data'!$O$24:$O$1023,MATCH('Assemble Data'!A498,'Assemble Data'!$N$24:$N$1023,0))</f>
        <v>C3</v>
      </c>
      <c r="D497" s="13">
        <f>SUMIF('Assemble Data'!H:H,'Assemble Data'!A498,'Assemble Data'!I:I)</f>
        <v>3</v>
      </c>
      <c r="E497" s="13">
        <f>IFERROR(IF(AND('Assemble Data'!D498&lt;&gt;"",'Assemble Data'!D498&lt;&gt;B497),1,0),1)</f>
        <v>0</v>
      </c>
      <c r="F497" s="13">
        <f ca="1">IF('Assemble Data'!E498="",0,IF(ISERROR(FIND("INDEX",_xlfn.FORMULATEXT('Assemble Data'!E498),1)),1,0)+IFERROR(IF(AND('Assemble Data'!E498&lt;&gt;C497,'Assemble Data'!E498&lt;&gt;""),1,0),1))</f>
        <v>0</v>
      </c>
      <c r="G497" s="13">
        <f ca="1">IF('Assemble Data'!F498="",0,IF(ISERROR(FIND("VLOOKUP",_xlfn.FORMULATEXT('Assemble Data'!F498),1)),1,0)+IFERROR(IF(AND('Assemble Data'!F498&lt;&gt;D497,'Assemble Data'!F498&lt;&gt;""),1,0),1))</f>
        <v>0</v>
      </c>
      <c r="H497" s="13">
        <f t="shared" si="30"/>
        <v>8</v>
      </c>
      <c r="I497" t="str">
        <f t="shared" si="31"/>
        <v>C3P10</v>
      </c>
    </row>
    <row r="498" spans="1:9">
      <c r="A498" t="str">
        <f>'Assemble Data'!B499</f>
        <v>P13</v>
      </c>
      <c r="B498" s="13">
        <f>IFERROR(SUMIF('Assemble Data'!K:K,'Assemble Data'!A499,'Assemble Data'!L:L),0)</f>
        <v>3600</v>
      </c>
      <c r="C498" s="13" t="str">
        <f>INDEX('Assemble Data'!$O$24:$O$1023,MATCH('Assemble Data'!A499,'Assemble Data'!$N$24:$N$1023,0))</f>
        <v>C3</v>
      </c>
      <c r="D498" s="13">
        <f>SUMIF('Assemble Data'!H:H,'Assemble Data'!A499,'Assemble Data'!I:I)</f>
        <v>5</v>
      </c>
      <c r="E498" s="13">
        <f>IFERROR(IF(AND('Assemble Data'!D499&lt;&gt;"",'Assemble Data'!D499&lt;&gt;B498),1,0),1)</f>
        <v>0</v>
      </c>
      <c r="F498" s="13">
        <f ca="1">IF('Assemble Data'!E499="",0,IF(ISERROR(FIND("INDEX",_xlfn.FORMULATEXT('Assemble Data'!E499),1)),1,0)+IFERROR(IF(AND('Assemble Data'!E499&lt;&gt;C498,'Assemble Data'!E499&lt;&gt;""),1,0),1))</f>
        <v>0</v>
      </c>
      <c r="G498" s="13">
        <f ca="1">IF('Assemble Data'!F499="",0,IF(ISERROR(FIND("VLOOKUP",_xlfn.FORMULATEXT('Assemble Data'!F499),1)),1,0)+IFERROR(IF(AND('Assemble Data'!F499&lt;&gt;D498,'Assemble Data'!F499&lt;&gt;""),1,0),1))</f>
        <v>0</v>
      </c>
      <c r="H498" s="13">
        <f t="shared" si="30"/>
        <v>3</v>
      </c>
      <c r="I498" t="str">
        <f t="shared" si="31"/>
        <v>C3P13</v>
      </c>
    </row>
    <row r="499" spans="1:9">
      <c r="A499" t="str">
        <f>'Assemble Data'!B500</f>
        <v>P13</v>
      </c>
      <c r="B499" s="13">
        <f>IFERROR(SUMIF('Assemble Data'!K:K,'Assemble Data'!A500,'Assemble Data'!L:L),0)</f>
        <v>3600</v>
      </c>
      <c r="C499" s="13" t="str">
        <f>INDEX('Assemble Data'!$O$24:$O$1023,MATCH('Assemble Data'!A500,'Assemble Data'!$N$24:$N$1023,0))</f>
        <v>C3</v>
      </c>
      <c r="D499" s="13">
        <f>SUMIF('Assemble Data'!H:H,'Assemble Data'!A500,'Assemble Data'!I:I)</f>
        <v>5</v>
      </c>
      <c r="E499" s="13">
        <f>IFERROR(IF(AND('Assemble Data'!D500&lt;&gt;"",'Assemble Data'!D500&lt;&gt;B499),1,0),1)</f>
        <v>0</v>
      </c>
      <c r="F499" s="13">
        <f ca="1">IF('Assemble Data'!E500="",0,IF(ISERROR(FIND("INDEX",_xlfn.FORMULATEXT('Assemble Data'!E500),1)),1,0)+IFERROR(IF(AND('Assemble Data'!E500&lt;&gt;C499,'Assemble Data'!E500&lt;&gt;""),1,0),1))</f>
        <v>0</v>
      </c>
      <c r="G499" s="13">
        <f ca="1">IF('Assemble Data'!F500="",0,IF(ISERROR(FIND("VLOOKUP",_xlfn.FORMULATEXT('Assemble Data'!F500),1)),1,0)+IFERROR(IF(AND('Assemble Data'!F500&lt;&gt;D499,'Assemble Data'!F500&lt;&gt;""),1,0),1))</f>
        <v>0</v>
      </c>
      <c r="H499" s="13">
        <f t="shared" si="30"/>
        <v>3</v>
      </c>
      <c r="I499" t="str">
        <f t="shared" si="31"/>
        <v>C3P13</v>
      </c>
    </row>
    <row r="500" spans="1:9">
      <c r="A500" t="str">
        <f>'Assemble Data'!B501</f>
        <v>P10</v>
      </c>
      <c r="B500" s="13">
        <f>IFERROR(SUMIF('Assemble Data'!K:K,'Assemble Data'!A501,'Assemble Data'!L:L),0)</f>
        <v>1920</v>
      </c>
      <c r="C500" s="13" t="str">
        <f>INDEX('Assemble Data'!$O$24:$O$1023,MATCH('Assemble Data'!A501,'Assemble Data'!$N$24:$N$1023,0))</f>
        <v>C3</v>
      </c>
      <c r="D500" s="13">
        <f>SUMIF('Assemble Data'!H:H,'Assemble Data'!A501,'Assemble Data'!I:I)</f>
        <v>3</v>
      </c>
      <c r="E500" s="13">
        <f>IFERROR(IF(AND('Assemble Data'!D501&lt;&gt;"",'Assemble Data'!D501&lt;&gt;B500),1,0),1)</f>
        <v>0</v>
      </c>
      <c r="F500" s="13">
        <f ca="1">IF('Assemble Data'!E501="",0,IF(ISERROR(FIND("INDEX",_xlfn.FORMULATEXT('Assemble Data'!E501),1)),1,0)+IFERROR(IF(AND('Assemble Data'!E501&lt;&gt;C500,'Assemble Data'!E501&lt;&gt;""),1,0),1))</f>
        <v>0</v>
      </c>
      <c r="G500" s="13">
        <f ca="1">IF('Assemble Data'!F501="",0,IF(ISERROR(FIND("VLOOKUP",_xlfn.FORMULATEXT('Assemble Data'!F501),1)),1,0)+IFERROR(IF(AND('Assemble Data'!F501&lt;&gt;D500,'Assemble Data'!F501&lt;&gt;""),1,0),1))</f>
        <v>0</v>
      </c>
      <c r="H500" s="13">
        <f t="shared" si="30"/>
        <v>8</v>
      </c>
      <c r="I500" t="str">
        <f t="shared" si="31"/>
        <v>C3P10</v>
      </c>
    </row>
    <row r="501" spans="1:9">
      <c r="A501" t="str">
        <f>'Assemble Data'!B502</f>
        <v>P11</v>
      </c>
      <c r="B501" s="13">
        <f>IFERROR(SUMIF('Assemble Data'!K:K,'Assemble Data'!A502,'Assemble Data'!L:L),0)</f>
        <v>8800</v>
      </c>
      <c r="C501" s="13" t="str">
        <f>INDEX('Assemble Data'!$O$24:$O$1023,MATCH('Assemble Data'!A502,'Assemble Data'!$N$24:$N$1023,0))</f>
        <v>C3</v>
      </c>
      <c r="D501" s="13">
        <f>SUMIF('Assemble Data'!H:H,'Assemble Data'!A502,'Assemble Data'!I:I)</f>
        <v>11</v>
      </c>
      <c r="E501" s="13">
        <f>IFERROR(IF(AND('Assemble Data'!D502&lt;&gt;"",'Assemble Data'!D502&lt;&gt;B501),1,0),1)</f>
        <v>0</v>
      </c>
      <c r="F501" s="13">
        <f ca="1">IF('Assemble Data'!E502="",0,IF(ISERROR(FIND("INDEX",_xlfn.FORMULATEXT('Assemble Data'!E502),1)),1,0)+IFERROR(IF(AND('Assemble Data'!E502&lt;&gt;C501,'Assemble Data'!E502&lt;&gt;""),1,0),1))</f>
        <v>0</v>
      </c>
      <c r="G501" s="13">
        <f ca="1">IF('Assemble Data'!F502="",0,IF(ISERROR(FIND("VLOOKUP",_xlfn.FORMULATEXT('Assemble Data'!F502),1)),1,0)+IFERROR(IF(AND('Assemble Data'!F502&lt;&gt;D501,'Assemble Data'!F502&lt;&gt;""),1,0),1))</f>
        <v>0</v>
      </c>
      <c r="H501" s="13">
        <f t="shared" si="30"/>
        <v>9</v>
      </c>
      <c r="I501" t="str">
        <f t="shared" si="31"/>
        <v>C3P11</v>
      </c>
    </row>
    <row r="502" spans="1:9">
      <c r="A502" t="str">
        <f>'Assemble Data'!B503</f>
        <v>P16</v>
      </c>
      <c r="B502" s="13">
        <f>IFERROR(SUMIF('Assemble Data'!K:K,'Assemble Data'!A503,'Assemble Data'!L:L),0)</f>
        <v>5200</v>
      </c>
      <c r="C502" s="13" t="str">
        <f>INDEX('Assemble Data'!$O$24:$O$1023,MATCH('Assemble Data'!A503,'Assemble Data'!$N$24:$N$1023,0))</f>
        <v>N3</v>
      </c>
      <c r="D502" s="13">
        <f>SUMIF('Assemble Data'!H:H,'Assemble Data'!A503,'Assemble Data'!I:I)</f>
        <v>4</v>
      </c>
      <c r="E502" s="13">
        <f>IFERROR(IF(AND('Assemble Data'!D503&lt;&gt;"",'Assemble Data'!D503&lt;&gt;B502),1,0),1)</f>
        <v>0</v>
      </c>
      <c r="F502" s="13">
        <f ca="1">IF('Assemble Data'!E503="",0,IF(ISERROR(FIND("INDEX",_xlfn.FORMULATEXT('Assemble Data'!E503),1)),1,0)+IFERROR(IF(AND('Assemble Data'!E503&lt;&gt;C502,'Assemble Data'!E503&lt;&gt;""),1,0),1))</f>
        <v>0</v>
      </c>
      <c r="G502" s="13">
        <f ca="1">IF('Assemble Data'!F503="",0,IF(ISERROR(FIND("VLOOKUP",_xlfn.FORMULATEXT('Assemble Data'!F503),1)),1,0)+IFERROR(IF(AND('Assemble Data'!F503&lt;&gt;D502,'Assemble Data'!F503&lt;&gt;""),1,0),1))</f>
        <v>0</v>
      </c>
      <c r="H502" s="13">
        <f t="shared" si="30"/>
        <v>0</v>
      </c>
      <c r="I502" t="str">
        <f t="shared" si="31"/>
        <v>N3P16</v>
      </c>
    </row>
    <row r="503" spans="1:9">
      <c r="A503" t="str">
        <f>'Assemble Data'!B504</f>
        <v>P17</v>
      </c>
      <c r="B503" s="13">
        <f>IFERROR(SUMIF('Assemble Data'!K:K,'Assemble Data'!A504,'Assemble Data'!L:L),0)</f>
        <v>9600</v>
      </c>
      <c r="C503" s="13" t="str">
        <f>INDEX('Assemble Data'!$O$24:$O$1023,MATCH('Assemble Data'!A504,'Assemble Data'!$N$24:$N$1023,0))</f>
        <v>O3</v>
      </c>
      <c r="D503" s="13">
        <f>SUMIF('Assemble Data'!H:H,'Assemble Data'!A504,'Assemble Data'!I:I)</f>
        <v>12</v>
      </c>
      <c r="E503" s="13">
        <f>IFERROR(IF(AND('Assemble Data'!D504&lt;&gt;"",'Assemble Data'!D504&lt;&gt;B503),1,0),1)</f>
        <v>0</v>
      </c>
      <c r="F503" s="13">
        <f ca="1">IF('Assemble Data'!E504="",0,IF(ISERROR(FIND("INDEX",_xlfn.FORMULATEXT('Assemble Data'!E504),1)),1,0)+IFERROR(IF(AND('Assemble Data'!E504&lt;&gt;C503,'Assemble Data'!E504&lt;&gt;""),1,0),1))</f>
        <v>0</v>
      </c>
      <c r="G503" s="13">
        <f ca="1">IF('Assemble Data'!F504="",0,IF(ISERROR(FIND("VLOOKUP",_xlfn.FORMULATEXT('Assemble Data'!F504),1)),1,0)+IFERROR(IF(AND('Assemble Data'!F504&lt;&gt;D503,'Assemble Data'!F504&lt;&gt;""),1,0),1))</f>
        <v>0</v>
      </c>
      <c r="H503" s="13">
        <f t="shared" si="30"/>
        <v>6</v>
      </c>
      <c r="I503" t="str">
        <f t="shared" si="31"/>
        <v>O3P17</v>
      </c>
    </row>
    <row r="504" spans="1:9">
      <c r="A504" t="str">
        <f>'Assemble Data'!B505</f>
        <v>P17</v>
      </c>
      <c r="B504" s="13">
        <f>IFERROR(SUMIF('Assemble Data'!K:K,'Assemble Data'!A505,'Assemble Data'!L:L),0)</f>
        <v>9600</v>
      </c>
      <c r="C504" s="13" t="str">
        <f>INDEX('Assemble Data'!$O$24:$O$1023,MATCH('Assemble Data'!A505,'Assemble Data'!$N$24:$N$1023,0))</f>
        <v>O3</v>
      </c>
      <c r="D504" s="13">
        <f>SUMIF('Assemble Data'!H:H,'Assemble Data'!A505,'Assemble Data'!I:I)</f>
        <v>12</v>
      </c>
      <c r="E504" s="13">
        <f>IFERROR(IF(AND('Assemble Data'!D505&lt;&gt;"",'Assemble Data'!D505&lt;&gt;B504),1,0),1)</f>
        <v>0</v>
      </c>
      <c r="F504" s="13">
        <f ca="1">IF('Assemble Data'!E505="",0,IF(ISERROR(FIND("INDEX",_xlfn.FORMULATEXT('Assemble Data'!E505),1)),1,0)+IFERROR(IF(AND('Assemble Data'!E505&lt;&gt;C504,'Assemble Data'!E505&lt;&gt;""),1,0),1))</f>
        <v>0</v>
      </c>
      <c r="G504" s="13">
        <f ca="1">IF('Assemble Data'!F505="",0,IF(ISERROR(FIND("VLOOKUP",_xlfn.FORMULATEXT('Assemble Data'!F505),1)),1,0)+IFERROR(IF(AND('Assemble Data'!F505&lt;&gt;D504,'Assemble Data'!F505&lt;&gt;""),1,0),1))</f>
        <v>0</v>
      </c>
      <c r="H504" s="13">
        <f t="shared" si="30"/>
        <v>6</v>
      </c>
      <c r="I504" t="str">
        <f t="shared" si="31"/>
        <v>O3P17</v>
      </c>
    </row>
    <row r="505" spans="1:9">
      <c r="A505" t="str">
        <f>'Assemble Data'!B506</f>
        <v>P13</v>
      </c>
      <c r="B505" s="13">
        <f>IFERROR(SUMIF('Assemble Data'!K:K,'Assemble Data'!A506,'Assemble Data'!L:L),0)</f>
        <v>3600</v>
      </c>
      <c r="C505" s="13" t="str">
        <f>INDEX('Assemble Data'!$O$24:$O$1023,MATCH('Assemble Data'!A506,'Assemble Data'!$N$24:$N$1023,0))</f>
        <v>C3</v>
      </c>
      <c r="D505" s="13">
        <f>SUMIF('Assemble Data'!H:H,'Assemble Data'!A506,'Assemble Data'!I:I)</f>
        <v>5</v>
      </c>
      <c r="E505" s="13">
        <f>IFERROR(IF(AND('Assemble Data'!D506&lt;&gt;"",'Assemble Data'!D506&lt;&gt;B505),1,0),1)</f>
        <v>0</v>
      </c>
      <c r="F505" s="13">
        <f ca="1">IF('Assemble Data'!E506="",0,IF(ISERROR(FIND("INDEX",_xlfn.FORMULATEXT('Assemble Data'!E506),1)),1,0)+IFERROR(IF(AND('Assemble Data'!E506&lt;&gt;C505,'Assemble Data'!E506&lt;&gt;""),1,0),1))</f>
        <v>0</v>
      </c>
      <c r="G505" s="13">
        <f ca="1">IF('Assemble Data'!F506="",0,IF(ISERROR(FIND("VLOOKUP",_xlfn.FORMULATEXT('Assemble Data'!F506),1)),1,0)+IFERROR(IF(AND('Assemble Data'!F506&lt;&gt;D505,'Assemble Data'!F506&lt;&gt;""),1,0),1))</f>
        <v>0</v>
      </c>
      <c r="H505" s="13">
        <f t="shared" si="30"/>
        <v>3</v>
      </c>
      <c r="I505" t="str">
        <f t="shared" si="31"/>
        <v>C3P13</v>
      </c>
    </row>
    <row r="506" spans="1:9">
      <c r="A506" t="str">
        <f>'Assemble Data'!B507</f>
        <v>P11</v>
      </c>
      <c r="B506" s="13">
        <f>IFERROR(SUMIF('Assemble Data'!K:K,'Assemble Data'!A507,'Assemble Data'!L:L),0)</f>
        <v>8800</v>
      </c>
      <c r="C506" s="13" t="str">
        <f>INDEX('Assemble Data'!$O$24:$O$1023,MATCH('Assemble Data'!A507,'Assemble Data'!$N$24:$N$1023,0))</f>
        <v>C3</v>
      </c>
      <c r="D506" s="13">
        <f>SUMIF('Assemble Data'!H:H,'Assemble Data'!A507,'Assemble Data'!I:I)</f>
        <v>11</v>
      </c>
      <c r="E506" s="13">
        <f>IFERROR(IF(AND('Assemble Data'!D507&lt;&gt;"",'Assemble Data'!D507&lt;&gt;B506),1,0),1)</f>
        <v>0</v>
      </c>
      <c r="F506" s="13">
        <f ca="1">IF('Assemble Data'!E507="",0,IF(ISERROR(FIND("INDEX",_xlfn.FORMULATEXT('Assemble Data'!E507),1)),1,0)+IFERROR(IF(AND('Assemble Data'!E507&lt;&gt;C506,'Assemble Data'!E507&lt;&gt;""),1,0),1))</f>
        <v>0</v>
      </c>
      <c r="G506" s="13">
        <f ca="1">IF('Assemble Data'!F507="",0,IF(ISERROR(FIND("VLOOKUP",_xlfn.FORMULATEXT('Assemble Data'!F507),1)),1,0)+IFERROR(IF(AND('Assemble Data'!F507&lt;&gt;D506,'Assemble Data'!F507&lt;&gt;""),1,0),1))</f>
        <v>0</v>
      </c>
      <c r="H506" s="13">
        <f t="shared" si="30"/>
        <v>9</v>
      </c>
      <c r="I506" t="str">
        <f t="shared" si="31"/>
        <v>C3P11</v>
      </c>
    </row>
    <row r="507" spans="1:9">
      <c r="A507" t="str">
        <f>'Assemble Data'!B508</f>
        <v>P11</v>
      </c>
      <c r="B507" s="13">
        <f>IFERROR(SUMIF('Assemble Data'!K:K,'Assemble Data'!A508,'Assemble Data'!L:L),0)</f>
        <v>8800</v>
      </c>
      <c r="C507" s="13" t="str">
        <f>INDEX('Assemble Data'!$O$24:$O$1023,MATCH('Assemble Data'!A508,'Assemble Data'!$N$24:$N$1023,0))</f>
        <v>C3</v>
      </c>
      <c r="D507" s="13">
        <f>SUMIF('Assemble Data'!H:H,'Assemble Data'!A508,'Assemble Data'!I:I)</f>
        <v>11</v>
      </c>
      <c r="E507" s="13">
        <f>IFERROR(IF(AND('Assemble Data'!D508&lt;&gt;"",'Assemble Data'!D508&lt;&gt;B507),1,0),1)</f>
        <v>0</v>
      </c>
      <c r="F507" s="13">
        <f ca="1">IF('Assemble Data'!E508="",0,IF(ISERROR(FIND("INDEX",_xlfn.FORMULATEXT('Assemble Data'!E508),1)),1,0)+IFERROR(IF(AND('Assemble Data'!E508&lt;&gt;C507,'Assemble Data'!E508&lt;&gt;""),1,0),1))</f>
        <v>0</v>
      </c>
      <c r="G507" s="13">
        <f ca="1">IF('Assemble Data'!F508="",0,IF(ISERROR(FIND("VLOOKUP",_xlfn.FORMULATEXT('Assemble Data'!F508),1)),1,0)+IFERROR(IF(AND('Assemble Data'!F508&lt;&gt;D507,'Assemble Data'!F508&lt;&gt;""),1,0),1))</f>
        <v>0</v>
      </c>
      <c r="H507" s="13">
        <f t="shared" ref="H507:H570" si="32">H490</f>
        <v>9</v>
      </c>
      <c r="I507" t="str">
        <f t="shared" si="31"/>
        <v>C3P11</v>
      </c>
    </row>
    <row r="508" spans="1:9">
      <c r="A508" t="str">
        <f>'Assemble Data'!B509</f>
        <v>P12</v>
      </c>
      <c r="B508" s="13">
        <f>IFERROR(SUMIF('Assemble Data'!K:K,'Assemble Data'!A509,'Assemble Data'!L:L),0)</f>
        <v>5460</v>
      </c>
      <c r="C508" s="13" t="str">
        <f>INDEX('Assemble Data'!$O$24:$O$1023,MATCH('Assemble Data'!A509,'Assemble Data'!$N$24:$N$1023,0))</f>
        <v>C3</v>
      </c>
      <c r="D508" s="13">
        <f>SUMIF('Assemble Data'!H:H,'Assemble Data'!A509,'Assemble Data'!I:I)</f>
        <v>6.5</v>
      </c>
      <c r="E508" s="13">
        <f>IFERROR(IF(AND('Assemble Data'!D509&lt;&gt;"",'Assemble Data'!D509&lt;&gt;B508),1,0),1)</f>
        <v>0</v>
      </c>
      <c r="F508" s="13">
        <f ca="1">IF('Assemble Data'!E509="",0,IF(ISERROR(FIND("INDEX",_xlfn.FORMULATEXT('Assemble Data'!E509),1)),1,0)+IFERROR(IF(AND('Assemble Data'!E509&lt;&gt;C508,'Assemble Data'!E509&lt;&gt;""),1,0),1))</f>
        <v>0</v>
      </c>
      <c r="G508" s="13">
        <f ca="1">IF('Assemble Data'!F509="",0,IF(ISERROR(FIND("VLOOKUP",_xlfn.FORMULATEXT('Assemble Data'!F509),1)),1,0)+IFERROR(IF(AND('Assemble Data'!F509&lt;&gt;D508,'Assemble Data'!F509&lt;&gt;""),1,0),1))</f>
        <v>0</v>
      </c>
      <c r="H508" s="13">
        <f t="shared" si="32"/>
        <v>7</v>
      </c>
      <c r="I508" t="str">
        <f t="shared" si="31"/>
        <v>C3P12</v>
      </c>
    </row>
    <row r="509" spans="1:9">
      <c r="A509" t="str">
        <f>'Assemble Data'!B510</f>
        <v>P10</v>
      </c>
      <c r="B509" s="13">
        <f>IFERROR(SUMIF('Assemble Data'!K:K,'Assemble Data'!A510,'Assemble Data'!L:L),0)</f>
        <v>1920</v>
      </c>
      <c r="C509" s="13" t="str">
        <f>INDEX('Assemble Data'!$O$24:$O$1023,MATCH('Assemble Data'!A510,'Assemble Data'!$N$24:$N$1023,0))</f>
        <v>C3</v>
      </c>
      <c r="D509" s="13">
        <f>SUMIF('Assemble Data'!H:H,'Assemble Data'!A510,'Assemble Data'!I:I)</f>
        <v>3</v>
      </c>
      <c r="E509" s="13">
        <f>IFERROR(IF(AND('Assemble Data'!D510&lt;&gt;"",'Assemble Data'!D510&lt;&gt;B509),1,0),1)</f>
        <v>0</v>
      </c>
      <c r="F509" s="13">
        <f ca="1">IF('Assemble Data'!E510="",0,IF(ISERROR(FIND("INDEX",_xlfn.FORMULATEXT('Assemble Data'!E510),1)),1,0)+IFERROR(IF(AND('Assemble Data'!E510&lt;&gt;C509,'Assemble Data'!E510&lt;&gt;""),1,0),1))</f>
        <v>0</v>
      </c>
      <c r="G509" s="13">
        <f ca="1">IF('Assemble Data'!F510="",0,IF(ISERROR(FIND("VLOOKUP",_xlfn.FORMULATEXT('Assemble Data'!F510),1)),1,0)+IFERROR(IF(AND('Assemble Data'!F510&lt;&gt;D509,'Assemble Data'!F510&lt;&gt;""),1,0),1))</f>
        <v>0</v>
      </c>
      <c r="H509" s="13">
        <f t="shared" si="32"/>
        <v>8</v>
      </c>
      <c r="I509" t="str">
        <f t="shared" si="31"/>
        <v>C3P10</v>
      </c>
    </row>
    <row r="510" spans="1:9">
      <c r="A510" t="str">
        <f>'Assemble Data'!B511</f>
        <v>P10</v>
      </c>
      <c r="B510" s="13">
        <f>IFERROR(SUMIF('Assemble Data'!K:K,'Assemble Data'!A511,'Assemble Data'!L:L),0)</f>
        <v>1920</v>
      </c>
      <c r="C510" s="13" t="str">
        <f>INDEX('Assemble Data'!$O$24:$O$1023,MATCH('Assemble Data'!A511,'Assemble Data'!$N$24:$N$1023,0))</f>
        <v>C3</v>
      </c>
      <c r="D510" s="13">
        <f>SUMIF('Assemble Data'!H:H,'Assemble Data'!A511,'Assemble Data'!I:I)</f>
        <v>3</v>
      </c>
      <c r="E510" s="13">
        <f>IFERROR(IF(AND('Assemble Data'!D511&lt;&gt;"",'Assemble Data'!D511&lt;&gt;B510),1,0),1)</f>
        <v>0</v>
      </c>
      <c r="F510" s="13">
        <f ca="1">IF('Assemble Data'!E511="",0,IF(ISERROR(FIND("INDEX",_xlfn.FORMULATEXT('Assemble Data'!E511),1)),1,0)+IFERROR(IF(AND('Assemble Data'!E511&lt;&gt;C510,'Assemble Data'!E511&lt;&gt;""),1,0),1))</f>
        <v>0</v>
      </c>
      <c r="G510" s="13">
        <f ca="1">IF('Assemble Data'!F511="",0,IF(ISERROR(FIND("VLOOKUP",_xlfn.FORMULATEXT('Assemble Data'!F511),1)),1,0)+IFERROR(IF(AND('Assemble Data'!F511&lt;&gt;D510,'Assemble Data'!F511&lt;&gt;""),1,0),1))</f>
        <v>0</v>
      </c>
      <c r="H510" s="13">
        <f t="shared" si="32"/>
        <v>8</v>
      </c>
      <c r="I510" t="str">
        <f t="shared" si="31"/>
        <v>C3P10</v>
      </c>
    </row>
    <row r="511" spans="1:9">
      <c r="A511" t="str">
        <f>'Assemble Data'!B512</f>
        <v>P11</v>
      </c>
      <c r="B511" s="13">
        <f>IFERROR(SUMIF('Assemble Data'!K:K,'Assemble Data'!A512,'Assemble Data'!L:L),0)</f>
        <v>8800</v>
      </c>
      <c r="C511" s="13" t="str">
        <f>INDEX('Assemble Data'!$O$24:$O$1023,MATCH('Assemble Data'!A512,'Assemble Data'!$N$24:$N$1023,0))</f>
        <v>C3</v>
      </c>
      <c r="D511" s="13">
        <f>SUMIF('Assemble Data'!H:H,'Assemble Data'!A512,'Assemble Data'!I:I)</f>
        <v>11</v>
      </c>
      <c r="E511" s="13">
        <f>IFERROR(IF(AND('Assemble Data'!D512&lt;&gt;"",'Assemble Data'!D512&lt;&gt;B511),1,0),1)</f>
        <v>0</v>
      </c>
      <c r="F511" s="13">
        <f ca="1">IF('Assemble Data'!E512="",0,IF(ISERROR(FIND("INDEX",_xlfn.FORMULATEXT('Assemble Data'!E512),1)),1,0)+IFERROR(IF(AND('Assemble Data'!E512&lt;&gt;C511,'Assemble Data'!E512&lt;&gt;""),1,0),1))</f>
        <v>0</v>
      </c>
      <c r="G511" s="13">
        <f ca="1">IF('Assemble Data'!F512="",0,IF(ISERROR(FIND("VLOOKUP",_xlfn.FORMULATEXT('Assemble Data'!F512),1)),1,0)+IFERROR(IF(AND('Assemble Data'!F512&lt;&gt;D511,'Assemble Data'!F512&lt;&gt;""),1,0),1))</f>
        <v>0</v>
      </c>
      <c r="H511" s="13">
        <f t="shared" si="32"/>
        <v>9</v>
      </c>
      <c r="I511" t="str">
        <f t="shared" si="31"/>
        <v>C3P11</v>
      </c>
    </row>
    <row r="512" spans="1:9">
      <c r="A512" t="str">
        <f>'Assemble Data'!B513</f>
        <v>P18</v>
      </c>
      <c r="B512" s="13">
        <f>IFERROR(SUMIF('Assemble Data'!K:K,'Assemble Data'!A513,'Assemble Data'!L:L),0)</f>
        <v>4320</v>
      </c>
      <c r="C512" s="13" t="str">
        <f>INDEX('Assemble Data'!$O$24:$O$1023,MATCH('Assemble Data'!A513,'Assemble Data'!$N$24:$N$1023,0))</f>
        <v>O3</v>
      </c>
      <c r="D512" s="13">
        <f>SUMIF('Assemble Data'!H:H,'Assemble Data'!A513,'Assemble Data'!I:I)</f>
        <v>6</v>
      </c>
      <c r="E512" s="13">
        <f>IFERROR(IF(AND('Assemble Data'!D513&lt;&gt;"",'Assemble Data'!D513&lt;&gt;B512),1,0),1)</f>
        <v>0</v>
      </c>
      <c r="F512" s="13">
        <f ca="1">IF('Assemble Data'!E513="",0,IF(ISERROR(FIND("INDEX",_xlfn.FORMULATEXT('Assemble Data'!E513),1)),1,0)+IFERROR(IF(AND('Assemble Data'!E513&lt;&gt;C512,'Assemble Data'!E513&lt;&gt;""),1,0),1))</f>
        <v>0</v>
      </c>
      <c r="G512" s="13">
        <f ca="1">IF('Assemble Data'!F513="",0,IF(ISERROR(FIND("VLOOKUP",_xlfn.FORMULATEXT('Assemble Data'!F513),1)),1,0)+IFERROR(IF(AND('Assemble Data'!F513&lt;&gt;D512,'Assemble Data'!F513&lt;&gt;""),1,0),1))</f>
        <v>0</v>
      </c>
      <c r="H512" s="13">
        <f t="shared" si="32"/>
        <v>2</v>
      </c>
      <c r="I512" t="str">
        <f t="shared" si="31"/>
        <v>O3P18</v>
      </c>
    </row>
    <row r="513" spans="1:9">
      <c r="A513" t="str">
        <f>'Assemble Data'!B514</f>
        <v>P14</v>
      </c>
      <c r="B513" s="13">
        <f>IFERROR(SUMIF('Assemble Data'!K:K,'Assemble Data'!A514,'Assemble Data'!L:L),0)</f>
        <v>7200</v>
      </c>
      <c r="C513" s="13" t="str">
        <f>INDEX('Assemble Data'!$O$24:$O$1023,MATCH('Assemble Data'!A514,'Assemble Data'!$N$24:$N$1023,0))</f>
        <v>N3</v>
      </c>
      <c r="D513" s="13">
        <f>SUMIF('Assemble Data'!H:H,'Assemble Data'!A514,'Assemble Data'!I:I)</f>
        <v>8</v>
      </c>
      <c r="E513" s="13">
        <f>IFERROR(IF(AND('Assemble Data'!D514&lt;&gt;"",'Assemble Data'!D514&lt;&gt;B513),1,0),1)</f>
        <v>0</v>
      </c>
      <c r="F513" s="13">
        <f ca="1">IF('Assemble Data'!E514="",0,IF(ISERROR(FIND("INDEX",_xlfn.FORMULATEXT('Assemble Data'!E514),1)),1,0)+IFERROR(IF(AND('Assemble Data'!E514&lt;&gt;C513,'Assemble Data'!E514&lt;&gt;""),1,0),1))</f>
        <v>0</v>
      </c>
      <c r="G513" s="13">
        <f ca="1">IF('Assemble Data'!F514="",0,IF(ISERROR(FIND("VLOOKUP",_xlfn.FORMULATEXT('Assemble Data'!F514),1)),1,0)+IFERROR(IF(AND('Assemble Data'!F514&lt;&gt;D513,'Assemble Data'!F514&lt;&gt;""),1,0),1))</f>
        <v>0</v>
      </c>
      <c r="H513" s="13">
        <f t="shared" si="32"/>
        <v>5</v>
      </c>
      <c r="I513" t="str">
        <f t="shared" si="31"/>
        <v>N3P14</v>
      </c>
    </row>
    <row r="514" spans="1:9">
      <c r="A514" t="str">
        <f>'Assemble Data'!B515</f>
        <v>P10</v>
      </c>
      <c r="B514" s="13">
        <f>IFERROR(SUMIF('Assemble Data'!K:K,'Assemble Data'!A515,'Assemble Data'!L:L),0)</f>
        <v>1920</v>
      </c>
      <c r="C514" s="13" t="str">
        <f>INDEX('Assemble Data'!$O$24:$O$1023,MATCH('Assemble Data'!A515,'Assemble Data'!$N$24:$N$1023,0))</f>
        <v>C3</v>
      </c>
      <c r="D514" s="13">
        <f>SUMIF('Assemble Data'!H:H,'Assemble Data'!A515,'Assemble Data'!I:I)</f>
        <v>3</v>
      </c>
      <c r="E514" s="13">
        <f>IFERROR(IF(AND('Assemble Data'!D515&lt;&gt;"",'Assemble Data'!D515&lt;&gt;B514),1,0),1)</f>
        <v>0</v>
      </c>
      <c r="F514" s="13">
        <f ca="1">IF('Assemble Data'!E515="",0,IF(ISERROR(FIND("INDEX",_xlfn.FORMULATEXT('Assemble Data'!E515),1)),1,0)+IFERROR(IF(AND('Assemble Data'!E515&lt;&gt;C514,'Assemble Data'!E515&lt;&gt;""),1,0),1))</f>
        <v>0</v>
      </c>
      <c r="G514" s="13">
        <f ca="1">IF('Assemble Data'!F515="",0,IF(ISERROR(FIND("VLOOKUP",_xlfn.FORMULATEXT('Assemble Data'!F515),1)),1,0)+IFERROR(IF(AND('Assemble Data'!F515&lt;&gt;D514,'Assemble Data'!F515&lt;&gt;""),1,0),1))</f>
        <v>0</v>
      </c>
      <c r="H514" s="13">
        <f t="shared" si="32"/>
        <v>8</v>
      </c>
      <c r="I514" t="str">
        <f t="shared" si="31"/>
        <v>C3P10</v>
      </c>
    </row>
    <row r="515" spans="1:9">
      <c r="A515" t="str">
        <f>'Assemble Data'!B516</f>
        <v>P13</v>
      </c>
      <c r="B515" s="13">
        <f>IFERROR(SUMIF('Assemble Data'!K:K,'Assemble Data'!A516,'Assemble Data'!L:L),0)</f>
        <v>3600</v>
      </c>
      <c r="C515" s="13" t="str">
        <f>INDEX('Assemble Data'!$O$24:$O$1023,MATCH('Assemble Data'!A516,'Assemble Data'!$N$24:$N$1023,0))</f>
        <v>C3</v>
      </c>
      <c r="D515" s="13">
        <f>SUMIF('Assemble Data'!H:H,'Assemble Data'!A516,'Assemble Data'!I:I)</f>
        <v>5</v>
      </c>
      <c r="E515" s="13">
        <f>IFERROR(IF(AND('Assemble Data'!D516&lt;&gt;"",'Assemble Data'!D516&lt;&gt;B515),1,0),1)</f>
        <v>0</v>
      </c>
      <c r="F515" s="13">
        <f ca="1">IF('Assemble Data'!E516="",0,IF(ISERROR(FIND("INDEX",_xlfn.FORMULATEXT('Assemble Data'!E516),1)),1,0)+IFERROR(IF(AND('Assemble Data'!E516&lt;&gt;C515,'Assemble Data'!E516&lt;&gt;""),1,0),1))</f>
        <v>0</v>
      </c>
      <c r="G515" s="13">
        <f ca="1">IF('Assemble Data'!F516="",0,IF(ISERROR(FIND("VLOOKUP",_xlfn.FORMULATEXT('Assemble Data'!F516),1)),1,0)+IFERROR(IF(AND('Assemble Data'!F516&lt;&gt;D515,'Assemble Data'!F516&lt;&gt;""),1,0),1))</f>
        <v>0</v>
      </c>
      <c r="H515" s="13">
        <f t="shared" si="32"/>
        <v>3</v>
      </c>
      <c r="I515" t="str">
        <f t="shared" si="31"/>
        <v>C3P13</v>
      </c>
    </row>
    <row r="516" spans="1:9">
      <c r="A516" t="str">
        <f>'Assemble Data'!B517</f>
        <v>P13</v>
      </c>
      <c r="B516" s="13">
        <f>IFERROR(SUMIF('Assemble Data'!K:K,'Assemble Data'!A517,'Assemble Data'!L:L),0)</f>
        <v>7200</v>
      </c>
      <c r="C516" s="13" t="str">
        <f>INDEX('Assemble Data'!$O$24:$O$1023,MATCH('Assemble Data'!A517,'Assemble Data'!$N$24:$N$1023,0))</f>
        <v>C3</v>
      </c>
      <c r="D516" s="13">
        <f>SUMIF('Assemble Data'!H:H,'Assemble Data'!A517,'Assemble Data'!I:I)</f>
        <v>5</v>
      </c>
      <c r="E516" s="13">
        <f>IFERROR(IF(AND('Assemble Data'!D517&lt;&gt;"",'Assemble Data'!D517&lt;&gt;B516),1,0),1)</f>
        <v>0</v>
      </c>
      <c r="F516" s="13">
        <f ca="1">IF('Assemble Data'!E517="",0,IF(ISERROR(FIND("INDEX",_xlfn.FORMULATEXT('Assemble Data'!E517),1)),1,0)+IFERROR(IF(AND('Assemble Data'!E517&lt;&gt;C516,'Assemble Data'!E517&lt;&gt;""),1,0),1))</f>
        <v>0</v>
      </c>
      <c r="G516" s="13">
        <f ca="1">IF('Assemble Data'!F517="",0,IF(ISERROR(FIND("VLOOKUP",_xlfn.FORMULATEXT('Assemble Data'!F517),1)),1,0)+IFERROR(IF(AND('Assemble Data'!F517&lt;&gt;D516,'Assemble Data'!F517&lt;&gt;""),1,0),1))</f>
        <v>0</v>
      </c>
      <c r="H516" s="13">
        <f t="shared" si="32"/>
        <v>3</v>
      </c>
      <c r="I516" t="str">
        <f t="shared" si="31"/>
        <v>C3P13</v>
      </c>
    </row>
    <row r="517" spans="1:9">
      <c r="A517" t="str">
        <f>'Assemble Data'!B518</f>
        <v>P10</v>
      </c>
      <c r="B517" s="13">
        <f>IFERROR(SUMIF('Assemble Data'!K:K,'Assemble Data'!A518,'Assemble Data'!L:L),0)</f>
        <v>1920</v>
      </c>
      <c r="C517" s="13" t="str">
        <f>INDEX('Assemble Data'!$O$24:$O$1023,MATCH('Assemble Data'!A518,'Assemble Data'!$N$24:$N$1023,0))</f>
        <v>C3</v>
      </c>
      <c r="D517" s="13">
        <f>SUMIF('Assemble Data'!H:H,'Assemble Data'!A518,'Assemble Data'!I:I)</f>
        <v>3</v>
      </c>
      <c r="E517" s="13">
        <f>IFERROR(IF(AND('Assemble Data'!D518&lt;&gt;"",'Assemble Data'!D518&lt;&gt;B517),1,0),1)</f>
        <v>0</v>
      </c>
      <c r="F517" s="13">
        <f ca="1">IF('Assemble Data'!E518="",0,IF(ISERROR(FIND("INDEX",_xlfn.FORMULATEXT('Assemble Data'!E518),1)),1,0)+IFERROR(IF(AND('Assemble Data'!E518&lt;&gt;C517,'Assemble Data'!E518&lt;&gt;""),1,0),1))</f>
        <v>0</v>
      </c>
      <c r="G517" s="13">
        <f ca="1">IF('Assemble Data'!F518="",0,IF(ISERROR(FIND("VLOOKUP",_xlfn.FORMULATEXT('Assemble Data'!F518),1)),1,0)+IFERROR(IF(AND('Assemble Data'!F518&lt;&gt;D517,'Assemble Data'!F518&lt;&gt;""),1,0),1))</f>
        <v>0</v>
      </c>
      <c r="H517" s="13">
        <f t="shared" si="32"/>
        <v>8</v>
      </c>
      <c r="I517" t="str">
        <f t="shared" si="31"/>
        <v>C3P10</v>
      </c>
    </row>
    <row r="518" spans="1:9">
      <c r="A518" t="str">
        <f>'Assemble Data'!B519</f>
        <v>P11</v>
      </c>
      <c r="B518" s="13">
        <f>IFERROR(SUMIF('Assemble Data'!K:K,'Assemble Data'!A519,'Assemble Data'!L:L),0)</f>
        <v>8800</v>
      </c>
      <c r="C518" s="13" t="str">
        <f>INDEX('Assemble Data'!$O$24:$O$1023,MATCH('Assemble Data'!A519,'Assemble Data'!$N$24:$N$1023,0))</f>
        <v>C3</v>
      </c>
      <c r="D518" s="13">
        <f>SUMIF('Assemble Data'!H:H,'Assemble Data'!A519,'Assemble Data'!I:I)</f>
        <v>11</v>
      </c>
      <c r="E518" s="13">
        <f>IFERROR(IF(AND('Assemble Data'!D519&lt;&gt;"",'Assemble Data'!D519&lt;&gt;B518),1,0),1)</f>
        <v>0</v>
      </c>
      <c r="F518" s="13">
        <f ca="1">IF('Assemble Data'!E519="",0,IF(ISERROR(FIND("INDEX",_xlfn.FORMULATEXT('Assemble Data'!E519),1)),1,0)+IFERROR(IF(AND('Assemble Data'!E519&lt;&gt;C518,'Assemble Data'!E519&lt;&gt;""),1,0),1))</f>
        <v>0</v>
      </c>
      <c r="G518" s="13">
        <f ca="1">IF('Assemble Data'!F519="",0,IF(ISERROR(FIND("VLOOKUP",_xlfn.FORMULATEXT('Assemble Data'!F519),1)),1,0)+IFERROR(IF(AND('Assemble Data'!F519&lt;&gt;D518,'Assemble Data'!F519&lt;&gt;""),1,0),1))</f>
        <v>0</v>
      </c>
      <c r="H518" s="13">
        <f t="shared" si="32"/>
        <v>9</v>
      </c>
      <c r="I518" t="str">
        <f t="shared" si="31"/>
        <v>C3P11</v>
      </c>
    </row>
    <row r="519" spans="1:9">
      <c r="A519" t="str">
        <f>'Assemble Data'!B520</f>
        <v>P16</v>
      </c>
      <c r="B519" s="13">
        <f>IFERROR(SUMIF('Assemble Data'!K:K,'Assemble Data'!A520,'Assemble Data'!L:L),0)</f>
        <v>5200</v>
      </c>
      <c r="C519" s="13" t="str">
        <f>INDEX('Assemble Data'!$O$24:$O$1023,MATCH('Assemble Data'!A520,'Assemble Data'!$N$24:$N$1023,0))</f>
        <v>N3</v>
      </c>
      <c r="D519" s="13">
        <f>SUMIF('Assemble Data'!H:H,'Assemble Data'!A520,'Assemble Data'!I:I)</f>
        <v>4</v>
      </c>
      <c r="E519" s="13">
        <f>IFERROR(IF(AND('Assemble Data'!D520&lt;&gt;"",'Assemble Data'!D520&lt;&gt;B519),1,0),1)</f>
        <v>0</v>
      </c>
      <c r="F519" s="13">
        <f ca="1">IF('Assemble Data'!E520="",0,IF(ISERROR(FIND("INDEX",_xlfn.FORMULATEXT('Assemble Data'!E520),1)),1,0)+IFERROR(IF(AND('Assemble Data'!E520&lt;&gt;C519,'Assemble Data'!E520&lt;&gt;""),1,0),1))</f>
        <v>0</v>
      </c>
      <c r="G519" s="13">
        <f ca="1">IF('Assemble Data'!F520="",0,IF(ISERROR(FIND("VLOOKUP",_xlfn.FORMULATEXT('Assemble Data'!F520),1)),1,0)+IFERROR(IF(AND('Assemble Data'!F520&lt;&gt;D519,'Assemble Data'!F520&lt;&gt;""),1,0),1))</f>
        <v>0</v>
      </c>
      <c r="H519" s="13">
        <f t="shared" si="32"/>
        <v>0</v>
      </c>
      <c r="I519" t="str">
        <f t="shared" si="31"/>
        <v>N3P16</v>
      </c>
    </row>
    <row r="520" spans="1:9">
      <c r="A520" t="str">
        <f>'Assemble Data'!B521</f>
        <v>P17</v>
      </c>
      <c r="B520" s="13">
        <f>IFERROR(SUMIF('Assemble Data'!K:K,'Assemble Data'!A521,'Assemble Data'!L:L),0)</f>
        <v>9600</v>
      </c>
      <c r="C520" s="13" t="str">
        <f>INDEX('Assemble Data'!$O$24:$O$1023,MATCH('Assemble Data'!A521,'Assemble Data'!$N$24:$N$1023,0))</f>
        <v>O3</v>
      </c>
      <c r="D520" s="13">
        <f>SUMIF('Assemble Data'!H:H,'Assemble Data'!A521,'Assemble Data'!I:I)</f>
        <v>12</v>
      </c>
      <c r="E520" s="13">
        <f>IFERROR(IF(AND('Assemble Data'!D521&lt;&gt;"",'Assemble Data'!D521&lt;&gt;B520),1,0),1)</f>
        <v>0</v>
      </c>
      <c r="F520" s="13">
        <f ca="1">IF('Assemble Data'!E521="",0,IF(ISERROR(FIND("INDEX",_xlfn.FORMULATEXT('Assemble Data'!E521),1)),1,0)+IFERROR(IF(AND('Assemble Data'!E521&lt;&gt;C520,'Assemble Data'!E521&lt;&gt;""),1,0),1))</f>
        <v>0</v>
      </c>
      <c r="G520" s="13">
        <f ca="1">IF('Assemble Data'!F521="",0,IF(ISERROR(FIND("VLOOKUP",_xlfn.FORMULATEXT('Assemble Data'!F521),1)),1,0)+IFERROR(IF(AND('Assemble Data'!F521&lt;&gt;D520,'Assemble Data'!F521&lt;&gt;""),1,0),1))</f>
        <v>0</v>
      </c>
      <c r="H520" s="13">
        <f t="shared" si="32"/>
        <v>6</v>
      </c>
      <c r="I520" t="str">
        <f t="shared" si="31"/>
        <v>O3P17</v>
      </c>
    </row>
    <row r="521" spans="1:9">
      <c r="A521" t="str">
        <f>'Assemble Data'!B522</f>
        <v>P17</v>
      </c>
      <c r="B521" s="13">
        <f>IFERROR(SUMIF('Assemble Data'!K:K,'Assemble Data'!A522,'Assemble Data'!L:L),0)</f>
        <v>9600</v>
      </c>
      <c r="C521" s="13" t="str">
        <f>INDEX('Assemble Data'!$O$24:$O$1023,MATCH('Assemble Data'!A522,'Assemble Data'!$N$24:$N$1023,0))</f>
        <v>O3</v>
      </c>
      <c r="D521" s="13">
        <f>SUMIF('Assemble Data'!H:H,'Assemble Data'!A522,'Assemble Data'!I:I)</f>
        <v>12</v>
      </c>
      <c r="E521" s="13">
        <f>IFERROR(IF(AND('Assemble Data'!D522&lt;&gt;"",'Assemble Data'!D522&lt;&gt;B521),1,0),1)</f>
        <v>0</v>
      </c>
      <c r="F521" s="13">
        <f ca="1">IF('Assemble Data'!E522="",0,IF(ISERROR(FIND("INDEX",_xlfn.FORMULATEXT('Assemble Data'!E522),1)),1,0)+IFERROR(IF(AND('Assemble Data'!E522&lt;&gt;C521,'Assemble Data'!E522&lt;&gt;""),1,0),1))</f>
        <v>0</v>
      </c>
      <c r="G521" s="13">
        <f ca="1">IF('Assemble Data'!F522="",0,IF(ISERROR(FIND("VLOOKUP",_xlfn.FORMULATEXT('Assemble Data'!F522),1)),1,0)+IFERROR(IF(AND('Assemble Data'!F522&lt;&gt;D521,'Assemble Data'!F522&lt;&gt;""),1,0),1))</f>
        <v>0</v>
      </c>
      <c r="H521" s="13">
        <f t="shared" si="32"/>
        <v>6</v>
      </c>
      <c r="I521" t="str">
        <f t="shared" si="31"/>
        <v>O3P17</v>
      </c>
    </row>
    <row r="522" spans="1:9">
      <c r="A522" t="str">
        <f>'Assemble Data'!B523</f>
        <v>P13</v>
      </c>
      <c r="B522" s="13">
        <f>IFERROR(SUMIF('Assemble Data'!K:K,'Assemble Data'!A523,'Assemble Data'!L:L),0)</f>
        <v>5400</v>
      </c>
      <c r="C522" s="13" t="str">
        <f>INDEX('Assemble Data'!$O$24:$O$1023,MATCH('Assemble Data'!A523,'Assemble Data'!$N$24:$N$1023,0))</f>
        <v>C1</v>
      </c>
      <c r="D522" s="13">
        <f>SUMIF('Assemble Data'!H:H,'Assemble Data'!A523,'Assemble Data'!I:I)</f>
        <v>5</v>
      </c>
      <c r="E522" s="13">
        <f>IFERROR(IF(AND('Assemble Data'!D523&lt;&gt;"",'Assemble Data'!D523&lt;&gt;B522),1,0),1)</f>
        <v>0</v>
      </c>
      <c r="F522" s="13">
        <f ca="1">IF('Assemble Data'!E523="",0,IF(ISERROR(FIND("INDEX",_xlfn.FORMULATEXT('Assemble Data'!E523),1)),1,0)+IFERROR(IF(AND('Assemble Data'!E523&lt;&gt;C522,'Assemble Data'!E523&lt;&gt;""),1,0),1))</f>
        <v>0</v>
      </c>
      <c r="G522" s="13">
        <f ca="1">IF('Assemble Data'!F523="",0,IF(ISERROR(FIND("VLOOKUP",_xlfn.FORMULATEXT('Assemble Data'!F523),1)),1,0)+IFERROR(IF(AND('Assemble Data'!F523&lt;&gt;D522,'Assemble Data'!F523&lt;&gt;""),1,0),1))</f>
        <v>0</v>
      </c>
      <c r="H522" s="13">
        <f t="shared" si="32"/>
        <v>3</v>
      </c>
      <c r="I522" t="str">
        <f t="shared" si="31"/>
        <v>C1P13</v>
      </c>
    </row>
    <row r="523" spans="1:9">
      <c r="A523" t="str">
        <f>'Assemble Data'!B524</f>
        <v>P11</v>
      </c>
      <c r="B523" s="13">
        <f>IFERROR(SUMIF('Assemble Data'!K:K,'Assemble Data'!A524,'Assemble Data'!L:L),0)</f>
        <v>13200</v>
      </c>
      <c r="C523" s="13" t="str">
        <f>INDEX('Assemble Data'!$O$24:$O$1023,MATCH('Assemble Data'!A524,'Assemble Data'!$N$24:$N$1023,0))</f>
        <v>C1</v>
      </c>
      <c r="D523" s="13">
        <f>SUMIF('Assemble Data'!H:H,'Assemble Data'!A524,'Assemble Data'!I:I)</f>
        <v>11</v>
      </c>
      <c r="E523" s="13">
        <f>IFERROR(IF(AND('Assemble Data'!D524&lt;&gt;"",'Assemble Data'!D524&lt;&gt;B523),1,0),1)</f>
        <v>0</v>
      </c>
      <c r="F523" s="13">
        <f ca="1">IF('Assemble Data'!E524="",0,IF(ISERROR(FIND("INDEX",_xlfn.FORMULATEXT('Assemble Data'!E524),1)),1,0)+IFERROR(IF(AND('Assemble Data'!E524&lt;&gt;C523,'Assemble Data'!E524&lt;&gt;""),1,0),1))</f>
        <v>0</v>
      </c>
      <c r="G523" s="13">
        <f ca="1">IF('Assemble Data'!F524="",0,IF(ISERROR(FIND("VLOOKUP",_xlfn.FORMULATEXT('Assemble Data'!F524),1)),1,0)+IFERROR(IF(AND('Assemble Data'!F524&lt;&gt;D523,'Assemble Data'!F524&lt;&gt;""),1,0),1))</f>
        <v>0</v>
      </c>
      <c r="H523" s="13">
        <f t="shared" si="32"/>
        <v>9</v>
      </c>
      <c r="I523" t="str">
        <f t="shared" si="31"/>
        <v>C1P11</v>
      </c>
    </row>
    <row r="524" spans="1:9">
      <c r="A524" t="str">
        <f>'Assemble Data'!B525</f>
        <v>P11</v>
      </c>
      <c r="B524" s="13">
        <f>IFERROR(SUMIF('Assemble Data'!K:K,'Assemble Data'!A525,'Assemble Data'!L:L),0)</f>
        <v>13200</v>
      </c>
      <c r="C524" s="13" t="str">
        <f>INDEX('Assemble Data'!$O$24:$O$1023,MATCH('Assemble Data'!A525,'Assemble Data'!$N$24:$N$1023,0))</f>
        <v>C1</v>
      </c>
      <c r="D524" s="13">
        <f>SUMIF('Assemble Data'!H:H,'Assemble Data'!A525,'Assemble Data'!I:I)</f>
        <v>11</v>
      </c>
      <c r="E524" s="13">
        <f>IFERROR(IF(AND('Assemble Data'!D525&lt;&gt;"",'Assemble Data'!D525&lt;&gt;B524),1,0),1)</f>
        <v>0</v>
      </c>
      <c r="F524" s="13">
        <f ca="1">IF('Assemble Data'!E525="",0,IF(ISERROR(FIND("INDEX",_xlfn.FORMULATEXT('Assemble Data'!E525),1)),1,0)+IFERROR(IF(AND('Assemble Data'!E525&lt;&gt;C524,'Assemble Data'!E525&lt;&gt;""),1,0),1))</f>
        <v>0</v>
      </c>
      <c r="G524" s="13">
        <f ca="1">IF('Assemble Data'!F525="",0,IF(ISERROR(FIND("VLOOKUP",_xlfn.FORMULATEXT('Assemble Data'!F525),1)),1,0)+IFERROR(IF(AND('Assemble Data'!F525&lt;&gt;D524,'Assemble Data'!F525&lt;&gt;""),1,0),1))</f>
        <v>0</v>
      </c>
      <c r="H524" s="13">
        <f t="shared" si="32"/>
        <v>9</v>
      </c>
      <c r="I524" t="str">
        <f t="shared" si="31"/>
        <v>C1P11</v>
      </c>
    </row>
    <row r="525" spans="1:9">
      <c r="A525" t="str">
        <f>'Assemble Data'!B526</f>
        <v>P12</v>
      </c>
      <c r="B525" s="13">
        <f>IFERROR(SUMIF('Assemble Data'!K:K,'Assemble Data'!A526,'Assemble Data'!L:L),0)</f>
        <v>8190</v>
      </c>
      <c r="C525" s="13" t="str">
        <f>INDEX('Assemble Data'!$O$24:$O$1023,MATCH('Assemble Data'!A526,'Assemble Data'!$N$24:$N$1023,0))</f>
        <v>C1</v>
      </c>
      <c r="D525" s="13">
        <f>SUMIF('Assemble Data'!H:H,'Assemble Data'!A526,'Assemble Data'!I:I)</f>
        <v>6.5</v>
      </c>
      <c r="E525" s="13">
        <f>IFERROR(IF(AND('Assemble Data'!D526&lt;&gt;"",'Assemble Data'!D526&lt;&gt;B525),1,0),1)</f>
        <v>0</v>
      </c>
      <c r="F525" s="13">
        <f ca="1">IF('Assemble Data'!E526="",0,IF(ISERROR(FIND("INDEX",_xlfn.FORMULATEXT('Assemble Data'!E526),1)),1,0)+IFERROR(IF(AND('Assemble Data'!E526&lt;&gt;C525,'Assemble Data'!E526&lt;&gt;""),1,0),1))</f>
        <v>0</v>
      </c>
      <c r="G525" s="13">
        <f ca="1">IF('Assemble Data'!F526="",0,IF(ISERROR(FIND("VLOOKUP",_xlfn.FORMULATEXT('Assemble Data'!F526),1)),1,0)+IFERROR(IF(AND('Assemble Data'!F526&lt;&gt;D525,'Assemble Data'!F526&lt;&gt;""),1,0),1))</f>
        <v>0</v>
      </c>
      <c r="H525" s="13">
        <f t="shared" si="32"/>
        <v>7</v>
      </c>
      <c r="I525" t="str">
        <f t="shared" si="31"/>
        <v>C1P12</v>
      </c>
    </row>
    <row r="526" spans="1:9">
      <c r="A526" t="str">
        <f>'Assemble Data'!B527</f>
        <v>P10</v>
      </c>
      <c r="B526" s="13">
        <f>IFERROR(SUMIF('Assemble Data'!K:K,'Assemble Data'!A527,'Assemble Data'!L:L),0)</f>
        <v>2880</v>
      </c>
      <c r="C526" s="13" t="str">
        <f>INDEX('Assemble Data'!$O$24:$O$1023,MATCH('Assemble Data'!A527,'Assemble Data'!$N$24:$N$1023,0))</f>
        <v>C1</v>
      </c>
      <c r="D526" s="13">
        <f>SUMIF('Assemble Data'!H:H,'Assemble Data'!A527,'Assemble Data'!I:I)</f>
        <v>3</v>
      </c>
      <c r="E526" s="13">
        <f>IFERROR(IF(AND('Assemble Data'!D527&lt;&gt;"",'Assemble Data'!D527&lt;&gt;B526),1,0),1)</f>
        <v>0</v>
      </c>
      <c r="F526" s="13">
        <f ca="1">IF('Assemble Data'!E527="",0,IF(ISERROR(FIND("INDEX",_xlfn.FORMULATEXT('Assemble Data'!E527),1)),1,0)+IFERROR(IF(AND('Assemble Data'!E527&lt;&gt;C526,'Assemble Data'!E527&lt;&gt;""),1,0),1))</f>
        <v>0</v>
      </c>
      <c r="G526" s="13">
        <f ca="1">IF('Assemble Data'!F527="",0,IF(ISERROR(FIND("VLOOKUP",_xlfn.FORMULATEXT('Assemble Data'!F527),1)),1,0)+IFERROR(IF(AND('Assemble Data'!F527&lt;&gt;D526,'Assemble Data'!F527&lt;&gt;""),1,0),1))</f>
        <v>0</v>
      </c>
      <c r="H526" s="13">
        <f t="shared" si="32"/>
        <v>8</v>
      </c>
      <c r="I526" t="str">
        <f t="shared" si="31"/>
        <v>C1P10</v>
      </c>
    </row>
    <row r="527" spans="1:9">
      <c r="A527" t="str">
        <f>'Assemble Data'!B528</f>
        <v>P10</v>
      </c>
      <c r="B527" s="13">
        <f>IFERROR(SUMIF('Assemble Data'!K:K,'Assemble Data'!A528,'Assemble Data'!L:L),0)</f>
        <v>2880</v>
      </c>
      <c r="C527" s="13" t="str">
        <f>INDEX('Assemble Data'!$O$24:$O$1023,MATCH('Assemble Data'!A528,'Assemble Data'!$N$24:$N$1023,0))</f>
        <v>C1</v>
      </c>
      <c r="D527" s="13">
        <f>SUMIF('Assemble Data'!H:H,'Assemble Data'!A528,'Assemble Data'!I:I)</f>
        <v>3</v>
      </c>
      <c r="E527" s="13">
        <f>IFERROR(IF(AND('Assemble Data'!D528&lt;&gt;"",'Assemble Data'!D528&lt;&gt;B527),1,0),1)</f>
        <v>0</v>
      </c>
      <c r="F527" s="13">
        <f ca="1">IF('Assemble Data'!E528="",0,IF(ISERROR(FIND("INDEX",_xlfn.FORMULATEXT('Assemble Data'!E528),1)),1,0)+IFERROR(IF(AND('Assemble Data'!E528&lt;&gt;C527,'Assemble Data'!E528&lt;&gt;""),1,0),1))</f>
        <v>0</v>
      </c>
      <c r="G527" s="13">
        <f ca="1">IF('Assemble Data'!F528="",0,IF(ISERROR(FIND("VLOOKUP",_xlfn.FORMULATEXT('Assemble Data'!F528),1)),1,0)+IFERROR(IF(AND('Assemble Data'!F528&lt;&gt;D527,'Assemble Data'!F528&lt;&gt;""),1,0),1))</f>
        <v>0</v>
      </c>
      <c r="H527" s="13">
        <f t="shared" si="32"/>
        <v>8</v>
      </c>
      <c r="I527" t="str">
        <f t="shared" si="31"/>
        <v>C1P10</v>
      </c>
    </row>
    <row r="528" spans="1:9">
      <c r="A528" t="str">
        <f>'Assemble Data'!B529</f>
        <v>P11</v>
      </c>
      <c r="B528" s="13">
        <f>IFERROR(SUMIF('Assemble Data'!K:K,'Assemble Data'!A529,'Assemble Data'!L:L),0)</f>
        <v>13200</v>
      </c>
      <c r="C528" s="13" t="str">
        <f>INDEX('Assemble Data'!$O$24:$O$1023,MATCH('Assemble Data'!A529,'Assemble Data'!$N$24:$N$1023,0))</f>
        <v>C1</v>
      </c>
      <c r="D528" s="13">
        <f>SUMIF('Assemble Data'!H:H,'Assemble Data'!A529,'Assemble Data'!I:I)</f>
        <v>11</v>
      </c>
      <c r="E528" s="13">
        <f>IFERROR(IF(AND('Assemble Data'!D529&lt;&gt;"",'Assemble Data'!D529&lt;&gt;B528),1,0),1)</f>
        <v>0</v>
      </c>
      <c r="F528" s="13">
        <f ca="1">IF('Assemble Data'!E529="",0,IF(ISERROR(FIND("INDEX",_xlfn.FORMULATEXT('Assemble Data'!E529),1)),1,0)+IFERROR(IF(AND('Assemble Data'!E529&lt;&gt;C528,'Assemble Data'!E529&lt;&gt;""),1,0),1))</f>
        <v>0</v>
      </c>
      <c r="G528" s="13">
        <f ca="1">IF('Assemble Data'!F529="",0,IF(ISERROR(FIND("VLOOKUP",_xlfn.FORMULATEXT('Assemble Data'!F529),1)),1,0)+IFERROR(IF(AND('Assemble Data'!F529&lt;&gt;D528,'Assemble Data'!F529&lt;&gt;""),1,0),1))</f>
        <v>0</v>
      </c>
      <c r="H528" s="13">
        <f t="shared" si="32"/>
        <v>9</v>
      </c>
      <c r="I528" t="str">
        <f t="shared" si="31"/>
        <v>C1P11</v>
      </c>
    </row>
    <row r="529" spans="1:9">
      <c r="A529" t="str">
        <f>'Assemble Data'!B530</f>
        <v>P18</v>
      </c>
      <c r="B529" s="13">
        <f>IFERROR(SUMIF('Assemble Data'!K:K,'Assemble Data'!A530,'Assemble Data'!L:L),0)</f>
        <v>4860</v>
      </c>
      <c r="C529" s="13" t="str">
        <f>INDEX('Assemble Data'!$O$24:$O$1023,MATCH('Assemble Data'!A530,'Assemble Data'!$N$24:$N$1023,0))</f>
        <v>O1</v>
      </c>
      <c r="D529" s="13">
        <f>SUMIF('Assemble Data'!H:H,'Assemble Data'!A530,'Assemble Data'!I:I)</f>
        <v>6</v>
      </c>
      <c r="E529" s="13">
        <f>IFERROR(IF(AND('Assemble Data'!D530&lt;&gt;"",'Assemble Data'!D530&lt;&gt;B529),1,0),1)</f>
        <v>0</v>
      </c>
      <c r="F529" s="13">
        <f ca="1">IF('Assemble Data'!E530="",0,IF(ISERROR(FIND("INDEX",_xlfn.FORMULATEXT('Assemble Data'!E530),1)),1,0)+IFERROR(IF(AND('Assemble Data'!E530&lt;&gt;C529,'Assemble Data'!E530&lt;&gt;""),1,0),1))</f>
        <v>0</v>
      </c>
      <c r="G529" s="13">
        <f ca="1">IF('Assemble Data'!F530="",0,IF(ISERROR(FIND("VLOOKUP",_xlfn.FORMULATEXT('Assemble Data'!F530),1)),1,0)+IFERROR(IF(AND('Assemble Data'!F530&lt;&gt;D529,'Assemble Data'!F530&lt;&gt;""),1,0),1))</f>
        <v>0</v>
      </c>
      <c r="H529" s="13">
        <f t="shared" si="32"/>
        <v>2</v>
      </c>
      <c r="I529" t="str">
        <f t="shared" si="31"/>
        <v>O1P18</v>
      </c>
    </row>
    <row r="530" spans="1:9">
      <c r="A530" t="str">
        <f>'Assemble Data'!B531</f>
        <v>P14</v>
      </c>
      <c r="B530" s="13">
        <f>IFERROR(SUMIF('Assemble Data'!K:K,'Assemble Data'!A531,'Assemble Data'!L:L),0)</f>
        <v>10080</v>
      </c>
      <c r="C530" s="13" t="str">
        <f>INDEX('Assemble Data'!$O$24:$O$1023,MATCH('Assemble Data'!A531,'Assemble Data'!$N$24:$N$1023,0))</f>
        <v>N1</v>
      </c>
      <c r="D530" s="13">
        <f>SUMIF('Assemble Data'!H:H,'Assemble Data'!A531,'Assemble Data'!I:I)</f>
        <v>8</v>
      </c>
      <c r="E530" s="13">
        <f>IFERROR(IF(AND('Assemble Data'!D531&lt;&gt;"",'Assemble Data'!D531&lt;&gt;B530),1,0),1)</f>
        <v>0</v>
      </c>
      <c r="F530" s="13">
        <f ca="1">IF('Assemble Data'!E531="",0,IF(ISERROR(FIND("INDEX",_xlfn.FORMULATEXT('Assemble Data'!E531),1)),1,0)+IFERROR(IF(AND('Assemble Data'!E531&lt;&gt;C530,'Assemble Data'!E531&lt;&gt;""),1,0),1))</f>
        <v>0</v>
      </c>
      <c r="G530" s="13">
        <f ca="1">IF('Assemble Data'!F531="",0,IF(ISERROR(FIND("VLOOKUP",_xlfn.FORMULATEXT('Assemble Data'!F531),1)),1,0)+IFERROR(IF(AND('Assemble Data'!F531&lt;&gt;D530,'Assemble Data'!F531&lt;&gt;""),1,0),1))</f>
        <v>0</v>
      </c>
      <c r="H530" s="13">
        <f t="shared" si="32"/>
        <v>5</v>
      </c>
      <c r="I530" t="str">
        <f t="shared" si="31"/>
        <v>N1P14</v>
      </c>
    </row>
    <row r="531" spans="1:9">
      <c r="A531" t="str">
        <f>'Assemble Data'!B532</f>
        <v>P10</v>
      </c>
      <c r="B531" s="13">
        <f>IFERROR(SUMIF('Assemble Data'!K:K,'Assemble Data'!A532,'Assemble Data'!L:L),0)</f>
        <v>2880</v>
      </c>
      <c r="C531" s="13" t="str">
        <f>INDEX('Assemble Data'!$O$24:$O$1023,MATCH('Assemble Data'!A532,'Assemble Data'!$N$24:$N$1023,0))</f>
        <v>C1</v>
      </c>
      <c r="D531" s="13">
        <f>SUMIF('Assemble Data'!H:H,'Assemble Data'!A532,'Assemble Data'!I:I)</f>
        <v>3</v>
      </c>
      <c r="E531" s="13">
        <f>IFERROR(IF(AND('Assemble Data'!D532&lt;&gt;"",'Assemble Data'!D532&lt;&gt;B531),1,0),1)</f>
        <v>0</v>
      </c>
      <c r="F531" s="13">
        <f ca="1">IF('Assemble Data'!E532="",0,IF(ISERROR(FIND("INDEX",_xlfn.FORMULATEXT('Assemble Data'!E532),1)),1,0)+IFERROR(IF(AND('Assemble Data'!E532&lt;&gt;C531,'Assemble Data'!E532&lt;&gt;""),1,0),1))</f>
        <v>0</v>
      </c>
      <c r="G531" s="13">
        <f ca="1">IF('Assemble Data'!F532="",0,IF(ISERROR(FIND("VLOOKUP",_xlfn.FORMULATEXT('Assemble Data'!F532),1)),1,0)+IFERROR(IF(AND('Assemble Data'!F532&lt;&gt;D531,'Assemble Data'!F532&lt;&gt;""),1,0),1))</f>
        <v>0</v>
      </c>
      <c r="H531" s="13">
        <f t="shared" si="32"/>
        <v>8</v>
      </c>
      <c r="I531" t="str">
        <f t="shared" si="31"/>
        <v>C1P10</v>
      </c>
    </row>
    <row r="532" spans="1:9">
      <c r="A532" t="str">
        <f>'Assemble Data'!B533</f>
        <v>P13</v>
      </c>
      <c r="B532" s="13">
        <f>IFERROR(SUMIF('Assemble Data'!K:K,'Assemble Data'!A533,'Assemble Data'!L:L),0)</f>
        <v>5400</v>
      </c>
      <c r="C532" s="13" t="str">
        <f>INDEX('Assemble Data'!$O$24:$O$1023,MATCH('Assemble Data'!A533,'Assemble Data'!$N$24:$N$1023,0))</f>
        <v>C1</v>
      </c>
      <c r="D532" s="13">
        <f>SUMIF('Assemble Data'!H:H,'Assemble Data'!A533,'Assemble Data'!I:I)</f>
        <v>5</v>
      </c>
      <c r="E532" s="13">
        <f>IFERROR(IF(AND('Assemble Data'!D533&lt;&gt;"",'Assemble Data'!D533&lt;&gt;B532),1,0),1)</f>
        <v>0</v>
      </c>
      <c r="F532" s="13">
        <f ca="1">IF('Assemble Data'!E533="",0,IF(ISERROR(FIND("INDEX",_xlfn.FORMULATEXT('Assemble Data'!E533),1)),1,0)+IFERROR(IF(AND('Assemble Data'!E533&lt;&gt;C532,'Assemble Data'!E533&lt;&gt;""),1,0),1))</f>
        <v>0</v>
      </c>
      <c r="G532" s="13">
        <f ca="1">IF('Assemble Data'!F533="",0,IF(ISERROR(FIND("VLOOKUP",_xlfn.FORMULATEXT('Assemble Data'!F533),1)),1,0)+IFERROR(IF(AND('Assemble Data'!F533&lt;&gt;D532,'Assemble Data'!F533&lt;&gt;""),1,0),1))</f>
        <v>0</v>
      </c>
      <c r="H532" s="13">
        <f t="shared" si="32"/>
        <v>3</v>
      </c>
      <c r="I532" t="str">
        <f t="shared" si="31"/>
        <v>C1P13</v>
      </c>
    </row>
    <row r="533" spans="1:9">
      <c r="A533" t="str">
        <f>'Assemble Data'!B534</f>
        <v>P13</v>
      </c>
      <c r="B533" s="13">
        <f>IFERROR(SUMIF('Assemble Data'!K:K,'Assemble Data'!A534,'Assemble Data'!L:L),0)</f>
        <v>5400</v>
      </c>
      <c r="C533" s="13" t="str">
        <f>INDEX('Assemble Data'!$O$24:$O$1023,MATCH('Assemble Data'!A534,'Assemble Data'!$N$24:$N$1023,0))</f>
        <v>C1</v>
      </c>
      <c r="D533" s="13">
        <f>SUMIF('Assemble Data'!H:H,'Assemble Data'!A534,'Assemble Data'!I:I)</f>
        <v>5</v>
      </c>
      <c r="E533" s="13">
        <f>IFERROR(IF(AND('Assemble Data'!D534&lt;&gt;"",'Assemble Data'!D534&lt;&gt;B533),1,0),1)</f>
        <v>0</v>
      </c>
      <c r="F533" s="13">
        <f ca="1">IF('Assemble Data'!E534="",0,IF(ISERROR(FIND("INDEX",_xlfn.FORMULATEXT('Assemble Data'!E534),1)),1,0)+IFERROR(IF(AND('Assemble Data'!E534&lt;&gt;C533,'Assemble Data'!E534&lt;&gt;""),1,0),1))</f>
        <v>0</v>
      </c>
      <c r="G533" s="13">
        <f ca="1">IF('Assemble Data'!F534="",0,IF(ISERROR(FIND("VLOOKUP",_xlfn.FORMULATEXT('Assemble Data'!F534),1)),1,0)+IFERROR(IF(AND('Assemble Data'!F534&lt;&gt;D533,'Assemble Data'!F534&lt;&gt;""),1,0),1))</f>
        <v>0</v>
      </c>
      <c r="H533" s="13">
        <f t="shared" si="32"/>
        <v>3</v>
      </c>
      <c r="I533" t="str">
        <f t="shared" si="31"/>
        <v>C1P13</v>
      </c>
    </row>
    <row r="534" spans="1:9">
      <c r="A534" t="str">
        <f>'Assemble Data'!B535</f>
        <v>P10</v>
      </c>
      <c r="B534" s="13">
        <f>IFERROR(SUMIF('Assemble Data'!K:K,'Assemble Data'!A535,'Assemble Data'!L:L),0)</f>
        <v>2880</v>
      </c>
      <c r="C534" s="13" t="str">
        <f>INDEX('Assemble Data'!$O$24:$O$1023,MATCH('Assemble Data'!A535,'Assemble Data'!$N$24:$N$1023,0))</f>
        <v>C1</v>
      </c>
      <c r="D534" s="13">
        <f>SUMIF('Assemble Data'!H:H,'Assemble Data'!A535,'Assemble Data'!I:I)</f>
        <v>3</v>
      </c>
      <c r="E534" s="13">
        <f>IFERROR(IF(AND('Assemble Data'!D535&lt;&gt;"",'Assemble Data'!D535&lt;&gt;B534),1,0),1)</f>
        <v>0</v>
      </c>
      <c r="F534" s="13">
        <f ca="1">IF('Assemble Data'!E535="",0,IF(ISERROR(FIND("INDEX",_xlfn.FORMULATEXT('Assemble Data'!E535),1)),1,0)+IFERROR(IF(AND('Assemble Data'!E535&lt;&gt;C534,'Assemble Data'!E535&lt;&gt;""),1,0),1))</f>
        <v>0</v>
      </c>
      <c r="G534" s="13">
        <f ca="1">IF('Assemble Data'!F535="",0,IF(ISERROR(FIND("VLOOKUP",_xlfn.FORMULATEXT('Assemble Data'!F535),1)),1,0)+IFERROR(IF(AND('Assemble Data'!F535&lt;&gt;D534,'Assemble Data'!F535&lt;&gt;""),1,0),1))</f>
        <v>0</v>
      </c>
      <c r="H534" s="13">
        <f t="shared" si="32"/>
        <v>8</v>
      </c>
      <c r="I534" t="str">
        <f t="shared" si="31"/>
        <v>C1P10</v>
      </c>
    </row>
    <row r="535" spans="1:9">
      <c r="A535" t="str">
        <f>'Assemble Data'!B536</f>
        <v>P11</v>
      </c>
      <c r="B535" s="13">
        <f>IFERROR(SUMIF('Assemble Data'!K:K,'Assemble Data'!A536,'Assemble Data'!L:L),0)</f>
        <v>13200</v>
      </c>
      <c r="C535" s="13" t="str">
        <f>INDEX('Assemble Data'!$O$24:$O$1023,MATCH('Assemble Data'!A536,'Assemble Data'!$N$24:$N$1023,0))</f>
        <v>C1</v>
      </c>
      <c r="D535" s="13">
        <f>SUMIF('Assemble Data'!H:H,'Assemble Data'!A536,'Assemble Data'!I:I)</f>
        <v>11</v>
      </c>
      <c r="E535" s="13">
        <f>IFERROR(IF(AND('Assemble Data'!D536&lt;&gt;"",'Assemble Data'!D536&lt;&gt;B535),1,0),1)</f>
        <v>0</v>
      </c>
      <c r="F535" s="13">
        <f ca="1">IF('Assemble Data'!E536="",0,IF(ISERROR(FIND("INDEX",_xlfn.FORMULATEXT('Assemble Data'!E536),1)),1,0)+IFERROR(IF(AND('Assemble Data'!E536&lt;&gt;C535,'Assemble Data'!E536&lt;&gt;""),1,0),1))</f>
        <v>0</v>
      </c>
      <c r="G535" s="13">
        <f ca="1">IF('Assemble Data'!F536="",0,IF(ISERROR(FIND("VLOOKUP",_xlfn.FORMULATEXT('Assemble Data'!F536),1)),1,0)+IFERROR(IF(AND('Assemble Data'!F536&lt;&gt;D535,'Assemble Data'!F536&lt;&gt;""),1,0),1))</f>
        <v>0</v>
      </c>
      <c r="H535" s="13">
        <f t="shared" si="32"/>
        <v>9</v>
      </c>
      <c r="I535" t="str">
        <f t="shared" si="31"/>
        <v>C1P11</v>
      </c>
    </row>
    <row r="536" spans="1:9">
      <c r="A536" t="str">
        <f>'Assemble Data'!B537</f>
        <v>P16</v>
      </c>
      <c r="B536" s="13">
        <f>IFERROR(SUMIF('Assemble Data'!K:K,'Assemble Data'!A537,'Assemble Data'!L:L),0)</f>
        <v>7279.9999999999991</v>
      </c>
      <c r="C536" s="13" t="str">
        <f>INDEX('Assemble Data'!$O$24:$O$1023,MATCH('Assemble Data'!A537,'Assemble Data'!$N$24:$N$1023,0))</f>
        <v>N1</v>
      </c>
      <c r="D536" s="13">
        <f>SUMIF('Assemble Data'!H:H,'Assemble Data'!A537,'Assemble Data'!I:I)</f>
        <v>4</v>
      </c>
      <c r="E536" s="13">
        <f>IFERROR(IF(AND('Assemble Data'!D537&lt;&gt;"",'Assemble Data'!D537&lt;&gt;B536),1,0),1)</f>
        <v>0</v>
      </c>
      <c r="F536" s="13">
        <f ca="1">IF('Assemble Data'!E537="",0,IF(ISERROR(FIND("INDEX",_xlfn.FORMULATEXT('Assemble Data'!E537),1)),1,0)+IFERROR(IF(AND('Assemble Data'!E537&lt;&gt;C536,'Assemble Data'!E537&lt;&gt;""),1,0),1))</f>
        <v>0</v>
      </c>
      <c r="G536" s="13">
        <f ca="1">IF('Assemble Data'!F537="",0,IF(ISERROR(FIND("VLOOKUP",_xlfn.FORMULATEXT('Assemble Data'!F537),1)),1,0)+IFERROR(IF(AND('Assemble Data'!F537&lt;&gt;D536,'Assemble Data'!F537&lt;&gt;""),1,0),1))</f>
        <v>0</v>
      </c>
      <c r="H536" s="13">
        <f t="shared" si="32"/>
        <v>0</v>
      </c>
      <c r="I536" t="str">
        <f t="shared" ref="I536:I599" si="33">C536&amp;A536</f>
        <v>N1P16</v>
      </c>
    </row>
    <row r="537" spans="1:9">
      <c r="A537" t="str">
        <f>'Assemble Data'!B538</f>
        <v>P17</v>
      </c>
      <c r="B537" s="13">
        <f>IFERROR(SUMIF('Assemble Data'!K:K,'Assemble Data'!A538,'Assemble Data'!L:L),0)</f>
        <v>10800</v>
      </c>
      <c r="C537" s="13" t="str">
        <f>INDEX('Assemble Data'!$O$24:$O$1023,MATCH('Assemble Data'!A538,'Assemble Data'!$N$24:$N$1023,0))</f>
        <v>O1</v>
      </c>
      <c r="D537" s="13">
        <f>SUMIF('Assemble Data'!H:H,'Assemble Data'!A538,'Assemble Data'!I:I)</f>
        <v>12</v>
      </c>
      <c r="E537" s="13">
        <f>IFERROR(IF(AND('Assemble Data'!D538&lt;&gt;"",'Assemble Data'!D538&lt;&gt;B537),1,0),1)</f>
        <v>0</v>
      </c>
      <c r="F537" s="13">
        <f ca="1">IF('Assemble Data'!E538="",0,IF(ISERROR(FIND("INDEX",_xlfn.FORMULATEXT('Assemble Data'!E538),1)),1,0)+IFERROR(IF(AND('Assemble Data'!E538&lt;&gt;C537,'Assemble Data'!E538&lt;&gt;""),1,0),1))</f>
        <v>0</v>
      </c>
      <c r="G537" s="13">
        <f ca="1">IF('Assemble Data'!F538="",0,IF(ISERROR(FIND("VLOOKUP",_xlfn.FORMULATEXT('Assemble Data'!F538),1)),1,0)+IFERROR(IF(AND('Assemble Data'!F538&lt;&gt;D537,'Assemble Data'!F538&lt;&gt;""),1,0),1))</f>
        <v>0</v>
      </c>
      <c r="H537" s="13">
        <f t="shared" si="32"/>
        <v>6</v>
      </c>
      <c r="I537" t="str">
        <f t="shared" si="33"/>
        <v>O1P17</v>
      </c>
    </row>
    <row r="538" spans="1:9">
      <c r="A538" t="str">
        <f>'Assemble Data'!B539</f>
        <v>P17</v>
      </c>
      <c r="B538" s="13">
        <f>IFERROR(SUMIF('Assemble Data'!K:K,'Assemble Data'!A539,'Assemble Data'!L:L),0)</f>
        <v>10800</v>
      </c>
      <c r="C538" s="13" t="str">
        <f>INDEX('Assemble Data'!$O$24:$O$1023,MATCH('Assemble Data'!A539,'Assemble Data'!$N$24:$N$1023,0))</f>
        <v>O1</v>
      </c>
      <c r="D538" s="13">
        <f>SUMIF('Assemble Data'!H:H,'Assemble Data'!A539,'Assemble Data'!I:I)</f>
        <v>12</v>
      </c>
      <c r="E538" s="13">
        <f>IFERROR(IF(AND('Assemble Data'!D539&lt;&gt;"",'Assemble Data'!D539&lt;&gt;B538),1,0),1)</f>
        <v>0</v>
      </c>
      <c r="F538" s="13">
        <f ca="1">IF('Assemble Data'!E539="",0,IF(ISERROR(FIND("INDEX",_xlfn.FORMULATEXT('Assemble Data'!E539),1)),1,0)+IFERROR(IF(AND('Assemble Data'!E539&lt;&gt;C538,'Assemble Data'!E539&lt;&gt;""),1,0),1))</f>
        <v>0</v>
      </c>
      <c r="G538" s="13">
        <f ca="1">IF('Assemble Data'!F539="",0,IF(ISERROR(FIND("VLOOKUP",_xlfn.FORMULATEXT('Assemble Data'!F539),1)),1,0)+IFERROR(IF(AND('Assemble Data'!F539&lt;&gt;D538,'Assemble Data'!F539&lt;&gt;""),1,0),1))</f>
        <v>0</v>
      </c>
      <c r="H538" s="13">
        <f t="shared" si="32"/>
        <v>6</v>
      </c>
      <c r="I538" t="str">
        <f t="shared" si="33"/>
        <v>O1P17</v>
      </c>
    </row>
    <row r="539" spans="1:9">
      <c r="A539" t="str">
        <f>'Assemble Data'!B540</f>
        <v>P13</v>
      </c>
      <c r="B539" s="13">
        <f>IFERROR(SUMIF('Assemble Data'!K:K,'Assemble Data'!A540,'Assemble Data'!L:L),0)</f>
        <v>5400</v>
      </c>
      <c r="C539" s="13" t="str">
        <f>INDEX('Assemble Data'!$O$24:$O$1023,MATCH('Assemble Data'!A540,'Assemble Data'!$N$24:$N$1023,0))</f>
        <v>C1</v>
      </c>
      <c r="D539" s="13">
        <f>SUMIF('Assemble Data'!H:H,'Assemble Data'!A540,'Assemble Data'!I:I)</f>
        <v>5</v>
      </c>
      <c r="E539" s="13">
        <f>IFERROR(IF(AND('Assemble Data'!D540&lt;&gt;"",'Assemble Data'!D540&lt;&gt;B539),1,0),1)</f>
        <v>0</v>
      </c>
      <c r="F539" s="13">
        <f ca="1">IF('Assemble Data'!E540="",0,IF(ISERROR(FIND("INDEX",_xlfn.FORMULATEXT('Assemble Data'!E540),1)),1,0)+IFERROR(IF(AND('Assemble Data'!E540&lt;&gt;C539,'Assemble Data'!E540&lt;&gt;""),1,0),1))</f>
        <v>0</v>
      </c>
      <c r="G539" s="13">
        <f ca="1">IF('Assemble Data'!F540="",0,IF(ISERROR(FIND("VLOOKUP",_xlfn.FORMULATEXT('Assemble Data'!F540),1)),1,0)+IFERROR(IF(AND('Assemble Data'!F540&lt;&gt;D539,'Assemble Data'!F540&lt;&gt;""),1,0),1))</f>
        <v>0</v>
      </c>
      <c r="H539" s="13">
        <f t="shared" si="32"/>
        <v>3</v>
      </c>
      <c r="I539" t="str">
        <f t="shared" si="33"/>
        <v>C1P13</v>
      </c>
    </row>
    <row r="540" spans="1:9">
      <c r="A540" t="str">
        <f>'Assemble Data'!B541</f>
        <v>P11</v>
      </c>
      <c r="B540" s="13">
        <f>IFERROR(SUMIF('Assemble Data'!K:K,'Assemble Data'!A541,'Assemble Data'!L:L),0)</f>
        <v>13200</v>
      </c>
      <c r="C540" s="13" t="str">
        <f>INDEX('Assemble Data'!$O$24:$O$1023,MATCH('Assemble Data'!A541,'Assemble Data'!$N$24:$N$1023,0))</f>
        <v>C1</v>
      </c>
      <c r="D540" s="13">
        <f>SUMIF('Assemble Data'!H:H,'Assemble Data'!A541,'Assemble Data'!I:I)</f>
        <v>11</v>
      </c>
      <c r="E540" s="13">
        <f>IFERROR(IF(AND('Assemble Data'!D541&lt;&gt;"",'Assemble Data'!D541&lt;&gt;B540),1,0),1)</f>
        <v>0</v>
      </c>
      <c r="F540" s="13">
        <f ca="1">IF('Assemble Data'!E541="",0,IF(ISERROR(FIND("INDEX",_xlfn.FORMULATEXT('Assemble Data'!E541),1)),1,0)+IFERROR(IF(AND('Assemble Data'!E541&lt;&gt;C540,'Assemble Data'!E541&lt;&gt;""),1,0),1))</f>
        <v>0</v>
      </c>
      <c r="G540" s="13">
        <f ca="1">IF('Assemble Data'!F541="",0,IF(ISERROR(FIND("VLOOKUP",_xlfn.FORMULATEXT('Assemble Data'!F541),1)),1,0)+IFERROR(IF(AND('Assemble Data'!F541&lt;&gt;D540,'Assemble Data'!F541&lt;&gt;""),1,0),1))</f>
        <v>0</v>
      </c>
      <c r="H540" s="13">
        <f t="shared" si="32"/>
        <v>9</v>
      </c>
      <c r="I540" t="str">
        <f t="shared" si="33"/>
        <v>C1P11</v>
      </c>
    </row>
    <row r="541" spans="1:9">
      <c r="A541" t="str">
        <f>'Assemble Data'!B542</f>
        <v>P11</v>
      </c>
      <c r="B541" s="13">
        <f>IFERROR(SUMIF('Assemble Data'!K:K,'Assemble Data'!A542,'Assemble Data'!L:L),0)</f>
        <v>13200</v>
      </c>
      <c r="C541" s="13" t="str">
        <f>INDEX('Assemble Data'!$O$24:$O$1023,MATCH('Assemble Data'!A542,'Assemble Data'!$N$24:$N$1023,0))</f>
        <v>C1</v>
      </c>
      <c r="D541" s="13">
        <f>SUMIF('Assemble Data'!H:H,'Assemble Data'!A542,'Assemble Data'!I:I)</f>
        <v>11</v>
      </c>
      <c r="E541" s="13">
        <f>IFERROR(IF(AND('Assemble Data'!D542&lt;&gt;"",'Assemble Data'!D542&lt;&gt;B541),1,0),1)</f>
        <v>0</v>
      </c>
      <c r="F541" s="13">
        <f ca="1">IF('Assemble Data'!E542="",0,IF(ISERROR(FIND("INDEX",_xlfn.FORMULATEXT('Assemble Data'!E542),1)),1,0)+IFERROR(IF(AND('Assemble Data'!E542&lt;&gt;C541,'Assemble Data'!E542&lt;&gt;""),1,0),1))</f>
        <v>0</v>
      </c>
      <c r="G541" s="13">
        <f ca="1">IF('Assemble Data'!F542="",0,IF(ISERROR(FIND("VLOOKUP",_xlfn.FORMULATEXT('Assemble Data'!F542),1)),1,0)+IFERROR(IF(AND('Assemble Data'!F542&lt;&gt;D541,'Assemble Data'!F542&lt;&gt;""),1,0),1))</f>
        <v>0</v>
      </c>
      <c r="H541" s="13">
        <f t="shared" si="32"/>
        <v>9</v>
      </c>
      <c r="I541" t="str">
        <f t="shared" si="33"/>
        <v>C1P11</v>
      </c>
    </row>
    <row r="542" spans="1:9">
      <c r="A542" t="str">
        <f>'Assemble Data'!B543</f>
        <v>P12</v>
      </c>
      <c r="B542" s="13">
        <f>IFERROR(SUMIF('Assemble Data'!K:K,'Assemble Data'!A543,'Assemble Data'!L:L),0)</f>
        <v>6825</v>
      </c>
      <c r="C542" s="13" t="str">
        <f>INDEX('Assemble Data'!$O$24:$O$1023,MATCH('Assemble Data'!A543,'Assemble Data'!$N$24:$N$1023,0))</f>
        <v>C2</v>
      </c>
      <c r="D542" s="13">
        <f>SUMIF('Assemble Data'!H:H,'Assemble Data'!A543,'Assemble Data'!I:I)</f>
        <v>6.5</v>
      </c>
      <c r="E542" s="13">
        <f>IFERROR(IF(AND('Assemble Data'!D543&lt;&gt;"",'Assemble Data'!D543&lt;&gt;B542),1,0),1)</f>
        <v>0</v>
      </c>
      <c r="F542" s="13">
        <f ca="1">IF('Assemble Data'!E543="",0,IF(ISERROR(FIND("INDEX",_xlfn.FORMULATEXT('Assemble Data'!E543),1)),1,0)+IFERROR(IF(AND('Assemble Data'!E543&lt;&gt;C542,'Assemble Data'!E543&lt;&gt;""),1,0),1))</f>
        <v>0</v>
      </c>
      <c r="G542" s="13">
        <f ca="1">IF('Assemble Data'!F543="",0,IF(ISERROR(FIND("VLOOKUP",_xlfn.FORMULATEXT('Assemble Data'!F543),1)),1,0)+IFERROR(IF(AND('Assemble Data'!F543&lt;&gt;D542,'Assemble Data'!F543&lt;&gt;""),1,0),1))</f>
        <v>0</v>
      </c>
      <c r="H542" s="13">
        <f t="shared" si="32"/>
        <v>7</v>
      </c>
      <c r="I542" t="str">
        <f t="shared" si="33"/>
        <v>C2P12</v>
      </c>
    </row>
    <row r="543" spans="1:9">
      <c r="A543" t="str">
        <f>'Assemble Data'!B544</f>
        <v>P10</v>
      </c>
      <c r="B543" s="13">
        <f>IFERROR(SUMIF('Assemble Data'!K:K,'Assemble Data'!A544,'Assemble Data'!L:L),0)</f>
        <v>2400</v>
      </c>
      <c r="C543" s="13" t="str">
        <f>INDEX('Assemble Data'!$O$24:$O$1023,MATCH('Assemble Data'!A544,'Assemble Data'!$N$24:$N$1023,0))</f>
        <v>C2</v>
      </c>
      <c r="D543" s="13">
        <f>SUMIF('Assemble Data'!H:H,'Assemble Data'!A544,'Assemble Data'!I:I)</f>
        <v>3</v>
      </c>
      <c r="E543" s="13">
        <f>IFERROR(IF(AND('Assemble Data'!D544&lt;&gt;"",'Assemble Data'!D544&lt;&gt;B543),1,0),1)</f>
        <v>0</v>
      </c>
      <c r="F543" s="13">
        <f ca="1">IF('Assemble Data'!E544="",0,IF(ISERROR(FIND("INDEX",_xlfn.FORMULATEXT('Assemble Data'!E544),1)),1,0)+IFERROR(IF(AND('Assemble Data'!E544&lt;&gt;C543,'Assemble Data'!E544&lt;&gt;""),1,0),1))</f>
        <v>0</v>
      </c>
      <c r="G543" s="13">
        <f ca="1">IF('Assemble Data'!F544="",0,IF(ISERROR(FIND("VLOOKUP",_xlfn.FORMULATEXT('Assemble Data'!F544),1)),1,0)+IFERROR(IF(AND('Assemble Data'!F544&lt;&gt;D543,'Assemble Data'!F544&lt;&gt;""),1,0),1))</f>
        <v>0</v>
      </c>
      <c r="H543" s="13">
        <f t="shared" si="32"/>
        <v>8</v>
      </c>
      <c r="I543" t="str">
        <f t="shared" si="33"/>
        <v>C2P10</v>
      </c>
    </row>
    <row r="544" spans="1:9">
      <c r="A544" t="str">
        <f>'Assemble Data'!B545</f>
        <v>P10</v>
      </c>
      <c r="B544" s="13">
        <f>IFERROR(SUMIF('Assemble Data'!K:K,'Assemble Data'!A545,'Assemble Data'!L:L),0)</f>
        <v>2400</v>
      </c>
      <c r="C544" s="13" t="str">
        <f>INDEX('Assemble Data'!$O$24:$O$1023,MATCH('Assemble Data'!A545,'Assemble Data'!$N$24:$N$1023,0))</f>
        <v>C2</v>
      </c>
      <c r="D544" s="13">
        <f>SUMIF('Assemble Data'!H:H,'Assemble Data'!A545,'Assemble Data'!I:I)</f>
        <v>3</v>
      </c>
      <c r="E544" s="13">
        <f>IFERROR(IF(AND('Assemble Data'!D545&lt;&gt;"",'Assemble Data'!D545&lt;&gt;B544),1,0),1)</f>
        <v>0</v>
      </c>
      <c r="F544" s="13">
        <f ca="1">IF('Assemble Data'!E545="",0,IF(ISERROR(FIND("INDEX",_xlfn.FORMULATEXT('Assemble Data'!E545),1)),1,0)+IFERROR(IF(AND('Assemble Data'!E545&lt;&gt;C544,'Assemble Data'!E545&lt;&gt;""),1,0),1))</f>
        <v>0</v>
      </c>
      <c r="G544" s="13">
        <f ca="1">IF('Assemble Data'!F545="",0,IF(ISERROR(FIND("VLOOKUP",_xlfn.FORMULATEXT('Assemble Data'!F545),1)),1,0)+IFERROR(IF(AND('Assemble Data'!F545&lt;&gt;D544,'Assemble Data'!F545&lt;&gt;""),1,0),1))</f>
        <v>0</v>
      </c>
      <c r="H544" s="13">
        <f t="shared" si="32"/>
        <v>8</v>
      </c>
      <c r="I544" t="str">
        <f t="shared" si="33"/>
        <v>C2P10</v>
      </c>
    </row>
    <row r="545" spans="1:9">
      <c r="A545" t="str">
        <f>'Assemble Data'!B546</f>
        <v>P11</v>
      </c>
      <c r="B545" s="13">
        <f>IFERROR(SUMIF('Assemble Data'!K:K,'Assemble Data'!A546,'Assemble Data'!L:L),0)</f>
        <v>11000</v>
      </c>
      <c r="C545" s="13" t="str">
        <f>INDEX('Assemble Data'!$O$24:$O$1023,MATCH('Assemble Data'!A546,'Assemble Data'!$N$24:$N$1023,0))</f>
        <v>C2</v>
      </c>
      <c r="D545" s="13">
        <f>SUMIF('Assemble Data'!H:H,'Assemble Data'!A546,'Assemble Data'!I:I)</f>
        <v>11</v>
      </c>
      <c r="E545" s="13">
        <f>IFERROR(IF(AND('Assemble Data'!D546&lt;&gt;"",'Assemble Data'!D546&lt;&gt;B545),1,0),1)</f>
        <v>0</v>
      </c>
      <c r="F545" s="13">
        <f ca="1">IF('Assemble Data'!E546="",0,IF(ISERROR(FIND("INDEX",_xlfn.FORMULATEXT('Assemble Data'!E546),1)),1,0)+IFERROR(IF(AND('Assemble Data'!E546&lt;&gt;C545,'Assemble Data'!E546&lt;&gt;""),1,0),1))</f>
        <v>0</v>
      </c>
      <c r="G545" s="13">
        <f ca="1">IF('Assemble Data'!F546="",0,IF(ISERROR(FIND("VLOOKUP",_xlfn.FORMULATEXT('Assemble Data'!F546),1)),1,0)+IFERROR(IF(AND('Assemble Data'!F546&lt;&gt;D545,'Assemble Data'!F546&lt;&gt;""),1,0),1))</f>
        <v>0</v>
      </c>
      <c r="H545" s="13">
        <f t="shared" si="32"/>
        <v>9</v>
      </c>
      <c r="I545" t="str">
        <f t="shared" si="33"/>
        <v>C2P11</v>
      </c>
    </row>
    <row r="546" spans="1:9">
      <c r="A546" t="str">
        <f>'Assemble Data'!B547</f>
        <v>P18</v>
      </c>
      <c r="B546" s="13">
        <f>IFERROR(SUMIF('Assemble Data'!K:K,'Assemble Data'!A547,'Assemble Data'!L:L),0)</f>
        <v>5940.0000000000009</v>
      </c>
      <c r="C546" s="13" t="str">
        <f>INDEX('Assemble Data'!$O$24:$O$1023,MATCH('Assemble Data'!A547,'Assemble Data'!$N$24:$N$1023,0))</f>
        <v>O2</v>
      </c>
      <c r="D546" s="13">
        <f>SUMIF('Assemble Data'!H:H,'Assemble Data'!A547,'Assemble Data'!I:I)</f>
        <v>6</v>
      </c>
      <c r="E546" s="13">
        <f>IFERROR(IF(AND('Assemble Data'!D547&lt;&gt;"",'Assemble Data'!D547&lt;&gt;B546),1,0),1)</f>
        <v>0</v>
      </c>
      <c r="F546" s="13">
        <f ca="1">IF('Assemble Data'!E547="",0,IF(ISERROR(FIND("INDEX",_xlfn.FORMULATEXT('Assemble Data'!E547),1)),1,0)+IFERROR(IF(AND('Assemble Data'!E547&lt;&gt;C546,'Assemble Data'!E547&lt;&gt;""),1,0),1))</f>
        <v>0</v>
      </c>
      <c r="G546" s="13">
        <f ca="1">IF('Assemble Data'!F547="",0,IF(ISERROR(FIND("VLOOKUP",_xlfn.FORMULATEXT('Assemble Data'!F547),1)),1,0)+IFERROR(IF(AND('Assemble Data'!F547&lt;&gt;D546,'Assemble Data'!F547&lt;&gt;""),1,0),1))</f>
        <v>0</v>
      </c>
      <c r="H546" s="13">
        <f t="shared" si="32"/>
        <v>2</v>
      </c>
      <c r="I546" t="str">
        <f t="shared" si="33"/>
        <v>O2P18</v>
      </c>
    </row>
    <row r="547" spans="1:9">
      <c r="A547" t="str">
        <f>'Assemble Data'!B548</f>
        <v>P14</v>
      </c>
      <c r="B547" s="13">
        <f>IFERROR(SUMIF('Assemble Data'!K:K,'Assemble Data'!A548,'Assemble Data'!L:L),0)</f>
        <v>6480</v>
      </c>
      <c r="C547" s="13" t="str">
        <f>INDEX('Assemble Data'!$O$24:$O$1023,MATCH('Assemble Data'!A548,'Assemble Data'!$N$24:$N$1023,0))</f>
        <v>N2</v>
      </c>
      <c r="D547" s="13">
        <f>SUMIF('Assemble Data'!H:H,'Assemble Data'!A548,'Assemble Data'!I:I)</f>
        <v>8</v>
      </c>
      <c r="E547" s="13">
        <f>IFERROR(IF(AND('Assemble Data'!D548&lt;&gt;"",'Assemble Data'!D548&lt;&gt;B547),1,0),1)</f>
        <v>0</v>
      </c>
      <c r="F547" s="13">
        <f ca="1">IF('Assemble Data'!E548="",0,IF(ISERROR(FIND("INDEX",_xlfn.FORMULATEXT('Assemble Data'!E548),1)),1,0)+IFERROR(IF(AND('Assemble Data'!E548&lt;&gt;C547,'Assemble Data'!E548&lt;&gt;""),1,0),1))</f>
        <v>0</v>
      </c>
      <c r="G547" s="13">
        <f ca="1">IF('Assemble Data'!F548="",0,IF(ISERROR(FIND("VLOOKUP",_xlfn.FORMULATEXT('Assemble Data'!F548),1)),1,0)+IFERROR(IF(AND('Assemble Data'!F548&lt;&gt;D547,'Assemble Data'!F548&lt;&gt;""),1,0),1))</f>
        <v>0</v>
      </c>
      <c r="H547" s="13">
        <f t="shared" si="32"/>
        <v>5</v>
      </c>
      <c r="I547" t="str">
        <f t="shared" si="33"/>
        <v>N2P14</v>
      </c>
    </row>
    <row r="548" spans="1:9">
      <c r="A548" t="str">
        <f>'Assemble Data'!B549</f>
        <v>P10</v>
      </c>
      <c r="B548" s="13">
        <f>IFERROR(SUMIF('Assemble Data'!K:K,'Assemble Data'!A549,'Assemble Data'!L:L),0)</f>
        <v>2400</v>
      </c>
      <c r="C548" s="13" t="str">
        <f>INDEX('Assemble Data'!$O$24:$O$1023,MATCH('Assemble Data'!A549,'Assemble Data'!$N$24:$N$1023,0))</f>
        <v>C2</v>
      </c>
      <c r="D548" s="13">
        <f>SUMIF('Assemble Data'!H:H,'Assemble Data'!A549,'Assemble Data'!I:I)</f>
        <v>3</v>
      </c>
      <c r="E548" s="13">
        <f>IFERROR(IF(AND('Assemble Data'!D549&lt;&gt;"",'Assemble Data'!D549&lt;&gt;B548),1,0),1)</f>
        <v>0</v>
      </c>
      <c r="F548" s="13">
        <f ca="1">IF('Assemble Data'!E549="",0,IF(ISERROR(FIND("INDEX",_xlfn.FORMULATEXT('Assemble Data'!E549),1)),1,0)+IFERROR(IF(AND('Assemble Data'!E549&lt;&gt;C548,'Assemble Data'!E549&lt;&gt;""),1,0),1))</f>
        <v>0</v>
      </c>
      <c r="G548" s="13">
        <f ca="1">IF('Assemble Data'!F549="",0,IF(ISERROR(FIND("VLOOKUP",_xlfn.FORMULATEXT('Assemble Data'!F549),1)),1,0)+IFERROR(IF(AND('Assemble Data'!F549&lt;&gt;D548,'Assemble Data'!F549&lt;&gt;""),1,0),1))</f>
        <v>0</v>
      </c>
      <c r="H548" s="13">
        <f t="shared" si="32"/>
        <v>8</v>
      </c>
      <c r="I548" t="str">
        <f t="shared" si="33"/>
        <v>C2P10</v>
      </c>
    </row>
    <row r="549" spans="1:9">
      <c r="A549" t="str">
        <f>'Assemble Data'!B550</f>
        <v>P13</v>
      </c>
      <c r="B549" s="13">
        <f>IFERROR(SUMIF('Assemble Data'!K:K,'Assemble Data'!A550,'Assemble Data'!L:L),0)</f>
        <v>4500</v>
      </c>
      <c r="C549" s="13" t="str">
        <f>INDEX('Assemble Data'!$O$24:$O$1023,MATCH('Assemble Data'!A550,'Assemble Data'!$N$24:$N$1023,0))</f>
        <v>C2</v>
      </c>
      <c r="D549" s="13">
        <f>SUMIF('Assemble Data'!H:H,'Assemble Data'!A550,'Assemble Data'!I:I)</f>
        <v>5</v>
      </c>
      <c r="E549" s="13">
        <f>IFERROR(IF(AND('Assemble Data'!D550&lt;&gt;"",'Assemble Data'!D550&lt;&gt;B549),1,0),1)</f>
        <v>0</v>
      </c>
      <c r="F549" s="13">
        <f ca="1">IF('Assemble Data'!E550="",0,IF(ISERROR(FIND("INDEX",_xlfn.FORMULATEXT('Assemble Data'!E550),1)),1,0)+IFERROR(IF(AND('Assemble Data'!E550&lt;&gt;C549,'Assemble Data'!E550&lt;&gt;""),1,0),1))</f>
        <v>0</v>
      </c>
      <c r="G549" s="13">
        <f ca="1">IF('Assemble Data'!F550="",0,IF(ISERROR(FIND("VLOOKUP",_xlfn.FORMULATEXT('Assemble Data'!F550),1)),1,0)+IFERROR(IF(AND('Assemble Data'!F550&lt;&gt;D549,'Assemble Data'!F550&lt;&gt;""),1,0),1))</f>
        <v>0</v>
      </c>
      <c r="H549" s="13">
        <f t="shared" si="32"/>
        <v>3</v>
      </c>
      <c r="I549" t="str">
        <f t="shared" si="33"/>
        <v>C2P13</v>
      </c>
    </row>
    <row r="550" spans="1:9">
      <c r="A550" t="str">
        <f>'Assemble Data'!B551</f>
        <v>P13</v>
      </c>
      <c r="B550" s="13">
        <f>IFERROR(SUMIF('Assemble Data'!K:K,'Assemble Data'!A551,'Assemble Data'!L:L),0)</f>
        <v>4500</v>
      </c>
      <c r="C550" s="13" t="str">
        <f>INDEX('Assemble Data'!$O$24:$O$1023,MATCH('Assemble Data'!A551,'Assemble Data'!$N$24:$N$1023,0))</f>
        <v>C2</v>
      </c>
      <c r="D550" s="13">
        <f>SUMIF('Assemble Data'!H:H,'Assemble Data'!A551,'Assemble Data'!I:I)</f>
        <v>5</v>
      </c>
      <c r="E550" s="13">
        <f>IFERROR(IF(AND('Assemble Data'!D551&lt;&gt;"",'Assemble Data'!D551&lt;&gt;B550),1,0),1)</f>
        <v>0</v>
      </c>
      <c r="F550" s="13">
        <f ca="1">IF('Assemble Data'!E551="",0,IF(ISERROR(FIND("INDEX",_xlfn.FORMULATEXT('Assemble Data'!E551),1)),1,0)+IFERROR(IF(AND('Assemble Data'!E551&lt;&gt;C550,'Assemble Data'!E551&lt;&gt;""),1,0),1))</f>
        <v>0</v>
      </c>
      <c r="G550" s="13">
        <f ca="1">IF('Assemble Data'!F551="",0,IF(ISERROR(FIND("VLOOKUP",_xlfn.FORMULATEXT('Assemble Data'!F551),1)),1,0)+IFERROR(IF(AND('Assemble Data'!F551&lt;&gt;D550,'Assemble Data'!F551&lt;&gt;""),1,0),1))</f>
        <v>0</v>
      </c>
      <c r="H550" s="13">
        <f t="shared" si="32"/>
        <v>3</v>
      </c>
      <c r="I550" t="str">
        <f t="shared" si="33"/>
        <v>C2P13</v>
      </c>
    </row>
    <row r="551" spans="1:9">
      <c r="A551" t="str">
        <f>'Assemble Data'!B552</f>
        <v>P10</v>
      </c>
      <c r="B551" s="13">
        <f>IFERROR(SUMIF('Assemble Data'!K:K,'Assemble Data'!A552,'Assemble Data'!L:L),0)</f>
        <v>2400</v>
      </c>
      <c r="C551" s="13" t="str">
        <f>INDEX('Assemble Data'!$O$24:$O$1023,MATCH('Assemble Data'!A552,'Assemble Data'!$N$24:$N$1023,0))</f>
        <v>C2</v>
      </c>
      <c r="D551" s="13">
        <f>SUMIF('Assemble Data'!H:H,'Assemble Data'!A552,'Assemble Data'!I:I)</f>
        <v>3</v>
      </c>
      <c r="E551" s="13">
        <f>IFERROR(IF(AND('Assemble Data'!D552&lt;&gt;"",'Assemble Data'!D552&lt;&gt;B551),1,0),1)</f>
        <v>0</v>
      </c>
      <c r="F551" s="13">
        <f ca="1">IF('Assemble Data'!E552="",0,IF(ISERROR(FIND("INDEX",_xlfn.FORMULATEXT('Assemble Data'!E552),1)),1,0)+IFERROR(IF(AND('Assemble Data'!E552&lt;&gt;C551,'Assemble Data'!E552&lt;&gt;""),1,0),1))</f>
        <v>0</v>
      </c>
      <c r="G551" s="13">
        <f ca="1">IF('Assemble Data'!F552="",0,IF(ISERROR(FIND("VLOOKUP",_xlfn.FORMULATEXT('Assemble Data'!F552),1)),1,0)+IFERROR(IF(AND('Assemble Data'!F552&lt;&gt;D551,'Assemble Data'!F552&lt;&gt;""),1,0),1))</f>
        <v>0</v>
      </c>
      <c r="H551" s="13">
        <f t="shared" si="32"/>
        <v>8</v>
      </c>
      <c r="I551" t="str">
        <f t="shared" si="33"/>
        <v>C2P10</v>
      </c>
    </row>
    <row r="552" spans="1:9">
      <c r="A552" t="str">
        <f>'Assemble Data'!B553</f>
        <v>P11</v>
      </c>
      <c r="B552" s="13">
        <f>IFERROR(SUMIF('Assemble Data'!K:K,'Assemble Data'!A553,'Assemble Data'!L:L),0)</f>
        <v>11000</v>
      </c>
      <c r="C552" s="13" t="str">
        <f>INDEX('Assemble Data'!$O$24:$O$1023,MATCH('Assemble Data'!A553,'Assemble Data'!$N$24:$N$1023,0))</f>
        <v>C2</v>
      </c>
      <c r="D552" s="13">
        <f>SUMIF('Assemble Data'!H:H,'Assemble Data'!A553,'Assemble Data'!I:I)</f>
        <v>11</v>
      </c>
      <c r="E552" s="13">
        <f>IFERROR(IF(AND('Assemble Data'!D553&lt;&gt;"",'Assemble Data'!D553&lt;&gt;B552),1,0),1)</f>
        <v>0</v>
      </c>
      <c r="F552" s="13">
        <f ca="1">IF('Assemble Data'!E553="",0,IF(ISERROR(FIND("INDEX",_xlfn.FORMULATEXT('Assemble Data'!E553),1)),1,0)+IFERROR(IF(AND('Assemble Data'!E553&lt;&gt;C552,'Assemble Data'!E553&lt;&gt;""),1,0),1))</f>
        <v>0</v>
      </c>
      <c r="G552" s="13">
        <f ca="1">IF('Assemble Data'!F553="",0,IF(ISERROR(FIND("VLOOKUP",_xlfn.FORMULATEXT('Assemble Data'!F553),1)),1,0)+IFERROR(IF(AND('Assemble Data'!F553&lt;&gt;D552,'Assemble Data'!F553&lt;&gt;""),1,0),1))</f>
        <v>0</v>
      </c>
      <c r="H552" s="13">
        <f t="shared" si="32"/>
        <v>9</v>
      </c>
      <c r="I552" t="str">
        <f t="shared" si="33"/>
        <v>C2P11</v>
      </c>
    </row>
    <row r="553" spans="1:9">
      <c r="A553" t="str">
        <f>'Assemble Data'!B554</f>
        <v>P16</v>
      </c>
      <c r="B553" s="13">
        <f>IFERROR(SUMIF('Assemble Data'!K:K,'Assemble Data'!A554,'Assemble Data'!L:L),0)</f>
        <v>4680</v>
      </c>
      <c r="C553" s="13" t="str">
        <f>INDEX('Assemble Data'!$O$24:$O$1023,MATCH('Assemble Data'!A554,'Assemble Data'!$N$24:$N$1023,0))</f>
        <v>N2</v>
      </c>
      <c r="D553" s="13">
        <f>SUMIF('Assemble Data'!H:H,'Assemble Data'!A554,'Assemble Data'!I:I)</f>
        <v>4</v>
      </c>
      <c r="E553" s="13">
        <f>IFERROR(IF(AND('Assemble Data'!D554&lt;&gt;"",'Assemble Data'!D554&lt;&gt;B553),1,0),1)</f>
        <v>0</v>
      </c>
      <c r="F553" s="13">
        <f ca="1">IF('Assemble Data'!E554="",0,IF(ISERROR(FIND("INDEX",_xlfn.FORMULATEXT('Assemble Data'!E554),1)),1,0)+IFERROR(IF(AND('Assemble Data'!E554&lt;&gt;C553,'Assemble Data'!E554&lt;&gt;""),1,0),1))</f>
        <v>0</v>
      </c>
      <c r="G553" s="13">
        <f ca="1">IF('Assemble Data'!F554="",0,IF(ISERROR(FIND("VLOOKUP",_xlfn.FORMULATEXT('Assemble Data'!F554),1)),1,0)+IFERROR(IF(AND('Assemble Data'!F554&lt;&gt;D553,'Assemble Data'!F554&lt;&gt;""),1,0),1))</f>
        <v>0</v>
      </c>
      <c r="H553" s="13">
        <f t="shared" si="32"/>
        <v>0</v>
      </c>
      <c r="I553" t="str">
        <f t="shared" si="33"/>
        <v>N2P16</v>
      </c>
    </row>
    <row r="554" spans="1:9">
      <c r="A554" t="str">
        <f>'Assemble Data'!B555</f>
        <v>P17</v>
      </c>
      <c r="B554" s="13">
        <f>IFERROR(SUMIF('Assemble Data'!K:K,'Assemble Data'!A555,'Assemble Data'!L:L),0)</f>
        <v>13200.000000000002</v>
      </c>
      <c r="C554" s="13" t="str">
        <f>INDEX('Assemble Data'!$O$24:$O$1023,MATCH('Assemble Data'!A555,'Assemble Data'!$N$24:$N$1023,0))</f>
        <v>O2</v>
      </c>
      <c r="D554" s="13">
        <f>SUMIF('Assemble Data'!H:H,'Assemble Data'!A555,'Assemble Data'!I:I)</f>
        <v>12</v>
      </c>
      <c r="E554" s="13">
        <f>IFERROR(IF(AND('Assemble Data'!D555&lt;&gt;"",'Assemble Data'!D555&lt;&gt;B554),1,0),1)</f>
        <v>0</v>
      </c>
      <c r="F554" s="13">
        <f ca="1">IF('Assemble Data'!E555="",0,IF(ISERROR(FIND("INDEX",_xlfn.FORMULATEXT('Assemble Data'!E555),1)),1,0)+IFERROR(IF(AND('Assemble Data'!E555&lt;&gt;C554,'Assemble Data'!E555&lt;&gt;""),1,0),1))</f>
        <v>0</v>
      </c>
      <c r="G554" s="13">
        <f ca="1">IF('Assemble Data'!F555="",0,IF(ISERROR(FIND("VLOOKUP",_xlfn.FORMULATEXT('Assemble Data'!F555),1)),1,0)+IFERROR(IF(AND('Assemble Data'!F555&lt;&gt;D554,'Assemble Data'!F555&lt;&gt;""),1,0),1))</f>
        <v>0</v>
      </c>
      <c r="H554" s="13">
        <f t="shared" si="32"/>
        <v>6</v>
      </c>
      <c r="I554" t="str">
        <f t="shared" si="33"/>
        <v>O2P17</v>
      </c>
    </row>
    <row r="555" spans="1:9">
      <c r="A555" t="str">
        <f>'Assemble Data'!B556</f>
        <v>P17</v>
      </c>
      <c r="B555" s="13">
        <f>IFERROR(SUMIF('Assemble Data'!K:K,'Assemble Data'!A556,'Assemble Data'!L:L),0)</f>
        <v>13200.000000000002</v>
      </c>
      <c r="C555" s="13" t="str">
        <f>INDEX('Assemble Data'!$O$24:$O$1023,MATCH('Assemble Data'!A556,'Assemble Data'!$N$24:$N$1023,0))</f>
        <v>O2</v>
      </c>
      <c r="D555" s="13">
        <f>SUMIF('Assemble Data'!H:H,'Assemble Data'!A556,'Assemble Data'!I:I)</f>
        <v>12</v>
      </c>
      <c r="E555" s="13">
        <f>IFERROR(IF(AND('Assemble Data'!D556&lt;&gt;"",'Assemble Data'!D556&lt;&gt;B555),1,0),1)</f>
        <v>0</v>
      </c>
      <c r="F555" s="13">
        <f ca="1">IF('Assemble Data'!E556="",0,IF(ISERROR(FIND("INDEX",_xlfn.FORMULATEXT('Assemble Data'!E556),1)),1,0)+IFERROR(IF(AND('Assemble Data'!E556&lt;&gt;C555,'Assemble Data'!E556&lt;&gt;""),1,0),1))</f>
        <v>0</v>
      </c>
      <c r="G555" s="13">
        <f ca="1">IF('Assemble Data'!F556="",0,IF(ISERROR(FIND("VLOOKUP",_xlfn.FORMULATEXT('Assemble Data'!F556),1)),1,0)+IFERROR(IF(AND('Assemble Data'!F556&lt;&gt;D555,'Assemble Data'!F556&lt;&gt;""),1,0),1))</f>
        <v>0</v>
      </c>
      <c r="H555" s="13">
        <f t="shared" si="32"/>
        <v>6</v>
      </c>
      <c r="I555" t="str">
        <f t="shared" si="33"/>
        <v>O2P17</v>
      </c>
    </row>
    <row r="556" spans="1:9">
      <c r="A556" t="str">
        <f>'Assemble Data'!B557</f>
        <v>P13</v>
      </c>
      <c r="B556" s="13">
        <f>IFERROR(SUMIF('Assemble Data'!K:K,'Assemble Data'!A557,'Assemble Data'!L:L),0)</f>
        <v>4500</v>
      </c>
      <c r="C556" s="13" t="str">
        <f>INDEX('Assemble Data'!$O$24:$O$1023,MATCH('Assemble Data'!A557,'Assemble Data'!$N$24:$N$1023,0))</f>
        <v>C2</v>
      </c>
      <c r="D556" s="13">
        <f>SUMIF('Assemble Data'!H:H,'Assemble Data'!A557,'Assemble Data'!I:I)</f>
        <v>5</v>
      </c>
      <c r="E556" s="13">
        <f>IFERROR(IF(AND('Assemble Data'!D557&lt;&gt;"",'Assemble Data'!D557&lt;&gt;B556),1,0),1)</f>
        <v>0</v>
      </c>
      <c r="F556" s="13">
        <f ca="1">IF('Assemble Data'!E557="",0,IF(ISERROR(FIND("INDEX",_xlfn.FORMULATEXT('Assemble Data'!E557),1)),1,0)+IFERROR(IF(AND('Assemble Data'!E557&lt;&gt;C556,'Assemble Data'!E557&lt;&gt;""),1,0),1))</f>
        <v>0</v>
      </c>
      <c r="G556" s="13">
        <f ca="1">IF('Assemble Data'!F557="",0,IF(ISERROR(FIND("VLOOKUP",_xlfn.FORMULATEXT('Assemble Data'!F557),1)),1,0)+IFERROR(IF(AND('Assemble Data'!F557&lt;&gt;D556,'Assemble Data'!F557&lt;&gt;""),1,0),1))</f>
        <v>0</v>
      </c>
      <c r="H556" s="13">
        <f t="shared" si="32"/>
        <v>3</v>
      </c>
      <c r="I556" t="str">
        <f t="shared" si="33"/>
        <v>C2P13</v>
      </c>
    </row>
    <row r="557" spans="1:9">
      <c r="A557" t="str">
        <f>'Assemble Data'!B558</f>
        <v>P11</v>
      </c>
      <c r="B557" s="13">
        <f>IFERROR(SUMIF('Assemble Data'!K:K,'Assemble Data'!A558,'Assemble Data'!L:L),0)</f>
        <v>11000</v>
      </c>
      <c r="C557" s="13" t="str">
        <f>INDEX('Assemble Data'!$O$24:$O$1023,MATCH('Assemble Data'!A558,'Assemble Data'!$N$24:$N$1023,0))</f>
        <v>C2</v>
      </c>
      <c r="D557" s="13">
        <f>SUMIF('Assemble Data'!H:H,'Assemble Data'!A558,'Assemble Data'!I:I)</f>
        <v>11</v>
      </c>
      <c r="E557" s="13">
        <f>IFERROR(IF(AND('Assemble Data'!D558&lt;&gt;"",'Assemble Data'!D558&lt;&gt;B557),1,0),1)</f>
        <v>0</v>
      </c>
      <c r="F557" s="13">
        <f ca="1">IF('Assemble Data'!E558="",0,IF(ISERROR(FIND("INDEX",_xlfn.FORMULATEXT('Assemble Data'!E558),1)),1,0)+IFERROR(IF(AND('Assemble Data'!E558&lt;&gt;C557,'Assemble Data'!E558&lt;&gt;""),1,0),1))</f>
        <v>0</v>
      </c>
      <c r="G557" s="13">
        <f ca="1">IF('Assemble Data'!F558="",0,IF(ISERROR(FIND("VLOOKUP",_xlfn.FORMULATEXT('Assemble Data'!F558),1)),1,0)+IFERROR(IF(AND('Assemble Data'!F558&lt;&gt;D557,'Assemble Data'!F558&lt;&gt;""),1,0),1))</f>
        <v>0</v>
      </c>
      <c r="H557" s="13">
        <f t="shared" si="32"/>
        <v>9</v>
      </c>
      <c r="I557" t="str">
        <f t="shared" si="33"/>
        <v>C2P11</v>
      </c>
    </row>
    <row r="558" spans="1:9">
      <c r="A558" t="str">
        <f>'Assemble Data'!B559</f>
        <v>P11</v>
      </c>
      <c r="B558" s="13">
        <f>IFERROR(SUMIF('Assemble Data'!K:K,'Assemble Data'!A559,'Assemble Data'!L:L),0)</f>
        <v>11000</v>
      </c>
      <c r="C558" s="13" t="str">
        <f>INDEX('Assemble Data'!$O$24:$O$1023,MATCH('Assemble Data'!A559,'Assemble Data'!$N$24:$N$1023,0))</f>
        <v>C2</v>
      </c>
      <c r="D558" s="13">
        <f>SUMIF('Assemble Data'!H:H,'Assemble Data'!A559,'Assemble Data'!I:I)</f>
        <v>11</v>
      </c>
      <c r="E558" s="13">
        <f>IFERROR(IF(AND('Assemble Data'!D559&lt;&gt;"",'Assemble Data'!D559&lt;&gt;B558),1,0),1)</f>
        <v>0</v>
      </c>
      <c r="F558" s="13">
        <f ca="1">IF('Assemble Data'!E559="",0,IF(ISERROR(FIND("INDEX",_xlfn.FORMULATEXT('Assemble Data'!E559),1)),1,0)+IFERROR(IF(AND('Assemble Data'!E559&lt;&gt;C558,'Assemble Data'!E559&lt;&gt;""),1,0),1))</f>
        <v>0</v>
      </c>
      <c r="G558" s="13">
        <f ca="1">IF('Assemble Data'!F559="",0,IF(ISERROR(FIND("VLOOKUP",_xlfn.FORMULATEXT('Assemble Data'!F559),1)),1,0)+IFERROR(IF(AND('Assemble Data'!F559&lt;&gt;D558,'Assemble Data'!F559&lt;&gt;""),1,0),1))</f>
        <v>0</v>
      </c>
      <c r="H558" s="13">
        <f t="shared" si="32"/>
        <v>9</v>
      </c>
      <c r="I558" t="str">
        <f t="shared" si="33"/>
        <v>C2P11</v>
      </c>
    </row>
    <row r="559" spans="1:9">
      <c r="A559" t="str">
        <f>'Assemble Data'!B560</f>
        <v>P12</v>
      </c>
      <c r="B559" s="13">
        <f>IFERROR(SUMIF('Assemble Data'!K:K,'Assemble Data'!A560,'Assemble Data'!L:L),0)</f>
        <v>6825</v>
      </c>
      <c r="C559" s="13" t="str">
        <f>INDEX('Assemble Data'!$O$24:$O$1023,MATCH('Assemble Data'!A560,'Assemble Data'!$N$24:$N$1023,0))</f>
        <v>C2</v>
      </c>
      <c r="D559" s="13">
        <f>SUMIF('Assemble Data'!H:H,'Assemble Data'!A560,'Assemble Data'!I:I)</f>
        <v>6.5</v>
      </c>
      <c r="E559" s="13">
        <f>IFERROR(IF(AND('Assemble Data'!D560&lt;&gt;"",'Assemble Data'!D560&lt;&gt;B559),1,0),1)</f>
        <v>0</v>
      </c>
      <c r="F559" s="13">
        <f ca="1">IF('Assemble Data'!E560="",0,IF(ISERROR(FIND("INDEX",_xlfn.FORMULATEXT('Assemble Data'!E560),1)),1,0)+IFERROR(IF(AND('Assemble Data'!E560&lt;&gt;C559,'Assemble Data'!E560&lt;&gt;""),1,0),1))</f>
        <v>0</v>
      </c>
      <c r="G559" s="13">
        <f ca="1">IF('Assemble Data'!F560="",0,IF(ISERROR(FIND("VLOOKUP",_xlfn.FORMULATEXT('Assemble Data'!F560),1)),1,0)+IFERROR(IF(AND('Assemble Data'!F560&lt;&gt;D559,'Assemble Data'!F560&lt;&gt;""),1,0),1))</f>
        <v>0</v>
      </c>
      <c r="H559" s="13">
        <f t="shared" si="32"/>
        <v>7</v>
      </c>
      <c r="I559" t="str">
        <f t="shared" si="33"/>
        <v>C2P12</v>
      </c>
    </row>
    <row r="560" spans="1:9">
      <c r="A560" t="str">
        <f>'Assemble Data'!B561</f>
        <v>P10</v>
      </c>
      <c r="B560" s="13">
        <f>IFERROR(SUMIF('Assemble Data'!K:K,'Assemble Data'!A561,'Assemble Data'!L:L),0)</f>
        <v>4800</v>
      </c>
      <c r="C560" s="13" t="str">
        <f>INDEX('Assemble Data'!$O$24:$O$1023,MATCH('Assemble Data'!A561,'Assemble Data'!$N$24:$N$1023,0))</f>
        <v>C2</v>
      </c>
      <c r="D560" s="13">
        <f>SUMIF('Assemble Data'!H:H,'Assemble Data'!A561,'Assemble Data'!I:I)</f>
        <v>3</v>
      </c>
      <c r="E560" s="13">
        <f>IFERROR(IF(AND('Assemble Data'!D561&lt;&gt;"",'Assemble Data'!D561&lt;&gt;B560),1,0),1)</f>
        <v>0</v>
      </c>
      <c r="F560" s="13">
        <f ca="1">IF('Assemble Data'!E561="",0,IF(ISERROR(FIND("INDEX",_xlfn.FORMULATEXT('Assemble Data'!E561),1)),1,0)+IFERROR(IF(AND('Assemble Data'!E561&lt;&gt;C560,'Assemble Data'!E561&lt;&gt;""),1,0),1))</f>
        <v>0</v>
      </c>
      <c r="G560" s="13">
        <f ca="1">IF('Assemble Data'!F561="",0,IF(ISERROR(FIND("VLOOKUP",_xlfn.FORMULATEXT('Assemble Data'!F561),1)),1,0)+IFERROR(IF(AND('Assemble Data'!F561&lt;&gt;D560,'Assemble Data'!F561&lt;&gt;""),1,0),1))</f>
        <v>0</v>
      </c>
      <c r="H560" s="13">
        <f t="shared" si="32"/>
        <v>8</v>
      </c>
      <c r="I560" t="str">
        <f t="shared" si="33"/>
        <v>C2P10</v>
      </c>
    </row>
    <row r="561" spans="1:9">
      <c r="A561" t="str">
        <f>'Assemble Data'!B562</f>
        <v>P10</v>
      </c>
      <c r="B561" s="13">
        <f>IFERROR(SUMIF('Assemble Data'!K:K,'Assemble Data'!A562,'Assemble Data'!L:L),0)</f>
        <v>2400</v>
      </c>
      <c r="C561" s="13" t="str">
        <f>INDEX('Assemble Data'!$O$24:$O$1023,MATCH('Assemble Data'!A562,'Assemble Data'!$N$24:$N$1023,0))</f>
        <v>C2</v>
      </c>
      <c r="D561" s="13">
        <f>SUMIF('Assemble Data'!H:H,'Assemble Data'!A562,'Assemble Data'!I:I)</f>
        <v>3</v>
      </c>
      <c r="E561" s="13">
        <f>IFERROR(IF(AND('Assemble Data'!D562&lt;&gt;"",'Assemble Data'!D562&lt;&gt;B561),1,0),1)</f>
        <v>0</v>
      </c>
      <c r="F561" s="13">
        <f ca="1">IF('Assemble Data'!E562="",0,IF(ISERROR(FIND("INDEX",_xlfn.FORMULATEXT('Assemble Data'!E562),1)),1,0)+IFERROR(IF(AND('Assemble Data'!E562&lt;&gt;C561,'Assemble Data'!E562&lt;&gt;""),1,0),1))</f>
        <v>0</v>
      </c>
      <c r="G561" s="13">
        <f ca="1">IF('Assemble Data'!F562="",0,IF(ISERROR(FIND("VLOOKUP",_xlfn.FORMULATEXT('Assemble Data'!F562),1)),1,0)+IFERROR(IF(AND('Assemble Data'!F562&lt;&gt;D561,'Assemble Data'!F562&lt;&gt;""),1,0),1))</f>
        <v>0</v>
      </c>
      <c r="H561" s="13">
        <f t="shared" si="32"/>
        <v>8</v>
      </c>
      <c r="I561" t="str">
        <f t="shared" si="33"/>
        <v>C2P10</v>
      </c>
    </row>
    <row r="562" spans="1:9">
      <c r="A562" t="str">
        <f>'Assemble Data'!B563</f>
        <v>P11</v>
      </c>
      <c r="B562" s="13">
        <f>IFERROR(SUMIF('Assemble Data'!K:K,'Assemble Data'!A563,'Assemble Data'!L:L),0)</f>
        <v>11000</v>
      </c>
      <c r="C562" s="13" t="str">
        <f>INDEX('Assemble Data'!$O$24:$O$1023,MATCH('Assemble Data'!A563,'Assemble Data'!$N$24:$N$1023,0))</f>
        <v>C2</v>
      </c>
      <c r="D562" s="13">
        <f>SUMIF('Assemble Data'!H:H,'Assemble Data'!A563,'Assemble Data'!I:I)</f>
        <v>11</v>
      </c>
      <c r="E562" s="13">
        <f>IFERROR(IF(AND('Assemble Data'!D563&lt;&gt;"",'Assemble Data'!D563&lt;&gt;B562),1,0),1)</f>
        <v>0</v>
      </c>
      <c r="F562" s="13">
        <f ca="1">IF('Assemble Data'!E563="",0,IF(ISERROR(FIND("INDEX",_xlfn.FORMULATEXT('Assemble Data'!E563),1)),1,0)+IFERROR(IF(AND('Assemble Data'!E563&lt;&gt;C562,'Assemble Data'!E563&lt;&gt;""),1,0),1))</f>
        <v>0</v>
      </c>
      <c r="G562" s="13">
        <f ca="1">IF('Assemble Data'!F563="",0,IF(ISERROR(FIND("VLOOKUP",_xlfn.FORMULATEXT('Assemble Data'!F563),1)),1,0)+IFERROR(IF(AND('Assemble Data'!F563&lt;&gt;D562,'Assemble Data'!F563&lt;&gt;""),1,0),1))</f>
        <v>0</v>
      </c>
      <c r="H562" s="13">
        <f t="shared" si="32"/>
        <v>9</v>
      </c>
      <c r="I562" t="str">
        <f t="shared" si="33"/>
        <v>C2P11</v>
      </c>
    </row>
    <row r="563" spans="1:9">
      <c r="A563" t="str">
        <f>'Assemble Data'!B564</f>
        <v>P18</v>
      </c>
      <c r="B563" s="13">
        <f>IFERROR(SUMIF('Assemble Data'!K:K,'Assemble Data'!A564,'Assemble Data'!L:L),0)</f>
        <v>5940.0000000000009</v>
      </c>
      <c r="C563" s="13" t="str">
        <f>INDEX('Assemble Data'!$O$24:$O$1023,MATCH('Assemble Data'!A564,'Assemble Data'!$N$24:$N$1023,0))</f>
        <v>O2</v>
      </c>
      <c r="D563" s="13">
        <f>SUMIF('Assemble Data'!H:H,'Assemble Data'!A564,'Assemble Data'!I:I)</f>
        <v>6</v>
      </c>
      <c r="E563" s="13">
        <f>IFERROR(IF(AND('Assemble Data'!D564&lt;&gt;"",'Assemble Data'!D564&lt;&gt;B563),1,0),1)</f>
        <v>0</v>
      </c>
      <c r="F563" s="13">
        <f ca="1">IF('Assemble Data'!E564="",0,IF(ISERROR(FIND("INDEX",_xlfn.FORMULATEXT('Assemble Data'!E564),1)),1,0)+IFERROR(IF(AND('Assemble Data'!E564&lt;&gt;C563,'Assemble Data'!E564&lt;&gt;""),1,0),1))</f>
        <v>0</v>
      </c>
      <c r="G563" s="13">
        <f ca="1">IF('Assemble Data'!F564="",0,IF(ISERROR(FIND("VLOOKUP",_xlfn.FORMULATEXT('Assemble Data'!F564),1)),1,0)+IFERROR(IF(AND('Assemble Data'!F564&lt;&gt;D563,'Assemble Data'!F564&lt;&gt;""),1,0),1))</f>
        <v>0</v>
      </c>
      <c r="H563" s="13">
        <f t="shared" si="32"/>
        <v>2</v>
      </c>
      <c r="I563" t="str">
        <f t="shared" si="33"/>
        <v>O2P18</v>
      </c>
    </row>
    <row r="564" spans="1:9">
      <c r="A564" t="str">
        <f>'Assemble Data'!B565</f>
        <v>P14</v>
      </c>
      <c r="B564" s="13">
        <f>IFERROR(SUMIF('Assemble Data'!K:K,'Assemble Data'!A565,'Assemble Data'!L:L),0)</f>
        <v>6480</v>
      </c>
      <c r="C564" s="13" t="str">
        <f>INDEX('Assemble Data'!$O$24:$O$1023,MATCH('Assemble Data'!A565,'Assemble Data'!$N$24:$N$1023,0))</f>
        <v>N2</v>
      </c>
      <c r="D564" s="13">
        <f>SUMIF('Assemble Data'!H:H,'Assemble Data'!A565,'Assemble Data'!I:I)</f>
        <v>8</v>
      </c>
      <c r="E564" s="13">
        <f>IFERROR(IF(AND('Assemble Data'!D565&lt;&gt;"",'Assemble Data'!D565&lt;&gt;B564),1,0),1)</f>
        <v>0</v>
      </c>
      <c r="F564" s="13">
        <f ca="1">IF('Assemble Data'!E565="",0,IF(ISERROR(FIND("INDEX",_xlfn.FORMULATEXT('Assemble Data'!E565),1)),1,0)+IFERROR(IF(AND('Assemble Data'!E565&lt;&gt;C564,'Assemble Data'!E565&lt;&gt;""),1,0),1))</f>
        <v>0</v>
      </c>
      <c r="G564" s="13">
        <f ca="1">IF('Assemble Data'!F565="",0,IF(ISERROR(FIND("VLOOKUP",_xlfn.FORMULATEXT('Assemble Data'!F565),1)),1,0)+IFERROR(IF(AND('Assemble Data'!F565&lt;&gt;D564,'Assemble Data'!F565&lt;&gt;""),1,0),1))</f>
        <v>0</v>
      </c>
      <c r="H564" s="13">
        <f t="shared" si="32"/>
        <v>5</v>
      </c>
      <c r="I564" t="str">
        <f t="shared" si="33"/>
        <v>N2P14</v>
      </c>
    </row>
    <row r="565" spans="1:9">
      <c r="A565" t="str">
        <f>'Assemble Data'!B566</f>
        <v>P10</v>
      </c>
      <c r="B565" s="13">
        <f>IFERROR(SUMIF('Assemble Data'!K:K,'Assemble Data'!A566,'Assemble Data'!L:L),0)</f>
        <v>2400</v>
      </c>
      <c r="C565" s="13" t="str">
        <f>INDEX('Assemble Data'!$O$24:$O$1023,MATCH('Assemble Data'!A566,'Assemble Data'!$N$24:$N$1023,0))</f>
        <v>C2</v>
      </c>
      <c r="D565" s="13">
        <f>SUMIF('Assemble Data'!H:H,'Assemble Data'!A566,'Assemble Data'!I:I)</f>
        <v>3</v>
      </c>
      <c r="E565" s="13">
        <f>IFERROR(IF(AND('Assemble Data'!D566&lt;&gt;"",'Assemble Data'!D566&lt;&gt;B565),1,0),1)</f>
        <v>0</v>
      </c>
      <c r="F565" s="13">
        <f ca="1">IF('Assemble Data'!E566="",0,IF(ISERROR(FIND("INDEX",_xlfn.FORMULATEXT('Assemble Data'!E566),1)),1,0)+IFERROR(IF(AND('Assemble Data'!E566&lt;&gt;C565,'Assemble Data'!E566&lt;&gt;""),1,0),1))</f>
        <v>0</v>
      </c>
      <c r="G565" s="13">
        <f ca="1">IF('Assemble Data'!F566="",0,IF(ISERROR(FIND("VLOOKUP",_xlfn.FORMULATEXT('Assemble Data'!F566),1)),1,0)+IFERROR(IF(AND('Assemble Data'!F566&lt;&gt;D565,'Assemble Data'!F566&lt;&gt;""),1,0),1))</f>
        <v>0</v>
      </c>
      <c r="H565" s="13">
        <f t="shared" si="32"/>
        <v>8</v>
      </c>
      <c r="I565" t="str">
        <f t="shared" si="33"/>
        <v>C2P10</v>
      </c>
    </row>
    <row r="566" spans="1:9">
      <c r="A566" t="str">
        <f>'Assemble Data'!B567</f>
        <v>P13</v>
      </c>
      <c r="B566" s="13">
        <f>IFERROR(SUMIF('Assemble Data'!K:K,'Assemble Data'!A567,'Assemble Data'!L:L),0)</f>
        <v>4500</v>
      </c>
      <c r="C566" s="13" t="str">
        <f>INDEX('Assemble Data'!$O$24:$O$1023,MATCH('Assemble Data'!A567,'Assemble Data'!$N$24:$N$1023,0))</f>
        <v>C2</v>
      </c>
      <c r="D566" s="13">
        <f>SUMIF('Assemble Data'!H:H,'Assemble Data'!A567,'Assemble Data'!I:I)</f>
        <v>5</v>
      </c>
      <c r="E566" s="13">
        <f>IFERROR(IF(AND('Assemble Data'!D567&lt;&gt;"",'Assemble Data'!D567&lt;&gt;B566),1,0),1)</f>
        <v>0</v>
      </c>
      <c r="F566" s="13">
        <f ca="1">IF('Assemble Data'!E567="",0,IF(ISERROR(FIND("INDEX",_xlfn.FORMULATEXT('Assemble Data'!E567),1)),1,0)+IFERROR(IF(AND('Assemble Data'!E567&lt;&gt;C566,'Assemble Data'!E567&lt;&gt;""),1,0),1))</f>
        <v>0</v>
      </c>
      <c r="G566" s="13">
        <f ca="1">IF('Assemble Data'!F567="",0,IF(ISERROR(FIND("VLOOKUP",_xlfn.FORMULATEXT('Assemble Data'!F567),1)),1,0)+IFERROR(IF(AND('Assemble Data'!F567&lt;&gt;D566,'Assemble Data'!F567&lt;&gt;""),1,0),1))</f>
        <v>0</v>
      </c>
      <c r="H566" s="13">
        <f t="shared" si="32"/>
        <v>3</v>
      </c>
      <c r="I566" t="str">
        <f t="shared" si="33"/>
        <v>C2P13</v>
      </c>
    </row>
    <row r="567" spans="1:9">
      <c r="A567" t="str">
        <f>'Assemble Data'!B568</f>
        <v>P13</v>
      </c>
      <c r="B567" s="13">
        <f>IFERROR(SUMIF('Assemble Data'!K:K,'Assemble Data'!A568,'Assemble Data'!L:L),0)</f>
        <v>4500</v>
      </c>
      <c r="C567" s="13" t="str">
        <f>INDEX('Assemble Data'!$O$24:$O$1023,MATCH('Assemble Data'!A568,'Assemble Data'!$N$24:$N$1023,0))</f>
        <v>C2</v>
      </c>
      <c r="D567" s="13">
        <f>SUMIF('Assemble Data'!H:H,'Assemble Data'!A568,'Assemble Data'!I:I)</f>
        <v>5</v>
      </c>
      <c r="E567" s="13">
        <f>IFERROR(IF(AND('Assemble Data'!D568&lt;&gt;"",'Assemble Data'!D568&lt;&gt;B567),1,0),1)</f>
        <v>0</v>
      </c>
      <c r="F567" s="13">
        <f ca="1">IF('Assemble Data'!E568="",0,IF(ISERROR(FIND("INDEX",_xlfn.FORMULATEXT('Assemble Data'!E568),1)),1,0)+IFERROR(IF(AND('Assemble Data'!E568&lt;&gt;C567,'Assemble Data'!E568&lt;&gt;""),1,0),1))</f>
        <v>0</v>
      </c>
      <c r="G567" s="13">
        <f ca="1">IF('Assemble Data'!F568="",0,IF(ISERROR(FIND("VLOOKUP",_xlfn.FORMULATEXT('Assemble Data'!F568),1)),1,0)+IFERROR(IF(AND('Assemble Data'!F568&lt;&gt;D567,'Assemble Data'!F568&lt;&gt;""),1,0),1))</f>
        <v>0</v>
      </c>
      <c r="H567" s="13">
        <f t="shared" si="32"/>
        <v>3</v>
      </c>
      <c r="I567" t="str">
        <f t="shared" si="33"/>
        <v>C2P13</v>
      </c>
    </row>
    <row r="568" spans="1:9">
      <c r="A568" t="str">
        <f>'Assemble Data'!B569</f>
        <v>P10</v>
      </c>
      <c r="B568" s="13">
        <f>IFERROR(SUMIF('Assemble Data'!K:K,'Assemble Data'!A569,'Assemble Data'!L:L),0)</f>
        <v>2400</v>
      </c>
      <c r="C568" s="13" t="str">
        <f>INDEX('Assemble Data'!$O$24:$O$1023,MATCH('Assemble Data'!A569,'Assemble Data'!$N$24:$N$1023,0))</f>
        <v>C2</v>
      </c>
      <c r="D568" s="13">
        <f>SUMIF('Assemble Data'!H:H,'Assemble Data'!A569,'Assemble Data'!I:I)</f>
        <v>3</v>
      </c>
      <c r="E568" s="13">
        <f>IFERROR(IF(AND('Assemble Data'!D569&lt;&gt;"",'Assemble Data'!D569&lt;&gt;B568),1,0),1)</f>
        <v>0</v>
      </c>
      <c r="F568" s="13">
        <f ca="1">IF('Assemble Data'!E569="",0,IF(ISERROR(FIND("INDEX",_xlfn.FORMULATEXT('Assemble Data'!E569),1)),1,0)+IFERROR(IF(AND('Assemble Data'!E569&lt;&gt;C568,'Assemble Data'!E569&lt;&gt;""),1,0),1))</f>
        <v>0</v>
      </c>
      <c r="G568" s="13">
        <f ca="1">IF('Assemble Data'!F569="",0,IF(ISERROR(FIND("VLOOKUP",_xlfn.FORMULATEXT('Assemble Data'!F569),1)),1,0)+IFERROR(IF(AND('Assemble Data'!F569&lt;&gt;D568,'Assemble Data'!F569&lt;&gt;""),1,0),1))</f>
        <v>0</v>
      </c>
      <c r="H568" s="13">
        <f t="shared" si="32"/>
        <v>8</v>
      </c>
      <c r="I568" t="str">
        <f t="shared" si="33"/>
        <v>C2P10</v>
      </c>
    </row>
    <row r="569" spans="1:9">
      <c r="A569" t="str">
        <f>'Assemble Data'!B570</f>
        <v>P11</v>
      </c>
      <c r="B569" s="13">
        <f>IFERROR(SUMIF('Assemble Data'!K:K,'Assemble Data'!A570,'Assemble Data'!L:L),0)</f>
        <v>11000</v>
      </c>
      <c r="C569" s="13" t="str">
        <f>INDEX('Assemble Data'!$O$24:$O$1023,MATCH('Assemble Data'!A570,'Assemble Data'!$N$24:$N$1023,0))</f>
        <v>C2</v>
      </c>
      <c r="D569" s="13">
        <f>SUMIF('Assemble Data'!H:H,'Assemble Data'!A570,'Assemble Data'!I:I)</f>
        <v>11</v>
      </c>
      <c r="E569" s="13">
        <f>IFERROR(IF(AND('Assemble Data'!D570&lt;&gt;"",'Assemble Data'!D570&lt;&gt;B569),1,0),1)</f>
        <v>0</v>
      </c>
      <c r="F569" s="13">
        <f ca="1">IF('Assemble Data'!E570="",0,IF(ISERROR(FIND("INDEX",_xlfn.FORMULATEXT('Assemble Data'!E570),1)),1,0)+IFERROR(IF(AND('Assemble Data'!E570&lt;&gt;C569,'Assemble Data'!E570&lt;&gt;""),1,0),1))</f>
        <v>0</v>
      </c>
      <c r="G569" s="13">
        <f ca="1">IF('Assemble Data'!F570="",0,IF(ISERROR(FIND("VLOOKUP",_xlfn.FORMULATEXT('Assemble Data'!F570),1)),1,0)+IFERROR(IF(AND('Assemble Data'!F570&lt;&gt;D569,'Assemble Data'!F570&lt;&gt;""),1,0),1))</f>
        <v>0</v>
      </c>
      <c r="H569" s="13">
        <f t="shared" si="32"/>
        <v>9</v>
      </c>
      <c r="I569" t="str">
        <f t="shared" si="33"/>
        <v>C2P11</v>
      </c>
    </row>
    <row r="570" spans="1:9">
      <c r="A570" t="str">
        <f>'Assemble Data'!B571</f>
        <v>P16</v>
      </c>
      <c r="B570" s="13">
        <f>IFERROR(SUMIF('Assemble Data'!K:K,'Assemble Data'!A571,'Assemble Data'!L:L),0)</f>
        <v>4680</v>
      </c>
      <c r="C570" s="13" t="str">
        <f>INDEX('Assemble Data'!$O$24:$O$1023,MATCH('Assemble Data'!A571,'Assemble Data'!$N$24:$N$1023,0))</f>
        <v>N2</v>
      </c>
      <c r="D570" s="13">
        <f>SUMIF('Assemble Data'!H:H,'Assemble Data'!A571,'Assemble Data'!I:I)</f>
        <v>4</v>
      </c>
      <c r="E570" s="13">
        <f>IFERROR(IF(AND('Assemble Data'!D571&lt;&gt;"",'Assemble Data'!D571&lt;&gt;B570),1,0),1)</f>
        <v>0</v>
      </c>
      <c r="F570" s="13">
        <f ca="1">IF('Assemble Data'!E571="",0,IF(ISERROR(FIND("INDEX",_xlfn.FORMULATEXT('Assemble Data'!E571),1)),1,0)+IFERROR(IF(AND('Assemble Data'!E571&lt;&gt;C570,'Assemble Data'!E571&lt;&gt;""),1,0),1))</f>
        <v>0</v>
      </c>
      <c r="G570" s="13">
        <f ca="1">IF('Assemble Data'!F571="",0,IF(ISERROR(FIND("VLOOKUP",_xlfn.FORMULATEXT('Assemble Data'!F571),1)),1,0)+IFERROR(IF(AND('Assemble Data'!F571&lt;&gt;D570,'Assemble Data'!F571&lt;&gt;""),1,0),1))</f>
        <v>0</v>
      </c>
      <c r="H570" s="13">
        <f t="shared" si="32"/>
        <v>0</v>
      </c>
      <c r="I570" t="str">
        <f t="shared" si="33"/>
        <v>N2P16</v>
      </c>
    </row>
    <row r="571" spans="1:9">
      <c r="A571" t="str">
        <f>'Assemble Data'!B572</f>
        <v>P17</v>
      </c>
      <c r="B571" s="13">
        <f>IFERROR(SUMIF('Assemble Data'!K:K,'Assemble Data'!A572,'Assemble Data'!L:L),0)</f>
        <v>13200.000000000002</v>
      </c>
      <c r="C571" s="13" t="str">
        <f>INDEX('Assemble Data'!$O$24:$O$1023,MATCH('Assemble Data'!A572,'Assemble Data'!$N$24:$N$1023,0))</f>
        <v>O2</v>
      </c>
      <c r="D571" s="13">
        <f>SUMIF('Assemble Data'!H:H,'Assemble Data'!A572,'Assemble Data'!I:I)</f>
        <v>12</v>
      </c>
      <c r="E571" s="13">
        <f>IFERROR(IF(AND('Assemble Data'!D572&lt;&gt;"",'Assemble Data'!D572&lt;&gt;B571),1,0),1)</f>
        <v>0</v>
      </c>
      <c r="F571" s="13">
        <f ca="1">IF('Assemble Data'!E572="",0,IF(ISERROR(FIND("INDEX",_xlfn.FORMULATEXT('Assemble Data'!E572),1)),1,0)+IFERROR(IF(AND('Assemble Data'!E572&lt;&gt;C571,'Assemble Data'!E572&lt;&gt;""),1,0),1))</f>
        <v>0</v>
      </c>
      <c r="G571" s="13">
        <f ca="1">IF('Assemble Data'!F572="",0,IF(ISERROR(FIND("VLOOKUP",_xlfn.FORMULATEXT('Assemble Data'!F572),1)),1,0)+IFERROR(IF(AND('Assemble Data'!F572&lt;&gt;D571,'Assemble Data'!F572&lt;&gt;""),1,0),1))</f>
        <v>0</v>
      </c>
      <c r="H571" s="13">
        <f t="shared" ref="H571:H634" si="34">H554</f>
        <v>6</v>
      </c>
      <c r="I571" t="str">
        <f t="shared" si="33"/>
        <v>O2P17</v>
      </c>
    </row>
    <row r="572" spans="1:9">
      <c r="A572" t="str">
        <f>'Assemble Data'!B573</f>
        <v>P17</v>
      </c>
      <c r="B572" s="13">
        <f>IFERROR(SUMIF('Assemble Data'!K:K,'Assemble Data'!A573,'Assemble Data'!L:L),0)</f>
        <v>13200.000000000002</v>
      </c>
      <c r="C572" s="13" t="str">
        <f>INDEX('Assemble Data'!$O$24:$O$1023,MATCH('Assemble Data'!A573,'Assemble Data'!$N$24:$N$1023,0))</f>
        <v>O2</v>
      </c>
      <c r="D572" s="13">
        <f>SUMIF('Assemble Data'!H:H,'Assemble Data'!A573,'Assemble Data'!I:I)</f>
        <v>12</v>
      </c>
      <c r="E572" s="13">
        <f>IFERROR(IF(AND('Assemble Data'!D573&lt;&gt;"",'Assemble Data'!D573&lt;&gt;B572),1,0),1)</f>
        <v>0</v>
      </c>
      <c r="F572" s="13">
        <f ca="1">IF('Assemble Data'!E573="",0,IF(ISERROR(FIND("INDEX",_xlfn.FORMULATEXT('Assemble Data'!E573),1)),1,0)+IFERROR(IF(AND('Assemble Data'!E573&lt;&gt;C572,'Assemble Data'!E573&lt;&gt;""),1,0),1))</f>
        <v>0</v>
      </c>
      <c r="G572" s="13">
        <f ca="1">IF('Assemble Data'!F573="",0,IF(ISERROR(FIND("VLOOKUP",_xlfn.FORMULATEXT('Assemble Data'!F573),1)),1,0)+IFERROR(IF(AND('Assemble Data'!F573&lt;&gt;D572,'Assemble Data'!F573&lt;&gt;""),1,0),1))</f>
        <v>0</v>
      </c>
      <c r="H572" s="13">
        <f t="shared" si="34"/>
        <v>6</v>
      </c>
      <c r="I572" t="str">
        <f t="shared" si="33"/>
        <v>O2P17</v>
      </c>
    </row>
    <row r="573" spans="1:9">
      <c r="A573" t="str">
        <f>'Assemble Data'!B574</f>
        <v>P13</v>
      </c>
      <c r="B573" s="13">
        <f>IFERROR(SUMIF('Assemble Data'!K:K,'Assemble Data'!A574,'Assemble Data'!L:L),0)</f>
        <v>4500</v>
      </c>
      <c r="C573" s="13" t="str">
        <f>INDEX('Assemble Data'!$O$24:$O$1023,MATCH('Assemble Data'!A574,'Assemble Data'!$N$24:$N$1023,0))</f>
        <v>C2</v>
      </c>
      <c r="D573" s="13">
        <f>SUMIF('Assemble Data'!H:H,'Assemble Data'!A574,'Assemble Data'!I:I)</f>
        <v>5</v>
      </c>
      <c r="E573" s="13">
        <f>IFERROR(IF(AND('Assemble Data'!D574&lt;&gt;"",'Assemble Data'!D574&lt;&gt;B573),1,0),1)</f>
        <v>0</v>
      </c>
      <c r="F573" s="13">
        <f ca="1">IF('Assemble Data'!E574="",0,IF(ISERROR(FIND("INDEX",_xlfn.FORMULATEXT('Assemble Data'!E574),1)),1,0)+IFERROR(IF(AND('Assemble Data'!E574&lt;&gt;C573,'Assemble Data'!E574&lt;&gt;""),1,0),1))</f>
        <v>0</v>
      </c>
      <c r="G573" s="13">
        <f ca="1">IF('Assemble Data'!F574="",0,IF(ISERROR(FIND("VLOOKUP",_xlfn.FORMULATEXT('Assemble Data'!F574),1)),1,0)+IFERROR(IF(AND('Assemble Data'!F574&lt;&gt;D573,'Assemble Data'!F574&lt;&gt;""),1,0),1))</f>
        <v>0</v>
      </c>
      <c r="H573" s="13">
        <f t="shared" si="34"/>
        <v>3</v>
      </c>
      <c r="I573" t="str">
        <f t="shared" si="33"/>
        <v>C2P13</v>
      </c>
    </row>
    <row r="574" spans="1:9">
      <c r="A574" t="str">
        <f>'Assemble Data'!B575</f>
        <v>P11</v>
      </c>
      <c r="B574" s="13">
        <f>IFERROR(SUMIF('Assemble Data'!K:K,'Assemble Data'!A575,'Assemble Data'!L:L),0)</f>
        <v>11000</v>
      </c>
      <c r="C574" s="13" t="str">
        <f>INDEX('Assemble Data'!$O$24:$O$1023,MATCH('Assemble Data'!A575,'Assemble Data'!$N$24:$N$1023,0))</f>
        <v>C2</v>
      </c>
      <c r="D574" s="13">
        <f>SUMIF('Assemble Data'!H:H,'Assemble Data'!A575,'Assemble Data'!I:I)</f>
        <v>11</v>
      </c>
      <c r="E574" s="13">
        <f>IFERROR(IF(AND('Assemble Data'!D575&lt;&gt;"",'Assemble Data'!D575&lt;&gt;B574),1,0),1)</f>
        <v>0</v>
      </c>
      <c r="F574" s="13">
        <f ca="1">IF('Assemble Data'!E575="",0,IF(ISERROR(FIND("INDEX",_xlfn.FORMULATEXT('Assemble Data'!E575),1)),1,0)+IFERROR(IF(AND('Assemble Data'!E575&lt;&gt;C574,'Assemble Data'!E575&lt;&gt;""),1,0),1))</f>
        <v>0</v>
      </c>
      <c r="G574" s="13">
        <f ca="1">IF('Assemble Data'!F575="",0,IF(ISERROR(FIND("VLOOKUP",_xlfn.FORMULATEXT('Assemble Data'!F575),1)),1,0)+IFERROR(IF(AND('Assemble Data'!F575&lt;&gt;D574,'Assemble Data'!F575&lt;&gt;""),1,0),1))</f>
        <v>0</v>
      </c>
      <c r="H574" s="13">
        <f t="shared" si="34"/>
        <v>9</v>
      </c>
      <c r="I574" t="str">
        <f t="shared" si="33"/>
        <v>C2P11</v>
      </c>
    </row>
    <row r="575" spans="1:9">
      <c r="A575" t="str">
        <f>'Assemble Data'!B576</f>
        <v>P11</v>
      </c>
      <c r="B575" s="13">
        <f>IFERROR(SUMIF('Assemble Data'!K:K,'Assemble Data'!A576,'Assemble Data'!L:L),0)</f>
        <v>22000</v>
      </c>
      <c r="C575" s="13" t="str">
        <f>INDEX('Assemble Data'!$O$24:$O$1023,MATCH('Assemble Data'!A576,'Assemble Data'!$N$24:$N$1023,0))</f>
        <v>C2</v>
      </c>
      <c r="D575" s="13">
        <f>SUMIF('Assemble Data'!H:H,'Assemble Data'!A576,'Assemble Data'!I:I)</f>
        <v>11</v>
      </c>
      <c r="E575" s="13">
        <f>IFERROR(IF(AND('Assemble Data'!D576&lt;&gt;"",'Assemble Data'!D576&lt;&gt;B575),1,0),1)</f>
        <v>0</v>
      </c>
      <c r="F575" s="13">
        <f ca="1">IF('Assemble Data'!E576="",0,IF(ISERROR(FIND("INDEX",_xlfn.FORMULATEXT('Assemble Data'!E576),1)),1,0)+IFERROR(IF(AND('Assemble Data'!E576&lt;&gt;C575,'Assemble Data'!E576&lt;&gt;""),1,0),1))</f>
        <v>0</v>
      </c>
      <c r="G575" s="13">
        <f ca="1">IF('Assemble Data'!F576="",0,IF(ISERROR(FIND("VLOOKUP",_xlfn.FORMULATEXT('Assemble Data'!F576),1)),1,0)+IFERROR(IF(AND('Assemble Data'!F576&lt;&gt;D575,'Assemble Data'!F576&lt;&gt;""),1,0),1))</f>
        <v>0</v>
      </c>
      <c r="H575" s="13">
        <f t="shared" si="34"/>
        <v>9</v>
      </c>
      <c r="I575" t="str">
        <f t="shared" si="33"/>
        <v>C2P11</v>
      </c>
    </row>
    <row r="576" spans="1:9">
      <c r="A576" t="str">
        <f>'Assemble Data'!B577</f>
        <v>P12</v>
      </c>
      <c r="B576" s="13">
        <f>IFERROR(SUMIF('Assemble Data'!K:K,'Assemble Data'!A577,'Assemble Data'!L:L),0)</f>
        <v>6825</v>
      </c>
      <c r="C576" s="13" t="str">
        <f>INDEX('Assemble Data'!$O$24:$O$1023,MATCH('Assemble Data'!A577,'Assemble Data'!$N$24:$N$1023,0))</f>
        <v>C2</v>
      </c>
      <c r="D576" s="13">
        <f>SUMIF('Assemble Data'!H:H,'Assemble Data'!A577,'Assemble Data'!I:I)</f>
        <v>6.5</v>
      </c>
      <c r="E576" s="13">
        <f>IFERROR(IF(AND('Assemble Data'!D577&lt;&gt;"",'Assemble Data'!D577&lt;&gt;B576),1,0),1)</f>
        <v>0</v>
      </c>
      <c r="F576" s="13">
        <f ca="1">IF('Assemble Data'!E577="",0,IF(ISERROR(FIND("INDEX",_xlfn.FORMULATEXT('Assemble Data'!E577),1)),1,0)+IFERROR(IF(AND('Assemble Data'!E577&lt;&gt;C576,'Assemble Data'!E577&lt;&gt;""),1,0),1))</f>
        <v>0</v>
      </c>
      <c r="G576" s="13">
        <f ca="1">IF('Assemble Data'!F577="",0,IF(ISERROR(FIND("VLOOKUP",_xlfn.FORMULATEXT('Assemble Data'!F577),1)),1,0)+IFERROR(IF(AND('Assemble Data'!F577&lt;&gt;D576,'Assemble Data'!F577&lt;&gt;""),1,0),1))</f>
        <v>0</v>
      </c>
      <c r="H576" s="13">
        <f t="shared" si="34"/>
        <v>7</v>
      </c>
      <c r="I576" t="str">
        <f t="shared" si="33"/>
        <v>C2P12</v>
      </c>
    </row>
    <row r="577" spans="1:9">
      <c r="A577" t="str">
        <f>'Assemble Data'!B578</f>
        <v>P10</v>
      </c>
      <c r="B577" s="13">
        <f>IFERROR(SUMIF('Assemble Data'!K:K,'Assemble Data'!A578,'Assemble Data'!L:L),0)</f>
        <v>2400</v>
      </c>
      <c r="C577" s="13" t="str">
        <f>INDEX('Assemble Data'!$O$24:$O$1023,MATCH('Assemble Data'!A578,'Assemble Data'!$N$24:$N$1023,0))</f>
        <v>C2</v>
      </c>
      <c r="D577" s="13">
        <f>SUMIF('Assemble Data'!H:H,'Assemble Data'!A578,'Assemble Data'!I:I)</f>
        <v>3</v>
      </c>
      <c r="E577" s="13">
        <f>IFERROR(IF(AND('Assemble Data'!D578&lt;&gt;"",'Assemble Data'!D578&lt;&gt;B577),1,0),1)</f>
        <v>0</v>
      </c>
      <c r="F577" s="13">
        <f ca="1">IF('Assemble Data'!E578="",0,IF(ISERROR(FIND("INDEX",_xlfn.FORMULATEXT('Assemble Data'!E578),1)),1,0)+IFERROR(IF(AND('Assemble Data'!E578&lt;&gt;C577,'Assemble Data'!E578&lt;&gt;""),1,0),1))</f>
        <v>0</v>
      </c>
      <c r="G577" s="13">
        <f ca="1">IF('Assemble Data'!F578="",0,IF(ISERROR(FIND("VLOOKUP",_xlfn.FORMULATEXT('Assemble Data'!F578),1)),1,0)+IFERROR(IF(AND('Assemble Data'!F578&lt;&gt;D577,'Assemble Data'!F578&lt;&gt;""),1,0),1))</f>
        <v>0</v>
      </c>
      <c r="H577" s="13">
        <f t="shared" si="34"/>
        <v>8</v>
      </c>
      <c r="I577" t="str">
        <f t="shared" si="33"/>
        <v>C2P10</v>
      </c>
    </row>
    <row r="578" spans="1:9">
      <c r="A578" t="str">
        <f>'Assemble Data'!B579</f>
        <v>P10</v>
      </c>
      <c r="B578" s="13">
        <f>IFERROR(SUMIF('Assemble Data'!K:K,'Assemble Data'!A579,'Assemble Data'!L:L),0)</f>
        <v>2400</v>
      </c>
      <c r="C578" s="13" t="str">
        <f>INDEX('Assemble Data'!$O$24:$O$1023,MATCH('Assemble Data'!A579,'Assemble Data'!$N$24:$N$1023,0))</f>
        <v>C2</v>
      </c>
      <c r="D578" s="13">
        <f>SUMIF('Assemble Data'!H:H,'Assemble Data'!A579,'Assemble Data'!I:I)</f>
        <v>3</v>
      </c>
      <c r="E578" s="13">
        <f>IFERROR(IF(AND('Assemble Data'!D579&lt;&gt;"",'Assemble Data'!D579&lt;&gt;B578),1,0),1)</f>
        <v>0</v>
      </c>
      <c r="F578" s="13">
        <f ca="1">IF('Assemble Data'!E579="",0,IF(ISERROR(FIND("INDEX",_xlfn.FORMULATEXT('Assemble Data'!E579),1)),1,0)+IFERROR(IF(AND('Assemble Data'!E579&lt;&gt;C578,'Assemble Data'!E579&lt;&gt;""),1,0),1))</f>
        <v>0</v>
      </c>
      <c r="G578" s="13">
        <f ca="1">IF('Assemble Data'!F579="",0,IF(ISERROR(FIND("VLOOKUP",_xlfn.FORMULATEXT('Assemble Data'!F579),1)),1,0)+IFERROR(IF(AND('Assemble Data'!F579&lt;&gt;D578,'Assemble Data'!F579&lt;&gt;""),1,0),1))</f>
        <v>0</v>
      </c>
      <c r="H578" s="13">
        <f t="shared" si="34"/>
        <v>8</v>
      </c>
      <c r="I578" t="str">
        <f t="shared" si="33"/>
        <v>C2P10</v>
      </c>
    </row>
    <row r="579" spans="1:9">
      <c r="A579" t="str">
        <f>'Assemble Data'!B580</f>
        <v>P11</v>
      </c>
      <c r="B579" s="13">
        <f>IFERROR(SUMIF('Assemble Data'!K:K,'Assemble Data'!A580,'Assemble Data'!L:L),0)</f>
        <v>11000</v>
      </c>
      <c r="C579" s="13" t="str">
        <f>INDEX('Assemble Data'!$O$24:$O$1023,MATCH('Assemble Data'!A580,'Assemble Data'!$N$24:$N$1023,0))</f>
        <v>C2</v>
      </c>
      <c r="D579" s="13">
        <f>SUMIF('Assemble Data'!H:H,'Assemble Data'!A580,'Assemble Data'!I:I)</f>
        <v>11</v>
      </c>
      <c r="E579" s="13">
        <f>IFERROR(IF(AND('Assemble Data'!D580&lt;&gt;"",'Assemble Data'!D580&lt;&gt;B579),1,0),1)</f>
        <v>0</v>
      </c>
      <c r="F579" s="13">
        <f ca="1">IF('Assemble Data'!E580="",0,IF(ISERROR(FIND("INDEX",_xlfn.FORMULATEXT('Assemble Data'!E580),1)),1,0)+IFERROR(IF(AND('Assemble Data'!E580&lt;&gt;C579,'Assemble Data'!E580&lt;&gt;""),1,0),1))</f>
        <v>0</v>
      </c>
      <c r="G579" s="13">
        <f ca="1">IF('Assemble Data'!F580="",0,IF(ISERROR(FIND("VLOOKUP",_xlfn.FORMULATEXT('Assemble Data'!F580),1)),1,0)+IFERROR(IF(AND('Assemble Data'!F580&lt;&gt;D579,'Assemble Data'!F580&lt;&gt;""),1,0),1))</f>
        <v>0</v>
      </c>
      <c r="H579" s="13">
        <f t="shared" si="34"/>
        <v>9</v>
      </c>
      <c r="I579" t="str">
        <f t="shared" si="33"/>
        <v>C2P11</v>
      </c>
    </row>
    <row r="580" spans="1:9">
      <c r="A580" t="str">
        <f>'Assemble Data'!B581</f>
        <v>P18</v>
      </c>
      <c r="B580" s="13">
        <f>IFERROR(SUMIF('Assemble Data'!K:K,'Assemble Data'!A581,'Assemble Data'!L:L),0)</f>
        <v>5940.0000000000009</v>
      </c>
      <c r="C580" s="13" t="str">
        <f>INDEX('Assemble Data'!$O$24:$O$1023,MATCH('Assemble Data'!A581,'Assemble Data'!$N$24:$N$1023,0))</f>
        <v>O2</v>
      </c>
      <c r="D580" s="13">
        <f>SUMIF('Assemble Data'!H:H,'Assemble Data'!A581,'Assemble Data'!I:I)</f>
        <v>6</v>
      </c>
      <c r="E580" s="13">
        <f>IFERROR(IF(AND('Assemble Data'!D581&lt;&gt;"",'Assemble Data'!D581&lt;&gt;B580),1,0),1)</f>
        <v>0</v>
      </c>
      <c r="F580" s="13">
        <f ca="1">IF('Assemble Data'!E581="",0,IF(ISERROR(FIND("INDEX",_xlfn.FORMULATEXT('Assemble Data'!E581),1)),1,0)+IFERROR(IF(AND('Assemble Data'!E581&lt;&gt;C580,'Assemble Data'!E581&lt;&gt;""),1,0),1))</f>
        <v>0</v>
      </c>
      <c r="G580" s="13">
        <f ca="1">IF('Assemble Data'!F581="",0,IF(ISERROR(FIND("VLOOKUP",_xlfn.FORMULATEXT('Assemble Data'!F581),1)),1,0)+IFERROR(IF(AND('Assemble Data'!F581&lt;&gt;D580,'Assemble Data'!F581&lt;&gt;""),1,0),1))</f>
        <v>0</v>
      </c>
      <c r="H580" s="13">
        <f t="shared" si="34"/>
        <v>2</v>
      </c>
      <c r="I580" t="str">
        <f t="shared" si="33"/>
        <v>O2P18</v>
      </c>
    </row>
    <row r="581" spans="1:9">
      <c r="A581" t="str">
        <f>'Assemble Data'!B582</f>
        <v>P14</v>
      </c>
      <c r="B581" s="13">
        <f>IFERROR(SUMIF('Assemble Data'!K:K,'Assemble Data'!A582,'Assemble Data'!L:L),0)</f>
        <v>6480</v>
      </c>
      <c r="C581" s="13" t="str">
        <f>INDEX('Assemble Data'!$O$24:$O$1023,MATCH('Assemble Data'!A582,'Assemble Data'!$N$24:$N$1023,0))</f>
        <v>N2</v>
      </c>
      <c r="D581" s="13">
        <f>SUMIF('Assemble Data'!H:H,'Assemble Data'!A582,'Assemble Data'!I:I)</f>
        <v>8</v>
      </c>
      <c r="E581" s="13">
        <f>IFERROR(IF(AND('Assemble Data'!D582&lt;&gt;"",'Assemble Data'!D582&lt;&gt;B581),1,0),1)</f>
        <v>0</v>
      </c>
      <c r="F581" s="13">
        <f ca="1">IF('Assemble Data'!E582="",0,IF(ISERROR(FIND("INDEX",_xlfn.FORMULATEXT('Assemble Data'!E582),1)),1,0)+IFERROR(IF(AND('Assemble Data'!E582&lt;&gt;C581,'Assemble Data'!E582&lt;&gt;""),1,0),1))</f>
        <v>0</v>
      </c>
      <c r="G581" s="13">
        <f ca="1">IF('Assemble Data'!F582="",0,IF(ISERROR(FIND("VLOOKUP",_xlfn.FORMULATEXT('Assemble Data'!F582),1)),1,0)+IFERROR(IF(AND('Assemble Data'!F582&lt;&gt;D581,'Assemble Data'!F582&lt;&gt;""),1,0),1))</f>
        <v>0</v>
      </c>
      <c r="H581" s="13">
        <f t="shared" si="34"/>
        <v>5</v>
      </c>
      <c r="I581" t="str">
        <f t="shared" si="33"/>
        <v>N2P14</v>
      </c>
    </row>
    <row r="582" spans="1:9">
      <c r="A582" t="str">
        <f>'Assemble Data'!B583</f>
        <v>P10</v>
      </c>
      <c r="B582" s="13">
        <f>IFERROR(SUMIF('Assemble Data'!K:K,'Assemble Data'!A583,'Assemble Data'!L:L),0)</f>
        <v>2400</v>
      </c>
      <c r="C582" s="13" t="str">
        <f>INDEX('Assemble Data'!$O$24:$O$1023,MATCH('Assemble Data'!A583,'Assemble Data'!$N$24:$N$1023,0))</f>
        <v>C2</v>
      </c>
      <c r="D582" s="13">
        <f>SUMIF('Assemble Data'!H:H,'Assemble Data'!A583,'Assemble Data'!I:I)</f>
        <v>3</v>
      </c>
      <c r="E582" s="13">
        <f>IFERROR(IF(AND('Assemble Data'!D583&lt;&gt;"",'Assemble Data'!D583&lt;&gt;B582),1,0),1)</f>
        <v>0</v>
      </c>
      <c r="F582" s="13">
        <f ca="1">IF('Assemble Data'!E583="",0,IF(ISERROR(FIND("INDEX",_xlfn.FORMULATEXT('Assemble Data'!E583),1)),1,0)+IFERROR(IF(AND('Assemble Data'!E583&lt;&gt;C582,'Assemble Data'!E583&lt;&gt;""),1,0),1))</f>
        <v>0</v>
      </c>
      <c r="G582" s="13">
        <f ca="1">IF('Assemble Data'!F583="",0,IF(ISERROR(FIND("VLOOKUP",_xlfn.FORMULATEXT('Assemble Data'!F583),1)),1,0)+IFERROR(IF(AND('Assemble Data'!F583&lt;&gt;D582,'Assemble Data'!F583&lt;&gt;""),1,0),1))</f>
        <v>0</v>
      </c>
      <c r="H582" s="13">
        <f t="shared" si="34"/>
        <v>8</v>
      </c>
      <c r="I582" t="str">
        <f t="shared" si="33"/>
        <v>C2P10</v>
      </c>
    </row>
    <row r="583" spans="1:9">
      <c r="A583" t="str">
        <f>'Assemble Data'!B584</f>
        <v>P13</v>
      </c>
      <c r="B583" s="13">
        <f>IFERROR(SUMIF('Assemble Data'!K:K,'Assemble Data'!A584,'Assemble Data'!L:L),0)</f>
        <v>4500</v>
      </c>
      <c r="C583" s="13" t="str">
        <f>INDEX('Assemble Data'!$O$24:$O$1023,MATCH('Assemble Data'!A584,'Assemble Data'!$N$24:$N$1023,0))</f>
        <v>C2</v>
      </c>
      <c r="D583" s="13">
        <f>SUMIF('Assemble Data'!H:H,'Assemble Data'!A584,'Assemble Data'!I:I)</f>
        <v>5</v>
      </c>
      <c r="E583" s="13">
        <f>IFERROR(IF(AND('Assemble Data'!D584&lt;&gt;"",'Assemble Data'!D584&lt;&gt;B583),1,0),1)</f>
        <v>0</v>
      </c>
      <c r="F583" s="13">
        <f ca="1">IF('Assemble Data'!E584="",0,IF(ISERROR(FIND("INDEX",_xlfn.FORMULATEXT('Assemble Data'!E584),1)),1,0)+IFERROR(IF(AND('Assemble Data'!E584&lt;&gt;C583,'Assemble Data'!E584&lt;&gt;""),1,0),1))</f>
        <v>0</v>
      </c>
      <c r="G583" s="13">
        <f ca="1">IF('Assemble Data'!F584="",0,IF(ISERROR(FIND("VLOOKUP",_xlfn.FORMULATEXT('Assemble Data'!F584),1)),1,0)+IFERROR(IF(AND('Assemble Data'!F584&lt;&gt;D583,'Assemble Data'!F584&lt;&gt;""),1,0),1))</f>
        <v>0</v>
      </c>
      <c r="H583" s="13">
        <f t="shared" si="34"/>
        <v>3</v>
      </c>
      <c r="I583" t="str">
        <f t="shared" si="33"/>
        <v>C2P13</v>
      </c>
    </row>
    <row r="584" spans="1:9">
      <c r="A584" t="str">
        <f>'Assemble Data'!B585</f>
        <v>P13</v>
      </c>
      <c r="B584" s="13">
        <f>IFERROR(SUMIF('Assemble Data'!K:K,'Assemble Data'!A585,'Assemble Data'!L:L),0)</f>
        <v>4500</v>
      </c>
      <c r="C584" s="13" t="str">
        <f>INDEX('Assemble Data'!$O$24:$O$1023,MATCH('Assemble Data'!A585,'Assemble Data'!$N$24:$N$1023,0))</f>
        <v>C2</v>
      </c>
      <c r="D584" s="13">
        <f>SUMIF('Assemble Data'!H:H,'Assemble Data'!A585,'Assemble Data'!I:I)</f>
        <v>5</v>
      </c>
      <c r="E584" s="13">
        <f>IFERROR(IF(AND('Assemble Data'!D585&lt;&gt;"",'Assemble Data'!D585&lt;&gt;B584),1,0),1)</f>
        <v>0</v>
      </c>
      <c r="F584" s="13">
        <f ca="1">IF('Assemble Data'!E585="",0,IF(ISERROR(FIND("INDEX",_xlfn.FORMULATEXT('Assemble Data'!E585),1)),1,0)+IFERROR(IF(AND('Assemble Data'!E585&lt;&gt;C584,'Assemble Data'!E585&lt;&gt;""),1,0),1))</f>
        <v>0</v>
      </c>
      <c r="G584" s="13">
        <f ca="1">IF('Assemble Data'!F585="",0,IF(ISERROR(FIND("VLOOKUP",_xlfn.FORMULATEXT('Assemble Data'!F585),1)),1,0)+IFERROR(IF(AND('Assemble Data'!F585&lt;&gt;D584,'Assemble Data'!F585&lt;&gt;""),1,0),1))</f>
        <v>0</v>
      </c>
      <c r="H584" s="13">
        <f t="shared" si="34"/>
        <v>3</v>
      </c>
      <c r="I584" t="str">
        <f t="shared" si="33"/>
        <v>C2P13</v>
      </c>
    </row>
    <row r="585" spans="1:9">
      <c r="A585" t="str">
        <f>'Assemble Data'!B586</f>
        <v>P10</v>
      </c>
      <c r="B585" s="13">
        <f>IFERROR(SUMIF('Assemble Data'!K:K,'Assemble Data'!A586,'Assemble Data'!L:L),0)</f>
        <v>2400</v>
      </c>
      <c r="C585" s="13" t="str">
        <f>INDEX('Assemble Data'!$O$24:$O$1023,MATCH('Assemble Data'!A586,'Assemble Data'!$N$24:$N$1023,0))</f>
        <v>C2</v>
      </c>
      <c r="D585" s="13">
        <f>SUMIF('Assemble Data'!H:H,'Assemble Data'!A586,'Assemble Data'!I:I)</f>
        <v>3</v>
      </c>
      <c r="E585" s="13">
        <f>IFERROR(IF(AND('Assemble Data'!D586&lt;&gt;"",'Assemble Data'!D586&lt;&gt;B585),1,0),1)</f>
        <v>0</v>
      </c>
      <c r="F585" s="13">
        <f ca="1">IF('Assemble Data'!E586="",0,IF(ISERROR(FIND("INDEX",_xlfn.FORMULATEXT('Assemble Data'!E586),1)),1,0)+IFERROR(IF(AND('Assemble Data'!E586&lt;&gt;C585,'Assemble Data'!E586&lt;&gt;""),1,0),1))</f>
        <v>0</v>
      </c>
      <c r="G585" s="13">
        <f ca="1">IF('Assemble Data'!F586="",0,IF(ISERROR(FIND("VLOOKUP",_xlfn.FORMULATEXT('Assemble Data'!F586),1)),1,0)+IFERROR(IF(AND('Assemble Data'!F586&lt;&gt;D585,'Assemble Data'!F586&lt;&gt;""),1,0),1))</f>
        <v>0</v>
      </c>
      <c r="H585" s="13">
        <f t="shared" si="34"/>
        <v>8</v>
      </c>
      <c r="I585" t="str">
        <f t="shared" si="33"/>
        <v>C2P10</v>
      </c>
    </row>
    <row r="586" spans="1:9">
      <c r="A586" t="str">
        <f>'Assemble Data'!B587</f>
        <v>P11</v>
      </c>
      <c r="B586" s="13">
        <f>IFERROR(SUMIF('Assemble Data'!K:K,'Assemble Data'!A587,'Assemble Data'!L:L),0)</f>
        <v>11000</v>
      </c>
      <c r="C586" s="13" t="str">
        <f>INDEX('Assemble Data'!$O$24:$O$1023,MATCH('Assemble Data'!A587,'Assemble Data'!$N$24:$N$1023,0))</f>
        <v>C2</v>
      </c>
      <c r="D586" s="13">
        <f>SUMIF('Assemble Data'!H:H,'Assemble Data'!A587,'Assemble Data'!I:I)</f>
        <v>11</v>
      </c>
      <c r="E586" s="13">
        <f>IFERROR(IF(AND('Assemble Data'!D587&lt;&gt;"",'Assemble Data'!D587&lt;&gt;B586),1,0),1)</f>
        <v>0</v>
      </c>
      <c r="F586" s="13">
        <f ca="1">IF('Assemble Data'!E587="",0,IF(ISERROR(FIND("INDEX",_xlfn.FORMULATEXT('Assemble Data'!E587),1)),1,0)+IFERROR(IF(AND('Assemble Data'!E587&lt;&gt;C586,'Assemble Data'!E587&lt;&gt;""),1,0),1))</f>
        <v>0</v>
      </c>
      <c r="G586" s="13">
        <f ca="1">IF('Assemble Data'!F587="",0,IF(ISERROR(FIND("VLOOKUP",_xlfn.FORMULATEXT('Assemble Data'!F587),1)),1,0)+IFERROR(IF(AND('Assemble Data'!F587&lt;&gt;D586,'Assemble Data'!F587&lt;&gt;""),1,0),1))</f>
        <v>0</v>
      </c>
      <c r="H586" s="13">
        <f t="shared" si="34"/>
        <v>9</v>
      </c>
      <c r="I586" t="str">
        <f t="shared" si="33"/>
        <v>C2P11</v>
      </c>
    </row>
    <row r="587" spans="1:9">
      <c r="A587" t="str">
        <f>'Assemble Data'!B588</f>
        <v>P16</v>
      </c>
      <c r="B587" s="13">
        <f>IFERROR(SUMIF('Assemble Data'!K:K,'Assemble Data'!A588,'Assemble Data'!L:L),0)</f>
        <v>4680</v>
      </c>
      <c r="C587" s="13" t="str">
        <f>INDEX('Assemble Data'!$O$24:$O$1023,MATCH('Assemble Data'!A588,'Assemble Data'!$N$24:$N$1023,0))</f>
        <v>N2</v>
      </c>
      <c r="D587" s="13">
        <f>SUMIF('Assemble Data'!H:H,'Assemble Data'!A588,'Assemble Data'!I:I)</f>
        <v>4</v>
      </c>
      <c r="E587" s="13">
        <f>IFERROR(IF(AND('Assemble Data'!D588&lt;&gt;"",'Assemble Data'!D588&lt;&gt;B587),1,0),1)</f>
        <v>0</v>
      </c>
      <c r="F587" s="13">
        <f ca="1">IF('Assemble Data'!E588="",0,IF(ISERROR(FIND("INDEX",_xlfn.FORMULATEXT('Assemble Data'!E588),1)),1,0)+IFERROR(IF(AND('Assemble Data'!E588&lt;&gt;C587,'Assemble Data'!E588&lt;&gt;""),1,0),1))</f>
        <v>0</v>
      </c>
      <c r="G587" s="13">
        <f ca="1">IF('Assemble Data'!F588="",0,IF(ISERROR(FIND("VLOOKUP",_xlfn.FORMULATEXT('Assemble Data'!F588),1)),1,0)+IFERROR(IF(AND('Assemble Data'!F588&lt;&gt;D587,'Assemble Data'!F588&lt;&gt;""),1,0),1))</f>
        <v>0</v>
      </c>
      <c r="H587" s="13">
        <f t="shared" si="34"/>
        <v>0</v>
      </c>
      <c r="I587" t="str">
        <f t="shared" si="33"/>
        <v>N2P16</v>
      </c>
    </row>
    <row r="588" spans="1:9">
      <c r="A588" t="str">
        <f>'Assemble Data'!B589</f>
        <v>P17</v>
      </c>
      <c r="B588" s="13">
        <f>IFERROR(SUMIF('Assemble Data'!K:K,'Assemble Data'!A589,'Assemble Data'!L:L),0)</f>
        <v>13200.000000000002</v>
      </c>
      <c r="C588" s="13" t="str">
        <f>INDEX('Assemble Data'!$O$24:$O$1023,MATCH('Assemble Data'!A589,'Assemble Data'!$N$24:$N$1023,0))</f>
        <v>O2</v>
      </c>
      <c r="D588" s="13">
        <f>SUMIF('Assemble Data'!H:H,'Assemble Data'!A589,'Assemble Data'!I:I)</f>
        <v>12</v>
      </c>
      <c r="E588" s="13">
        <f>IFERROR(IF(AND('Assemble Data'!D589&lt;&gt;"",'Assemble Data'!D589&lt;&gt;B588),1,0),1)</f>
        <v>0</v>
      </c>
      <c r="F588" s="13">
        <f ca="1">IF('Assemble Data'!E589="",0,IF(ISERROR(FIND("INDEX",_xlfn.FORMULATEXT('Assemble Data'!E589),1)),1,0)+IFERROR(IF(AND('Assemble Data'!E589&lt;&gt;C588,'Assemble Data'!E589&lt;&gt;""),1,0),1))</f>
        <v>0</v>
      </c>
      <c r="G588" s="13">
        <f ca="1">IF('Assemble Data'!F589="",0,IF(ISERROR(FIND("VLOOKUP",_xlfn.FORMULATEXT('Assemble Data'!F589),1)),1,0)+IFERROR(IF(AND('Assemble Data'!F589&lt;&gt;D588,'Assemble Data'!F589&lt;&gt;""),1,0),1))</f>
        <v>0</v>
      </c>
      <c r="H588" s="13">
        <f t="shared" si="34"/>
        <v>6</v>
      </c>
      <c r="I588" t="str">
        <f t="shared" si="33"/>
        <v>O2P17</v>
      </c>
    </row>
    <row r="589" spans="1:9">
      <c r="A589" t="str">
        <f>'Assemble Data'!B590</f>
        <v>P17</v>
      </c>
      <c r="B589" s="13">
        <f>IFERROR(SUMIF('Assemble Data'!K:K,'Assemble Data'!A590,'Assemble Data'!L:L),0)</f>
        <v>13200.000000000002</v>
      </c>
      <c r="C589" s="13" t="str">
        <f>INDEX('Assemble Data'!$O$24:$O$1023,MATCH('Assemble Data'!A590,'Assemble Data'!$N$24:$N$1023,0))</f>
        <v>O2</v>
      </c>
      <c r="D589" s="13">
        <f>SUMIF('Assemble Data'!H:H,'Assemble Data'!A590,'Assemble Data'!I:I)</f>
        <v>12</v>
      </c>
      <c r="E589" s="13">
        <f>IFERROR(IF(AND('Assemble Data'!D590&lt;&gt;"",'Assemble Data'!D590&lt;&gt;B589),1,0),1)</f>
        <v>0</v>
      </c>
      <c r="F589" s="13">
        <f ca="1">IF('Assemble Data'!E590="",0,IF(ISERROR(FIND("INDEX",_xlfn.FORMULATEXT('Assemble Data'!E590),1)),1,0)+IFERROR(IF(AND('Assemble Data'!E590&lt;&gt;C589,'Assemble Data'!E590&lt;&gt;""),1,0),1))</f>
        <v>0</v>
      </c>
      <c r="G589" s="13">
        <f ca="1">IF('Assemble Data'!F590="",0,IF(ISERROR(FIND("VLOOKUP",_xlfn.FORMULATEXT('Assemble Data'!F590),1)),1,0)+IFERROR(IF(AND('Assemble Data'!F590&lt;&gt;D589,'Assemble Data'!F590&lt;&gt;""),1,0),1))</f>
        <v>0</v>
      </c>
      <c r="H589" s="13">
        <f t="shared" si="34"/>
        <v>6</v>
      </c>
      <c r="I589" t="str">
        <f t="shared" si="33"/>
        <v>O2P17</v>
      </c>
    </row>
    <row r="590" spans="1:9">
      <c r="A590" t="str">
        <f>'Assemble Data'!B591</f>
        <v>P13</v>
      </c>
      <c r="B590" s="13">
        <f>IFERROR(SUMIF('Assemble Data'!K:K,'Assemble Data'!A591,'Assemble Data'!L:L),0)</f>
        <v>4500</v>
      </c>
      <c r="C590" s="13" t="str">
        <f>INDEX('Assemble Data'!$O$24:$O$1023,MATCH('Assemble Data'!A591,'Assemble Data'!$N$24:$N$1023,0))</f>
        <v>C2</v>
      </c>
      <c r="D590" s="13">
        <f>SUMIF('Assemble Data'!H:H,'Assemble Data'!A591,'Assemble Data'!I:I)</f>
        <v>5</v>
      </c>
      <c r="E590" s="13">
        <f>IFERROR(IF(AND('Assemble Data'!D591&lt;&gt;"",'Assemble Data'!D591&lt;&gt;B590),1,0),1)</f>
        <v>0</v>
      </c>
      <c r="F590" s="13">
        <f ca="1">IF('Assemble Data'!E591="",0,IF(ISERROR(FIND("INDEX",_xlfn.FORMULATEXT('Assemble Data'!E591),1)),1,0)+IFERROR(IF(AND('Assemble Data'!E591&lt;&gt;C590,'Assemble Data'!E591&lt;&gt;""),1,0),1))</f>
        <v>0</v>
      </c>
      <c r="G590" s="13">
        <f ca="1">IF('Assemble Data'!F591="",0,IF(ISERROR(FIND("VLOOKUP",_xlfn.FORMULATEXT('Assemble Data'!F591),1)),1,0)+IFERROR(IF(AND('Assemble Data'!F591&lt;&gt;D590,'Assemble Data'!F591&lt;&gt;""),1,0),1))</f>
        <v>0</v>
      </c>
      <c r="H590" s="13">
        <f t="shared" si="34"/>
        <v>3</v>
      </c>
      <c r="I590" t="str">
        <f t="shared" si="33"/>
        <v>C2P13</v>
      </c>
    </row>
    <row r="591" spans="1:9">
      <c r="A591" t="str">
        <f>'Assemble Data'!B592</f>
        <v>P11</v>
      </c>
      <c r="B591" s="13">
        <f>IFERROR(SUMIF('Assemble Data'!K:K,'Assemble Data'!A592,'Assemble Data'!L:L),0)</f>
        <v>11000</v>
      </c>
      <c r="C591" s="13" t="str">
        <f>INDEX('Assemble Data'!$O$24:$O$1023,MATCH('Assemble Data'!A592,'Assemble Data'!$N$24:$N$1023,0))</f>
        <v>C2</v>
      </c>
      <c r="D591" s="13">
        <f>SUMIF('Assemble Data'!H:H,'Assemble Data'!A592,'Assemble Data'!I:I)</f>
        <v>11</v>
      </c>
      <c r="E591" s="13">
        <f>IFERROR(IF(AND('Assemble Data'!D592&lt;&gt;"",'Assemble Data'!D592&lt;&gt;B591),1,0),1)</f>
        <v>0</v>
      </c>
      <c r="F591" s="13">
        <f ca="1">IF('Assemble Data'!E592="",0,IF(ISERROR(FIND("INDEX",_xlfn.FORMULATEXT('Assemble Data'!E592),1)),1,0)+IFERROR(IF(AND('Assemble Data'!E592&lt;&gt;C591,'Assemble Data'!E592&lt;&gt;""),1,0),1))</f>
        <v>0</v>
      </c>
      <c r="G591" s="13">
        <f ca="1">IF('Assemble Data'!F592="",0,IF(ISERROR(FIND("VLOOKUP",_xlfn.FORMULATEXT('Assemble Data'!F592),1)),1,0)+IFERROR(IF(AND('Assemble Data'!F592&lt;&gt;D591,'Assemble Data'!F592&lt;&gt;""),1,0),1))</f>
        <v>0</v>
      </c>
      <c r="H591" s="13">
        <f t="shared" si="34"/>
        <v>9</v>
      </c>
      <c r="I591" t="str">
        <f t="shared" si="33"/>
        <v>C2P11</v>
      </c>
    </row>
    <row r="592" spans="1:9">
      <c r="A592" t="str">
        <f>'Assemble Data'!B593</f>
        <v>P11</v>
      </c>
      <c r="B592" s="13">
        <f>IFERROR(SUMIF('Assemble Data'!K:K,'Assemble Data'!A593,'Assemble Data'!L:L),0)</f>
        <v>8800</v>
      </c>
      <c r="C592" s="13" t="str">
        <f>INDEX('Assemble Data'!$O$24:$O$1023,MATCH('Assemble Data'!A593,'Assemble Data'!$N$24:$N$1023,0))</f>
        <v>C3</v>
      </c>
      <c r="D592" s="13">
        <f>SUMIF('Assemble Data'!H:H,'Assemble Data'!A593,'Assemble Data'!I:I)</f>
        <v>11</v>
      </c>
      <c r="E592" s="13">
        <f>IFERROR(IF(AND('Assemble Data'!D593&lt;&gt;"",'Assemble Data'!D593&lt;&gt;B592),1,0),1)</f>
        <v>0</v>
      </c>
      <c r="F592" s="13">
        <f ca="1">IF('Assemble Data'!E593="",0,IF(ISERROR(FIND("INDEX",_xlfn.FORMULATEXT('Assemble Data'!E593),1)),1,0)+IFERROR(IF(AND('Assemble Data'!E593&lt;&gt;C592,'Assemble Data'!E593&lt;&gt;""),1,0),1))</f>
        <v>0</v>
      </c>
      <c r="G592" s="13">
        <f ca="1">IF('Assemble Data'!F593="",0,IF(ISERROR(FIND("VLOOKUP",_xlfn.FORMULATEXT('Assemble Data'!F593),1)),1,0)+IFERROR(IF(AND('Assemble Data'!F593&lt;&gt;D592,'Assemble Data'!F593&lt;&gt;""),1,0),1))</f>
        <v>0</v>
      </c>
      <c r="H592" s="13">
        <f t="shared" si="34"/>
        <v>9</v>
      </c>
      <c r="I592" t="str">
        <f t="shared" si="33"/>
        <v>C3P11</v>
      </c>
    </row>
    <row r="593" spans="1:9">
      <c r="A593" t="str">
        <f>'Assemble Data'!B594</f>
        <v>P12</v>
      </c>
      <c r="B593" s="13">
        <f>IFERROR(SUMIF('Assemble Data'!K:K,'Assemble Data'!A594,'Assemble Data'!L:L),0)</f>
        <v>5460</v>
      </c>
      <c r="C593" s="13" t="str">
        <f>INDEX('Assemble Data'!$O$24:$O$1023,MATCH('Assemble Data'!A594,'Assemble Data'!$N$24:$N$1023,0))</f>
        <v>C3</v>
      </c>
      <c r="D593" s="13">
        <f>SUMIF('Assemble Data'!H:H,'Assemble Data'!A594,'Assemble Data'!I:I)</f>
        <v>6.5</v>
      </c>
      <c r="E593" s="13">
        <f>IFERROR(IF(AND('Assemble Data'!D594&lt;&gt;"",'Assemble Data'!D594&lt;&gt;B593),1,0),1)</f>
        <v>0</v>
      </c>
      <c r="F593" s="13">
        <f ca="1">IF('Assemble Data'!E594="",0,IF(ISERROR(FIND("INDEX",_xlfn.FORMULATEXT('Assemble Data'!E594),1)),1,0)+IFERROR(IF(AND('Assemble Data'!E594&lt;&gt;C593,'Assemble Data'!E594&lt;&gt;""),1,0),1))</f>
        <v>0</v>
      </c>
      <c r="G593" s="13">
        <f ca="1">IF('Assemble Data'!F594="",0,IF(ISERROR(FIND("VLOOKUP",_xlfn.FORMULATEXT('Assemble Data'!F594),1)),1,0)+IFERROR(IF(AND('Assemble Data'!F594&lt;&gt;D593,'Assemble Data'!F594&lt;&gt;""),1,0),1))</f>
        <v>0</v>
      </c>
      <c r="H593" s="13">
        <f t="shared" si="34"/>
        <v>7</v>
      </c>
      <c r="I593" t="str">
        <f t="shared" si="33"/>
        <v>C3P12</v>
      </c>
    </row>
    <row r="594" spans="1:9">
      <c r="A594" t="str">
        <f>'Assemble Data'!B595</f>
        <v>P10</v>
      </c>
      <c r="B594" s="13">
        <f>IFERROR(SUMIF('Assemble Data'!K:K,'Assemble Data'!A595,'Assemble Data'!L:L),0)</f>
        <v>1920</v>
      </c>
      <c r="C594" s="13" t="str">
        <f>INDEX('Assemble Data'!$O$24:$O$1023,MATCH('Assemble Data'!A595,'Assemble Data'!$N$24:$N$1023,0))</f>
        <v>C3</v>
      </c>
      <c r="D594" s="13">
        <f>SUMIF('Assemble Data'!H:H,'Assemble Data'!A595,'Assemble Data'!I:I)</f>
        <v>3</v>
      </c>
      <c r="E594" s="13">
        <f>IFERROR(IF(AND('Assemble Data'!D595&lt;&gt;"",'Assemble Data'!D595&lt;&gt;B594),1,0),1)</f>
        <v>0</v>
      </c>
      <c r="F594" s="13">
        <f ca="1">IF('Assemble Data'!E595="",0,IF(ISERROR(FIND("INDEX",_xlfn.FORMULATEXT('Assemble Data'!E595),1)),1,0)+IFERROR(IF(AND('Assemble Data'!E595&lt;&gt;C594,'Assemble Data'!E595&lt;&gt;""),1,0),1))</f>
        <v>0</v>
      </c>
      <c r="G594" s="13">
        <f ca="1">IF('Assemble Data'!F595="",0,IF(ISERROR(FIND("VLOOKUP",_xlfn.FORMULATEXT('Assemble Data'!F595),1)),1,0)+IFERROR(IF(AND('Assemble Data'!F595&lt;&gt;D594,'Assemble Data'!F595&lt;&gt;""),1,0),1))</f>
        <v>0</v>
      </c>
      <c r="H594" s="13">
        <f t="shared" si="34"/>
        <v>8</v>
      </c>
      <c r="I594" t="str">
        <f t="shared" si="33"/>
        <v>C3P10</v>
      </c>
    </row>
    <row r="595" spans="1:9">
      <c r="A595" t="str">
        <f>'Assemble Data'!B596</f>
        <v>P10</v>
      </c>
      <c r="B595" s="13">
        <f>IFERROR(SUMIF('Assemble Data'!K:K,'Assemble Data'!A596,'Assemble Data'!L:L),0)</f>
        <v>1920</v>
      </c>
      <c r="C595" s="13" t="str">
        <f>INDEX('Assemble Data'!$O$24:$O$1023,MATCH('Assemble Data'!A596,'Assemble Data'!$N$24:$N$1023,0))</f>
        <v>C3</v>
      </c>
      <c r="D595" s="13">
        <f>SUMIF('Assemble Data'!H:H,'Assemble Data'!A596,'Assemble Data'!I:I)</f>
        <v>3</v>
      </c>
      <c r="E595" s="13">
        <f>IFERROR(IF(AND('Assemble Data'!D596&lt;&gt;"",'Assemble Data'!D596&lt;&gt;B595),1,0),1)</f>
        <v>0</v>
      </c>
      <c r="F595" s="13">
        <f ca="1">IF('Assemble Data'!E596="",0,IF(ISERROR(FIND("INDEX",_xlfn.FORMULATEXT('Assemble Data'!E596),1)),1,0)+IFERROR(IF(AND('Assemble Data'!E596&lt;&gt;C595,'Assemble Data'!E596&lt;&gt;""),1,0),1))</f>
        <v>0</v>
      </c>
      <c r="G595" s="13">
        <f ca="1">IF('Assemble Data'!F596="",0,IF(ISERROR(FIND("VLOOKUP",_xlfn.FORMULATEXT('Assemble Data'!F596),1)),1,0)+IFERROR(IF(AND('Assemble Data'!F596&lt;&gt;D595,'Assemble Data'!F596&lt;&gt;""),1,0),1))</f>
        <v>0</v>
      </c>
      <c r="H595" s="13">
        <f t="shared" si="34"/>
        <v>8</v>
      </c>
      <c r="I595" t="str">
        <f t="shared" si="33"/>
        <v>C3P10</v>
      </c>
    </row>
    <row r="596" spans="1:9">
      <c r="A596" t="str">
        <f>'Assemble Data'!B597</f>
        <v>P11</v>
      </c>
      <c r="B596" s="13">
        <f>IFERROR(SUMIF('Assemble Data'!K:K,'Assemble Data'!A597,'Assemble Data'!L:L),0)</f>
        <v>8800</v>
      </c>
      <c r="C596" s="13" t="str">
        <f>INDEX('Assemble Data'!$O$24:$O$1023,MATCH('Assemble Data'!A597,'Assemble Data'!$N$24:$N$1023,0))</f>
        <v>C3</v>
      </c>
      <c r="D596" s="13">
        <f>SUMIF('Assemble Data'!H:H,'Assemble Data'!A597,'Assemble Data'!I:I)</f>
        <v>11</v>
      </c>
      <c r="E596" s="13">
        <f>IFERROR(IF(AND('Assemble Data'!D597&lt;&gt;"",'Assemble Data'!D597&lt;&gt;B596),1,0),1)</f>
        <v>0</v>
      </c>
      <c r="F596" s="13">
        <f ca="1">IF('Assemble Data'!E597="",0,IF(ISERROR(FIND("INDEX",_xlfn.FORMULATEXT('Assemble Data'!E597),1)),1,0)+IFERROR(IF(AND('Assemble Data'!E597&lt;&gt;C596,'Assemble Data'!E597&lt;&gt;""),1,0),1))</f>
        <v>0</v>
      </c>
      <c r="G596" s="13">
        <f ca="1">IF('Assemble Data'!F597="",0,IF(ISERROR(FIND("VLOOKUP",_xlfn.FORMULATEXT('Assemble Data'!F597),1)),1,0)+IFERROR(IF(AND('Assemble Data'!F597&lt;&gt;D596,'Assemble Data'!F597&lt;&gt;""),1,0),1))</f>
        <v>0</v>
      </c>
      <c r="H596" s="13">
        <f t="shared" si="34"/>
        <v>9</v>
      </c>
      <c r="I596" t="str">
        <f t="shared" si="33"/>
        <v>C3P11</v>
      </c>
    </row>
    <row r="597" spans="1:9">
      <c r="A597" t="str">
        <f>'Assemble Data'!B598</f>
        <v>P18</v>
      </c>
      <c r="B597" s="13">
        <f>IFERROR(SUMIF('Assemble Data'!K:K,'Assemble Data'!A598,'Assemble Data'!L:L),0)</f>
        <v>4320</v>
      </c>
      <c r="C597" s="13" t="str">
        <f>INDEX('Assemble Data'!$O$24:$O$1023,MATCH('Assemble Data'!A598,'Assemble Data'!$N$24:$N$1023,0))</f>
        <v>O3</v>
      </c>
      <c r="D597" s="13">
        <f>SUMIF('Assemble Data'!H:H,'Assemble Data'!A598,'Assemble Data'!I:I)</f>
        <v>6</v>
      </c>
      <c r="E597" s="13">
        <f>IFERROR(IF(AND('Assemble Data'!D598&lt;&gt;"",'Assemble Data'!D598&lt;&gt;B597),1,0),1)</f>
        <v>0</v>
      </c>
      <c r="F597" s="13">
        <f ca="1">IF('Assemble Data'!E598="",0,IF(ISERROR(FIND("INDEX",_xlfn.FORMULATEXT('Assemble Data'!E598),1)),1,0)+IFERROR(IF(AND('Assemble Data'!E598&lt;&gt;C597,'Assemble Data'!E598&lt;&gt;""),1,0),1))</f>
        <v>0</v>
      </c>
      <c r="G597" s="13">
        <f ca="1">IF('Assemble Data'!F598="",0,IF(ISERROR(FIND("VLOOKUP",_xlfn.FORMULATEXT('Assemble Data'!F598),1)),1,0)+IFERROR(IF(AND('Assemble Data'!F598&lt;&gt;D597,'Assemble Data'!F598&lt;&gt;""),1,0),1))</f>
        <v>0</v>
      </c>
      <c r="H597" s="13">
        <f t="shared" si="34"/>
        <v>2</v>
      </c>
      <c r="I597" t="str">
        <f t="shared" si="33"/>
        <v>O3P18</v>
      </c>
    </row>
    <row r="598" spans="1:9">
      <c r="A598" t="str">
        <f>'Assemble Data'!B599</f>
        <v>P14</v>
      </c>
      <c r="B598" s="13">
        <f>IFERROR(SUMIF('Assemble Data'!K:K,'Assemble Data'!A599,'Assemble Data'!L:L),0)</f>
        <v>7200</v>
      </c>
      <c r="C598" s="13" t="str">
        <f>INDEX('Assemble Data'!$O$24:$O$1023,MATCH('Assemble Data'!A599,'Assemble Data'!$N$24:$N$1023,0))</f>
        <v>N3</v>
      </c>
      <c r="D598" s="13">
        <f>SUMIF('Assemble Data'!H:H,'Assemble Data'!A599,'Assemble Data'!I:I)</f>
        <v>8</v>
      </c>
      <c r="E598" s="13">
        <f>IFERROR(IF(AND('Assemble Data'!D599&lt;&gt;"",'Assemble Data'!D599&lt;&gt;B598),1,0),1)</f>
        <v>0</v>
      </c>
      <c r="F598" s="13">
        <f ca="1">IF('Assemble Data'!E599="",0,IF(ISERROR(FIND("INDEX",_xlfn.FORMULATEXT('Assemble Data'!E599),1)),1,0)+IFERROR(IF(AND('Assemble Data'!E599&lt;&gt;C598,'Assemble Data'!E599&lt;&gt;""),1,0),1))</f>
        <v>0</v>
      </c>
      <c r="G598" s="13">
        <f ca="1">IF('Assemble Data'!F599="",0,IF(ISERROR(FIND("VLOOKUP",_xlfn.FORMULATEXT('Assemble Data'!F599),1)),1,0)+IFERROR(IF(AND('Assemble Data'!F599&lt;&gt;D598,'Assemble Data'!F599&lt;&gt;""),1,0),1))</f>
        <v>0</v>
      </c>
      <c r="H598" s="13">
        <f t="shared" si="34"/>
        <v>5</v>
      </c>
      <c r="I598" t="str">
        <f t="shared" si="33"/>
        <v>N3P14</v>
      </c>
    </row>
    <row r="599" spans="1:9">
      <c r="A599" t="str">
        <f>'Assemble Data'!B600</f>
        <v>P10</v>
      </c>
      <c r="B599" s="13">
        <f>IFERROR(SUMIF('Assemble Data'!K:K,'Assemble Data'!A600,'Assemble Data'!L:L),0)</f>
        <v>1920</v>
      </c>
      <c r="C599" s="13" t="str">
        <f>INDEX('Assemble Data'!$O$24:$O$1023,MATCH('Assemble Data'!A600,'Assemble Data'!$N$24:$N$1023,0))</f>
        <v>C3</v>
      </c>
      <c r="D599" s="13">
        <f>SUMIF('Assemble Data'!H:H,'Assemble Data'!A600,'Assemble Data'!I:I)</f>
        <v>3</v>
      </c>
      <c r="E599" s="13">
        <f>IFERROR(IF(AND('Assemble Data'!D600&lt;&gt;"",'Assemble Data'!D600&lt;&gt;B599),1,0),1)</f>
        <v>0</v>
      </c>
      <c r="F599" s="13">
        <f ca="1">IF('Assemble Data'!E600="",0,IF(ISERROR(FIND("INDEX",_xlfn.FORMULATEXT('Assemble Data'!E600),1)),1,0)+IFERROR(IF(AND('Assemble Data'!E600&lt;&gt;C599,'Assemble Data'!E600&lt;&gt;""),1,0),1))</f>
        <v>0</v>
      </c>
      <c r="G599" s="13">
        <f ca="1">IF('Assemble Data'!F600="",0,IF(ISERROR(FIND("VLOOKUP",_xlfn.FORMULATEXT('Assemble Data'!F600),1)),1,0)+IFERROR(IF(AND('Assemble Data'!F600&lt;&gt;D599,'Assemble Data'!F600&lt;&gt;""),1,0),1))</f>
        <v>0</v>
      </c>
      <c r="H599" s="13">
        <f t="shared" si="34"/>
        <v>8</v>
      </c>
      <c r="I599" t="str">
        <f t="shared" si="33"/>
        <v>C3P10</v>
      </c>
    </row>
    <row r="600" spans="1:9">
      <c r="A600" t="str">
        <f>'Assemble Data'!B601</f>
        <v>P13</v>
      </c>
      <c r="B600" s="13">
        <f>IFERROR(SUMIF('Assemble Data'!K:K,'Assemble Data'!A601,'Assemble Data'!L:L),0)</f>
        <v>3600</v>
      </c>
      <c r="C600" s="13" t="str">
        <f>INDEX('Assemble Data'!$O$24:$O$1023,MATCH('Assemble Data'!A601,'Assemble Data'!$N$24:$N$1023,0))</f>
        <v>C3</v>
      </c>
      <c r="D600" s="13">
        <f>SUMIF('Assemble Data'!H:H,'Assemble Data'!A601,'Assemble Data'!I:I)</f>
        <v>5</v>
      </c>
      <c r="E600" s="13">
        <f>IFERROR(IF(AND('Assemble Data'!D601&lt;&gt;"",'Assemble Data'!D601&lt;&gt;B600),1,0),1)</f>
        <v>0</v>
      </c>
      <c r="F600" s="13">
        <f ca="1">IF('Assemble Data'!E601="",0,IF(ISERROR(FIND("INDEX",_xlfn.FORMULATEXT('Assemble Data'!E601),1)),1,0)+IFERROR(IF(AND('Assemble Data'!E601&lt;&gt;C600,'Assemble Data'!E601&lt;&gt;""),1,0),1))</f>
        <v>0</v>
      </c>
      <c r="G600" s="13">
        <f ca="1">IF('Assemble Data'!F601="",0,IF(ISERROR(FIND("VLOOKUP",_xlfn.FORMULATEXT('Assemble Data'!F601),1)),1,0)+IFERROR(IF(AND('Assemble Data'!F601&lt;&gt;D600,'Assemble Data'!F601&lt;&gt;""),1,0),1))</f>
        <v>0</v>
      </c>
      <c r="H600" s="13">
        <f t="shared" si="34"/>
        <v>3</v>
      </c>
      <c r="I600" t="str">
        <f t="shared" ref="I600:I663" si="35">C600&amp;A600</f>
        <v>C3P13</v>
      </c>
    </row>
    <row r="601" spans="1:9">
      <c r="A601" t="str">
        <f>'Assemble Data'!B602</f>
        <v>P13</v>
      </c>
      <c r="B601" s="13">
        <f>IFERROR(SUMIF('Assemble Data'!K:K,'Assemble Data'!A602,'Assemble Data'!L:L),0)</f>
        <v>3600</v>
      </c>
      <c r="C601" s="13" t="str">
        <f>INDEX('Assemble Data'!$O$24:$O$1023,MATCH('Assemble Data'!A602,'Assemble Data'!$N$24:$N$1023,0))</f>
        <v>C3</v>
      </c>
      <c r="D601" s="13">
        <f>SUMIF('Assemble Data'!H:H,'Assemble Data'!A602,'Assemble Data'!I:I)</f>
        <v>5</v>
      </c>
      <c r="E601" s="13">
        <f>IFERROR(IF(AND('Assemble Data'!D602&lt;&gt;"",'Assemble Data'!D602&lt;&gt;B601),1,0),1)</f>
        <v>0</v>
      </c>
      <c r="F601" s="13">
        <f ca="1">IF('Assemble Data'!E602="",0,IF(ISERROR(FIND("INDEX",_xlfn.FORMULATEXT('Assemble Data'!E602),1)),1,0)+IFERROR(IF(AND('Assemble Data'!E602&lt;&gt;C601,'Assemble Data'!E602&lt;&gt;""),1,0),1))</f>
        <v>0</v>
      </c>
      <c r="G601" s="13">
        <f ca="1">IF('Assemble Data'!F602="",0,IF(ISERROR(FIND("VLOOKUP",_xlfn.FORMULATEXT('Assemble Data'!F602),1)),1,0)+IFERROR(IF(AND('Assemble Data'!F602&lt;&gt;D601,'Assemble Data'!F602&lt;&gt;""),1,0),1))</f>
        <v>0</v>
      </c>
      <c r="H601" s="13">
        <f t="shared" si="34"/>
        <v>3</v>
      </c>
      <c r="I601" t="str">
        <f t="shared" si="35"/>
        <v>C3P13</v>
      </c>
    </row>
    <row r="602" spans="1:9">
      <c r="A602" t="str">
        <f>'Assemble Data'!B603</f>
        <v>P10</v>
      </c>
      <c r="B602" s="13">
        <f>IFERROR(SUMIF('Assemble Data'!K:K,'Assemble Data'!A603,'Assemble Data'!L:L),0)</f>
        <v>1920</v>
      </c>
      <c r="C602" s="13" t="str">
        <f>INDEX('Assemble Data'!$O$24:$O$1023,MATCH('Assemble Data'!A603,'Assemble Data'!$N$24:$N$1023,0))</f>
        <v>C3</v>
      </c>
      <c r="D602" s="13">
        <f>SUMIF('Assemble Data'!H:H,'Assemble Data'!A603,'Assemble Data'!I:I)</f>
        <v>3</v>
      </c>
      <c r="E602" s="13">
        <f>IFERROR(IF(AND('Assemble Data'!D603&lt;&gt;"",'Assemble Data'!D603&lt;&gt;B602),1,0),1)</f>
        <v>0</v>
      </c>
      <c r="F602" s="13">
        <f ca="1">IF('Assemble Data'!E603="",0,IF(ISERROR(FIND("INDEX",_xlfn.FORMULATEXT('Assemble Data'!E603),1)),1,0)+IFERROR(IF(AND('Assemble Data'!E603&lt;&gt;C602,'Assemble Data'!E603&lt;&gt;""),1,0),1))</f>
        <v>0</v>
      </c>
      <c r="G602" s="13">
        <f ca="1">IF('Assemble Data'!F603="",0,IF(ISERROR(FIND("VLOOKUP",_xlfn.FORMULATEXT('Assemble Data'!F603),1)),1,0)+IFERROR(IF(AND('Assemble Data'!F603&lt;&gt;D602,'Assemble Data'!F603&lt;&gt;""),1,0),1))</f>
        <v>0</v>
      </c>
      <c r="H602" s="13">
        <f t="shared" si="34"/>
        <v>8</v>
      </c>
      <c r="I602" t="str">
        <f t="shared" si="35"/>
        <v>C3P10</v>
      </c>
    </row>
    <row r="603" spans="1:9">
      <c r="A603" t="str">
        <f>'Assemble Data'!B604</f>
        <v>P11</v>
      </c>
      <c r="B603" s="13">
        <f>IFERROR(SUMIF('Assemble Data'!K:K,'Assemble Data'!A604,'Assemble Data'!L:L),0)</f>
        <v>8800</v>
      </c>
      <c r="C603" s="13" t="str">
        <f>INDEX('Assemble Data'!$O$24:$O$1023,MATCH('Assemble Data'!A604,'Assemble Data'!$N$24:$N$1023,0))</f>
        <v>C3</v>
      </c>
      <c r="D603" s="13">
        <f>SUMIF('Assemble Data'!H:H,'Assemble Data'!A604,'Assemble Data'!I:I)</f>
        <v>11</v>
      </c>
      <c r="E603" s="13">
        <f>IFERROR(IF(AND('Assemble Data'!D604&lt;&gt;"",'Assemble Data'!D604&lt;&gt;B603),1,0),1)</f>
        <v>0</v>
      </c>
      <c r="F603" s="13">
        <f ca="1">IF('Assemble Data'!E604="",0,IF(ISERROR(FIND("INDEX",_xlfn.FORMULATEXT('Assemble Data'!E604),1)),1,0)+IFERROR(IF(AND('Assemble Data'!E604&lt;&gt;C603,'Assemble Data'!E604&lt;&gt;""),1,0),1))</f>
        <v>0</v>
      </c>
      <c r="G603" s="13">
        <f ca="1">IF('Assemble Data'!F604="",0,IF(ISERROR(FIND("VLOOKUP",_xlfn.FORMULATEXT('Assemble Data'!F604),1)),1,0)+IFERROR(IF(AND('Assemble Data'!F604&lt;&gt;D603,'Assemble Data'!F604&lt;&gt;""),1,0),1))</f>
        <v>0</v>
      </c>
      <c r="H603" s="13">
        <f t="shared" si="34"/>
        <v>9</v>
      </c>
      <c r="I603" t="str">
        <f t="shared" si="35"/>
        <v>C3P11</v>
      </c>
    </row>
    <row r="604" spans="1:9">
      <c r="A604" t="str">
        <f>'Assemble Data'!B605</f>
        <v>P16</v>
      </c>
      <c r="B604" s="13">
        <f>IFERROR(SUMIF('Assemble Data'!K:K,'Assemble Data'!A605,'Assemble Data'!L:L),0)</f>
        <v>5200</v>
      </c>
      <c r="C604" s="13" t="str">
        <f>INDEX('Assemble Data'!$O$24:$O$1023,MATCH('Assemble Data'!A605,'Assemble Data'!$N$24:$N$1023,0))</f>
        <v>N3</v>
      </c>
      <c r="D604" s="13">
        <f>SUMIF('Assemble Data'!H:H,'Assemble Data'!A605,'Assemble Data'!I:I)</f>
        <v>4</v>
      </c>
      <c r="E604" s="13">
        <f>IFERROR(IF(AND('Assemble Data'!D605&lt;&gt;"",'Assemble Data'!D605&lt;&gt;B604),1,0),1)</f>
        <v>0</v>
      </c>
      <c r="F604" s="13">
        <f ca="1">IF('Assemble Data'!E605="",0,IF(ISERROR(FIND("INDEX",_xlfn.FORMULATEXT('Assemble Data'!E605),1)),1,0)+IFERROR(IF(AND('Assemble Data'!E605&lt;&gt;C604,'Assemble Data'!E605&lt;&gt;""),1,0),1))</f>
        <v>0</v>
      </c>
      <c r="G604" s="13">
        <f ca="1">IF('Assemble Data'!F605="",0,IF(ISERROR(FIND("VLOOKUP",_xlfn.FORMULATEXT('Assemble Data'!F605),1)),1,0)+IFERROR(IF(AND('Assemble Data'!F605&lt;&gt;D604,'Assemble Data'!F605&lt;&gt;""),1,0),1))</f>
        <v>0</v>
      </c>
      <c r="H604" s="13">
        <f t="shared" si="34"/>
        <v>0</v>
      </c>
      <c r="I604" t="str">
        <f t="shared" si="35"/>
        <v>N3P16</v>
      </c>
    </row>
    <row r="605" spans="1:9">
      <c r="A605" t="str">
        <f>'Assemble Data'!B606</f>
        <v>P17</v>
      </c>
      <c r="B605" s="13">
        <f>IFERROR(SUMIF('Assemble Data'!K:K,'Assemble Data'!A606,'Assemble Data'!L:L),0)</f>
        <v>9600</v>
      </c>
      <c r="C605" s="13" t="str">
        <f>INDEX('Assemble Data'!$O$24:$O$1023,MATCH('Assemble Data'!A606,'Assemble Data'!$N$24:$N$1023,0))</f>
        <v>O3</v>
      </c>
      <c r="D605" s="13">
        <f>SUMIF('Assemble Data'!H:H,'Assemble Data'!A606,'Assemble Data'!I:I)</f>
        <v>12</v>
      </c>
      <c r="E605" s="13">
        <f>IFERROR(IF(AND('Assemble Data'!D606&lt;&gt;"",'Assemble Data'!D606&lt;&gt;B605),1,0),1)</f>
        <v>0</v>
      </c>
      <c r="F605" s="13">
        <f ca="1">IF('Assemble Data'!E606="",0,IF(ISERROR(FIND("INDEX",_xlfn.FORMULATEXT('Assemble Data'!E606),1)),1,0)+IFERROR(IF(AND('Assemble Data'!E606&lt;&gt;C605,'Assemble Data'!E606&lt;&gt;""),1,0),1))</f>
        <v>0</v>
      </c>
      <c r="G605" s="13">
        <f ca="1">IF('Assemble Data'!F606="",0,IF(ISERROR(FIND("VLOOKUP",_xlfn.FORMULATEXT('Assemble Data'!F606),1)),1,0)+IFERROR(IF(AND('Assemble Data'!F606&lt;&gt;D605,'Assemble Data'!F606&lt;&gt;""),1,0),1))</f>
        <v>0</v>
      </c>
      <c r="H605" s="13">
        <f t="shared" si="34"/>
        <v>6</v>
      </c>
      <c r="I605" t="str">
        <f t="shared" si="35"/>
        <v>O3P17</v>
      </c>
    </row>
    <row r="606" spans="1:9">
      <c r="A606" t="str">
        <f>'Assemble Data'!B607</f>
        <v>P17</v>
      </c>
      <c r="B606" s="13">
        <f>IFERROR(SUMIF('Assemble Data'!K:K,'Assemble Data'!A607,'Assemble Data'!L:L),0)</f>
        <v>9600</v>
      </c>
      <c r="C606" s="13" t="str">
        <f>INDEX('Assemble Data'!$O$24:$O$1023,MATCH('Assemble Data'!A607,'Assemble Data'!$N$24:$N$1023,0))</f>
        <v>O3</v>
      </c>
      <c r="D606" s="13">
        <f>SUMIF('Assemble Data'!H:H,'Assemble Data'!A607,'Assemble Data'!I:I)</f>
        <v>12</v>
      </c>
      <c r="E606" s="13">
        <f>IFERROR(IF(AND('Assemble Data'!D607&lt;&gt;"",'Assemble Data'!D607&lt;&gt;B606),1,0),1)</f>
        <v>0</v>
      </c>
      <c r="F606" s="13">
        <f ca="1">IF('Assemble Data'!E607="",0,IF(ISERROR(FIND("INDEX",_xlfn.FORMULATEXT('Assemble Data'!E607),1)),1,0)+IFERROR(IF(AND('Assemble Data'!E607&lt;&gt;C606,'Assemble Data'!E607&lt;&gt;""),1,0),1))</f>
        <v>0</v>
      </c>
      <c r="G606" s="13">
        <f ca="1">IF('Assemble Data'!F607="",0,IF(ISERROR(FIND("VLOOKUP",_xlfn.FORMULATEXT('Assemble Data'!F607),1)),1,0)+IFERROR(IF(AND('Assemble Data'!F607&lt;&gt;D606,'Assemble Data'!F607&lt;&gt;""),1,0),1))</f>
        <v>0</v>
      </c>
      <c r="H606" s="13">
        <f t="shared" si="34"/>
        <v>6</v>
      </c>
      <c r="I606" t="str">
        <f t="shared" si="35"/>
        <v>O3P17</v>
      </c>
    </row>
    <row r="607" spans="1:9">
      <c r="A607" t="str">
        <f>'Assemble Data'!B608</f>
        <v>P13</v>
      </c>
      <c r="B607" s="13">
        <f>IFERROR(SUMIF('Assemble Data'!K:K,'Assemble Data'!A608,'Assemble Data'!L:L),0)</f>
        <v>3600</v>
      </c>
      <c r="C607" s="13" t="str">
        <f>INDEX('Assemble Data'!$O$24:$O$1023,MATCH('Assemble Data'!A608,'Assemble Data'!$N$24:$N$1023,0))</f>
        <v>C3</v>
      </c>
      <c r="D607" s="13">
        <f>SUMIF('Assemble Data'!H:H,'Assemble Data'!A608,'Assemble Data'!I:I)</f>
        <v>5</v>
      </c>
      <c r="E607" s="13">
        <f>IFERROR(IF(AND('Assemble Data'!D608&lt;&gt;"",'Assemble Data'!D608&lt;&gt;B607),1,0),1)</f>
        <v>0</v>
      </c>
      <c r="F607" s="13">
        <f ca="1">IF('Assemble Data'!E608="",0,IF(ISERROR(FIND("INDEX",_xlfn.FORMULATEXT('Assemble Data'!E608),1)),1,0)+IFERROR(IF(AND('Assemble Data'!E608&lt;&gt;C607,'Assemble Data'!E608&lt;&gt;""),1,0),1))</f>
        <v>0</v>
      </c>
      <c r="G607" s="13">
        <f ca="1">IF('Assemble Data'!F608="",0,IF(ISERROR(FIND("VLOOKUP",_xlfn.FORMULATEXT('Assemble Data'!F608),1)),1,0)+IFERROR(IF(AND('Assemble Data'!F608&lt;&gt;D607,'Assemble Data'!F608&lt;&gt;""),1,0),1))</f>
        <v>0</v>
      </c>
      <c r="H607" s="13">
        <f t="shared" si="34"/>
        <v>3</v>
      </c>
      <c r="I607" t="str">
        <f t="shared" si="35"/>
        <v>C3P13</v>
      </c>
    </row>
    <row r="608" spans="1:9">
      <c r="A608" t="str">
        <f>'Assemble Data'!B609</f>
        <v>P11</v>
      </c>
      <c r="B608" s="13">
        <f>IFERROR(SUMIF('Assemble Data'!K:K,'Assemble Data'!A609,'Assemble Data'!L:L),0)</f>
        <v>8800</v>
      </c>
      <c r="C608" s="13" t="str">
        <f>INDEX('Assemble Data'!$O$24:$O$1023,MATCH('Assemble Data'!A609,'Assemble Data'!$N$24:$N$1023,0))</f>
        <v>C3</v>
      </c>
      <c r="D608" s="13">
        <f>SUMIF('Assemble Data'!H:H,'Assemble Data'!A609,'Assemble Data'!I:I)</f>
        <v>11</v>
      </c>
      <c r="E608" s="13">
        <f>IFERROR(IF(AND('Assemble Data'!D609&lt;&gt;"",'Assemble Data'!D609&lt;&gt;B608),1,0),1)</f>
        <v>0</v>
      </c>
      <c r="F608" s="13">
        <f ca="1">IF('Assemble Data'!E609="",0,IF(ISERROR(FIND("INDEX",_xlfn.FORMULATEXT('Assemble Data'!E609),1)),1,0)+IFERROR(IF(AND('Assemble Data'!E609&lt;&gt;C608,'Assemble Data'!E609&lt;&gt;""),1,0),1))</f>
        <v>0</v>
      </c>
      <c r="G608" s="13">
        <f ca="1">IF('Assemble Data'!F609="",0,IF(ISERROR(FIND("VLOOKUP",_xlfn.FORMULATEXT('Assemble Data'!F609),1)),1,0)+IFERROR(IF(AND('Assemble Data'!F609&lt;&gt;D608,'Assemble Data'!F609&lt;&gt;""),1,0),1))</f>
        <v>0</v>
      </c>
      <c r="H608" s="13">
        <f t="shared" si="34"/>
        <v>9</v>
      </c>
      <c r="I608" t="str">
        <f t="shared" si="35"/>
        <v>C3P11</v>
      </c>
    </row>
    <row r="609" spans="1:9">
      <c r="A609" t="str">
        <f>'Assemble Data'!B610</f>
        <v>P11</v>
      </c>
      <c r="B609" s="13">
        <f>IFERROR(SUMIF('Assemble Data'!K:K,'Assemble Data'!A610,'Assemble Data'!L:L),0)</f>
        <v>8800</v>
      </c>
      <c r="C609" s="13" t="str">
        <f>INDEX('Assemble Data'!$O$24:$O$1023,MATCH('Assemble Data'!A610,'Assemble Data'!$N$24:$N$1023,0))</f>
        <v>C3</v>
      </c>
      <c r="D609" s="13">
        <f>SUMIF('Assemble Data'!H:H,'Assemble Data'!A610,'Assemble Data'!I:I)</f>
        <v>11</v>
      </c>
      <c r="E609" s="13">
        <f>IFERROR(IF(AND('Assemble Data'!D610&lt;&gt;"",'Assemble Data'!D610&lt;&gt;B609),1,0),1)</f>
        <v>0</v>
      </c>
      <c r="F609" s="13">
        <f ca="1">IF('Assemble Data'!E610="",0,IF(ISERROR(FIND("INDEX",_xlfn.FORMULATEXT('Assemble Data'!E610),1)),1,0)+IFERROR(IF(AND('Assemble Data'!E610&lt;&gt;C609,'Assemble Data'!E610&lt;&gt;""),1,0),1))</f>
        <v>0</v>
      </c>
      <c r="G609" s="13">
        <f ca="1">IF('Assemble Data'!F610="",0,IF(ISERROR(FIND("VLOOKUP",_xlfn.FORMULATEXT('Assemble Data'!F610),1)),1,0)+IFERROR(IF(AND('Assemble Data'!F610&lt;&gt;D609,'Assemble Data'!F610&lt;&gt;""),1,0),1))</f>
        <v>0</v>
      </c>
      <c r="H609" s="13">
        <f t="shared" si="34"/>
        <v>9</v>
      </c>
      <c r="I609" t="str">
        <f t="shared" si="35"/>
        <v>C3P11</v>
      </c>
    </row>
    <row r="610" spans="1:9">
      <c r="A610" t="str">
        <f>'Assemble Data'!B611</f>
        <v>P12</v>
      </c>
      <c r="B610" s="13">
        <f>IFERROR(SUMIF('Assemble Data'!K:K,'Assemble Data'!A611,'Assemble Data'!L:L),0)</f>
        <v>5460</v>
      </c>
      <c r="C610" s="13" t="str">
        <f>INDEX('Assemble Data'!$O$24:$O$1023,MATCH('Assemble Data'!A611,'Assemble Data'!$N$24:$N$1023,0))</f>
        <v>C3</v>
      </c>
      <c r="D610" s="13">
        <f>SUMIF('Assemble Data'!H:H,'Assemble Data'!A611,'Assemble Data'!I:I)</f>
        <v>6.5</v>
      </c>
      <c r="E610" s="13">
        <f>IFERROR(IF(AND('Assemble Data'!D611&lt;&gt;"",'Assemble Data'!D611&lt;&gt;B610),1,0),1)</f>
        <v>0</v>
      </c>
      <c r="F610" s="13">
        <f ca="1">IF('Assemble Data'!E611="",0,IF(ISERROR(FIND("INDEX",_xlfn.FORMULATEXT('Assemble Data'!E611),1)),1,0)+IFERROR(IF(AND('Assemble Data'!E611&lt;&gt;C610,'Assemble Data'!E611&lt;&gt;""),1,0),1))</f>
        <v>0</v>
      </c>
      <c r="G610" s="13">
        <f ca="1">IF('Assemble Data'!F611="",0,IF(ISERROR(FIND("VLOOKUP",_xlfn.FORMULATEXT('Assemble Data'!F611),1)),1,0)+IFERROR(IF(AND('Assemble Data'!F611&lt;&gt;D610,'Assemble Data'!F611&lt;&gt;""),1,0),1))</f>
        <v>0</v>
      </c>
      <c r="H610" s="13">
        <f t="shared" si="34"/>
        <v>7</v>
      </c>
      <c r="I610" t="str">
        <f t="shared" si="35"/>
        <v>C3P12</v>
      </c>
    </row>
    <row r="611" spans="1:9">
      <c r="A611" t="str">
        <f>'Assemble Data'!B612</f>
        <v>P10</v>
      </c>
      <c r="B611" s="13">
        <f>IFERROR(SUMIF('Assemble Data'!K:K,'Assemble Data'!A612,'Assemble Data'!L:L),0)</f>
        <v>1920</v>
      </c>
      <c r="C611" s="13" t="str">
        <f>INDEX('Assemble Data'!$O$24:$O$1023,MATCH('Assemble Data'!A612,'Assemble Data'!$N$24:$N$1023,0))</f>
        <v>C3</v>
      </c>
      <c r="D611" s="13">
        <f>SUMIF('Assemble Data'!H:H,'Assemble Data'!A612,'Assemble Data'!I:I)</f>
        <v>3</v>
      </c>
      <c r="E611" s="13">
        <f>IFERROR(IF(AND('Assemble Data'!D612&lt;&gt;"",'Assemble Data'!D612&lt;&gt;B611),1,0),1)</f>
        <v>0</v>
      </c>
      <c r="F611" s="13">
        <f ca="1">IF('Assemble Data'!E612="",0,IF(ISERROR(FIND("INDEX",_xlfn.FORMULATEXT('Assemble Data'!E612),1)),1,0)+IFERROR(IF(AND('Assemble Data'!E612&lt;&gt;C611,'Assemble Data'!E612&lt;&gt;""),1,0),1))</f>
        <v>0</v>
      </c>
      <c r="G611" s="13">
        <f ca="1">IF('Assemble Data'!F612="",0,IF(ISERROR(FIND("VLOOKUP",_xlfn.FORMULATEXT('Assemble Data'!F612),1)),1,0)+IFERROR(IF(AND('Assemble Data'!F612&lt;&gt;D611,'Assemble Data'!F612&lt;&gt;""),1,0),1))</f>
        <v>0</v>
      </c>
      <c r="H611" s="13">
        <f t="shared" si="34"/>
        <v>8</v>
      </c>
      <c r="I611" t="str">
        <f t="shared" si="35"/>
        <v>C3P10</v>
      </c>
    </row>
    <row r="612" spans="1:9">
      <c r="A612" t="str">
        <f>'Assemble Data'!B613</f>
        <v>P10</v>
      </c>
      <c r="B612" s="13">
        <f>IFERROR(SUMIF('Assemble Data'!K:K,'Assemble Data'!A613,'Assemble Data'!L:L),0)</f>
        <v>1920</v>
      </c>
      <c r="C612" s="13" t="str">
        <f>INDEX('Assemble Data'!$O$24:$O$1023,MATCH('Assemble Data'!A613,'Assemble Data'!$N$24:$N$1023,0))</f>
        <v>C3</v>
      </c>
      <c r="D612" s="13">
        <f>SUMIF('Assemble Data'!H:H,'Assemble Data'!A613,'Assemble Data'!I:I)</f>
        <v>3</v>
      </c>
      <c r="E612" s="13">
        <f>IFERROR(IF(AND('Assemble Data'!D613&lt;&gt;"",'Assemble Data'!D613&lt;&gt;B612),1,0),1)</f>
        <v>0</v>
      </c>
      <c r="F612" s="13">
        <f ca="1">IF('Assemble Data'!E613="",0,IF(ISERROR(FIND("INDEX",_xlfn.FORMULATEXT('Assemble Data'!E613),1)),1,0)+IFERROR(IF(AND('Assemble Data'!E613&lt;&gt;C612,'Assemble Data'!E613&lt;&gt;""),1,0),1))</f>
        <v>0</v>
      </c>
      <c r="G612" s="13">
        <f ca="1">IF('Assemble Data'!F613="",0,IF(ISERROR(FIND("VLOOKUP",_xlfn.FORMULATEXT('Assemble Data'!F613),1)),1,0)+IFERROR(IF(AND('Assemble Data'!F613&lt;&gt;D612,'Assemble Data'!F613&lt;&gt;""),1,0),1))</f>
        <v>0</v>
      </c>
      <c r="H612" s="13">
        <f t="shared" si="34"/>
        <v>8</v>
      </c>
      <c r="I612" t="str">
        <f t="shared" si="35"/>
        <v>C3P10</v>
      </c>
    </row>
    <row r="613" spans="1:9">
      <c r="A613" t="str">
        <f>'Assemble Data'!B614</f>
        <v>P11</v>
      </c>
      <c r="B613" s="13">
        <f>IFERROR(SUMIF('Assemble Data'!K:K,'Assemble Data'!A614,'Assemble Data'!L:L),0)</f>
        <v>8800</v>
      </c>
      <c r="C613" s="13" t="str">
        <f>INDEX('Assemble Data'!$O$24:$O$1023,MATCH('Assemble Data'!A614,'Assemble Data'!$N$24:$N$1023,0))</f>
        <v>C3</v>
      </c>
      <c r="D613" s="13">
        <f>SUMIF('Assemble Data'!H:H,'Assemble Data'!A614,'Assemble Data'!I:I)</f>
        <v>11</v>
      </c>
      <c r="E613" s="13">
        <f>IFERROR(IF(AND('Assemble Data'!D614&lt;&gt;"",'Assemble Data'!D614&lt;&gt;B613),1,0),1)</f>
        <v>0</v>
      </c>
      <c r="F613" s="13">
        <f ca="1">IF('Assemble Data'!E614="",0,IF(ISERROR(FIND("INDEX",_xlfn.FORMULATEXT('Assemble Data'!E614),1)),1,0)+IFERROR(IF(AND('Assemble Data'!E614&lt;&gt;C613,'Assemble Data'!E614&lt;&gt;""),1,0),1))</f>
        <v>0</v>
      </c>
      <c r="G613" s="13">
        <f ca="1">IF('Assemble Data'!F614="",0,IF(ISERROR(FIND("VLOOKUP",_xlfn.FORMULATEXT('Assemble Data'!F614),1)),1,0)+IFERROR(IF(AND('Assemble Data'!F614&lt;&gt;D613,'Assemble Data'!F614&lt;&gt;""),1,0),1))</f>
        <v>0</v>
      </c>
      <c r="H613" s="13">
        <f t="shared" si="34"/>
        <v>9</v>
      </c>
      <c r="I613" t="str">
        <f t="shared" si="35"/>
        <v>C3P11</v>
      </c>
    </row>
    <row r="614" spans="1:9">
      <c r="A614" t="str">
        <f>'Assemble Data'!B615</f>
        <v>P18</v>
      </c>
      <c r="B614" s="13">
        <f>IFERROR(SUMIF('Assemble Data'!K:K,'Assemble Data'!A615,'Assemble Data'!L:L),0)</f>
        <v>4320</v>
      </c>
      <c r="C614" s="13" t="str">
        <f>INDEX('Assemble Data'!$O$24:$O$1023,MATCH('Assemble Data'!A615,'Assemble Data'!$N$24:$N$1023,0))</f>
        <v>O3</v>
      </c>
      <c r="D614" s="13">
        <f>SUMIF('Assemble Data'!H:H,'Assemble Data'!A615,'Assemble Data'!I:I)</f>
        <v>6</v>
      </c>
      <c r="E614" s="13">
        <f>IFERROR(IF(AND('Assemble Data'!D615&lt;&gt;"",'Assemble Data'!D615&lt;&gt;B614),1,0),1)</f>
        <v>0</v>
      </c>
      <c r="F614" s="13">
        <f ca="1">IF('Assemble Data'!E615="",0,IF(ISERROR(FIND("INDEX",_xlfn.FORMULATEXT('Assemble Data'!E615),1)),1,0)+IFERROR(IF(AND('Assemble Data'!E615&lt;&gt;C614,'Assemble Data'!E615&lt;&gt;""),1,0),1))</f>
        <v>0</v>
      </c>
      <c r="G614" s="13">
        <f ca="1">IF('Assemble Data'!F615="",0,IF(ISERROR(FIND("VLOOKUP",_xlfn.FORMULATEXT('Assemble Data'!F615),1)),1,0)+IFERROR(IF(AND('Assemble Data'!F615&lt;&gt;D614,'Assemble Data'!F615&lt;&gt;""),1,0),1))</f>
        <v>0</v>
      </c>
      <c r="H614" s="13">
        <f t="shared" si="34"/>
        <v>2</v>
      </c>
      <c r="I614" t="str">
        <f t="shared" si="35"/>
        <v>O3P18</v>
      </c>
    </row>
    <row r="615" spans="1:9">
      <c r="A615" t="str">
        <f>'Assemble Data'!B616</f>
        <v>P14</v>
      </c>
      <c r="B615" s="13">
        <f>IFERROR(SUMIF('Assemble Data'!K:K,'Assemble Data'!A616,'Assemble Data'!L:L),0)</f>
        <v>7200</v>
      </c>
      <c r="C615" s="13" t="str">
        <f>INDEX('Assemble Data'!$O$24:$O$1023,MATCH('Assemble Data'!A616,'Assemble Data'!$N$24:$N$1023,0))</f>
        <v>N3</v>
      </c>
      <c r="D615" s="13">
        <f>SUMIF('Assemble Data'!H:H,'Assemble Data'!A616,'Assemble Data'!I:I)</f>
        <v>8</v>
      </c>
      <c r="E615" s="13">
        <f>IFERROR(IF(AND('Assemble Data'!D616&lt;&gt;"",'Assemble Data'!D616&lt;&gt;B615),1,0),1)</f>
        <v>0</v>
      </c>
      <c r="F615" s="13">
        <f ca="1">IF('Assemble Data'!E616="",0,IF(ISERROR(FIND("INDEX",_xlfn.FORMULATEXT('Assemble Data'!E616),1)),1,0)+IFERROR(IF(AND('Assemble Data'!E616&lt;&gt;C615,'Assemble Data'!E616&lt;&gt;""),1,0),1))</f>
        <v>0</v>
      </c>
      <c r="G615" s="13">
        <f ca="1">IF('Assemble Data'!F616="",0,IF(ISERROR(FIND("VLOOKUP",_xlfn.FORMULATEXT('Assemble Data'!F616),1)),1,0)+IFERROR(IF(AND('Assemble Data'!F616&lt;&gt;D615,'Assemble Data'!F616&lt;&gt;""),1,0),1))</f>
        <v>0</v>
      </c>
      <c r="H615" s="13">
        <f t="shared" si="34"/>
        <v>5</v>
      </c>
      <c r="I615" t="str">
        <f t="shared" si="35"/>
        <v>N3P14</v>
      </c>
    </row>
    <row r="616" spans="1:9">
      <c r="A616" t="str">
        <f>'Assemble Data'!B617</f>
        <v>P10</v>
      </c>
      <c r="B616" s="13">
        <f>IFERROR(SUMIF('Assemble Data'!K:K,'Assemble Data'!A617,'Assemble Data'!L:L),0)</f>
        <v>3840</v>
      </c>
      <c r="C616" s="13" t="str">
        <f>INDEX('Assemble Data'!$O$24:$O$1023,MATCH('Assemble Data'!A617,'Assemble Data'!$N$24:$N$1023,0))</f>
        <v>C3</v>
      </c>
      <c r="D616" s="13">
        <f>SUMIF('Assemble Data'!H:H,'Assemble Data'!A617,'Assemble Data'!I:I)</f>
        <v>3</v>
      </c>
      <c r="E616" s="13">
        <f>IFERROR(IF(AND('Assemble Data'!D617&lt;&gt;"",'Assemble Data'!D617&lt;&gt;B616),1,0),1)</f>
        <v>0</v>
      </c>
      <c r="F616" s="13">
        <f ca="1">IF('Assemble Data'!E617="",0,IF(ISERROR(FIND("INDEX",_xlfn.FORMULATEXT('Assemble Data'!E617),1)),1,0)+IFERROR(IF(AND('Assemble Data'!E617&lt;&gt;C616,'Assemble Data'!E617&lt;&gt;""),1,0),1))</f>
        <v>0</v>
      </c>
      <c r="G616" s="13">
        <f ca="1">IF('Assemble Data'!F617="",0,IF(ISERROR(FIND("VLOOKUP",_xlfn.FORMULATEXT('Assemble Data'!F617),1)),1,0)+IFERROR(IF(AND('Assemble Data'!F617&lt;&gt;D616,'Assemble Data'!F617&lt;&gt;""),1,0),1))</f>
        <v>0</v>
      </c>
      <c r="H616" s="13">
        <f t="shared" si="34"/>
        <v>8</v>
      </c>
      <c r="I616" t="str">
        <f t="shared" si="35"/>
        <v>C3P10</v>
      </c>
    </row>
    <row r="617" spans="1:9">
      <c r="A617" t="str">
        <f>'Assemble Data'!B618</f>
        <v>P13</v>
      </c>
      <c r="B617" s="13">
        <f>IFERROR(SUMIF('Assemble Data'!K:K,'Assemble Data'!A618,'Assemble Data'!L:L),0)</f>
        <v>3600</v>
      </c>
      <c r="C617" s="13" t="str">
        <f>INDEX('Assemble Data'!$O$24:$O$1023,MATCH('Assemble Data'!A618,'Assemble Data'!$N$24:$N$1023,0))</f>
        <v>C3</v>
      </c>
      <c r="D617" s="13">
        <f>SUMIF('Assemble Data'!H:H,'Assemble Data'!A618,'Assemble Data'!I:I)</f>
        <v>5</v>
      </c>
      <c r="E617" s="13">
        <f>IFERROR(IF(AND('Assemble Data'!D618&lt;&gt;"",'Assemble Data'!D618&lt;&gt;B617),1,0),1)</f>
        <v>0</v>
      </c>
      <c r="F617" s="13">
        <f ca="1">IF('Assemble Data'!E618="",0,IF(ISERROR(FIND("INDEX",_xlfn.FORMULATEXT('Assemble Data'!E618),1)),1,0)+IFERROR(IF(AND('Assemble Data'!E618&lt;&gt;C617,'Assemble Data'!E618&lt;&gt;""),1,0),1))</f>
        <v>0</v>
      </c>
      <c r="G617" s="13">
        <f ca="1">IF('Assemble Data'!F618="",0,IF(ISERROR(FIND("VLOOKUP",_xlfn.FORMULATEXT('Assemble Data'!F618),1)),1,0)+IFERROR(IF(AND('Assemble Data'!F618&lt;&gt;D617,'Assemble Data'!F618&lt;&gt;""),1,0),1))</f>
        <v>0</v>
      </c>
      <c r="H617" s="13">
        <f t="shared" si="34"/>
        <v>3</v>
      </c>
      <c r="I617" t="str">
        <f t="shared" si="35"/>
        <v>C3P13</v>
      </c>
    </row>
    <row r="618" spans="1:9">
      <c r="A618" t="str">
        <f>'Assemble Data'!B619</f>
        <v>P13</v>
      </c>
      <c r="B618" s="13">
        <f>IFERROR(SUMIF('Assemble Data'!K:K,'Assemble Data'!A619,'Assemble Data'!L:L),0)</f>
        <v>3600</v>
      </c>
      <c r="C618" s="13" t="str">
        <f>INDEX('Assemble Data'!$O$24:$O$1023,MATCH('Assemble Data'!A619,'Assemble Data'!$N$24:$N$1023,0))</f>
        <v>C3</v>
      </c>
      <c r="D618" s="13">
        <f>SUMIF('Assemble Data'!H:H,'Assemble Data'!A619,'Assemble Data'!I:I)</f>
        <v>5</v>
      </c>
      <c r="E618" s="13">
        <f>IFERROR(IF(AND('Assemble Data'!D619&lt;&gt;"",'Assemble Data'!D619&lt;&gt;B618),1,0),1)</f>
        <v>0</v>
      </c>
      <c r="F618" s="13">
        <f ca="1">IF('Assemble Data'!E619="",0,IF(ISERROR(FIND("INDEX",_xlfn.FORMULATEXT('Assemble Data'!E619),1)),1,0)+IFERROR(IF(AND('Assemble Data'!E619&lt;&gt;C618,'Assemble Data'!E619&lt;&gt;""),1,0),1))</f>
        <v>0</v>
      </c>
      <c r="G618" s="13">
        <f ca="1">IF('Assemble Data'!F619="",0,IF(ISERROR(FIND("VLOOKUP",_xlfn.FORMULATEXT('Assemble Data'!F619),1)),1,0)+IFERROR(IF(AND('Assemble Data'!F619&lt;&gt;D618,'Assemble Data'!F619&lt;&gt;""),1,0),1))</f>
        <v>0</v>
      </c>
      <c r="H618" s="13">
        <f t="shared" si="34"/>
        <v>3</v>
      </c>
      <c r="I618" t="str">
        <f t="shared" si="35"/>
        <v>C3P13</v>
      </c>
    </row>
    <row r="619" spans="1:9">
      <c r="A619" t="str">
        <f>'Assemble Data'!B620</f>
        <v>P10</v>
      </c>
      <c r="B619" s="13">
        <f>IFERROR(SUMIF('Assemble Data'!K:K,'Assemble Data'!A620,'Assemble Data'!L:L),0)</f>
        <v>1920</v>
      </c>
      <c r="C619" s="13" t="str">
        <f>INDEX('Assemble Data'!$O$24:$O$1023,MATCH('Assemble Data'!A620,'Assemble Data'!$N$24:$N$1023,0))</f>
        <v>C3</v>
      </c>
      <c r="D619" s="13">
        <f>SUMIF('Assemble Data'!H:H,'Assemble Data'!A620,'Assemble Data'!I:I)</f>
        <v>3</v>
      </c>
      <c r="E619" s="13">
        <f>IFERROR(IF(AND('Assemble Data'!D620&lt;&gt;"",'Assemble Data'!D620&lt;&gt;B619),1,0),1)</f>
        <v>0</v>
      </c>
      <c r="F619" s="13">
        <f ca="1">IF('Assemble Data'!E620="",0,IF(ISERROR(FIND("INDEX",_xlfn.FORMULATEXT('Assemble Data'!E620),1)),1,0)+IFERROR(IF(AND('Assemble Data'!E620&lt;&gt;C619,'Assemble Data'!E620&lt;&gt;""),1,0),1))</f>
        <v>0</v>
      </c>
      <c r="G619" s="13">
        <f ca="1">IF('Assemble Data'!F620="",0,IF(ISERROR(FIND("VLOOKUP",_xlfn.FORMULATEXT('Assemble Data'!F620),1)),1,0)+IFERROR(IF(AND('Assemble Data'!F620&lt;&gt;D619,'Assemble Data'!F620&lt;&gt;""),1,0),1))</f>
        <v>0</v>
      </c>
      <c r="H619" s="13">
        <f t="shared" si="34"/>
        <v>8</v>
      </c>
      <c r="I619" t="str">
        <f t="shared" si="35"/>
        <v>C3P10</v>
      </c>
    </row>
    <row r="620" spans="1:9">
      <c r="A620" t="str">
        <f>'Assemble Data'!B621</f>
        <v>P11</v>
      </c>
      <c r="B620" s="13">
        <f>IFERROR(SUMIF('Assemble Data'!K:K,'Assemble Data'!A621,'Assemble Data'!L:L),0)</f>
        <v>8800</v>
      </c>
      <c r="C620" s="13" t="str">
        <f>INDEX('Assemble Data'!$O$24:$O$1023,MATCH('Assemble Data'!A621,'Assemble Data'!$N$24:$N$1023,0))</f>
        <v>C3</v>
      </c>
      <c r="D620" s="13">
        <f>SUMIF('Assemble Data'!H:H,'Assemble Data'!A621,'Assemble Data'!I:I)</f>
        <v>11</v>
      </c>
      <c r="E620" s="13">
        <f>IFERROR(IF(AND('Assemble Data'!D621&lt;&gt;"",'Assemble Data'!D621&lt;&gt;B620),1,0),1)</f>
        <v>0</v>
      </c>
      <c r="F620" s="13">
        <f ca="1">IF('Assemble Data'!E621="",0,IF(ISERROR(FIND("INDEX",_xlfn.FORMULATEXT('Assemble Data'!E621),1)),1,0)+IFERROR(IF(AND('Assemble Data'!E621&lt;&gt;C620,'Assemble Data'!E621&lt;&gt;""),1,0),1))</f>
        <v>0</v>
      </c>
      <c r="G620" s="13">
        <f ca="1">IF('Assemble Data'!F621="",0,IF(ISERROR(FIND("VLOOKUP",_xlfn.FORMULATEXT('Assemble Data'!F621),1)),1,0)+IFERROR(IF(AND('Assemble Data'!F621&lt;&gt;D620,'Assemble Data'!F621&lt;&gt;""),1,0),1))</f>
        <v>0</v>
      </c>
      <c r="H620" s="13">
        <f t="shared" si="34"/>
        <v>9</v>
      </c>
      <c r="I620" t="str">
        <f t="shared" si="35"/>
        <v>C3P11</v>
      </c>
    </row>
    <row r="621" spans="1:9">
      <c r="A621" t="str">
        <f>'Assemble Data'!B622</f>
        <v>P16</v>
      </c>
      <c r="B621" s="13">
        <f>IFERROR(SUMIF('Assemble Data'!K:K,'Assemble Data'!A622,'Assemble Data'!L:L),0)</f>
        <v>5200</v>
      </c>
      <c r="C621" s="13" t="str">
        <f>INDEX('Assemble Data'!$O$24:$O$1023,MATCH('Assemble Data'!A622,'Assemble Data'!$N$24:$N$1023,0))</f>
        <v>N3</v>
      </c>
      <c r="D621" s="13">
        <f>SUMIF('Assemble Data'!H:H,'Assemble Data'!A622,'Assemble Data'!I:I)</f>
        <v>4</v>
      </c>
      <c r="E621" s="13">
        <f>IFERROR(IF(AND('Assemble Data'!D622&lt;&gt;"",'Assemble Data'!D622&lt;&gt;B621),1,0),1)</f>
        <v>0</v>
      </c>
      <c r="F621" s="13">
        <f ca="1">IF('Assemble Data'!E622="",0,IF(ISERROR(FIND("INDEX",_xlfn.FORMULATEXT('Assemble Data'!E622),1)),1,0)+IFERROR(IF(AND('Assemble Data'!E622&lt;&gt;C621,'Assemble Data'!E622&lt;&gt;""),1,0),1))</f>
        <v>0</v>
      </c>
      <c r="G621" s="13">
        <f ca="1">IF('Assemble Data'!F622="",0,IF(ISERROR(FIND("VLOOKUP",_xlfn.FORMULATEXT('Assemble Data'!F622),1)),1,0)+IFERROR(IF(AND('Assemble Data'!F622&lt;&gt;D621,'Assemble Data'!F622&lt;&gt;""),1,0),1))</f>
        <v>0</v>
      </c>
      <c r="H621" s="13">
        <f t="shared" si="34"/>
        <v>0</v>
      </c>
      <c r="I621" t="str">
        <f t="shared" si="35"/>
        <v>N3P16</v>
      </c>
    </row>
    <row r="622" spans="1:9">
      <c r="A622" t="str">
        <f>'Assemble Data'!B623</f>
        <v>P17</v>
      </c>
      <c r="B622" s="13">
        <f>IFERROR(SUMIF('Assemble Data'!K:K,'Assemble Data'!A623,'Assemble Data'!L:L),0)</f>
        <v>10800</v>
      </c>
      <c r="C622" s="13" t="str">
        <f>INDEX('Assemble Data'!$O$24:$O$1023,MATCH('Assemble Data'!A623,'Assemble Data'!$N$24:$N$1023,0))</f>
        <v>O1</v>
      </c>
      <c r="D622" s="13">
        <f>SUMIF('Assemble Data'!H:H,'Assemble Data'!A623,'Assemble Data'!I:I)</f>
        <v>12</v>
      </c>
      <c r="E622" s="13">
        <f>IFERROR(IF(AND('Assemble Data'!D623&lt;&gt;"",'Assemble Data'!D623&lt;&gt;B622),1,0),1)</f>
        <v>0</v>
      </c>
      <c r="F622" s="13">
        <f ca="1">IF('Assemble Data'!E623="",0,IF(ISERROR(FIND("INDEX",_xlfn.FORMULATEXT('Assemble Data'!E623),1)),1,0)+IFERROR(IF(AND('Assemble Data'!E623&lt;&gt;C622,'Assemble Data'!E623&lt;&gt;""),1,0),1))</f>
        <v>0</v>
      </c>
      <c r="G622" s="13">
        <f ca="1">IF('Assemble Data'!F623="",0,IF(ISERROR(FIND("VLOOKUP",_xlfn.FORMULATEXT('Assemble Data'!F623),1)),1,0)+IFERROR(IF(AND('Assemble Data'!F623&lt;&gt;D622,'Assemble Data'!F623&lt;&gt;""),1,0),1))</f>
        <v>0</v>
      </c>
      <c r="H622" s="13">
        <f t="shared" si="34"/>
        <v>6</v>
      </c>
      <c r="I622" t="str">
        <f t="shared" si="35"/>
        <v>O1P17</v>
      </c>
    </row>
    <row r="623" spans="1:9">
      <c r="A623" t="str">
        <f>'Assemble Data'!B624</f>
        <v>P17</v>
      </c>
      <c r="B623" s="13">
        <f>IFERROR(SUMIF('Assemble Data'!K:K,'Assemble Data'!A624,'Assemble Data'!L:L),0)</f>
        <v>10800</v>
      </c>
      <c r="C623" s="13" t="str">
        <f>INDEX('Assemble Data'!$O$24:$O$1023,MATCH('Assemble Data'!A624,'Assemble Data'!$N$24:$N$1023,0))</f>
        <v>O1</v>
      </c>
      <c r="D623" s="13">
        <f>SUMIF('Assemble Data'!H:H,'Assemble Data'!A624,'Assemble Data'!I:I)</f>
        <v>12</v>
      </c>
      <c r="E623" s="13">
        <f>IFERROR(IF(AND('Assemble Data'!D624&lt;&gt;"",'Assemble Data'!D624&lt;&gt;B623),1,0),1)</f>
        <v>0</v>
      </c>
      <c r="F623" s="13">
        <f ca="1">IF('Assemble Data'!E624="",0,IF(ISERROR(FIND("INDEX",_xlfn.FORMULATEXT('Assemble Data'!E624),1)),1,0)+IFERROR(IF(AND('Assemble Data'!E624&lt;&gt;C623,'Assemble Data'!E624&lt;&gt;""),1,0),1))</f>
        <v>0</v>
      </c>
      <c r="G623" s="13">
        <f ca="1">IF('Assemble Data'!F624="",0,IF(ISERROR(FIND("VLOOKUP",_xlfn.FORMULATEXT('Assemble Data'!F624),1)),1,0)+IFERROR(IF(AND('Assemble Data'!F624&lt;&gt;D623,'Assemble Data'!F624&lt;&gt;""),1,0),1))</f>
        <v>0</v>
      </c>
      <c r="H623" s="13">
        <f t="shared" si="34"/>
        <v>6</v>
      </c>
      <c r="I623" t="str">
        <f t="shared" si="35"/>
        <v>O1P17</v>
      </c>
    </row>
    <row r="624" spans="1:9">
      <c r="A624" t="str">
        <f>'Assemble Data'!B625</f>
        <v>P13</v>
      </c>
      <c r="B624" s="13">
        <f>IFERROR(SUMIF('Assemble Data'!K:K,'Assemble Data'!A625,'Assemble Data'!L:L),0)</f>
        <v>5400</v>
      </c>
      <c r="C624" s="13" t="str">
        <f>INDEX('Assemble Data'!$O$24:$O$1023,MATCH('Assemble Data'!A625,'Assemble Data'!$N$24:$N$1023,0))</f>
        <v>C1</v>
      </c>
      <c r="D624" s="13">
        <f>SUMIF('Assemble Data'!H:H,'Assemble Data'!A625,'Assemble Data'!I:I)</f>
        <v>5</v>
      </c>
      <c r="E624" s="13">
        <f>IFERROR(IF(AND('Assemble Data'!D625&lt;&gt;"",'Assemble Data'!D625&lt;&gt;B624),1,0),1)</f>
        <v>0</v>
      </c>
      <c r="F624" s="13">
        <f ca="1">IF('Assemble Data'!E625="",0,IF(ISERROR(FIND("INDEX",_xlfn.FORMULATEXT('Assemble Data'!E625),1)),1,0)+IFERROR(IF(AND('Assemble Data'!E625&lt;&gt;C624,'Assemble Data'!E625&lt;&gt;""),1,0),1))</f>
        <v>0</v>
      </c>
      <c r="G624" s="13">
        <f ca="1">IF('Assemble Data'!F625="",0,IF(ISERROR(FIND("VLOOKUP",_xlfn.FORMULATEXT('Assemble Data'!F625),1)),1,0)+IFERROR(IF(AND('Assemble Data'!F625&lt;&gt;D624,'Assemble Data'!F625&lt;&gt;""),1,0),1))</f>
        <v>0</v>
      </c>
      <c r="H624" s="13">
        <f t="shared" si="34"/>
        <v>3</v>
      </c>
      <c r="I624" t="str">
        <f t="shared" si="35"/>
        <v>C1P13</v>
      </c>
    </row>
    <row r="625" spans="1:9">
      <c r="A625" t="str">
        <f>'Assemble Data'!B626</f>
        <v>P11</v>
      </c>
      <c r="B625" s="13">
        <f>IFERROR(SUMIF('Assemble Data'!K:K,'Assemble Data'!A626,'Assemble Data'!L:L),0)</f>
        <v>13200</v>
      </c>
      <c r="C625" s="13" t="str">
        <f>INDEX('Assemble Data'!$O$24:$O$1023,MATCH('Assemble Data'!A626,'Assemble Data'!$N$24:$N$1023,0))</f>
        <v>C1</v>
      </c>
      <c r="D625" s="13">
        <f>SUMIF('Assemble Data'!H:H,'Assemble Data'!A626,'Assemble Data'!I:I)</f>
        <v>11</v>
      </c>
      <c r="E625" s="13">
        <f>IFERROR(IF(AND('Assemble Data'!D626&lt;&gt;"",'Assemble Data'!D626&lt;&gt;B625),1,0),1)</f>
        <v>0</v>
      </c>
      <c r="F625" s="13">
        <f ca="1">IF('Assemble Data'!E626="",0,IF(ISERROR(FIND("INDEX",_xlfn.FORMULATEXT('Assemble Data'!E626),1)),1,0)+IFERROR(IF(AND('Assemble Data'!E626&lt;&gt;C625,'Assemble Data'!E626&lt;&gt;""),1,0),1))</f>
        <v>0</v>
      </c>
      <c r="G625" s="13">
        <f ca="1">IF('Assemble Data'!F626="",0,IF(ISERROR(FIND("VLOOKUP",_xlfn.FORMULATEXT('Assemble Data'!F626),1)),1,0)+IFERROR(IF(AND('Assemble Data'!F626&lt;&gt;D625,'Assemble Data'!F626&lt;&gt;""),1,0),1))</f>
        <v>0</v>
      </c>
      <c r="H625" s="13">
        <f t="shared" si="34"/>
        <v>9</v>
      </c>
      <c r="I625" t="str">
        <f t="shared" si="35"/>
        <v>C1P11</v>
      </c>
    </row>
    <row r="626" spans="1:9">
      <c r="A626" t="str">
        <f>'Assemble Data'!B627</f>
        <v>P11</v>
      </c>
      <c r="B626" s="13">
        <f>IFERROR(SUMIF('Assemble Data'!K:K,'Assemble Data'!A627,'Assemble Data'!L:L),0)</f>
        <v>13200</v>
      </c>
      <c r="C626" s="13" t="str">
        <f>INDEX('Assemble Data'!$O$24:$O$1023,MATCH('Assemble Data'!A627,'Assemble Data'!$N$24:$N$1023,0))</f>
        <v>C1</v>
      </c>
      <c r="D626" s="13">
        <f>SUMIF('Assemble Data'!H:H,'Assemble Data'!A627,'Assemble Data'!I:I)</f>
        <v>11</v>
      </c>
      <c r="E626" s="13">
        <f>IFERROR(IF(AND('Assemble Data'!D627&lt;&gt;"",'Assemble Data'!D627&lt;&gt;B626),1,0),1)</f>
        <v>0</v>
      </c>
      <c r="F626" s="13">
        <f ca="1">IF('Assemble Data'!E627="",0,IF(ISERROR(FIND("INDEX",_xlfn.FORMULATEXT('Assemble Data'!E627),1)),1,0)+IFERROR(IF(AND('Assemble Data'!E627&lt;&gt;C626,'Assemble Data'!E627&lt;&gt;""),1,0),1))</f>
        <v>0</v>
      </c>
      <c r="G626" s="13">
        <f ca="1">IF('Assemble Data'!F627="",0,IF(ISERROR(FIND("VLOOKUP",_xlfn.FORMULATEXT('Assemble Data'!F627),1)),1,0)+IFERROR(IF(AND('Assemble Data'!F627&lt;&gt;D626,'Assemble Data'!F627&lt;&gt;""),1,0),1))</f>
        <v>0</v>
      </c>
      <c r="H626" s="13">
        <f t="shared" si="34"/>
        <v>9</v>
      </c>
      <c r="I626" t="str">
        <f t="shared" si="35"/>
        <v>C1P11</v>
      </c>
    </row>
    <row r="627" spans="1:9">
      <c r="A627" t="str">
        <f>'Assemble Data'!B628</f>
        <v>P12</v>
      </c>
      <c r="B627" s="13">
        <f>IFERROR(SUMIF('Assemble Data'!K:K,'Assemble Data'!A628,'Assemble Data'!L:L),0)</f>
        <v>8190</v>
      </c>
      <c r="C627" s="13" t="str">
        <f>INDEX('Assemble Data'!$O$24:$O$1023,MATCH('Assemble Data'!A628,'Assemble Data'!$N$24:$N$1023,0))</f>
        <v>C1</v>
      </c>
      <c r="D627" s="13">
        <f>SUMIF('Assemble Data'!H:H,'Assemble Data'!A628,'Assemble Data'!I:I)</f>
        <v>6.5</v>
      </c>
      <c r="E627" s="13">
        <f>IFERROR(IF(AND('Assemble Data'!D628&lt;&gt;"",'Assemble Data'!D628&lt;&gt;B627),1,0),1)</f>
        <v>0</v>
      </c>
      <c r="F627" s="13">
        <f ca="1">IF('Assemble Data'!E628="",0,IF(ISERROR(FIND("INDEX",_xlfn.FORMULATEXT('Assemble Data'!E628),1)),1,0)+IFERROR(IF(AND('Assemble Data'!E628&lt;&gt;C627,'Assemble Data'!E628&lt;&gt;""),1,0),1))</f>
        <v>0</v>
      </c>
      <c r="G627" s="13">
        <f ca="1">IF('Assemble Data'!F628="",0,IF(ISERROR(FIND("VLOOKUP",_xlfn.FORMULATEXT('Assemble Data'!F628),1)),1,0)+IFERROR(IF(AND('Assemble Data'!F628&lt;&gt;D627,'Assemble Data'!F628&lt;&gt;""),1,0),1))</f>
        <v>0</v>
      </c>
      <c r="H627" s="13">
        <f t="shared" si="34"/>
        <v>7</v>
      </c>
      <c r="I627" t="str">
        <f t="shared" si="35"/>
        <v>C1P12</v>
      </c>
    </row>
    <row r="628" spans="1:9">
      <c r="A628" t="str">
        <f>'Assemble Data'!B629</f>
        <v>P10</v>
      </c>
      <c r="B628" s="13">
        <f>IFERROR(SUMIF('Assemble Data'!K:K,'Assemble Data'!A629,'Assemble Data'!L:L),0)</f>
        <v>2880</v>
      </c>
      <c r="C628" s="13" t="str">
        <f>INDEX('Assemble Data'!$O$24:$O$1023,MATCH('Assemble Data'!A629,'Assemble Data'!$N$24:$N$1023,0))</f>
        <v>C1</v>
      </c>
      <c r="D628" s="13">
        <f>SUMIF('Assemble Data'!H:H,'Assemble Data'!A629,'Assemble Data'!I:I)</f>
        <v>3</v>
      </c>
      <c r="E628" s="13">
        <f>IFERROR(IF(AND('Assemble Data'!D629&lt;&gt;"",'Assemble Data'!D629&lt;&gt;B628),1,0),1)</f>
        <v>0</v>
      </c>
      <c r="F628" s="13">
        <f ca="1">IF('Assemble Data'!E629="",0,IF(ISERROR(FIND("INDEX",_xlfn.FORMULATEXT('Assemble Data'!E629),1)),1,0)+IFERROR(IF(AND('Assemble Data'!E629&lt;&gt;C628,'Assemble Data'!E629&lt;&gt;""),1,0),1))</f>
        <v>0</v>
      </c>
      <c r="G628" s="13">
        <f ca="1">IF('Assemble Data'!F629="",0,IF(ISERROR(FIND("VLOOKUP",_xlfn.FORMULATEXT('Assemble Data'!F629),1)),1,0)+IFERROR(IF(AND('Assemble Data'!F629&lt;&gt;D628,'Assemble Data'!F629&lt;&gt;""),1,0),1))</f>
        <v>0</v>
      </c>
      <c r="H628" s="13">
        <f t="shared" si="34"/>
        <v>8</v>
      </c>
      <c r="I628" t="str">
        <f t="shared" si="35"/>
        <v>C1P10</v>
      </c>
    </row>
    <row r="629" spans="1:9">
      <c r="A629" t="str">
        <f>'Assemble Data'!B630</f>
        <v>P10</v>
      </c>
      <c r="B629" s="13">
        <f>IFERROR(SUMIF('Assemble Data'!K:K,'Assemble Data'!A630,'Assemble Data'!L:L),0)</f>
        <v>2880</v>
      </c>
      <c r="C629" s="13" t="str">
        <f>INDEX('Assemble Data'!$O$24:$O$1023,MATCH('Assemble Data'!A630,'Assemble Data'!$N$24:$N$1023,0))</f>
        <v>C1</v>
      </c>
      <c r="D629" s="13">
        <f>SUMIF('Assemble Data'!H:H,'Assemble Data'!A630,'Assemble Data'!I:I)</f>
        <v>3</v>
      </c>
      <c r="E629" s="13">
        <f>IFERROR(IF(AND('Assemble Data'!D630&lt;&gt;"",'Assemble Data'!D630&lt;&gt;B629),1,0),1)</f>
        <v>0</v>
      </c>
      <c r="F629" s="13">
        <f ca="1">IF('Assemble Data'!E630="",0,IF(ISERROR(FIND("INDEX",_xlfn.FORMULATEXT('Assemble Data'!E630),1)),1,0)+IFERROR(IF(AND('Assemble Data'!E630&lt;&gt;C629,'Assemble Data'!E630&lt;&gt;""),1,0),1))</f>
        <v>0</v>
      </c>
      <c r="G629" s="13">
        <f ca="1">IF('Assemble Data'!F630="",0,IF(ISERROR(FIND("VLOOKUP",_xlfn.FORMULATEXT('Assemble Data'!F630),1)),1,0)+IFERROR(IF(AND('Assemble Data'!F630&lt;&gt;D629,'Assemble Data'!F630&lt;&gt;""),1,0),1))</f>
        <v>0</v>
      </c>
      <c r="H629" s="13">
        <f t="shared" si="34"/>
        <v>8</v>
      </c>
      <c r="I629" t="str">
        <f t="shared" si="35"/>
        <v>C1P10</v>
      </c>
    </row>
    <row r="630" spans="1:9">
      <c r="A630" t="str">
        <f>'Assemble Data'!B631</f>
        <v>P11</v>
      </c>
      <c r="B630" s="13">
        <f>IFERROR(SUMIF('Assemble Data'!K:K,'Assemble Data'!A631,'Assemble Data'!L:L),0)</f>
        <v>13200</v>
      </c>
      <c r="C630" s="13" t="str">
        <f>INDEX('Assemble Data'!$O$24:$O$1023,MATCH('Assemble Data'!A631,'Assemble Data'!$N$24:$N$1023,0))</f>
        <v>C1</v>
      </c>
      <c r="D630" s="13">
        <f>SUMIF('Assemble Data'!H:H,'Assemble Data'!A631,'Assemble Data'!I:I)</f>
        <v>11</v>
      </c>
      <c r="E630" s="13">
        <f>IFERROR(IF(AND('Assemble Data'!D631&lt;&gt;"",'Assemble Data'!D631&lt;&gt;B630),1,0),1)</f>
        <v>0</v>
      </c>
      <c r="F630" s="13">
        <f ca="1">IF('Assemble Data'!E631="",0,IF(ISERROR(FIND("INDEX",_xlfn.FORMULATEXT('Assemble Data'!E631),1)),1,0)+IFERROR(IF(AND('Assemble Data'!E631&lt;&gt;C630,'Assemble Data'!E631&lt;&gt;""),1,0),1))</f>
        <v>0</v>
      </c>
      <c r="G630" s="13">
        <f ca="1">IF('Assemble Data'!F631="",0,IF(ISERROR(FIND("VLOOKUP",_xlfn.FORMULATEXT('Assemble Data'!F631),1)),1,0)+IFERROR(IF(AND('Assemble Data'!F631&lt;&gt;D630,'Assemble Data'!F631&lt;&gt;""),1,0),1))</f>
        <v>0</v>
      </c>
      <c r="H630" s="13">
        <f t="shared" si="34"/>
        <v>9</v>
      </c>
      <c r="I630" t="str">
        <f t="shared" si="35"/>
        <v>C1P11</v>
      </c>
    </row>
    <row r="631" spans="1:9">
      <c r="A631" t="str">
        <f>'Assemble Data'!B632</f>
        <v>P18</v>
      </c>
      <c r="B631" s="13">
        <f>IFERROR(SUMIF('Assemble Data'!K:K,'Assemble Data'!A632,'Assemble Data'!L:L),0)</f>
        <v>4860</v>
      </c>
      <c r="C631" s="13" t="str">
        <f>INDEX('Assemble Data'!$O$24:$O$1023,MATCH('Assemble Data'!A632,'Assemble Data'!$N$24:$N$1023,0))</f>
        <v>O1</v>
      </c>
      <c r="D631" s="13">
        <f>SUMIF('Assemble Data'!H:H,'Assemble Data'!A632,'Assemble Data'!I:I)</f>
        <v>6</v>
      </c>
      <c r="E631" s="13">
        <f>IFERROR(IF(AND('Assemble Data'!D632&lt;&gt;"",'Assemble Data'!D632&lt;&gt;B631),1,0),1)</f>
        <v>0</v>
      </c>
      <c r="F631" s="13">
        <f ca="1">IF('Assemble Data'!E632="",0,IF(ISERROR(FIND("INDEX",_xlfn.FORMULATEXT('Assemble Data'!E632),1)),1,0)+IFERROR(IF(AND('Assemble Data'!E632&lt;&gt;C631,'Assemble Data'!E632&lt;&gt;""),1,0),1))</f>
        <v>0</v>
      </c>
      <c r="G631" s="13">
        <f ca="1">IF('Assemble Data'!F632="",0,IF(ISERROR(FIND("VLOOKUP",_xlfn.FORMULATEXT('Assemble Data'!F632),1)),1,0)+IFERROR(IF(AND('Assemble Data'!F632&lt;&gt;D631,'Assemble Data'!F632&lt;&gt;""),1,0),1))</f>
        <v>0</v>
      </c>
      <c r="H631" s="13">
        <f t="shared" si="34"/>
        <v>2</v>
      </c>
      <c r="I631" t="str">
        <f t="shared" si="35"/>
        <v>O1P18</v>
      </c>
    </row>
    <row r="632" spans="1:9">
      <c r="A632" t="str">
        <f>'Assemble Data'!B633</f>
        <v>P14</v>
      </c>
      <c r="B632" s="13">
        <f>IFERROR(SUMIF('Assemble Data'!K:K,'Assemble Data'!A633,'Assemble Data'!L:L),0)</f>
        <v>10080</v>
      </c>
      <c r="C632" s="13" t="str">
        <f>INDEX('Assemble Data'!$O$24:$O$1023,MATCH('Assemble Data'!A633,'Assemble Data'!$N$24:$N$1023,0))</f>
        <v>N1</v>
      </c>
      <c r="D632" s="13">
        <f>SUMIF('Assemble Data'!H:H,'Assemble Data'!A633,'Assemble Data'!I:I)</f>
        <v>8</v>
      </c>
      <c r="E632" s="13">
        <f>IFERROR(IF(AND('Assemble Data'!D633&lt;&gt;"",'Assemble Data'!D633&lt;&gt;B632),1,0),1)</f>
        <v>0</v>
      </c>
      <c r="F632" s="13">
        <f ca="1">IF('Assemble Data'!E633="",0,IF(ISERROR(FIND("INDEX",_xlfn.FORMULATEXT('Assemble Data'!E633),1)),1,0)+IFERROR(IF(AND('Assemble Data'!E633&lt;&gt;C632,'Assemble Data'!E633&lt;&gt;""),1,0),1))</f>
        <v>0</v>
      </c>
      <c r="G632" s="13">
        <f ca="1">IF('Assemble Data'!F633="",0,IF(ISERROR(FIND("VLOOKUP",_xlfn.FORMULATEXT('Assemble Data'!F633),1)),1,0)+IFERROR(IF(AND('Assemble Data'!F633&lt;&gt;D632,'Assemble Data'!F633&lt;&gt;""),1,0),1))</f>
        <v>0</v>
      </c>
      <c r="H632" s="13">
        <f t="shared" si="34"/>
        <v>5</v>
      </c>
      <c r="I632" t="str">
        <f t="shared" si="35"/>
        <v>N1P14</v>
      </c>
    </row>
    <row r="633" spans="1:9">
      <c r="A633" t="str">
        <f>'Assemble Data'!B634</f>
        <v>P10</v>
      </c>
      <c r="B633" s="13">
        <f>IFERROR(SUMIF('Assemble Data'!K:K,'Assemble Data'!A634,'Assemble Data'!L:L),0)</f>
        <v>2880</v>
      </c>
      <c r="C633" s="13" t="str">
        <f>INDEX('Assemble Data'!$O$24:$O$1023,MATCH('Assemble Data'!A634,'Assemble Data'!$N$24:$N$1023,0))</f>
        <v>C1</v>
      </c>
      <c r="D633" s="13">
        <f>SUMIF('Assemble Data'!H:H,'Assemble Data'!A634,'Assemble Data'!I:I)</f>
        <v>3</v>
      </c>
      <c r="E633" s="13">
        <f>IFERROR(IF(AND('Assemble Data'!D634&lt;&gt;"",'Assemble Data'!D634&lt;&gt;B633),1,0),1)</f>
        <v>0</v>
      </c>
      <c r="F633" s="13">
        <f ca="1">IF('Assemble Data'!E634="",0,IF(ISERROR(FIND("INDEX",_xlfn.FORMULATEXT('Assemble Data'!E634),1)),1,0)+IFERROR(IF(AND('Assemble Data'!E634&lt;&gt;C633,'Assemble Data'!E634&lt;&gt;""),1,0),1))</f>
        <v>0</v>
      </c>
      <c r="G633" s="13">
        <f ca="1">IF('Assemble Data'!F634="",0,IF(ISERROR(FIND("VLOOKUP",_xlfn.FORMULATEXT('Assemble Data'!F634),1)),1,0)+IFERROR(IF(AND('Assemble Data'!F634&lt;&gt;D633,'Assemble Data'!F634&lt;&gt;""),1,0),1))</f>
        <v>0</v>
      </c>
      <c r="H633" s="13">
        <f t="shared" si="34"/>
        <v>8</v>
      </c>
      <c r="I633" t="str">
        <f t="shared" si="35"/>
        <v>C1P10</v>
      </c>
    </row>
    <row r="634" spans="1:9">
      <c r="A634" t="str">
        <f>'Assemble Data'!B635</f>
        <v>P13</v>
      </c>
      <c r="B634" s="13">
        <f>IFERROR(SUMIF('Assemble Data'!K:K,'Assemble Data'!A635,'Assemble Data'!L:L),0)</f>
        <v>5400</v>
      </c>
      <c r="C634" s="13" t="str">
        <f>INDEX('Assemble Data'!$O$24:$O$1023,MATCH('Assemble Data'!A635,'Assemble Data'!$N$24:$N$1023,0))</f>
        <v>C1</v>
      </c>
      <c r="D634" s="13">
        <f>SUMIF('Assemble Data'!H:H,'Assemble Data'!A635,'Assemble Data'!I:I)</f>
        <v>5</v>
      </c>
      <c r="E634" s="13">
        <f>IFERROR(IF(AND('Assemble Data'!D635&lt;&gt;"",'Assemble Data'!D635&lt;&gt;B634),1,0),1)</f>
        <v>0</v>
      </c>
      <c r="F634" s="13">
        <f ca="1">IF('Assemble Data'!E635="",0,IF(ISERROR(FIND("INDEX",_xlfn.FORMULATEXT('Assemble Data'!E635),1)),1,0)+IFERROR(IF(AND('Assemble Data'!E635&lt;&gt;C634,'Assemble Data'!E635&lt;&gt;""),1,0),1))</f>
        <v>0</v>
      </c>
      <c r="G634" s="13">
        <f ca="1">IF('Assemble Data'!F635="",0,IF(ISERROR(FIND("VLOOKUP",_xlfn.FORMULATEXT('Assemble Data'!F635),1)),1,0)+IFERROR(IF(AND('Assemble Data'!F635&lt;&gt;D634,'Assemble Data'!F635&lt;&gt;""),1,0),1))</f>
        <v>0</v>
      </c>
      <c r="H634" s="13">
        <f t="shared" si="34"/>
        <v>3</v>
      </c>
      <c r="I634" t="str">
        <f t="shared" si="35"/>
        <v>C1P13</v>
      </c>
    </row>
    <row r="635" spans="1:9">
      <c r="A635" t="str">
        <f>'Assemble Data'!B636</f>
        <v>P13</v>
      </c>
      <c r="B635" s="13">
        <f>IFERROR(SUMIF('Assemble Data'!K:K,'Assemble Data'!A636,'Assemble Data'!L:L),0)</f>
        <v>5400</v>
      </c>
      <c r="C635" s="13" t="str">
        <f>INDEX('Assemble Data'!$O$24:$O$1023,MATCH('Assemble Data'!A636,'Assemble Data'!$N$24:$N$1023,0))</f>
        <v>C1</v>
      </c>
      <c r="D635" s="13">
        <f>SUMIF('Assemble Data'!H:H,'Assemble Data'!A636,'Assemble Data'!I:I)</f>
        <v>5</v>
      </c>
      <c r="E635" s="13">
        <f>IFERROR(IF(AND('Assemble Data'!D636&lt;&gt;"",'Assemble Data'!D636&lt;&gt;B635),1,0),1)</f>
        <v>0</v>
      </c>
      <c r="F635" s="13">
        <f ca="1">IF('Assemble Data'!E636="",0,IF(ISERROR(FIND("INDEX",_xlfn.FORMULATEXT('Assemble Data'!E636),1)),1,0)+IFERROR(IF(AND('Assemble Data'!E636&lt;&gt;C635,'Assemble Data'!E636&lt;&gt;""),1,0),1))</f>
        <v>0</v>
      </c>
      <c r="G635" s="13">
        <f ca="1">IF('Assemble Data'!F636="",0,IF(ISERROR(FIND("VLOOKUP",_xlfn.FORMULATEXT('Assemble Data'!F636),1)),1,0)+IFERROR(IF(AND('Assemble Data'!F636&lt;&gt;D635,'Assemble Data'!F636&lt;&gt;""),1,0),1))</f>
        <v>0</v>
      </c>
      <c r="H635" s="13">
        <f t="shared" ref="H635:H698" si="36">H618</f>
        <v>3</v>
      </c>
      <c r="I635" t="str">
        <f t="shared" si="35"/>
        <v>C1P13</v>
      </c>
    </row>
    <row r="636" spans="1:9">
      <c r="A636" t="str">
        <f>'Assemble Data'!B637</f>
        <v>P10</v>
      </c>
      <c r="B636" s="13">
        <f>IFERROR(SUMIF('Assemble Data'!K:K,'Assemble Data'!A637,'Assemble Data'!L:L),0)</f>
        <v>2880</v>
      </c>
      <c r="C636" s="13" t="str">
        <f>INDEX('Assemble Data'!$O$24:$O$1023,MATCH('Assemble Data'!A637,'Assemble Data'!$N$24:$N$1023,0))</f>
        <v>C1</v>
      </c>
      <c r="D636" s="13">
        <f>SUMIF('Assemble Data'!H:H,'Assemble Data'!A637,'Assemble Data'!I:I)</f>
        <v>3</v>
      </c>
      <c r="E636" s="13">
        <f>IFERROR(IF(AND('Assemble Data'!D637&lt;&gt;"",'Assemble Data'!D637&lt;&gt;B636),1,0),1)</f>
        <v>0</v>
      </c>
      <c r="F636" s="13">
        <f ca="1">IF('Assemble Data'!E637="",0,IF(ISERROR(FIND("INDEX",_xlfn.FORMULATEXT('Assemble Data'!E637),1)),1,0)+IFERROR(IF(AND('Assemble Data'!E637&lt;&gt;C636,'Assemble Data'!E637&lt;&gt;""),1,0),1))</f>
        <v>0</v>
      </c>
      <c r="G636" s="13">
        <f ca="1">IF('Assemble Data'!F637="",0,IF(ISERROR(FIND("VLOOKUP",_xlfn.FORMULATEXT('Assemble Data'!F637),1)),1,0)+IFERROR(IF(AND('Assemble Data'!F637&lt;&gt;D636,'Assemble Data'!F637&lt;&gt;""),1,0),1))</f>
        <v>0</v>
      </c>
      <c r="H636" s="13">
        <f t="shared" si="36"/>
        <v>8</v>
      </c>
      <c r="I636" t="str">
        <f t="shared" si="35"/>
        <v>C1P10</v>
      </c>
    </row>
    <row r="637" spans="1:9">
      <c r="A637" t="str">
        <f>'Assemble Data'!B638</f>
        <v>P11</v>
      </c>
      <c r="B637" s="13">
        <f>IFERROR(SUMIF('Assemble Data'!K:K,'Assemble Data'!A638,'Assemble Data'!L:L),0)</f>
        <v>13200</v>
      </c>
      <c r="C637" s="13" t="str">
        <f>INDEX('Assemble Data'!$O$24:$O$1023,MATCH('Assemble Data'!A638,'Assemble Data'!$N$24:$N$1023,0))</f>
        <v>C1</v>
      </c>
      <c r="D637" s="13">
        <f>SUMIF('Assemble Data'!H:H,'Assemble Data'!A638,'Assemble Data'!I:I)</f>
        <v>11</v>
      </c>
      <c r="E637" s="13">
        <f>IFERROR(IF(AND('Assemble Data'!D638&lt;&gt;"",'Assemble Data'!D638&lt;&gt;B637),1,0),1)</f>
        <v>0</v>
      </c>
      <c r="F637" s="13">
        <f ca="1">IF('Assemble Data'!E638="",0,IF(ISERROR(FIND("INDEX",_xlfn.FORMULATEXT('Assemble Data'!E638),1)),1,0)+IFERROR(IF(AND('Assemble Data'!E638&lt;&gt;C637,'Assemble Data'!E638&lt;&gt;""),1,0),1))</f>
        <v>0</v>
      </c>
      <c r="G637" s="13">
        <f ca="1">IF('Assemble Data'!F638="",0,IF(ISERROR(FIND("VLOOKUP",_xlfn.FORMULATEXT('Assemble Data'!F638),1)),1,0)+IFERROR(IF(AND('Assemble Data'!F638&lt;&gt;D637,'Assemble Data'!F638&lt;&gt;""),1,0),1))</f>
        <v>0</v>
      </c>
      <c r="H637" s="13">
        <f t="shared" si="36"/>
        <v>9</v>
      </c>
      <c r="I637" t="str">
        <f t="shared" si="35"/>
        <v>C1P11</v>
      </c>
    </row>
    <row r="638" spans="1:9">
      <c r="A638" t="str">
        <f>'Assemble Data'!B639</f>
        <v>P16</v>
      </c>
      <c r="B638" s="13">
        <f>IFERROR(SUMIF('Assemble Data'!K:K,'Assemble Data'!A639,'Assemble Data'!L:L),0)</f>
        <v>7279.9999999999991</v>
      </c>
      <c r="C638" s="13" t="str">
        <f>INDEX('Assemble Data'!$O$24:$O$1023,MATCH('Assemble Data'!A639,'Assemble Data'!$N$24:$N$1023,0))</f>
        <v>N1</v>
      </c>
      <c r="D638" s="13">
        <f>SUMIF('Assemble Data'!H:H,'Assemble Data'!A639,'Assemble Data'!I:I)</f>
        <v>4</v>
      </c>
      <c r="E638" s="13">
        <f>IFERROR(IF(AND('Assemble Data'!D639&lt;&gt;"",'Assemble Data'!D639&lt;&gt;B638),1,0),1)</f>
        <v>0</v>
      </c>
      <c r="F638" s="13">
        <f ca="1">IF('Assemble Data'!E639="",0,IF(ISERROR(FIND("INDEX",_xlfn.FORMULATEXT('Assemble Data'!E639),1)),1,0)+IFERROR(IF(AND('Assemble Data'!E639&lt;&gt;C638,'Assemble Data'!E639&lt;&gt;""),1,0),1))</f>
        <v>0</v>
      </c>
      <c r="G638" s="13">
        <f ca="1">IF('Assemble Data'!F639="",0,IF(ISERROR(FIND("VLOOKUP",_xlfn.FORMULATEXT('Assemble Data'!F639),1)),1,0)+IFERROR(IF(AND('Assemble Data'!F639&lt;&gt;D638,'Assemble Data'!F639&lt;&gt;""),1,0),1))</f>
        <v>0</v>
      </c>
      <c r="H638" s="13">
        <f t="shared" si="36"/>
        <v>0</v>
      </c>
      <c r="I638" t="str">
        <f t="shared" si="35"/>
        <v>N1P16</v>
      </c>
    </row>
    <row r="639" spans="1:9">
      <c r="A639" t="str">
        <f>'Assemble Data'!B640</f>
        <v>P17</v>
      </c>
      <c r="B639" s="13">
        <f>IFERROR(SUMIF('Assemble Data'!K:K,'Assemble Data'!A640,'Assemble Data'!L:L),0)</f>
        <v>10800</v>
      </c>
      <c r="C639" s="13" t="str">
        <f>INDEX('Assemble Data'!$O$24:$O$1023,MATCH('Assemble Data'!A640,'Assemble Data'!$N$24:$N$1023,0))</f>
        <v>O1</v>
      </c>
      <c r="D639" s="13">
        <f>SUMIF('Assemble Data'!H:H,'Assemble Data'!A640,'Assemble Data'!I:I)</f>
        <v>12</v>
      </c>
      <c r="E639" s="13">
        <f>IFERROR(IF(AND('Assemble Data'!D640&lt;&gt;"",'Assemble Data'!D640&lt;&gt;B639),1,0),1)</f>
        <v>0</v>
      </c>
      <c r="F639" s="13">
        <f ca="1">IF('Assemble Data'!E640="",0,IF(ISERROR(FIND("INDEX",_xlfn.FORMULATEXT('Assemble Data'!E640),1)),1,0)+IFERROR(IF(AND('Assemble Data'!E640&lt;&gt;C639,'Assemble Data'!E640&lt;&gt;""),1,0),1))</f>
        <v>0</v>
      </c>
      <c r="G639" s="13">
        <f ca="1">IF('Assemble Data'!F640="",0,IF(ISERROR(FIND("VLOOKUP",_xlfn.FORMULATEXT('Assemble Data'!F640),1)),1,0)+IFERROR(IF(AND('Assemble Data'!F640&lt;&gt;D639,'Assemble Data'!F640&lt;&gt;""),1,0),1))</f>
        <v>0</v>
      </c>
      <c r="H639" s="13">
        <f t="shared" si="36"/>
        <v>6</v>
      </c>
      <c r="I639" t="str">
        <f t="shared" si="35"/>
        <v>O1P17</v>
      </c>
    </row>
    <row r="640" spans="1:9">
      <c r="A640" t="str">
        <f>'Assemble Data'!B641</f>
        <v>P17</v>
      </c>
      <c r="B640" s="13">
        <f>IFERROR(SUMIF('Assemble Data'!K:K,'Assemble Data'!A641,'Assemble Data'!L:L),0)</f>
        <v>10800</v>
      </c>
      <c r="C640" s="13" t="str">
        <f>INDEX('Assemble Data'!$O$24:$O$1023,MATCH('Assemble Data'!A641,'Assemble Data'!$N$24:$N$1023,0))</f>
        <v>O1</v>
      </c>
      <c r="D640" s="13">
        <f>SUMIF('Assemble Data'!H:H,'Assemble Data'!A641,'Assemble Data'!I:I)</f>
        <v>12</v>
      </c>
      <c r="E640" s="13">
        <f>IFERROR(IF(AND('Assemble Data'!D641&lt;&gt;"",'Assemble Data'!D641&lt;&gt;B640),1,0),1)</f>
        <v>0</v>
      </c>
      <c r="F640" s="13">
        <f ca="1">IF('Assemble Data'!E641="",0,IF(ISERROR(FIND("INDEX",_xlfn.FORMULATEXT('Assemble Data'!E641),1)),1,0)+IFERROR(IF(AND('Assemble Data'!E641&lt;&gt;C640,'Assemble Data'!E641&lt;&gt;""),1,0),1))</f>
        <v>0</v>
      </c>
      <c r="G640" s="13">
        <f ca="1">IF('Assemble Data'!F641="",0,IF(ISERROR(FIND("VLOOKUP",_xlfn.FORMULATEXT('Assemble Data'!F641),1)),1,0)+IFERROR(IF(AND('Assemble Data'!F641&lt;&gt;D640,'Assemble Data'!F641&lt;&gt;""),1,0),1))</f>
        <v>0</v>
      </c>
      <c r="H640" s="13">
        <f t="shared" si="36"/>
        <v>6</v>
      </c>
      <c r="I640" t="str">
        <f t="shared" si="35"/>
        <v>O1P17</v>
      </c>
    </row>
    <row r="641" spans="1:9">
      <c r="A641" t="str">
        <f>'Assemble Data'!B642</f>
        <v>P13</v>
      </c>
      <c r="B641" s="13">
        <f>IFERROR(SUMIF('Assemble Data'!K:K,'Assemble Data'!A642,'Assemble Data'!L:L),0)</f>
        <v>5400</v>
      </c>
      <c r="C641" s="13" t="str">
        <f>INDEX('Assemble Data'!$O$24:$O$1023,MATCH('Assemble Data'!A642,'Assemble Data'!$N$24:$N$1023,0))</f>
        <v>C1</v>
      </c>
      <c r="D641" s="13">
        <f>SUMIF('Assemble Data'!H:H,'Assemble Data'!A642,'Assemble Data'!I:I)</f>
        <v>5</v>
      </c>
      <c r="E641" s="13">
        <f>IFERROR(IF(AND('Assemble Data'!D642&lt;&gt;"",'Assemble Data'!D642&lt;&gt;B641),1,0),1)</f>
        <v>0</v>
      </c>
      <c r="F641" s="13">
        <f ca="1">IF('Assemble Data'!E642="",0,IF(ISERROR(FIND("INDEX",_xlfn.FORMULATEXT('Assemble Data'!E642),1)),1,0)+IFERROR(IF(AND('Assemble Data'!E642&lt;&gt;C641,'Assemble Data'!E642&lt;&gt;""),1,0),1))</f>
        <v>0</v>
      </c>
      <c r="G641" s="13">
        <f ca="1">IF('Assemble Data'!F642="",0,IF(ISERROR(FIND("VLOOKUP",_xlfn.FORMULATEXT('Assemble Data'!F642),1)),1,0)+IFERROR(IF(AND('Assemble Data'!F642&lt;&gt;D641,'Assemble Data'!F642&lt;&gt;""),1,0),1))</f>
        <v>0</v>
      </c>
      <c r="H641" s="13">
        <f t="shared" si="36"/>
        <v>3</v>
      </c>
      <c r="I641" t="str">
        <f t="shared" si="35"/>
        <v>C1P13</v>
      </c>
    </row>
    <row r="642" spans="1:9">
      <c r="A642" t="str">
        <f>'Assemble Data'!B643</f>
        <v>P11</v>
      </c>
      <c r="B642" s="13">
        <f>IFERROR(SUMIF('Assemble Data'!K:K,'Assemble Data'!A643,'Assemble Data'!L:L),0)</f>
        <v>11000</v>
      </c>
      <c r="C642" s="13" t="str">
        <f>INDEX('Assemble Data'!$O$24:$O$1023,MATCH('Assemble Data'!A643,'Assemble Data'!$N$24:$N$1023,0))</f>
        <v>C2</v>
      </c>
      <c r="D642" s="13">
        <f>SUMIF('Assemble Data'!H:H,'Assemble Data'!A643,'Assemble Data'!I:I)</f>
        <v>11</v>
      </c>
      <c r="E642" s="13">
        <f>IFERROR(IF(AND('Assemble Data'!D643&lt;&gt;"",'Assemble Data'!D643&lt;&gt;B642),1,0),1)</f>
        <v>0</v>
      </c>
      <c r="F642" s="13">
        <f ca="1">IF('Assemble Data'!E643="",0,IF(ISERROR(FIND("INDEX",_xlfn.FORMULATEXT('Assemble Data'!E643),1)),1,0)+IFERROR(IF(AND('Assemble Data'!E643&lt;&gt;C642,'Assemble Data'!E643&lt;&gt;""),1,0),1))</f>
        <v>0</v>
      </c>
      <c r="G642" s="13">
        <f ca="1">IF('Assemble Data'!F643="",0,IF(ISERROR(FIND("VLOOKUP",_xlfn.FORMULATEXT('Assemble Data'!F643),1)),1,0)+IFERROR(IF(AND('Assemble Data'!F643&lt;&gt;D642,'Assemble Data'!F643&lt;&gt;""),1,0),1))</f>
        <v>0</v>
      </c>
      <c r="H642" s="13">
        <f t="shared" si="36"/>
        <v>9</v>
      </c>
      <c r="I642" t="str">
        <f t="shared" si="35"/>
        <v>C2P11</v>
      </c>
    </row>
    <row r="643" spans="1:9">
      <c r="A643" t="str">
        <f>'Assemble Data'!B644</f>
        <v>P11</v>
      </c>
      <c r="B643" s="13">
        <f>IFERROR(SUMIF('Assemble Data'!K:K,'Assemble Data'!A644,'Assemble Data'!L:L),0)</f>
        <v>11000</v>
      </c>
      <c r="C643" s="13" t="str">
        <f>INDEX('Assemble Data'!$O$24:$O$1023,MATCH('Assemble Data'!A644,'Assemble Data'!$N$24:$N$1023,0))</f>
        <v>C2</v>
      </c>
      <c r="D643" s="13">
        <f>SUMIF('Assemble Data'!H:H,'Assemble Data'!A644,'Assemble Data'!I:I)</f>
        <v>11</v>
      </c>
      <c r="E643" s="13">
        <f>IFERROR(IF(AND('Assemble Data'!D644&lt;&gt;"",'Assemble Data'!D644&lt;&gt;B643),1,0),1)</f>
        <v>0</v>
      </c>
      <c r="F643" s="13">
        <f ca="1">IF('Assemble Data'!E644="",0,IF(ISERROR(FIND("INDEX",_xlfn.FORMULATEXT('Assemble Data'!E644),1)),1,0)+IFERROR(IF(AND('Assemble Data'!E644&lt;&gt;C643,'Assemble Data'!E644&lt;&gt;""),1,0),1))</f>
        <v>0</v>
      </c>
      <c r="G643" s="13">
        <f ca="1">IF('Assemble Data'!F644="",0,IF(ISERROR(FIND("VLOOKUP",_xlfn.FORMULATEXT('Assemble Data'!F644),1)),1,0)+IFERROR(IF(AND('Assemble Data'!F644&lt;&gt;D643,'Assemble Data'!F644&lt;&gt;""),1,0),1))</f>
        <v>0</v>
      </c>
      <c r="H643" s="13">
        <f t="shared" si="36"/>
        <v>9</v>
      </c>
      <c r="I643" t="str">
        <f t="shared" si="35"/>
        <v>C2P11</v>
      </c>
    </row>
    <row r="644" spans="1:9">
      <c r="A644" t="str">
        <f>'Assemble Data'!B645</f>
        <v>P12</v>
      </c>
      <c r="B644" s="13">
        <f>IFERROR(SUMIF('Assemble Data'!K:K,'Assemble Data'!A645,'Assemble Data'!L:L),0)</f>
        <v>6825</v>
      </c>
      <c r="C644" s="13" t="str">
        <f>INDEX('Assemble Data'!$O$24:$O$1023,MATCH('Assemble Data'!A645,'Assemble Data'!$N$24:$N$1023,0))</f>
        <v>C2</v>
      </c>
      <c r="D644" s="13">
        <f>SUMIF('Assemble Data'!H:H,'Assemble Data'!A645,'Assemble Data'!I:I)</f>
        <v>6.5</v>
      </c>
      <c r="E644" s="13">
        <f>IFERROR(IF(AND('Assemble Data'!D645&lt;&gt;"",'Assemble Data'!D645&lt;&gt;B644),1,0),1)</f>
        <v>0</v>
      </c>
      <c r="F644" s="13">
        <f ca="1">IF('Assemble Data'!E645="",0,IF(ISERROR(FIND("INDEX",_xlfn.FORMULATEXT('Assemble Data'!E645),1)),1,0)+IFERROR(IF(AND('Assemble Data'!E645&lt;&gt;C644,'Assemble Data'!E645&lt;&gt;""),1,0),1))</f>
        <v>0</v>
      </c>
      <c r="G644" s="13">
        <f ca="1">IF('Assemble Data'!F645="",0,IF(ISERROR(FIND("VLOOKUP",_xlfn.FORMULATEXT('Assemble Data'!F645),1)),1,0)+IFERROR(IF(AND('Assemble Data'!F645&lt;&gt;D644,'Assemble Data'!F645&lt;&gt;""),1,0),1))</f>
        <v>0</v>
      </c>
      <c r="H644" s="13">
        <f t="shared" si="36"/>
        <v>7</v>
      </c>
      <c r="I644" t="str">
        <f t="shared" si="35"/>
        <v>C2P12</v>
      </c>
    </row>
    <row r="645" spans="1:9">
      <c r="A645" t="str">
        <f>'Assemble Data'!B646</f>
        <v>P10</v>
      </c>
      <c r="B645" s="13">
        <f>IFERROR(SUMIF('Assemble Data'!K:K,'Assemble Data'!A646,'Assemble Data'!L:L),0)</f>
        <v>2400</v>
      </c>
      <c r="C645" s="13" t="str">
        <f>INDEX('Assemble Data'!$O$24:$O$1023,MATCH('Assemble Data'!A646,'Assemble Data'!$N$24:$N$1023,0))</f>
        <v>C2</v>
      </c>
      <c r="D645" s="13">
        <f>SUMIF('Assemble Data'!H:H,'Assemble Data'!A646,'Assemble Data'!I:I)</f>
        <v>3</v>
      </c>
      <c r="E645" s="13">
        <f>IFERROR(IF(AND('Assemble Data'!D646&lt;&gt;"",'Assemble Data'!D646&lt;&gt;B645),1,0),1)</f>
        <v>0</v>
      </c>
      <c r="F645" s="13">
        <f ca="1">IF('Assemble Data'!E646="",0,IF(ISERROR(FIND("INDEX",_xlfn.FORMULATEXT('Assemble Data'!E646),1)),1,0)+IFERROR(IF(AND('Assemble Data'!E646&lt;&gt;C645,'Assemble Data'!E646&lt;&gt;""),1,0),1))</f>
        <v>0</v>
      </c>
      <c r="G645" s="13">
        <f ca="1">IF('Assemble Data'!F646="",0,IF(ISERROR(FIND("VLOOKUP",_xlfn.FORMULATEXT('Assemble Data'!F646),1)),1,0)+IFERROR(IF(AND('Assemble Data'!F646&lt;&gt;D645,'Assemble Data'!F646&lt;&gt;""),1,0),1))</f>
        <v>0</v>
      </c>
      <c r="H645" s="13">
        <f t="shared" si="36"/>
        <v>8</v>
      </c>
      <c r="I645" t="str">
        <f t="shared" si="35"/>
        <v>C2P10</v>
      </c>
    </row>
    <row r="646" spans="1:9">
      <c r="A646" t="str">
        <f>'Assemble Data'!B647</f>
        <v>P10</v>
      </c>
      <c r="B646" s="13">
        <f>IFERROR(SUMIF('Assemble Data'!K:K,'Assemble Data'!A647,'Assemble Data'!L:L),0)</f>
        <v>2400</v>
      </c>
      <c r="C646" s="13" t="str">
        <f>INDEX('Assemble Data'!$O$24:$O$1023,MATCH('Assemble Data'!A647,'Assemble Data'!$N$24:$N$1023,0))</f>
        <v>C2</v>
      </c>
      <c r="D646" s="13">
        <f>SUMIF('Assemble Data'!H:H,'Assemble Data'!A647,'Assemble Data'!I:I)</f>
        <v>3</v>
      </c>
      <c r="E646" s="13">
        <f>IFERROR(IF(AND('Assemble Data'!D647&lt;&gt;"",'Assemble Data'!D647&lt;&gt;B646),1,0),1)</f>
        <v>0</v>
      </c>
      <c r="F646" s="13">
        <f ca="1">IF('Assemble Data'!E647="",0,IF(ISERROR(FIND("INDEX",_xlfn.FORMULATEXT('Assemble Data'!E647),1)),1,0)+IFERROR(IF(AND('Assemble Data'!E647&lt;&gt;C646,'Assemble Data'!E647&lt;&gt;""),1,0),1))</f>
        <v>0</v>
      </c>
      <c r="G646" s="13">
        <f ca="1">IF('Assemble Data'!F647="",0,IF(ISERROR(FIND("VLOOKUP",_xlfn.FORMULATEXT('Assemble Data'!F647),1)),1,0)+IFERROR(IF(AND('Assemble Data'!F647&lt;&gt;D646,'Assemble Data'!F647&lt;&gt;""),1,0),1))</f>
        <v>0</v>
      </c>
      <c r="H646" s="13">
        <f t="shared" si="36"/>
        <v>8</v>
      </c>
      <c r="I646" t="str">
        <f t="shared" si="35"/>
        <v>C2P10</v>
      </c>
    </row>
    <row r="647" spans="1:9">
      <c r="A647" t="str">
        <f>'Assemble Data'!B648</f>
        <v>P11</v>
      </c>
      <c r="B647" s="13">
        <f>IFERROR(SUMIF('Assemble Data'!K:K,'Assemble Data'!A648,'Assemble Data'!L:L),0)</f>
        <v>11000</v>
      </c>
      <c r="C647" s="13" t="str">
        <f>INDEX('Assemble Data'!$O$24:$O$1023,MATCH('Assemble Data'!A648,'Assemble Data'!$N$24:$N$1023,0))</f>
        <v>C2</v>
      </c>
      <c r="D647" s="13">
        <f>SUMIF('Assemble Data'!H:H,'Assemble Data'!A648,'Assemble Data'!I:I)</f>
        <v>11</v>
      </c>
      <c r="E647" s="13">
        <f>IFERROR(IF(AND('Assemble Data'!D648&lt;&gt;"",'Assemble Data'!D648&lt;&gt;B647),1,0),1)</f>
        <v>0</v>
      </c>
      <c r="F647" s="13">
        <f ca="1">IF('Assemble Data'!E648="",0,IF(ISERROR(FIND("INDEX",_xlfn.FORMULATEXT('Assemble Data'!E648),1)),1,0)+IFERROR(IF(AND('Assemble Data'!E648&lt;&gt;C647,'Assemble Data'!E648&lt;&gt;""),1,0),1))</f>
        <v>0</v>
      </c>
      <c r="G647" s="13">
        <f ca="1">IF('Assemble Data'!F648="",0,IF(ISERROR(FIND("VLOOKUP",_xlfn.FORMULATEXT('Assemble Data'!F648),1)),1,0)+IFERROR(IF(AND('Assemble Data'!F648&lt;&gt;D647,'Assemble Data'!F648&lt;&gt;""),1,0),1))</f>
        <v>0</v>
      </c>
      <c r="H647" s="13">
        <f t="shared" si="36"/>
        <v>9</v>
      </c>
      <c r="I647" t="str">
        <f t="shared" si="35"/>
        <v>C2P11</v>
      </c>
    </row>
    <row r="648" spans="1:9">
      <c r="A648" t="str">
        <f>'Assemble Data'!B649</f>
        <v>P18</v>
      </c>
      <c r="B648" s="13">
        <f>IFERROR(SUMIF('Assemble Data'!K:K,'Assemble Data'!A649,'Assemble Data'!L:L),0)</f>
        <v>5940.0000000000009</v>
      </c>
      <c r="C648" s="13" t="str">
        <f>INDEX('Assemble Data'!$O$24:$O$1023,MATCH('Assemble Data'!A649,'Assemble Data'!$N$24:$N$1023,0))</f>
        <v>O2</v>
      </c>
      <c r="D648" s="13">
        <f>SUMIF('Assemble Data'!H:H,'Assemble Data'!A649,'Assemble Data'!I:I)</f>
        <v>6</v>
      </c>
      <c r="E648" s="13">
        <f>IFERROR(IF(AND('Assemble Data'!D649&lt;&gt;"",'Assemble Data'!D649&lt;&gt;B648),1,0),1)</f>
        <v>0</v>
      </c>
      <c r="F648" s="13">
        <f ca="1">IF('Assemble Data'!E649="",0,IF(ISERROR(FIND("INDEX",_xlfn.FORMULATEXT('Assemble Data'!E649),1)),1,0)+IFERROR(IF(AND('Assemble Data'!E649&lt;&gt;C648,'Assemble Data'!E649&lt;&gt;""),1,0),1))</f>
        <v>0</v>
      </c>
      <c r="G648" s="13">
        <f ca="1">IF('Assemble Data'!F649="",0,IF(ISERROR(FIND("VLOOKUP",_xlfn.FORMULATEXT('Assemble Data'!F649),1)),1,0)+IFERROR(IF(AND('Assemble Data'!F649&lt;&gt;D648,'Assemble Data'!F649&lt;&gt;""),1,0),1))</f>
        <v>0</v>
      </c>
      <c r="H648" s="13">
        <f t="shared" si="36"/>
        <v>2</v>
      </c>
      <c r="I648" t="str">
        <f t="shared" si="35"/>
        <v>O2P18</v>
      </c>
    </row>
    <row r="649" spans="1:9">
      <c r="A649" t="str">
        <f>'Assemble Data'!B650</f>
        <v>P14</v>
      </c>
      <c r="B649" s="13">
        <f>IFERROR(SUMIF('Assemble Data'!K:K,'Assemble Data'!A650,'Assemble Data'!L:L),0)</f>
        <v>6480</v>
      </c>
      <c r="C649" s="13" t="str">
        <f>INDEX('Assemble Data'!$O$24:$O$1023,MATCH('Assemble Data'!A650,'Assemble Data'!$N$24:$N$1023,0))</f>
        <v>N2</v>
      </c>
      <c r="D649" s="13">
        <f>SUMIF('Assemble Data'!H:H,'Assemble Data'!A650,'Assemble Data'!I:I)</f>
        <v>8</v>
      </c>
      <c r="E649" s="13">
        <f>IFERROR(IF(AND('Assemble Data'!D650&lt;&gt;"",'Assemble Data'!D650&lt;&gt;B649),1,0),1)</f>
        <v>0</v>
      </c>
      <c r="F649" s="13">
        <f ca="1">IF('Assemble Data'!E650="",0,IF(ISERROR(FIND("INDEX",_xlfn.FORMULATEXT('Assemble Data'!E650),1)),1,0)+IFERROR(IF(AND('Assemble Data'!E650&lt;&gt;C649,'Assemble Data'!E650&lt;&gt;""),1,0),1))</f>
        <v>0</v>
      </c>
      <c r="G649" s="13">
        <f ca="1">IF('Assemble Data'!F650="",0,IF(ISERROR(FIND("VLOOKUP",_xlfn.FORMULATEXT('Assemble Data'!F650),1)),1,0)+IFERROR(IF(AND('Assemble Data'!F650&lt;&gt;D649,'Assemble Data'!F650&lt;&gt;""),1,0),1))</f>
        <v>0</v>
      </c>
      <c r="H649" s="13">
        <f t="shared" si="36"/>
        <v>5</v>
      </c>
      <c r="I649" t="str">
        <f t="shared" si="35"/>
        <v>N2P14</v>
      </c>
    </row>
    <row r="650" spans="1:9">
      <c r="A650" t="str">
        <f>'Assemble Data'!B651</f>
        <v>P10</v>
      </c>
      <c r="B650" s="13">
        <f>IFERROR(SUMIF('Assemble Data'!K:K,'Assemble Data'!A651,'Assemble Data'!L:L),0)</f>
        <v>2400</v>
      </c>
      <c r="C650" s="13" t="str">
        <f>INDEX('Assemble Data'!$O$24:$O$1023,MATCH('Assemble Data'!A651,'Assemble Data'!$N$24:$N$1023,0))</f>
        <v>C2</v>
      </c>
      <c r="D650" s="13">
        <f>SUMIF('Assemble Data'!H:H,'Assemble Data'!A651,'Assemble Data'!I:I)</f>
        <v>3</v>
      </c>
      <c r="E650" s="13">
        <f>IFERROR(IF(AND('Assemble Data'!D651&lt;&gt;"",'Assemble Data'!D651&lt;&gt;B650),1,0),1)</f>
        <v>0</v>
      </c>
      <c r="F650" s="13">
        <f ca="1">IF('Assemble Data'!E651="",0,IF(ISERROR(FIND("INDEX",_xlfn.FORMULATEXT('Assemble Data'!E651),1)),1,0)+IFERROR(IF(AND('Assemble Data'!E651&lt;&gt;C650,'Assemble Data'!E651&lt;&gt;""),1,0),1))</f>
        <v>0</v>
      </c>
      <c r="G650" s="13">
        <f ca="1">IF('Assemble Data'!F651="",0,IF(ISERROR(FIND("VLOOKUP",_xlfn.FORMULATEXT('Assemble Data'!F651),1)),1,0)+IFERROR(IF(AND('Assemble Data'!F651&lt;&gt;D650,'Assemble Data'!F651&lt;&gt;""),1,0),1))</f>
        <v>0</v>
      </c>
      <c r="H650" s="13">
        <f t="shared" si="36"/>
        <v>8</v>
      </c>
      <c r="I650" t="str">
        <f t="shared" si="35"/>
        <v>C2P10</v>
      </c>
    </row>
    <row r="651" spans="1:9">
      <c r="A651" t="str">
        <f>'Assemble Data'!B652</f>
        <v>P13</v>
      </c>
      <c r="B651" s="13">
        <f>IFERROR(SUMIF('Assemble Data'!K:K,'Assemble Data'!A652,'Assemble Data'!L:L),0)</f>
        <v>4500</v>
      </c>
      <c r="C651" s="13" t="str">
        <f>INDEX('Assemble Data'!$O$24:$O$1023,MATCH('Assemble Data'!A652,'Assemble Data'!$N$24:$N$1023,0))</f>
        <v>C2</v>
      </c>
      <c r="D651" s="13">
        <f>SUMIF('Assemble Data'!H:H,'Assemble Data'!A652,'Assemble Data'!I:I)</f>
        <v>5</v>
      </c>
      <c r="E651" s="13">
        <f>IFERROR(IF(AND('Assemble Data'!D652&lt;&gt;"",'Assemble Data'!D652&lt;&gt;B651),1,0),1)</f>
        <v>0</v>
      </c>
      <c r="F651" s="13">
        <f ca="1">IF('Assemble Data'!E652="",0,IF(ISERROR(FIND("INDEX",_xlfn.FORMULATEXT('Assemble Data'!E652),1)),1,0)+IFERROR(IF(AND('Assemble Data'!E652&lt;&gt;C651,'Assemble Data'!E652&lt;&gt;""),1,0),1))</f>
        <v>0</v>
      </c>
      <c r="G651" s="13">
        <f ca="1">IF('Assemble Data'!F652="",0,IF(ISERROR(FIND("VLOOKUP",_xlfn.FORMULATEXT('Assemble Data'!F652),1)),1,0)+IFERROR(IF(AND('Assemble Data'!F652&lt;&gt;D651,'Assemble Data'!F652&lt;&gt;""),1,0),1))</f>
        <v>0</v>
      </c>
      <c r="H651" s="13">
        <f t="shared" si="36"/>
        <v>3</v>
      </c>
      <c r="I651" t="str">
        <f t="shared" si="35"/>
        <v>C2P13</v>
      </c>
    </row>
    <row r="652" spans="1:9">
      <c r="A652" t="str">
        <f>'Assemble Data'!B653</f>
        <v>P13</v>
      </c>
      <c r="B652" s="13">
        <f>IFERROR(SUMIF('Assemble Data'!K:K,'Assemble Data'!A653,'Assemble Data'!L:L),0)</f>
        <v>4500</v>
      </c>
      <c r="C652" s="13" t="str">
        <f>INDEX('Assemble Data'!$O$24:$O$1023,MATCH('Assemble Data'!A653,'Assemble Data'!$N$24:$N$1023,0))</f>
        <v>C2</v>
      </c>
      <c r="D652" s="13">
        <f>SUMIF('Assemble Data'!H:H,'Assemble Data'!A653,'Assemble Data'!I:I)</f>
        <v>5</v>
      </c>
      <c r="E652" s="13">
        <f>IFERROR(IF(AND('Assemble Data'!D653&lt;&gt;"",'Assemble Data'!D653&lt;&gt;B652),1,0),1)</f>
        <v>0</v>
      </c>
      <c r="F652" s="13">
        <f ca="1">IF('Assemble Data'!E653="",0,IF(ISERROR(FIND("INDEX",_xlfn.FORMULATEXT('Assemble Data'!E653),1)),1,0)+IFERROR(IF(AND('Assemble Data'!E653&lt;&gt;C652,'Assemble Data'!E653&lt;&gt;""),1,0),1))</f>
        <v>0</v>
      </c>
      <c r="G652" s="13">
        <f ca="1">IF('Assemble Data'!F653="",0,IF(ISERROR(FIND("VLOOKUP",_xlfn.FORMULATEXT('Assemble Data'!F653),1)),1,0)+IFERROR(IF(AND('Assemble Data'!F653&lt;&gt;D652,'Assemble Data'!F653&lt;&gt;""),1,0),1))</f>
        <v>0</v>
      </c>
      <c r="H652" s="13">
        <f t="shared" si="36"/>
        <v>3</v>
      </c>
      <c r="I652" t="str">
        <f t="shared" si="35"/>
        <v>C2P13</v>
      </c>
    </row>
    <row r="653" spans="1:9">
      <c r="A653" t="str">
        <f>'Assemble Data'!B654</f>
        <v>P10</v>
      </c>
      <c r="B653" s="13">
        <f>IFERROR(SUMIF('Assemble Data'!K:K,'Assemble Data'!A654,'Assemble Data'!L:L),0)</f>
        <v>2400</v>
      </c>
      <c r="C653" s="13" t="str">
        <f>INDEX('Assemble Data'!$O$24:$O$1023,MATCH('Assemble Data'!A654,'Assemble Data'!$N$24:$N$1023,0))</f>
        <v>C2</v>
      </c>
      <c r="D653" s="13">
        <f>SUMIF('Assemble Data'!H:H,'Assemble Data'!A654,'Assemble Data'!I:I)</f>
        <v>3</v>
      </c>
      <c r="E653" s="13">
        <f>IFERROR(IF(AND('Assemble Data'!D654&lt;&gt;"",'Assemble Data'!D654&lt;&gt;B653),1,0),1)</f>
        <v>0</v>
      </c>
      <c r="F653" s="13">
        <f ca="1">IF('Assemble Data'!E654="",0,IF(ISERROR(FIND("INDEX",_xlfn.FORMULATEXT('Assemble Data'!E654),1)),1,0)+IFERROR(IF(AND('Assemble Data'!E654&lt;&gt;C653,'Assemble Data'!E654&lt;&gt;""),1,0),1))</f>
        <v>0</v>
      </c>
      <c r="G653" s="13">
        <f ca="1">IF('Assemble Data'!F654="",0,IF(ISERROR(FIND("VLOOKUP",_xlfn.FORMULATEXT('Assemble Data'!F654),1)),1,0)+IFERROR(IF(AND('Assemble Data'!F654&lt;&gt;D653,'Assemble Data'!F654&lt;&gt;""),1,0),1))</f>
        <v>0</v>
      </c>
      <c r="H653" s="13">
        <f t="shared" si="36"/>
        <v>8</v>
      </c>
      <c r="I653" t="str">
        <f t="shared" si="35"/>
        <v>C2P10</v>
      </c>
    </row>
    <row r="654" spans="1:9">
      <c r="A654" t="str">
        <f>'Assemble Data'!B655</f>
        <v>P11</v>
      </c>
      <c r="B654" s="13">
        <f>IFERROR(SUMIF('Assemble Data'!K:K,'Assemble Data'!A655,'Assemble Data'!L:L),0)</f>
        <v>11000</v>
      </c>
      <c r="C654" s="13" t="str">
        <f>INDEX('Assemble Data'!$O$24:$O$1023,MATCH('Assemble Data'!A655,'Assemble Data'!$N$24:$N$1023,0))</f>
        <v>C2</v>
      </c>
      <c r="D654" s="13">
        <f>SUMIF('Assemble Data'!H:H,'Assemble Data'!A655,'Assemble Data'!I:I)</f>
        <v>11</v>
      </c>
      <c r="E654" s="13">
        <f>IFERROR(IF(AND('Assemble Data'!D655&lt;&gt;"",'Assemble Data'!D655&lt;&gt;B654),1,0),1)</f>
        <v>0</v>
      </c>
      <c r="F654" s="13">
        <f ca="1">IF('Assemble Data'!E655="",0,IF(ISERROR(FIND("INDEX",_xlfn.FORMULATEXT('Assemble Data'!E655),1)),1,0)+IFERROR(IF(AND('Assemble Data'!E655&lt;&gt;C654,'Assemble Data'!E655&lt;&gt;""),1,0),1))</f>
        <v>0</v>
      </c>
      <c r="G654" s="13">
        <f ca="1">IF('Assemble Data'!F655="",0,IF(ISERROR(FIND("VLOOKUP",_xlfn.FORMULATEXT('Assemble Data'!F655),1)),1,0)+IFERROR(IF(AND('Assemble Data'!F655&lt;&gt;D654,'Assemble Data'!F655&lt;&gt;""),1,0),1))</f>
        <v>0</v>
      </c>
      <c r="H654" s="13">
        <f t="shared" si="36"/>
        <v>9</v>
      </c>
      <c r="I654" t="str">
        <f t="shared" si="35"/>
        <v>C2P11</v>
      </c>
    </row>
    <row r="655" spans="1:9">
      <c r="A655" t="str">
        <f>'Assemble Data'!B656</f>
        <v>P16</v>
      </c>
      <c r="B655" s="13">
        <f>IFERROR(SUMIF('Assemble Data'!K:K,'Assemble Data'!A656,'Assemble Data'!L:L),0)</f>
        <v>4680</v>
      </c>
      <c r="C655" s="13" t="str">
        <f>INDEX('Assemble Data'!$O$24:$O$1023,MATCH('Assemble Data'!A656,'Assemble Data'!$N$24:$N$1023,0))</f>
        <v>N2</v>
      </c>
      <c r="D655" s="13">
        <f>SUMIF('Assemble Data'!H:H,'Assemble Data'!A656,'Assemble Data'!I:I)</f>
        <v>4</v>
      </c>
      <c r="E655" s="13">
        <f>IFERROR(IF(AND('Assemble Data'!D656&lt;&gt;"",'Assemble Data'!D656&lt;&gt;B655),1,0),1)</f>
        <v>0</v>
      </c>
      <c r="F655" s="13">
        <f ca="1">IF('Assemble Data'!E656="",0,IF(ISERROR(FIND("INDEX",_xlfn.FORMULATEXT('Assemble Data'!E656),1)),1,0)+IFERROR(IF(AND('Assemble Data'!E656&lt;&gt;C655,'Assemble Data'!E656&lt;&gt;""),1,0),1))</f>
        <v>0</v>
      </c>
      <c r="G655" s="13">
        <f ca="1">IF('Assemble Data'!F656="",0,IF(ISERROR(FIND("VLOOKUP",_xlfn.FORMULATEXT('Assemble Data'!F656),1)),1,0)+IFERROR(IF(AND('Assemble Data'!F656&lt;&gt;D655,'Assemble Data'!F656&lt;&gt;""),1,0),1))</f>
        <v>0</v>
      </c>
      <c r="H655" s="13">
        <f t="shared" si="36"/>
        <v>0</v>
      </c>
      <c r="I655" t="str">
        <f t="shared" si="35"/>
        <v>N2P16</v>
      </c>
    </row>
    <row r="656" spans="1:9">
      <c r="A656" t="str">
        <f>'Assemble Data'!B657</f>
        <v>P17</v>
      </c>
      <c r="B656" s="13">
        <f>IFERROR(SUMIF('Assemble Data'!K:K,'Assemble Data'!A657,'Assemble Data'!L:L),0)</f>
        <v>13200.000000000002</v>
      </c>
      <c r="C656" s="13" t="str">
        <f>INDEX('Assemble Data'!$O$24:$O$1023,MATCH('Assemble Data'!A657,'Assemble Data'!$N$24:$N$1023,0))</f>
        <v>O2</v>
      </c>
      <c r="D656" s="13">
        <f>SUMIF('Assemble Data'!H:H,'Assemble Data'!A657,'Assemble Data'!I:I)</f>
        <v>12</v>
      </c>
      <c r="E656" s="13">
        <f>IFERROR(IF(AND('Assemble Data'!D657&lt;&gt;"",'Assemble Data'!D657&lt;&gt;B656),1,0),1)</f>
        <v>0</v>
      </c>
      <c r="F656" s="13">
        <f ca="1">IF('Assemble Data'!E657="",0,IF(ISERROR(FIND("INDEX",_xlfn.FORMULATEXT('Assemble Data'!E657),1)),1,0)+IFERROR(IF(AND('Assemble Data'!E657&lt;&gt;C656,'Assemble Data'!E657&lt;&gt;""),1,0),1))</f>
        <v>0</v>
      </c>
      <c r="G656" s="13">
        <f ca="1">IF('Assemble Data'!F657="",0,IF(ISERROR(FIND("VLOOKUP",_xlfn.FORMULATEXT('Assemble Data'!F657),1)),1,0)+IFERROR(IF(AND('Assemble Data'!F657&lt;&gt;D656,'Assemble Data'!F657&lt;&gt;""),1,0),1))</f>
        <v>0</v>
      </c>
      <c r="H656" s="13">
        <f t="shared" si="36"/>
        <v>6</v>
      </c>
      <c r="I656" t="str">
        <f t="shared" si="35"/>
        <v>O2P17</v>
      </c>
    </row>
    <row r="657" spans="1:9">
      <c r="A657" t="str">
        <f>'Assemble Data'!B658</f>
        <v>P17</v>
      </c>
      <c r="B657" s="13">
        <f>IFERROR(SUMIF('Assemble Data'!K:K,'Assemble Data'!A658,'Assemble Data'!L:L),0)</f>
        <v>13200.000000000002</v>
      </c>
      <c r="C657" s="13" t="str">
        <f>INDEX('Assemble Data'!$O$24:$O$1023,MATCH('Assemble Data'!A658,'Assemble Data'!$N$24:$N$1023,0))</f>
        <v>O2</v>
      </c>
      <c r="D657" s="13">
        <f>SUMIF('Assemble Data'!H:H,'Assemble Data'!A658,'Assemble Data'!I:I)</f>
        <v>12</v>
      </c>
      <c r="E657" s="13">
        <f>IFERROR(IF(AND('Assemble Data'!D658&lt;&gt;"",'Assemble Data'!D658&lt;&gt;B657),1,0),1)</f>
        <v>0</v>
      </c>
      <c r="F657" s="13">
        <f ca="1">IF('Assemble Data'!E658="",0,IF(ISERROR(FIND("INDEX",_xlfn.FORMULATEXT('Assemble Data'!E658),1)),1,0)+IFERROR(IF(AND('Assemble Data'!E658&lt;&gt;C657,'Assemble Data'!E658&lt;&gt;""),1,0),1))</f>
        <v>0</v>
      </c>
      <c r="G657" s="13">
        <f ca="1">IF('Assemble Data'!F658="",0,IF(ISERROR(FIND("VLOOKUP",_xlfn.FORMULATEXT('Assemble Data'!F658),1)),1,0)+IFERROR(IF(AND('Assemble Data'!F658&lt;&gt;D657,'Assemble Data'!F658&lt;&gt;""),1,0),1))</f>
        <v>0</v>
      </c>
      <c r="H657" s="13">
        <f t="shared" si="36"/>
        <v>6</v>
      </c>
      <c r="I657" t="str">
        <f t="shared" si="35"/>
        <v>O2P17</v>
      </c>
    </row>
    <row r="658" spans="1:9">
      <c r="A658" t="str">
        <f>'Assemble Data'!B659</f>
        <v>P13</v>
      </c>
      <c r="B658" s="13">
        <f>IFERROR(SUMIF('Assemble Data'!K:K,'Assemble Data'!A659,'Assemble Data'!L:L),0)</f>
        <v>4500</v>
      </c>
      <c r="C658" s="13" t="str">
        <f>INDEX('Assemble Data'!$O$24:$O$1023,MATCH('Assemble Data'!A659,'Assemble Data'!$N$24:$N$1023,0))</f>
        <v>C2</v>
      </c>
      <c r="D658" s="13">
        <f>SUMIF('Assemble Data'!H:H,'Assemble Data'!A659,'Assemble Data'!I:I)</f>
        <v>5</v>
      </c>
      <c r="E658" s="13">
        <f>IFERROR(IF(AND('Assemble Data'!D659&lt;&gt;"",'Assemble Data'!D659&lt;&gt;B658),1,0),1)</f>
        <v>0</v>
      </c>
      <c r="F658" s="13">
        <f ca="1">IF('Assemble Data'!E659="",0,IF(ISERROR(FIND("INDEX",_xlfn.FORMULATEXT('Assemble Data'!E659),1)),1,0)+IFERROR(IF(AND('Assemble Data'!E659&lt;&gt;C658,'Assemble Data'!E659&lt;&gt;""),1,0),1))</f>
        <v>0</v>
      </c>
      <c r="G658" s="13">
        <f ca="1">IF('Assemble Data'!F659="",0,IF(ISERROR(FIND("VLOOKUP",_xlfn.FORMULATEXT('Assemble Data'!F659),1)),1,0)+IFERROR(IF(AND('Assemble Data'!F659&lt;&gt;D658,'Assemble Data'!F659&lt;&gt;""),1,0),1))</f>
        <v>0</v>
      </c>
      <c r="H658" s="13">
        <f t="shared" si="36"/>
        <v>3</v>
      </c>
      <c r="I658" t="str">
        <f t="shared" si="35"/>
        <v>C2P13</v>
      </c>
    </row>
    <row r="659" spans="1:9">
      <c r="A659" t="str">
        <f>'Assemble Data'!B660</f>
        <v>P11</v>
      </c>
      <c r="B659" s="13">
        <f>IFERROR(SUMIF('Assemble Data'!K:K,'Assemble Data'!A660,'Assemble Data'!L:L),0)</f>
        <v>11000</v>
      </c>
      <c r="C659" s="13" t="str">
        <f>INDEX('Assemble Data'!$O$24:$O$1023,MATCH('Assemble Data'!A660,'Assemble Data'!$N$24:$N$1023,0))</f>
        <v>C2</v>
      </c>
      <c r="D659" s="13">
        <f>SUMIF('Assemble Data'!H:H,'Assemble Data'!A660,'Assemble Data'!I:I)</f>
        <v>11</v>
      </c>
      <c r="E659" s="13">
        <f>IFERROR(IF(AND('Assemble Data'!D660&lt;&gt;"",'Assemble Data'!D660&lt;&gt;B659),1,0),1)</f>
        <v>0</v>
      </c>
      <c r="F659" s="13">
        <f ca="1">IF('Assemble Data'!E660="",0,IF(ISERROR(FIND("INDEX",_xlfn.FORMULATEXT('Assemble Data'!E660),1)),1,0)+IFERROR(IF(AND('Assemble Data'!E660&lt;&gt;C659,'Assemble Data'!E660&lt;&gt;""),1,0),1))</f>
        <v>0</v>
      </c>
      <c r="G659" s="13">
        <f ca="1">IF('Assemble Data'!F660="",0,IF(ISERROR(FIND("VLOOKUP",_xlfn.FORMULATEXT('Assemble Data'!F660),1)),1,0)+IFERROR(IF(AND('Assemble Data'!F660&lt;&gt;D659,'Assemble Data'!F660&lt;&gt;""),1,0),1))</f>
        <v>0</v>
      </c>
      <c r="H659" s="13">
        <f t="shared" si="36"/>
        <v>9</v>
      </c>
      <c r="I659" t="str">
        <f t="shared" si="35"/>
        <v>C2P11</v>
      </c>
    </row>
    <row r="660" spans="1:9">
      <c r="A660" t="str">
        <f>'Assemble Data'!B661</f>
        <v>P11</v>
      </c>
      <c r="B660" s="13">
        <f>IFERROR(SUMIF('Assemble Data'!K:K,'Assemble Data'!A661,'Assemble Data'!L:L),0)</f>
        <v>22000</v>
      </c>
      <c r="C660" s="13" t="str">
        <f>INDEX('Assemble Data'!$O$24:$O$1023,MATCH('Assemble Data'!A661,'Assemble Data'!$N$24:$N$1023,0))</f>
        <v>C2</v>
      </c>
      <c r="D660" s="13">
        <f>SUMIF('Assemble Data'!H:H,'Assemble Data'!A661,'Assemble Data'!I:I)</f>
        <v>11</v>
      </c>
      <c r="E660" s="13">
        <f>IFERROR(IF(AND('Assemble Data'!D661&lt;&gt;"",'Assemble Data'!D661&lt;&gt;B660),1,0),1)</f>
        <v>0</v>
      </c>
      <c r="F660" s="13">
        <f ca="1">IF('Assemble Data'!E661="",0,IF(ISERROR(FIND("INDEX",_xlfn.FORMULATEXT('Assemble Data'!E661),1)),1,0)+IFERROR(IF(AND('Assemble Data'!E661&lt;&gt;C660,'Assemble Data'!E661&lt;&gt;""),1,0),1))</f>
        <v>0</v>
      </c>
      <c r="G660" s="13">
        <f ca="1">IF('Assemble Data'!F661="",0,IF(ISERROR(FIND("VLOOKUP",_xlfn.FORMULATEXT('Assemble Data'!F661),1)),1,0)+IFERROR(IF(AND('Assemble Data'!F661&lt;&gt;D660,'Assemble Data'!F661&lt;&gt;""),1,0),1))</f>
        <v>0</v>
      </c>
      <c r="H660" s="13">
        <f t="shared" si="36"/>
        <v>9</v>
      </c>
      <c r="I660" t="str">
        <f t="shared" si="35"/>
        <v>C2P11</v>
      </c>
    </row>
    <row r="661" spans="1:9">
      <c r="A661" t="str">
        <f>'Assemble Data'!B662</f>
        <v>P12</v>
      </c>
      <c r="B661" s="13">
        <f>IFERROR(SUMIF('Assemble Data'!K:K,'Assemble Data'!A662,'Assemble Data'!L:L),0)</f>
        <v>6825</v>
      </c>
      <c r="C661" s="13" t="str">
        <f>INDEX('Assemble Data'!$O$24:$O$1023,MATCH('Assemble Data'!A662,'Assemble Data'!$N$24:$N$1023,0))</f>
        <v>C2</v>
      </c>
      <c r="D661" s="13">
        <f>SUMIF('Assemble Data'!H:H,'Assemble Data'!A662,'Assemble Data'!I:I)</f>
        <v>6.5</v>
      </c>
      <c r="E661" s="13">
        <f>IFERROR(IF(AND('Assemble Data'!D662&lt;&gt;"",'Assemble Data'!D662&lt;&gt;B661),1,0),1)</f>
        <v>0</v>
      </c>
      <c r="F661" s="13">
        <f ca="1">IF('Assemble Data'!E662="",0,IF(ISERROR(FIND("INDEX",_xlfn.FORMULATEXT('Assemble Data'!E662),1)),1,0)+IFERROR(IF(AND('Assemble Data'!E662&lt;&gt;C661,'Assemble Data'!E662&lt;&gt;""),1,0),1))</f>
        <v>0</v>
      </c>
      <c r="G661" s="13">
        <f ca="1">IF('Assemble Data'!F662="",0,IF(ISERROR(FIND("VLOOKUP",_xlfn.FORMULATEXT('Assemble Data'!F662),1)),1,0)+IFERROR(IF(AND('Assemble Data'!F662&lt;&gt;D661,'Assemble Data'!F662&lt;&gt;""),1,0),1))</f>
        <v>0</v>
      </c>
      <c r="H661" s="13">
        <f t="shared" si="36"/>
        <v>7</v>
      </c>
      <c r="I661" t="str">
        <f t="shared" si="35"/>
        <v>C2P12</v>
      </c>
    </row>
    <row r="662" spans="1:9">
      <c r="A662" t="str">
        <f>'Assemble Data'!B663</f>
        <v>P10</v>
      </c>
      <c r="B662" s="13">
        <f>IFERROR(SUMIF('Assemble Data'!K:K,'Assemble Data'!A663,'Assemble Data'!L:L),0)</f>
        <v>2400</v>
      </c>
      <c r="C662" s="13" t="str">
        <f>INDEX('Assemble Data'!$O$24:$O$1023,MATCH('Assemble Data'!A663,'Assemble Data'!$N$24:$N$1023,0))</f>
        <v>C2</v>
      </c>
      <c r="D662" s="13">
        <f>SUMIF('Assemble Data'!H:H,'Assemble Data'!A663,'Assemble Data'!I:I)</f>
        <v>3</v>
      </c>
      <c r="E662" s="13">
        <f>IFERROR(IF(AND('Assemble Data'!D663&lt;&gt;"",'Assemble Data'!D663&lt;&gt;B662),1,0),1)</f>
        <v>0</v>
      </c>
      <c r="F662" s="13">
        <f ca="1">IF('Assemble Data'!E663="",0,IF(ISERROR(FIND("INDEX",_xlfn.FORMULATEXT('Assemble Data'!E663),1)),1,0)+IFERROR(IF(AND('Assemble Data'!E663&lt;&gt;C662,'Assemble Data'!E663&lt;&gt;""),1,0),1))</f>
        <v>0</v>
      </c>
      <c r="G662" s="13">
        <f ca="1">IF('Assemble Data'!F663="",0,IF(ISERROR(FIND("VLOOKUP",_xlfn.FORMULATEXT('Assemble Data'!F663),1)),1,0)+IFERROR(IF(AND('Assemble Data'!F663&lt;&gt;D662,'Assemble Data'!F663&lt;&gt;""),1,0),1))</f>
        <v>0</v>
      </c>
      <c r="H662" s="13">
        <f t="shared" si="36"/>
        <v>8</v>
      </c>
      <c r="I662" t="str">
        <f t="shared" si="35"/>
        <v>C2P10</v>
      </c>
    </row>
    <row r="663" spans="1:9">
      <c r="A663" t="str">
        <f>'Assemble Data'!B664</f>
        <v>P10</v>
      </c>
      <c r="B663" s="13">
        <f>IFERROR(SUMIF('Assemble Data'!K:K,'Assemble Data'!A664,'Assemble Data'!L:L),0)</f>
        <v>2400</v>
      </c>
      <c r="C663" s="13" t="str">
        <f>INDEX('Assemble Data'!$O$24:$O$1023,MATCH('Assemble Data'!A664,'Assemble Data'!$N$24:$N$1023,0))</f>
        <v>C2</v>
      </c>
      <c r="D663" s="13">
        <f>SUMIF('Assemble Data'!H:H,'Assemble Data'!A664,'Assemble Data'!I:I)</f>
        <v>3</v>
      </c>
      <c r="E663" s="13">
        <f>IFERROR(IF(AND('Assemble Data'!D664&lt;&gt;"",'Assemble Data'!D664&lt;&gt;B663),1,0),1)</f>
        <v>0</v>
      </c>
      <c r="F663" s="13">
        <f ca="1">IF('Assemble Data'!E664="",0,IF(ISERROR(FIND("INDEX",_xlfn.FORMULATEXT('Assemble Data'!E664),1)),1,0)+IFERROR(IF(AND('Assemble Data'!E664&lt;&gt;C663,'Assemble Data'!E664&lt;&gt;""),1,0),1))</f>
        <v>0</v>
      </c>
      <c r="G663" s="13">
        <f ca="1">IF('Assemble Data'!F664="",0,IF(ISERROR(FIND("VLOOKUP",_xlfn.FORMULATEXT('Assemble Data'!F664),1)),1,0)+IFERROR(IF(AND('Assemble Data'!F664&lt;&gt;D663,'Assemble Data'!F664&lt;&gt;""),1,0),1))</f>
        <v>0</v>
      </c>
      <c r="H663" s="13">
        <f t="shared" si="36"/>
        <v>8</v>
      </c>
      <c r="I663" t="str">
        <f t="shared" si="35"/>
        <v>C2P10</v>
      </c>
    </row>
    <row r="664" spans="1:9">
      <c r="A664" t="str">
        <f>'Assemble Data'!B665</f>
        <v>P11</v>
      </c>
      <c r="B664" s="13">
        <f>IFERROR(SUMIF('Assemble Data'!K:K,'Assemble Data'!A665,'Assemble Data'!L:L),0)</f>
        <v>11000</v>
      </c>
      <c r="C664" s="13" t="str">
        <f>INDEX('Assemble Data'!$O$24:$O$1023,MATCH('Assemble Data'!A665,'Assemble Data'!$N$24:$N$1023,0))</f>
        <v>C2</v>
      </c>
      <c r="D664" s="13">
        <f>SUMIF('Assemble Data'!H:H,'Assemble Data'!A665,'Assemble Data'!I:I)</f>
        <v>11</v>
      </c>
      <c r="E664" s="13">
        <f>IFERROR(IF(AND('Assemble Data'!D665&lt;&gt;"",'Assemble Data'!D665&lt;&gt;B664),1,0),1)</f>
        <v>0</v>
      </c>
      <c r="F664" s="13">
        <f ca="1">IF('Assemble Data'!E665="",0,IF(ISERROR(FIND("INDEX",_xlfn.FORMULATEXT('Assemble Data'!E665),1)),1,0)+IFERROR(IF(AND('Assemble Data'!E665&lt;&gt;C664,'Assemble Data'!E665&lt;&gt;""),1,0),1))</f>
        <v>0</v>
      </c>
      <c r="G664" s="13">
        <f ca="1">IF('Assemble Data'!F665="",0,IF(ISERROR(FIND("VLOOKUP",_xlfn.FORMULATEXT('Assemble Data'!F665),1)),1,0)+IFERROR(IF(AND('Assemble Data'!F665&lt;&gt;D664,'Assemble Data'!F665&lt;&gt;""),1,0),1))</f>
        <v>0</v>
      </c>
      <c r="H664" s="13">
        <f t="shared" si="36"/>
        <v>9</v>
      </c>
      <c r="I664" t="str">
        <f t="shared" ref="I664:I727" si="37">C664&amp;A664</f>
        <v>C2P11</v>
      </c>
    </row>
    <row r="665" spans="1:9">
      <c r="A665" t="str">
        <f>'Assemble Data'!B666</f>
        <v>P18</v>
      </c>
      <c r="B665" s="13">
        <f>IFERROR(SUMIF('Assemble Data'!K:K,'Assemble Data'!A666,'Assemble Data'!L:L),0)</f>
        <v>5940.0000000000009</v>
      </c>
      <c r="C665" s="13" t="str">
        <f>INDEX('Assemble Data'!$O$24:$O$1023,MATCH('Assemble Data'!A666,'Assemble Data'!$N$24:$N$1023,0))</f>
        <v>O2</v>
      </c>
      <c r="D665" s="13">
        <f>SUMIF('Assemble Data'!H:H,'Assemble Data'!A666,'Assemble Data'!I:I)</f>
        <v>6</v>
      </c>
      <c r="E665" s="13">
        <f>IFERROR(IF(AND('Assemble Data'!D666&lt;&gt;"",'Assemble Data'!D666&lt;&gt;B665),1,0),1)</f>
        <v>0</v>
      </c>
      <c r="F665" s="13">
        <f ca="1">IF('Assemble Data'!E666="",0,IF(ISERROR(FIND("INDEX",_xlfn.FORMULATEXT('Assemble Data'!E666),1)),1,0)+IFERROR(IF(AND('Assemble Data'!E666&lt;&gt;C665,'Assemble Data'!E666&lt;&gt;""),1,0),1))</f>
        <v>0</v>
      </c>
      <c r="G665" s="13">
        <f ca="1">IF('Assemble Data'!F666="",0,IF(ISERROR(FIND("VLOOKUP",_xlfn.FORMULATEXT('Assemble Data'!F666),1)),1,0)+IFERROR(IF(AND('Assemble Data'!F666&lt;&gt;D665,'Assemble Data'!F666&lt;&gt;""),1,0),1))</f>
        <v>0</v>
      </c>
      <c r="H665" s="13">
        <f t="shared" si="36"/>
        <v>2</v>
      </c>
      <c r="I665" t="str">
        <f t="shared" si="37"/>
        <v>O2P18</v>
      </c>
    </row>
    <row r="666" spans="1:9">
      <c r="A666" t="str">
        <f>'Assemble Data'!B667</f>
        <v>P14</v>
      </c>
      <c r="B666" s="13">
        <f>IFERROR(SUMIF('Assemble Data'!K:K,'Assemble Data'!A667,'Assemble Data'!L:L),0)</f>
        <v>6480</v>
      </c>
      <c r="C666" s="13" t="str">
        <f>INDEX('Assemble Data'!$O$24:$O$1023,MATCH('Assemble Data'!A667,'Assemble Data'!$N$24:$N$1023,0))</f>
        <v>N2</v>
      </c>
      <c r="D666" s="13">
        <f>SUMIF('Assemble Data'!H:H,'Assemble Data'!A667,'Assemble Data'!I:I)</f>
        <v>8</v>
      </c>
      <c r="E666" s="13">
        <f>IFERROR(IF(AND('Assemble Data'!D667&lt;&gt;"",'Assemble Data'!D667&lt;&gt;B666),1,0),1)</f>
        <v>0</v>
      </c>
      <c r="F666" s="13">
        <f ca="1">IF('Assemble Data'!E667="",0,IF(ISERROR(FIND("INDEX",_xlfn.FORMULATEXT('Assemble Data'!E667),1)),1,0)+IFERROR(IF(AND('Assemble Data'!E667&lt;&gt;C666,'Assemble Data'!E667&lt;&gt;""),1,0),1))</f>
        <v>0</v>
      </c>
      <c r="G666" s="13">
        <f ca="1">IF('Assemble Data'!F667="",0,IF(ISERROR(FIND("VLOOKUP",_xlfn.FORMULATEXT('Assemble Data'!F667),1)),1,0)+IFERROR(IF(AND('Assemble Data'!F667&lt;&gt;D666,'Assemble Data'!F667&lt;&gt;""),1,0),1))</f>
        <v>0</v>
      </c>
      <c r="H666" s="13">
        <f t="shared" si="36"/>
        <v>5</v>
      </c>
      <c r="I666" t="str">
        <f t="shared" si="37"/>
        <v>N2P14</v>
      </c>
    </row>
    <row r="667" spans="1:9">
      <c r="A667" t="str">
        <f>'Assemble Data'!B668</f>
        <v>P10</v>
      </c>
      <c r="B667" s="13">
        <f>IFERROR(SUMIF('Assemble Data'!K:K,'Assemble Data'!A668,'Assemble Data'!L:L),0)</f>
        <v>2400</v>
      </c>
      <c r="C667" s="13" t="str">
        <f>INDEX('Assemble Data'!$O$24:$O$1023,MATCH('Assemble Data'!A668,'Assemble Data'!$N$24:$N$1023,0))</f>
        <v>C2</v>
      </c>
      <c r="D667" s="13">
        <f>SUMIF('Assemble Data'!H:H,'Assemble Data'!A668,'Assemble Data'!I:I)</f>
        <v>3</v>
      </c>
      <c r="E667" s="13">
        <f>IFERROR(IF(AND('Assemble Data'!D668&lt;&gt;"",'Assemble Data'!D668&lt;&gt;B667),1,0),1)</f>
        <v>0</v>
      </c>
      <c r="F667" s="13">
        <f ca="1">IF('Assemble Data'!E668="",0,IF(ISERROR(FIND("INDEX",_xlfn.FORMULATEXT('Assemble Data'!E668),1)),1,0)+IFERROR(IF(AND('Assemble Data'!E668&lt;&gt;C667,'Assemble Data'!E668&lt;&gt;""),1,0),1))</f>
        <v>0</v>
      </c>
      <c r="G667" s="13">
        <f ca="1">IF('Assemble Data'!F668="",0,IF(ISERROR(FIND("VLOOKUP",_xlfn.FORMULATEXT('Assemble Data'!F668),1)),1,0)+IFERROR(IF(AND('Assemble Data'!F668&lt;&gt;D667,'Assemble Data'!F668&lt;&gt;""),1,0),1))</f>
        <v>0</v>
      </c>
      <c r="H667" s="13">
        <f t="shared" si="36"/>
        <v>8</v>
      </c>
      <c r="I667" t="str">
        <f t="shared" si="37"/>
        <v>C2P10</v>
      </c>
    </row>
    <row r="668" spans="1:9">
      <c r="A668" t="str">
        <f>'Assemble Data'!B669</f>
        <v>P13</v>
      </c>
      <c r="B668" s="13">
        <f>IFERROR(SUMIF('Assemble Data'!K:K,'Assemble Data'!A669,'Assemble Data'!L:L),0)</f>
        <v>4500</v>
      </c>
      <c r="C668" s="13" t="str">
        <f>INDEX('Assemble Data'!$O$24:$O$1023,MATCH('Assemble Data'!A669,'Assemble Data'!$N$24:$N$1023,0))</f>
        <v>C2</v>
      </c>
      <c r="D668" s="13">
        <f>SUMIF('Assemble Data'!H:H,'Assemble Data'!A669,'Assemble Data'!I:I)</f>
        <v>5</v>
      </c>
      <c r="E668" s="13">
        <f>IFERROR(IF(AND('Assemble Data'!D669&lt;&gt;"",'Assemble Data'!D669&lt;&gt;B668),1,0),1)</f>
        <v>0</v>
      </c>
      <c r="F668" s="13">
        <f ca="1">IF('Assemble Data'!E669="",0,IF(ISERROR(FIND("INDEX",_xlfn.FORMULATEXT('Assemble Data'!E669),1)),1,0)+IFERROR(IF(AND('Assemble Data'!E669&lt;&gt;C668,'Assemble Data'!E669&lt;&gt;""),1,0),1))</f>
        <v>0</v>
      </c>
      <c r="G668" s="13">
        <f ca="1">IF('Assemble Data'!F669="",0,IF(ISERROR(FIND("VLOOKUP",_xlfn.FORMULATEXT('Assemble Data'!F669),1)),1,0)+IFERROR(IF(AND('Assemble Data'!F669&lt;&gt;D668,'Assemble Data'!F669&lt;&gt;""),1,0),1))</f>
        <v>0</v>
      </c>
      <c r="H668" s="13">
        <f t="shared" si="36"/>
        <v>3</v>
      </c>
      <c r="I668" t="str">
        <f t="shared" si="37"/>
        <v>C2P13</v>
      </c>
    </row>
    <row r="669" spans="1:9">
      <c r="A669" t="str">
        <f>'Assemble Data'!B670</f>
        <v>P13</v>
      </c>
      <c r="B669" s="13">
        <f>IFERROR(SUMIF('Assemble Data'!K:K,'Assemble Data'!A670,'Assemble Data'!L:L),0)</f>
        <v>4500</v>
      </c>
      <c r="C669" s="13" t="str">
        <f>INDEX('Assemble Data'!$O$24:$O$1023,MATCH('Assemble Data'!A670,'Assemble Data'!$N$24:$N$1023,0))</f>
        <v>C2</v>
      </c>
      <c r="D669" s="13">
        <f>SUMIF('Assemble Data'!H:H,'Assemble Data'!A670,'Assemble Data'!I:I)</f>
        <v>5</v>
      </c>
      <c r="E669" s="13">
        <f>IFERROR(IF(AND('Assemble Data'!D670&lt;&gt;"",'Assemble Data'!D670&lt;&gt;B669),1,0),1)</f>
        <v>0</v>
      </c>
      <c r="F669" s="13">
        <f ca="1">IF('Assemble Data'!E670="",0,IF(ISERROR(FIND("INDEX",_xlfn.FORMULATEXT('Assemble Data'!E670),1)),1,0)+IFERROR(IF(AND('Assemble Data'!E670&lt;&gt;C669,'Assemble Data'!E670&lt;&gt;""),1,0),1))</f>
        <v>0</v>
      </c>
      <c r="G669" s="13">
        <f ca="1">IF('Assemble Data'!F670="",0,IF(ISERROR(FIND("VLOOKUP",_xlfn.FORMULATEXT('Assemble Data'!F670),1)),1,0)+IFERROR(IF(AND('Assemble Data'!F670&lt;&gt;D669,'Assemble Data'!F670&lt;&gt;""),1,0),1))</f>
        <v>0</v>
      </c>
      <c r="H669" s="13">
        <f t="shared" si="36"/>
        <v>3</v>
      </c>
      <c r="I669" t="str">
        <f t="shared" si="37"/>
        <v>C2P13</v>
      </c>
    </row>
    <row r="670" spans="1:9">
      <c r="A670" t="str">
        <f>'Assemble Data'!B671</f>
        <v>P10</v>
      </c>
      <c r="B670" s="13">
        <f>IFERROR(SUMIF('Assemble Data'!K:K,'Assemble Data'!A671,'Assemble Data'!L:L),0)</f>
        <v>2400</v>
      </c>
      <c r="C670" s="13" t="str">
        <f>INDEX('Assemble Data'!$O$24:$O$1023,MATCH('Assemble Data'!A671,'Assemble Data'!$N$24:$N$1023,0))</f>
        <v>C2</v>
      </c>
      <c r="D670" s="13">
        <f>SUMIF('Assemble Data'!H:H,'Assemble Data'!A671,'Assemble Data'!I:I)</f>
        <v>3</v>
      </c>
      <c r="E670" s="13">
        <f>IFERROR(IF(AND('Assemble Data'!D671&lt;&gt;"",'Assemble Data'!D671&lt;&gt;B670),1,0),1)</f>
        <v>0</v>
      </c>
      <c r="F670" s="13">
        <f ca="1">IF('Assemble Data'!E671="",0,IF(ISERROR(FIND("INDEX",_xlfn.FORMULATEXT('Assemble Data'!E671),1)),1,0)+IFERROR(IF(AND('Assemble Data'!E671&lt;&gt;C670,'Assemble Data'!E671&lt;&gt;""),1,0),1))</f>
        <v>0</v>
      </c>
      <c r="G670" s="13">
        <f ca="1">IF('Assemble Data'!F671="",0,IF(ISERROR(FIND("VLOOKUP",_xlfn.FORMULATEXT('Assemble Data'!F671),1)),1,0)+IFERROR(IF(AND('Assemble Data'!F671&lt;&gt;D670,'Assemble Data'!F671&lt;&gt;""),1,0),1))</f>
        <v>0</v>
      </c>
      <c r="H670" s="13">
        <f t="shared" si="36"/>
        <v>8</v>
      </c>
      <c r="I670" t="str">
        <f t="shared" si="37"/>
        <v>C2P10</v>
      </c>
    </row>
    <row r="671" spans="1:9">
      <c r="A671" t="str">
        <f>'Assemble Data'!B672</f>
        <v>P11</v>
      </c>
      <c r="B671" s="13">
        <f>IFERROR(SUMIF('Assemble Data'!K:K,'Assemble Data'!A672,'Assemble Data'!L:L),0)</f>
        <v>11000</v>
      </c>
      <c r="C671" s="13" t="str">
        <f>INDEX('Assemble Data'!$O$24:$O$1023,MATCH('Assemble Data'!A672,'Assemble Data'!$N$24:$N$1023,0))</f>
        <v>C2</v>
      </c>
      <c r="D671" s="13">
        <f>SUMIF('Assemble Data'!H:H,'Assemble Data'!A672,'Assemble Data'!I:I)</f>
        <v>11</v>
      </c>
      <c r="E671" s="13">
        <f>IFERROR(IF(AND('Assemble Data'!D672&lt;&gt;"",'Assemble Data'!D672&lt;&gt;B671),1,0),1)</f>
        <v>0</v>
      </c>
      <c r="F671" s="13">
        <f ca="1">IF('Assemble Data'!E672="",0,IF(ISERROR(FIND("INDEX",_xlfn.FORMULATEXT('Assemble Data'!E672),1)),1,0)+IFERROR(IF(AND('Assemble Data'!E672&lt;&gt;C671,'Assemble Data'!E672&lt;&gt;""),1,0),1))</f>
        <v>0</v>
      </c>
      <c r="G671" s="13">
        <f ca="1">IF('Assemble Data'!F672="",0,IF(ISERROR(FIND("VLOOKUP",_xlfn.FORMULATEXT('Assemble Data'!F672),1)),1,0)+IFERROR(IF(AND('Assemble Data'!F672&lt;&gt;D671,'Assemble Data'!F672&lt;&gt;""),1,0),1))</f>
        <v>0</v>
      </c>
      <c r="H671" s="13">
        <f t="shared" si="36"/>
        <v>9</v>
      </c>
      <c r="I671" t="str">
        <f t="shared" si="37"/>
        <v>C2P11</v>
      </c>
    </row>
    <row r="672" spans="1:9">
      <c r="A672" t="str">
        <f>'Assemble Data'!B673</f>
        <v>P16</v>
      </c>
      <c r="B672" s="13">
        <f>IFERROR(SUMIF('Assemble Data'!K:K,'Assemble Data'!A673,'Assemble Data'!L:L),0)</f>
        <v>4680</v>
      </c>
      <c r="C672" s="13" t="str">
        <f>INDEX('Assemble Data'!$O$24:$O$1023,MATCH('Assemble Data'!A673,'Assemble Data'!$N$24:$N$1023,0))</f>
        <v>N2</v>
      </c>
      <c r="D672" s="13">
        <f>SUMIF('Assemble Data'!H:H,'Assemble Data'!A673,'Assemble Data'!I:I)</f>
        <v>4</v>
      </c>
      <c r="E672" s="13">
        <f>IFERROR(IF(AND('Assemble Data'!D673&lt;&gt;"",'Assemble Data'!D673&lt;&gt;B672),1,0),1)</f>
        <v>0</v>
      </c>
      <c r="F672" s="13">
        <f ca="1">IF('Assemble Data'!E673="",0,IF(ISERROR(FIND("INDEX",_xlfn.FORMULATEXT('Assemble Data'!E673),1)),1,0)+IFERROR(IF(AND('Assemble Data'!E673&lt;&gt;C672,'Assemble Data'!E673&lt;&gt;""),1,0),1))</f>
        <v>0</v>
      </c>
      <c r="G672" s="13">
        <f ca="1">IF('Assemble Data'!F673="",0,IF(ISERROR(FIND("VLOOKUP",_xlfn.FORMULATEXT('Assemble Data'!F673),1)),1,0)+IFERROR(IF(AND('Assemble Data'!F673&lt;&gt;D672,'Assemble Data'!F673&lt;&gt;""),1,0),1))</f>
        <v>0</v>
      </c>
      <c r="H672" s="13">
        <f t="shared" si="36"/>
        <v>0</v>
      </c>
      <c r="I672" t="str">
        <f t="shared" si="37"/>
        <v>N2P16</v>
      </c>
    </row>
    <row r="673" spans="1:9">
      <c r="A673" t="str">
        <f>'Assemble Data'!B674</f>
        <v>P17</v>
      </c>
      <c r="B673" s="13">
        <f>IFERROR(SUMIF('Assemble Data'!K:K,'Assemble Data'!A674,'Assemble Data'!L:L),0)</f>
        <v>13200.000000000002</v>
      </c>
      <c r="C673" s="13" t="str">
        <f>INDEX('Assemble Data'!$O$24:$O$1023,MATCH('Assemble Data'!A674,'Assemble Data'!$N$24:$N$1023,0))</f>
        <v>O2</v>
      </c>
      <c r="D673" s="13">
        <f>SUMIF('Assemble Data'!H:H,'Assemble Data'!A674,'Assemble Data'!I:I)</f>
        <v>12</v>
      </c>
      <c r="E673" s="13">
        <f>IFERROR(IF(AND('Assemble Data'!D674&lt;&gt;"",'Assemble Data'!D674&lt;&gt;B673),1,0),1)</f>
        <v>0</v>
      </c>
      <c r="F673" s="13">
        <f ca="1">IF('Assemble Data'!E674="",0,IF(ISERROR(FIND("INDEX",_xlfn.FORMULATEXT('Assemble Data'!E674),1)),1,0)+IFERROR(IF(AND('Assemble Data'!E674&lt;&gt;C673,'Assemble Data'!E674&lt;&gt;""),1,0),1))</f>
        <v>0</v>
      </c>
      <c r="G673" s="13">
        <f ca="1">IF('Assemble Data'!F674="",0,IF(ISERROR(FIND("VLOOKUP",_xlfn.FORMULATEXT('Assemble Data'!F674),1)),1,0)+IFERROR(IF(AND('Assemble Data'!F674&lt;&gt;D673,'Assemble Data'!F674&lt;&gt;""),1,0),1))</f>
        <v>0</v>
      </c>
      <c r="H673" s="13">
        <f t="shared" si="36"/>
        <v>6</v>
      </c>
      <c r="I673" t="str">
        <f t="shared" si="37"/>
        <v>O2P17</v>
      </c>
    </row>
    <row r="674" spans="1:9">
      <c r="A674" t="str">
        <f>'Assemble Data'!B675</f>
        <v>P17</v>
      </c>
      <c r="B674" s="13">
        <f>IFERROR(SUMIF('Assemble Data'!K:K,'Assemble Data'!A675,'Assemble Data'!L:L),0)</f>
        <v>13200.000000000002</v>
      </c>
      <c r="C674" s="13" t="str">
        <f>INDEX('Assemble Data'!$O$24:$O$1023,MATCH('Assemble Data'!A675,'Assemble Data'!$N$24:$N$1023,0))</f>
        <v>O2</v>
      </c>
      <c r="D674" s="13">
        <f>SUMIF('Assemble Data'!H:H,'Assemble Data'!A675,'Assemble Data'!I:I)</f>
        <v>12</v>
      </c>
      <c r="E674" s="13">
        <f>IFERROR(IF(AND('Assemble Data'!D675&lt;&gt;"",'Assemble Data'!D675&lt;&gt;B674),1,0),1)</f>
        <v>0</v>
      </c>
      <c r="F674" s="13">
        <f ca="1">IF('Assemble Data'!E675="",0,IF(ISERROR(FIND("INDEX",_xlfn.FORMULATEXT('Assemble Data'!E675),1)),1,0)+IFERROR(IF(AND('Assemble Data'!E675&lt;&gt;C674,'Assemble Data'!E675&lt;&gt;""),1,0),1))</f>
        <v>0</v>
      </c>
      <c r="G674" s="13">
        <f ca="1">IF('Assemble Data'!F675="",0,IF(ISERROR(FIND("VLOOKUP",_xlfn.FORMULATEXT('Assemble Data'!F675),1)),1,0)+IFERROR(IF(AND('Assemble Data'!F675&lt;&gt;D674,'Assemble Data'!F675&lt;&gt;""),1,0),1))</f>
        <v>0</v>
      </c>
      <c r="H674" s="13">
        <f t="shared" si="36"/>
        <v>6</v>
      </c>
      <c r="I674" t="str">
        <f t="shared" si="37"/>
        <v>O2P17</v>
      </c>
    </row>
    <row r="675" spans="1:9">
      <c r="A675" t="str">
        <f>'Assemble Data'!B676</f>
        <v>P13</v>
      </c>
      <c r="B675" s="13">
        <f>IFERROR(SUMIF('Assemble Data'!K:K,'Assemble Data'!A676,'Assemble Data'!L:L),0)</f>
        <v>9000</v>
      </c>
      <c r="C675" s="13" t="str">
        <f>INDEX('Assemble Data'!$O$24:$O$1023,MATCH('Assemble Data'!A676,'Assemble Data'!$N$24:$N$1023,0))</f>
        <v>C2</v>
      </c>
      <c r="D675" s="13">
        <f>SUMIF('Assemble Data'!H:H,'Assemble Data'!A676,'Assemble Data'!I:I)</f>
        <v>5</v>
      </c>
      <c r="E675" s="13">
        <f>IFERROR(IF(AND('Assemble Data'!D676&lt;&gt;"",'Assemble Data'!D676&lt;&gt;B675),1,0),1)</f>
        <v>0</v>
      </c>
      <c r="F675" s="13">
        <f ca="1">IF('Assemble Data'!E676="",0,IF(ISERROR(FIND("INDEX",_xlfn.FORMULATEXT('Assemble Data'!E676),1)),1,0)+IFERROR(IF(AND('Assemble Data'!E676&lt;&gt;C675,'Assemble Data'!E676&lt;&gt;""),1,0),1))</f>
        <v>0</v>
      </c>
      <c r="G675" s="13">
        <f ca="1">IF('Assemble Data'!F676="",0,IF(ISERROR(FIND("VLOOKUP",_xlfn.FORMULATEXT('Assemble Data'!F676),1)),1,0)+IFERROR(IF(AND('Assemble Data'!F676&lt;&gt;D675,'Assemble Data'!F676&lt;&gt;""),1,0),1))</f>
        <v>0</v>
      </c>
      <c r="H675" s="13">
        <f t="shared" si="36"/>
        <v>3</v>
      </c>
      <c r="I675" t="str">
        <f t="shared" si="37"/>
        <v>C2P13</v>
      </c>
    </row>
    <row r="676" spans="1:9">
      <c r="A676" t="str">
        <f>'Assemble Data'!B677</f>
        <v>P11</v>
      </c>
      <c r="B676" s="13">
        <f>IFERROR(SUMIF('Assemble Data'!K:K,'Assemble Data'!A677,'Assemble Data'!L:L),0)</f>
        <v>11000</v>
      </c>
      <c r="C676" s="13" t="str">
        <f>INDEX('Assemble Data'!$O$24:$O$1023,MATCH('Assemble Data'!A677,'Assemble Data'!$N$24:$N$1023,0))</f>
        <v>C2</v>
      </c>
      <c r="D676" s="13">
        <f>SUMIF('Assemble Data'!H:H,'Assemble Data'!A677,'Assemble Data'!I:I)</f>
        <v>11</v>
      </c>
      <c r="E676" s="13">
        <f>IFERROR(IF(AND('Assemble Data'!D677&lt;&gt;"",'Assemble Data'!D677&lt;&gt;B676),1,0),1)</f>
        <v>0</v>
      </c>
      <c r="F676" s="13">
        <f ca="1">IF('Assemble Data'!E677="",0,IF(ISERROR(FIND("INDEX",_xlfn.FORMULATEXT('Assemble Data'!E677),1)),1,0)+IFERROR(IF(AND('Assemble Data'!E677&lt;&gt;C676,'Assemble Data'!E677&lt;&gt;""),1,0),1))</f>
        <v>0</v>
      </c>
      <c r="G676" s="13">
        <f ca="1">IF('Assemble Data'!F677="",0,IF(ISERROR(FIND("VLOOKUP",_xlfn.FORMULATEXT('Assemble Data'!F677),1)),1,0)+IFERROR(IF(AND('Assemble Data'!F677&lt;&gt;D676,'Assemble Data'!F677&lt;&gt;""),1,0),1))</f>
        <v>0</v>
      </c>
      <c r="H676" s="13">
        <f t="shared" si="36"/>
        <v>9</v>
      </c>
      <c r="I676" t="str">
        <f t="shared" si="37"/>
        <v>C2P11</v>
      </c>
    </row>
    <row r="677" spans="1:9">
      <c r="A677" t="str">
        <f>'Assemble Data'!B678</f>
        <v>P11</v>
      </c>
      <c r="B677" s="13">
        <f>IFERROR(SUMIF('Assemble Data'!K:K,'Assemble Data'!A678,'Assemble Data'!L:L),0)</f>
        <v>11000</v>
      </c>
      <c r="C677" s="13" t="str">
        <f>INDEX('Assemble Data'!$O$24:$O$1023,MATCH('Assemble Data'!A678,'Assemble Data'!$N$24:$N$1023,0))</f>
        <v>C2</v>
      </c>
      <c r="D677" s="13">
        <f>SUMIF('Assemble Data'!H:H,'Assemble Data'!A678,'Assemble Data'!I:I)</f>
        <v>11</v>
      </c>
      <c r="E677" s="13">
        <f>IFERROR(IF(AND('Assemble Data'!D678&lt;&gt;"",'Assemble Data'!D678&lt;&gt;B677),1,0),1)</f>
        <v>0</v>
      </c>
      <c r="F677" s="13">
        <f ca="1">IF('Assemble Data'!E678="",0,IF(ISERROR(FIND("INDEX",_xlfn.FORMULATEXT('Assemble Data'!E678),1)),1,0)+IFERROR(IF(AND('Assemble Data'!E678&lt;&gt;C677,'Assemble Data'!E678&lt;&gt;""),1,0),1))</f>
        <v>0</v>
      </c>
      <c r="G677" s="13">
        <f ca="1">IF('Assemble Data'!F678="",0,IF(ISERROR(FIND("VLOOKUP",_xlfn.FORMULATEXT('Assemble Data'!F678),1)),1,0)+IFERROR(IF(AND('Assemble Data'!F678&lt;&gt;D677,'Assemble Data'!F678&lt;&gt;""),1,0),1))</f>
        <v>0</v>
      </c>
      <c r="H677" s="13">
        <f t="shared" si="36"/>
        <v>9</v>
      </c>
      <c r="I677" t="str">
        <f t="shared" si="37"/>
        <v>C2P11</v>
      </c>
    </row>
    <row r="678" spans="1:9">
      <c r="A678" t="str">
        <f>'Assemble Data'!B679</f>
        <v>P12</v>
      </c>
      <c r="B678" s="13">
        <f>IFERROR(SUMIF('Assemble Data'!K:K,'Assemble Data'!A679,'Assemble Data'!L:L),0)</f>
        <v>6825</v>
      </c>
      <c r="C678" s="13" t="str">
        <f>INDEX('Assemble Data'!$O$24:$O$1023,MATCH('Assemble Data'!A679,'Assemble Data'!$N$24:$N$1023,0))</f>
        <v>C2</v>
      </c>
      <c r="D678" s="13">
        <f>SUMIF('Assemble Data'!H:H,'Assemble Data'!A679,'Assemble Data'!I:I)</f>
        <v>6.5</v>
      </c>
      <c r="E678" s="13">
        <f>IFERROR(IF(AND('Assemble Data'!D679&lt;&gt;"",'Assemble Data'!D679&lt;&gt;B678),1,0),1)</f>
        <v>0</v>
      </c>
      <c r="F678" s="13">
        <f ca="1">IF('Assemble Data'!E679="",0,IF(ISERROR(FIND("INDEX",_xlfn.FORMULATEXT('Assemble Data'!E679),1)),1,0)+IFERROR(IF(AND('Assemble Data'!E679&lt;&gt;C678,'Assemble Data'!E679&lt;&gt;""),1,0),1))</f>
        <v>0</v>
      </c>
      <c r="G678" s="13">
        <f ca="1">IF('Assemble Data'!F679="",0,IF(ISERROR(FIND("VLOOKUP",_xlfn.FORMULATEXT('Assemble Data'!F679),1)),1,0)+IFERROR(IF(AND('Assemble Data'!F679&lt;&gt;D678,'Assemble Data'!F679&lt;&gt;""),1,0),1))</f>
        <v>0</v>
      </c>
      <c r="H678" s="13">
        <f t="shared" si="36"/>
        <v>7</v>
      </c>
      <c r="I678" t="str">
        <f t="shared" si="37"/>
        <v>C2P12</v>
      </c>
    </row>
    <row r="679" spans="1:9">
      <c r="A679" t="str">
        <f>'Assemble Data'!B680</f>
        <v>P10</v>
      </c>
      <c r="B679" s="13">
        <f>IFERROR(SUMIF('Assemble Data'!K:K,'Assemble Data'!A680,'Assemble Data'!L:L),0)</f>
        <v>2400</v>
      </c>
      <c r="C679" s="13" t="str">
        <f>INDEX('Assemble Data'!$O$24:$O$1023,MATCH('Assemble Data'!A680,'Assemble Data'!$N$24:$N$1023,0))</f>
        <v>C2</v>
      </c>
      <c r="D679" s="13">
        <f>SUMIF('Assemble Data'!H:H,'Assemble Data'!A680,'Assemble Data'!I:I)</f>
        <v>3</v>
      </c>
      <c r="E679" s="13">
        <f>IFERROR(IF(AND('Assemble Data'!D680&lt;&gt;"",'Assemble Data'!D680&lt;&gt;B679),1,0),1)</f>
        <v>0</v>
      </c>
      <c r="F679" s="13">
        <f ca="1">IF('Assemble Data'!E680="",0,IF(ISERROR(FIND("INDEX",_xlfn.FORMULATEXT('Assemble Data'!E680),1)),1,0)+IFERROR(IF(AND('Assemble Data'!E680&lt;&gt;C679,'Assemble Data'!E680&lt;&gt;""),1,0),1))</f>
        <v>0</v>
      </c>
      <c r="G679" s="13">
        <f ca="1">IF('Assemble Data'!F680="",0,IF(ISERROR(FIND("VLOOKUP",_xlfn.FORMULATEXT('Assemble Data'!F680),1)),1,0)+IFERROR(IF(AND('Assemble Data'!F680&lt;&gt;D679,'Assemble Data'!F680&lt;&gt;""),1,0),1))</f>
        <v>0</v>
      </c>
      <c r="H679" s="13">
        <f t="shared" si="36"/>
        <v>8</v>
      </c>
      <c r="I679" t="str">
        <f t="shared" si="37"/>
        <v>C2P10</v>
      </c>
    </row>
    <row r="680" spans="1:9">
      <c r="A680" t="str">
        <f>'Assemble Data'!B681</f>
        <v>P10</v>
      </c>
      <c r="B680" s="13">
        <f>IFERROR(SUMIF('Assemble Data'!K:K,'Assemble Data'!A681,'Assemble Data'!L:L),0)</f>
        <v>2400</v>
      </c>
      <c r="C680" s="13" t="str">
        <f>INDEX('Assemble Data'!$O$24:$O$1023,MATCH('Assemble Data'!A681,'Assemble Data'!$N$24:$N$1023,0))</f>
        <v>C2</v>
      </c>
      <c r="D680" s="13">
        <f>SUMIF('Assemble Data'!H:H,'Assemble Data'!A681,'Assemble Data'!I:I)</f>
        <v>3</v>
      </c>
      <c r="E680" s="13">
        <f>IFERROR(IF(AND('Assemble Data'!D681&lt;&gt;"",'Assemble Data'!D681&lt;&gt;B680),1,0),1)</f>
        <v>0</v>
      </c>
      <c r="F680" s="13">
        <f ca="1">IF('Assemble Data'!E681="",0,IF(ISERROR(FIND("INDEX",_xlfn.FORMULATEXT('Assemble Data'!E681),1)),1,0)+IFERROR(IF(AND('Assemble Data'!E681&lt;&gt;C680,'Assemble Data'!E681&lt;&gt;""),1,0),1))</f>
        <v>0</v>
      </c>
      <c r="G680" s="13">
        <f ca="1">IF('Assemble Data'!F681="",0,IF(ISERROR(FIND("VLOOKUP",_xlfn.FORMULATEXT('Assemble Data'!F681),1)),1,0)+IFERROR(IF(AND('Assemble Data'!F681&lt;&gt;D680,'Assemble Data'!F681&lt;&gt;""),1,0),1))</f>
        <v>0</v>
      </c>
      <c r="H680" s="13">
        <f t="shared" si="36"/>
        <v>8</v>
      </c>
      <c r="I680" t="str">
        <f t="shared" si="37"/>
        <v>C2P10</v>
      </c>
    </row>
    <row r="681" spans="1:9">
      <c r="A681" t="str">
        <f>'Assemble Data'!B682</f>
        <v>P11</v>
      </c>
      <c r="B681" s="13">
        <f>IFERROR(SUMIF('Assemble Data'!K:K,'Assemble Data'!A682,'Assemble Data'!L:L),0)</f>
        <v>11000</v>
      </c>
      <c r="C681" s="13" t="str">
        <f>INDEX('Assemble Data'!$O$24:$O$1023,MATCH('Assemble Data'!A682,'Assemble Data'!$N$24:$N$1023,0))</f>
        <v>C2</v>
      </c>
      <c r="D681" s="13">
        <f>SUMIF('Assemble Data'!H:H,'Assemble Data'!A682,'Assemble Data'!I:I)</f>
        <v>11</v>
      </c>
      <c r="E681" s="13">
        <f>IFERROR(IF(AND('Assemble Data'!D682&lt;&gt;"",'Assemble Data'!D682&lt;&gt;B681),1,0),1)</f>
        <v>0</v>
      </c>
      <c r="F681" s="13">
        <f ca="1">IF('Assemble Data'!E682="",0,IF(ISERROR(FIND("INDEX",_xlfn.FORMULATEXT('Assemble Data'!E682),1)),1,0)+IFERROR(IF(AND('Assemble Data'!E682&lt;&gt;C681,'Assemble Data'!E682&lt;&gt;""),1,0),1))</f>
        <v>0</v>
      </c>
      <c r="G681" s="13">
        <f ca="1">IF('Assemble Data'!F682="",0,IF(ISERROR(FIND("VLOOKUP",_xlfn.FORMULATEXT('Assemble Data'!F682),1)),1,0)+IFERROR(IF(AND('Assemble Data'!F682&lt;&gt;D681,'Assemble Data'!F682&lt;&gt;""),1,0),1))</f>
        <v>0</v>
      </c>
      <c r="H681" s="13">
        <f t="shared" si="36"/>
        <v>9</v>
      </c>
      <c r="I681" t="str">
        <f t="shared" si="37"/>
        <v>C2P11</v>
      </c>
    </row>
    <row r="682" spans="1:9">
      <c r="A682" t="str">
        <f>'Assemble Data'!B683</f>
        <v>P18</v>
      </c>
      <c r="B682" s="13">
        <f>IFERROR(SUMIF('Assemble Data'!K:K,'Assemble Data'!A683,'Assemble Data'!L:L),0)</f>
        <v>5940.0000000000009</v>
      </c>
      <c r="C682" s="13" t="str">
        <f>INDEX('Assemble Data'!$O$24:$O$1023,MATCH('Assemble Data'!A683,'Assemble Data'!$N$24:$N$1023,0))</f>
        <v>O2</v>
      </c>
      <c r="D682" s="13">
        <f>SUMIF('Assemble Data'!H:H,'Assemble Data'!A683,'Assemble Data'!I:I)</f>
        <v>6</v>
      </c>
      <c r="E682" s="13">
        <f>IFERROR(IF(AND('Assemble Data'!D683&lt;&gt;"",'Assemble Data'!D683&lt;&gt;B682),1,0),1)</f>
        <v>0</v>
      </c>
      <c r="F682" s="13">
        <f ca="1">IF('Assemble Data'!E683="",0,IF(ISERROR(FIND("INDEX",_xlfn.FORMULATEXT('Assemble Data'!E683),1)),1,0)+IFERROR(IF(AND('Assemble Data'!E683&lt;&gt;C682,'Assemble Data'!E683&lt;&gt;""),1,0),1))</f>
        <v>0</v>
      </c>
      <c r="G682" s="13">
        <f ca="1">IF('Assemble Data'!F683="",0,IF(ISERROR(FIND("VLOOKUP",_xlfn.FORMULATEXT('Assemble Data'!F683),1)),1,0)+IFERROR(IF(AND('Assemble Data'!F683&lt;&gt;D682,'Assemble Data'!F683&lt;&gt;""),1,0),1))</f>
        <v>0</v>
      </c>
      <c r="H682" s="13">
        <f t="shared" si="36"/>
        <v>2</v>
      </c>
      <c r="I682" t="str">
        <f t="shared" si="37"/>
        <v>O2P18</v>
      </c>
    </row>
    <row r="683" spans="1:9">
      <c r="A683" t="str">
        <f>'Assemble Data'!B684</f>
        <v>P14</v>
      </c>
      <c r="B683" s="13">
        <f>IFERROR(SUMIF('Assemble Data'!K:K,'Assemble Data'!A684,'Assemble Data'!L:L),0)</f>
        <v>6480</v>
      </c>
      <c r="C683" s="13" t="str">
        <f>INDEX('Assemble Data'!$O$24:$O$1023,MATCH('Assemble Data'!A684,'Assemble Data'!$N$24:$N$1023,0))</f>
        <v>N2</v>
      </c>
      <c r="D683" s="13">
        <f>SUMIF('Assemble Data'!H:H,'Assemble Data'!A684,'Assemble Data'!I:I)</f>
        <v>8</v>
      </c>
      <c r="E683" s="13">
        <f>IFERROR(IF(AND('Assemble Data'!D684&lt;&gt;"",'Assemble Data'!D684&lt;&gt;B683),1,0),1)</f>
        <v>0</v>
      </c>
      <c r="F683" s="13">
        <f ca="1">IF('Assemble Data'!E684="",0,IF(ISERROR(FIND("INDEX",_xlfn.FORMULATEXT('Assemble Data'!E684),1)),1,0)+IFERROR(IF(AND('Assemble Data'!E684&lt;&gt;C683,'Assemble Data'!E684&lt;&gt;""),1,0),1))</f>
        <v>0</v>
      </c>
      <c r="G683" s="13">
        <f ca="1">IF('Assemble Data'!F684="",0,IF(ISERROR(FIND("VLOOKUP",_xlfn.FORMULATEXT('Assemble Data'!F684),1)),1,0)+IFERROR(IF(AND('Assemble Data'!F684&lt;&gt;D683,'Assemble Data'!F684&lt;&gt;""),1,0),1))</f>
        <v>0</v>
      </c>
      <c r="H683" s="13">
        <f t="shared" si="36"/>
        <v>5</v>
      </c>
      <c r="I683" t="str">
        <f t="shared" si="37"/>
        <v>N2P14</v>
      </c>
    </row>
    <row r="684" spans="1:9">
      <c r="A684" t="str">
        <f>'Assemble Data'!B685</f>
        <v>P10</v>
      </c>
      <c r="B684" s="13">
        <f>IFERROR(SUMIF('Assemble Data'!K:K,'Assemble Data'!A685,'Assemble Data'!L:L),0)</f>
        <v>2400</v>
      </c>
      <c r="C684" s="13" t="str">
        <f>INDEX('Assemble Data'!$O$24:$O$1023,MATCH('Assemble Data'!A685,'Assemble Data'!$N$24:$N$1023,0))</f>
        <v>C2</v>
      </c>
      <c r="D684" s="13">
        <f>SUMIF('Assemble Data'!H:H,'Assemble Data'!A685,'Assemble Data'!I:I)</f>
        <v>3</v>
      </c>
      <c r="E684" s="13">
        <f>IFERROR(IF(AND('Assemble Data'!D685&lt;&gt;"",'Assemble Data'!D685&lt;&gt;B684),1,0),1)</f>
        <v>0</v>
      </c>
      <c r="F684" s="13">
        <f ca="1">IF('Assemble Data'!E685="",0,IF(ISERROR(FIND("INDEX",_xlfn.FORMULATEXT('Assemble Data'!E685),1)),1,0)+IFERROR(IF(AND('Assemble Data'!E685&lt;&gt;C684,'Assemble Data'!E685&lt;&gt;""),1,0),1))</f>
        <v>0</v>
      </c>
      <c r="G684" s="13">
        <f ca="1">IF('Assemble Data'!F685="",0,IF(ISERROR(FIND("VLOOKUP",_xlfn.FORMULATEXT('Assemble Data'!F685),1)),1,0)+IFERROR(IF(AND('Assemble Data'!F685&lt;&gt;D684,'Assemble Data'!F685&lt;&gt;""),1,0),1))</f>
        <v>0</v>
      </c>
      <c r="H684" s="13">
        <f t="shared" si="36"/>
        <v>8</v>
      </c>
      <c r="I684" t="str">
        <f t="shared" si="37"/>
        <v>C2P10</v>
      </c>
    </row>
    <row r="685" spans="1:9">
      <c r="A685" t="str">
        <f>'Assemble Data'!B686</f>
        <v>P13</v>
      </c>
      <c r="B685" s="13">
        <f>IFERROR(SUMIF('Assemble Data'!K:K,'Assemble Data'!A686,'Assemble Data'!L:L),0)</f>
        <v>4500</v>
      </c>
      <c r="C685" s="13" t="str">
        <f>INDEX('Assemble Data'!$O$24:$O$1023,MATCH('Assemble Data'!A686,'Assemble Data'!$N$24:$N$1023,0))</f>
        <v>C2</v>
      </c>
      <c r="D685" s="13">
        <f>SUMIF('Assemble Data'!H:H,'Assemble Data'!A686,'Assemble Data'!I:I)</f>
        <v>5</v>
      </c>
      <c r="E685" s="13">
        <f>IFERROR(IF(AND('Assemble Data'!D686&lt;&gt;"",'Assemble Data'!D686&lt;&gt;B685),1,0),1)</f>
        <v>0</v>
      </c>
      <c r="F685" s="13">
        <f ca="1">IF('Assemble Data'!E686="",0,IF(ISERROR(FIND("INDEX",_xlfn.FORMULATEXT('Assemble Data'!E686),1)),1,0)+IFERROR(IF(AND('Assemble Data'!E686&lt;&gt;C685,'Assemble Data'!E686&lt;&gt;""),1,0),1))</f>
        <v>0</v>
      </c>
      <c r="G685" s="13">
        <f ca="1">IF('Assemble Data'!F686="",0,IF(ISERROR(FIND("VLOOKUP",_xlfn.FORMULATEXT('Assemble Data'!F686),1)),1,0)+IFERROR(IF(AND('Assemble Data'!F686&lt;&gt;D685,'Assemble Data'!F686&lt;&gt;""),1,0),1))</f>
        <v>0</v>
      </c>
      <c r="H685" s="13">
        <f t="shared" si="36"/>
        <v>3</v>
      </c>
      <c r="I685" t="str">
        <f t="shared" si="37"/>
        <v>C2P13</v>
      </c>
    </row>
    <row r="686" spans="1:9">
      <c r="A686" t="str">
        <f>'Assemble Data'!B687</f>
        <v>P13</v>
      </c>
      <c r="B686" s="13">
        <f>IFERROR(SUMIF('Assemble Data'!K:K,'Assemble Data'!A687,'Assemble Data'!L:L),0)</f>
        <v>4500</v>
      </c>
      <c r="C686" s="13" t="str">
        <f>INDEX('Assemble Data'!$O$24:$O$1023,MATCH('Assemble Data'!A687,'Assemble Data'!$N$24:$N$1023,0))</f>
        <v>C2</v>
      </c>
      <c r="D686" s="13">
        <f>SUMIF('Assemble Data'!H:H,'Assemble Data'!A687,'Assemble Data'!I:I)</f>
        <v>5</v>
      </c>
      <c r="E686" s="13">
        <f>IFERROR(IF(AND('Assemble Data'!D687&lt;&gt;"",'Assemble Data'!D687&lt;&gt;B686),1,0),1)</f>
        <v>0</v>
      </c>
      <c r="F686" s="13">
        <f ca="1">IF('Assemble Data'!E687="",0,IF(ISERROR(FIND("INDEX",_xlfn.FORMULATEXT('Assemble Data'!E687),1)),1,0)+IFERROR(IF(AND('Assemble Data'!E687&lt;&gt;C686,'Assemble Data'!E687&lt;&gt;""),1,0),1))</f>
        <v>0</v>
      </c>
      <c r="G686" s="13">
        <f ca="1">IF('Assemble Data'!F687="",0,IF(ISERROR(FIND("VLOOKUP",_xlfn.FORMULATEXT('Assemble Data'!F687),1)),1,0)+IFERROR(IF(AND('Assemble Data'!F687&lt;&gt;D686,'Assemble Data'!F687&lt;&gt;""),1,0),1))</f>
        <v>0</v>
      </c>
      <c r="H686" s="13">
        <f t="shared" si="36"/>
        <v>3</v>
      </c>
      <c r="I686" t="str">
        <f t="shared" si="37"/>
        <v>C2P13</v>
      </c>
    </row>
    <row r="687" spans="1:9">
      <c r="A687" t="str">
        <f>'Assemble Data'!B688</f>
        <v>P10</v>
      </c>
      <c r="B687" s="13">
        <f>IFERROR(SUMIF('Assemble Data'!K:K,'Assemble Data'!A688,'Assemble Data'!L:L),0)</f>
        <v>2400</v>
      </c>
      <c r="C687" s="13" t="str">
        <f>INDEX('Assemble Data'!$O$24:$O$1023,MATCH('Assemble Data'!A688,'Assemble Data'!$N$24:$N$1023,0))</f>
        <v>C2</v>
      </c>
      <c r="D687" s="13">
        <f>SUMIF('Assemble Data'!H:H,'Assemble Data'!A688,'Assemble Data'!I:I)</f>
        <v>3</v>
      </c>
      <c r="E687" s="13">
        <f>IFERROR(IF(AND('Assemble Data'!D688&lt;&gt;"",'Assemble Data'!D688&lt;&gt;B687),1,0),1)</f>
        <v>0</v>
      </c>
      <c r="F687" s="13">
        <f ca="1">IF('Assemble Data'!E688="",0,IF(ISERROR(FIND("INDEX",_xlfn.FORMULATEXT('Assemble Data'!E688),1)),1,0)+IFERROR(IF(AND('Assemble Data'!E688&lt;&gt;C687,'Assemble Data'!E688&lt;&gt;""),1,0),1))</f>
        <v>0</v>
      </c>
      <c r="G687" s="13">
        <f ca="1">IF('Assemble Data'!F688="",0,IF(ISERROR(FIND("VLOOKUP",_xlfn.FORMULATEXT('Assemble Data'!F688),1)),1,0)+IFERROR(IF(AND('Assemble Data'!F688&lt;&gt;D687,'Assemble Data'!F688&lt;&gt;""),1,0),1))</f>
        <v>0</v>
      </c>
      <c r="H687" s="13">
        <f t="shared" si="36"/>
        <v>8</v>
      </c>
      <c r="I687" t="str">
        <f t="shared" si="37"/>
        <v>C2P10</v>
      </c>
    </row>
    <row r="688" spans="1:9">
      <c r="A688" t="str">
        <f>'Assemble Data'!B689</f>
        <v>P11</v>
      </c>
      <c r="B688" s="13">
        <f>IFERROR(SUMIF('Assemble Data'!K:K,'Assemble Data'!A689,'Assemble Data'!L:L),0)</f>
        <v>11000</v>
      </c>
      <c r="C688" s="13" t="str">
        <f>INDEX('Assemble Data'!$O$24:$O$1023,MATCH('Assemble Data'!A689,'Assemble Data'!$N$24:$N$1023,0))</f>
        <v>C2</v>
      </c>
      <c r="D688" s="13">
        <f>SUMIF('Assemble Data'!H:H,'Assemble Data'!A689,'Assemble Data'!I:I)</f>
        <v>11</v>
      </c>
      <c r="E688" s="13">
        <f>IFERROR(IF(AND('Assemble Data'!D689&lt;&gt;"",'Assemble Data'!D689&lt;&gt;B688),1,0),1)</f>
        <v>0</v>
      </c>
      <c r="F688" s="13">
        <f ca="1">IF('Assemble Data'!E689="",0,IF(ISERROR(FIND("INDEX",_xlfn.FORMULATEXT('Assemble Data'!E689),1)),1,0)+IFERROR(IF(AND('Assemble Data'!E689&lt;&gt;C688,'Assemble Data'!E689&lt;&gt;""),1,0),1))</f>
        <v>0</v>
      </c>
      <c r="G688" s="13">
        <f ca="1">IF('Assemble Data'!F689="",0,IF(ISERROR(FIND("VLOOKUP",_xlfn.FORMULATEXT('Assemble Data'!F689),1)),1,0)+IFERROR(IF(AND('Assemble Data'!F689&lt;&gt;D688,'Assemble Data'!F689&lt;&gt;""),1,0),1))</f>
        <v>0</v>
      </c>
      <c r="H688" s="13">
        <f t="shared" si="36"/>
        <v>9</v>
      </c>
      <c r="I688" t="str">
        <f t="shared" si="37"/>
        <v>C2P11</v>
      </c>
    </row>
    <row r="689" spans="1:9">
      <c r="A689" t="str">
        <f>'Assemble Data'!B690</f>
        <v>P16</v>
      </c>
      <c r="B689" s="13">
        <f>IFERROR(SUMIF('Assemble Data'!K:K,'Assemble Data'!A690,'Assemble Data'!L:L),0)</f>
        <v>4680</v>
      </c>
      <c r="C689" s="13" t="str">
        <f>INDEX('Assemble Data'!$O$24:$O$1023,MATCH('Assemble Data'!A690,'Assemble Data'!$N$24:$N$1023,0))</f>
        <v>N2</v>
      </c>
      <c r="D689" s="13">
        <f>SUMIF('Assemble Data'!H:H,'Assemble Data'!A690,'Assemble Data'!I:I)</f>
        <v>4</v>
      </c>
      <c r="E689" s="13">
        <f>IFERROR(IF(AND('Assemble Data'!D690&lt;&gt;"",'Assemble Data'!D690&lt;&gt;B689),1,0),1)</f>
        <v>0</v>
      </c>
      <c r="F689" s="13">
        <f ca="1">IF('Assemble Data'!E690="",0,IF(ISERROR(FIND("INDEX",_xlfn.FORMULATEXT('Assemble Data'!E690),1)),1,0)+IFERROR(IF(AND('Assemble Data'!E690&lt;&gt;C689,'Assemble Data'!E690&lt;&gt;""),1,0),1))</f>
        <v>0</v>
      </c>
      <c r="G689" s="13">
        <f ca="1">IF('Assemble Data'!F690="",0,IF(ISERROR(FIND("VLOOKUP",_xlfn.FORMULATEXT('Assemble Data'!F690),1)),1,0)+IFERROR(IF(AND('Assemble Data'!F690&lt;&gt;D689,'Assemble Data'!F690&lt;&gt;""),1,0),1))</f>
        <v>0</v>
      </c>
      <c r="H689" s="13">
        <f t="shared" si="36"/>
        <v>0</v>
      </c>
      <c r="I689" t="str">
        <f t="shared" si="37"/>
        <v>N2P16</v>
      </c>
    </row>
    <row r="690" spans="1:9">
      <c r="A690" t="str">
        <f>'Assemble Data'!B691</f>
        <v>P17</v>
      </c>
      <c r="B690" s="13">
        <f>IFERROR(SUMIF('Assemble Data'!K:K,'Assemble Data'!A691,'Assemble Data'!L:L),0)</f>
        <v>13200.000000000002</v>
      </c>
      <c r="C690" s="13" t="str">
        <f>INDEX('Assemble Data'!$O$24:$O$1023,MATCH('Assemble Data'!A691,'Assemble Data'!$N$24:$N$1023,0))</f>
        <v>O2</v>
      </c>
      <c r="D690" s="13">
        <f>SUMIF('Assemble Data'!H:H,'Assemble Data'!A691,'Assemble Data'!I:I)</f>
        <v>12</v>
      </c>
      <c r="E690" s="13">
        <f>IFERROR(IF(AND('Assemble Data'!D691&lt;&gt;"",'Assemble Data'!D691&lt;&gt;B690),1,0),1)</f>
        <v>0</v>
      </c>
      <c r="F690" s="13">
        <f ca="1">IF('Assemble Data'!E691="",0,IF(ISERROR(FIND("INDEX",_xlfn.FORMULATEXT('Assemble Data'!E691),1)),1,0)+IFERROR(IF(AND('Assemble Data'!E691&lt;&gt;C690,'Assemble Data'!E691&lt;&gt;""),1,0),1))</f>
        <v>0</v>
      </c>
      <c r="G690" s="13">
        <f ca="1">IF('Assemble Data'!F691="",0,IF(ISERROR(FIND("VLOOKUP",_xlfn.FORMULATEXT('Assemble Data'!F691),1)),1,0)+IFERROR(IF(AND('Assemble Data'!F691&lt;&gt;D690,'Assemble Data'!F691&lt;&gt;""),1,0),1))</f>
        <v>0</v>
      </c>
      <c r="H690" s="13">
        <f t="shared" si="36"/>
        <v>6</v>
      </c>
      <c r="I690" t="str">
        <f t="shared" si="37"/>
        <v>O2P17</v>
      </c>
    </row>
    <row r="691" spans="1:9">
      <c r="A691" t="str">
        <f>'Assemble Data'!B692</f>
        <v>P17</v>
      </c>
      <c r="B691" s="13">
        <f>IFERROR(SUMIF('Assemble Data'!K:K,'Assemble Data'!A692,'Assemble Data'!L:L),0)</f>
        <v>13200.000000000002</v>
      </c>
      <c r="C691" s="13" t="str">
        <f>INDEX('Assemble Data'!$O$24:$O$1023,MATCH('Assemble Data'!A692,'Assemble Data'!$N$24:$N$1023,0))</f>
        <v>O2</v>
      </c>
      <c r="D691" s="13">
        <f>SUMIF('Assemble Data'!H:H,'Assemble Data'!A692,'Assemble Data'!I:I)</f>
        <v>12</v>
      </c>
      <c r="E691" s="13">
        <f>IFERROR(IF(AND('Assemble Data'!D692&lt;&gt;"",'Assemble Data'!D692&lt;&gt;B691),1,0),1)</f>
        <v>0</v>
      </c>
      <c r="F691" s="13">
        <f ca="1">IF('Assemble Data'!E692="",0,IF(ISERROR(FIND("INDEX",_xlfn.FORMULATEXT('Assemble Data'!E692),1)),1,0)+IFERROR(IF(AND('Assemble Data'!E692&lt;&gt;C691,'Assemble Data'!E692&lt;&gt;""),1,0),1))</f>
        <v>0</v>
      </c>
      <c r="G691" s="13">
        <f ca="1">IF('Assemble Data'!F692="",0,IF(ISERROR(FIND("VLOOKUP",_xlfn.FORMULATEXT('Assemble Data'!F692),1)),1,0)+IFERROR(IF(AND('Assemble Data'!F692&lt;&gt;D691,'Assemble Data'!F692&lt;&gt;""),1,0),1))</f>
        <v>0</v>
      </c>
      <c r="H691" s="13">
        <f t="shared" si="36"/>
        <v>6</v>
      </c>
      <c r="I691" t="str">
        <f t="shared" si="37"/>
        <v>O2P17</v>
      </c>
    </row>
    <row r="692" spans="1:9">
      <c r="A692" t="str">
        <f>'Assemble Data'!B693</f>
        <v>P13</v>
      </c>
      <c r="B692" s="13">
        <f>IFERROR(SUMIF('Assemble Data'!K:K,'Assemble Data'!A693,'Assemble Data'!L:L),0)</f>
        <v>3600</v>
      </c>
      <c r="C692" s="13" t="str">
        <f>INDEX('Assemble Data'!$O$24:$O$1023,MATCH('Assemble Data'!A693,'Assemble Data'!$N$24:$N$1023,0))</f>
        <v>C3</v>
      </c>
      <c r="D692" s="13">
        <f>SUMIF('Assemble Data'!H:H,'Assemble Data'!A693,'Assemble Data'!I:I)</f>
        <v>5</v>
      </c>
      <c r="E692" s="13">
        <f>IFERROR(IF(AND('Assemble Data'!D693&lt;&gt;"",'Assemble Data'!D693&lt;&gt;B692),1,0),1)</f>
        <v>0</v>
      </c>
      <c r="F692" s="13">
        <f ca="1">IF('Assemble Data'!E693="",0,IF(ISERROR(FIND("INDEX",_xlfn.FORMULATEXT('Assemble Data'!E693),1)),1,0)+IFERROR(IF(AND('Assemble Data'!E693&lt;&gt;C692,'Assemble Data'!E693&lt;&gt;""),1,0),1))</f>
        <v>0</v>
      </c>
      <c r="G692" s="13">
        <f ca="1">IF('Assemble Data'!F693="",0,IF(ISERROR(FIND("VLOOKUP",_xlfn.FORMULATEXT('Assemble Data'!F693),1)),1,0)+IFERROR(IF(AND('Assemble Data'!F693&lt;&gt;D692,'Assemble Data'!F693&lt;&gt;""),1,0),1))</f>
        <v>0</v>
      </c>
      <c r="H692" s="13">
        <f t="shared" si="36"/>
        <v>3</v>
      </c>
      <c r="I692" t="str">
        <f t="shared" si="37"/>
        <v>C3P13</v>
      </c>
    </row>
    <row r="693" spans="1:9">
      <c r="A693" t="str">
        <f>'Assemble Data'!B694</f>
        <v>P11</v>
      </c>
      <c r="B693" s="13">
        <f>IFERROR(SUMIF('Assemble Data'!K:K,'Assemble Data'!A694,'Assemble Data'!L:L),0)</f>
        <v>8800</v>
      </c>
      <c r="C693" s="13" t="str">
        <f>INDEX('Assemble Data'!$O$24:$O$1023,MATCH('Assemble Data'!A694,'Assemble Data'!$N$24:$N$1023,0))</f>
        <v>C3</v>
      </c>
      <c r="D693" s="13">
        <f>SUMIF('Assemble Data'!H:H,'Assemble Data'!A694,'Assemble Data'!I:I)</f>
        <v>11</v>
      </c>
      <c r="E693" s="13">
        <f>IFERROR(IF(AND('Assemble Data'!D694&lt;&gt;"",'Assemble Data'!D694&lt;&gt;B693),1,0),1)</f>
        <v>0</v>
      </c>
      <c r="F693" s="13">
        <f ca="1">IF('Assemble Data'!E694="",0,IF(ISERROR(FIND("INDEX",_xlfn.FORMULATEXT('Assemble Data'!E694),1)),1,0)+IFERROR(IF(AND('Assemble Data'!E694&lt;&gt;C693,'Assemble Data'!E694&lt;&gt;""),1,0),1))</f>
        <v>0</v>
      </c>
      <c r="G693" s="13">
        <f ca="1">IF('Assemble Data'!F694="",0,IF(ISERROR(FIND("VLOOKUP",_xlfn.FORMULATEXT('Assemble Data'!F694),1)),1,0)+IFERROR(IF(AND('Assemble Data'!F694&lt;&gt;D693,'Assemble Data'!F694&lt;&gt;""),1,0),1))</f>
        <v>0</v>
      </c>
      <c r="H693" s="13">
        <f t="shared" si="36"/>
        <v>9</v>
      </c>
      <c r="I693" t="str">
        <f t="shared" si="37"/>
        <v>C3P11</v>
      </c>
    </row>
    <row r="694" spans="1:9">
      <c r="A694" t="str">
        <f>'Assemble Data'!B695</f>
        <v>P11</v>
      </c>
      <c r="B694" s="13">
        <f>IFERROR(SUMIF('Assemble Data'!K:K,'Assemble Data'!A695,'Assemble Data'!L:L),0)</f>
        <v>8800</v>
      </c>
      <c r="C694" s="13" t="str">
        <f>INDEX('Assemble Data'!$O$24:$O$1023,MATCH('Assemble Data'!A695,'Assemble Data'!$N$24:$N$1023,0))</f>
        <v>C3</v>
      </c>
      <c r="D694" s="13">
        <f>SUMIF('Assemble Data'!H:H,'Assemble Data'!A695,'Assemble Data'!I:I)</f>
        <v>11</v>
      </c>
      <c r="E694" s="13">
        <f>IFERROR(IF(AND('Assemble Data'!D695&lt;&gt;"",'Assemble Data'!D695&lt;&gt;B694),1,0),1)</f>
        <v>0</v>
      </c>
      <c r="F694" s="13">
        <f ca="1">IF('Assemble Data'!E695="",0,IF(ISERROR(FIND("INDEX",_xlfn.FORMULATEXT('Assemble Data'!E695),1)),1,0)+IFERROR(IF(AND('Assemble Data'!E695&lt;&gt;C694,'Assemble Data'!E695&lt;&gt;""),1,0),1))</f>
        <v>0</v>
      </c>
      <c r="G694" s="13">
        <f ca="1">IF('Assemble Data'!F695="",0,IF(ISERROR(FIND("VLOOKUP",_xlfn.FORMULATEXT('Assemble Data'!F695),1)),1,0)+IFERROR(IF(AND('Assemble Data'!F695&lt;&gt;D694,'Assemble Data'!F695&lt;&gt;""),1,0),1))</f>
        <v>0</v>
      </c>
      <c r="H694" s="13">
        <f t="shared" si="36"/>
        <v>9</v>
      </c>
      <c r="I694" t="str">
        <f t="shared" si="37"/>
        <v>C3P11</v>
      </c>
    </row>
    <row r="695" spans="1:9">
      <c r="A695" t="str">
        <f>'Assemble Data'!B696</f>
        <v>P12</v>
      </c>
      <c r="B695" s="13">
        <f>IFERROR(SUMIF('Assemble Data'!K:K,'Assemble Data'!A696,'Assemble Data'!L:L),0)</f>
        <v>5460</v>
      </c>
      <c r="C695" s="13" t="str">
        <f>INDEX('Assemble Data'!$O$24:$O$1023,MATCH('Assemble Data'!A696,'Assemble Data'!$N$24:$N$1023,0))</f>
        <v>C3</v>
      </c>
      <c r="D695" s="13">
        <f>SUMIF('Assemble Data'!H:H,'Assemble Data'!A696,'Assemble Data'!I:I)</f>
        <v>6.5</v>
      </c>
      <c r="E695" s="13">
        <f>IFERROR(IF(AND('Assemble Data'!D696&lt;&gt;"",'Assemble Data'!D696&lt;&gt;B695),1,0),1)</f>
        <v>0</v>
      </c>
      <c r="F695" s="13">
        <f ca="1">IF('Assemble Data'!E696="",0,IF(ISERROR(FIND("INDEX",_xlfn.FORMULATEXT('Assemble Data'!E696),1)),1,0)+IFERROR(IF(AND('Assemble Data'!E696&lt;&gt;C695,'Assemble Data'!E696&lt;&gt;""),1,0),1))</f>
        <v>0</v>
      </c>
      <c r="G695" s="13">
        <f ca="1">IF('Assemble Data'!F696="",0,IF(ISERROR(FIND("VLOOKUP",_xlfn.FORMULATEXT('Assemble Data'!F696),1)),1,0)+IFERROR(IF(AND('Assemble Data'!F696&lt;&gt;D695,'Assemble Data'!F696&lt;&gt;""),1,0),1))</f>
        <v>0</v>
      </c>
      <c r="H695" s="13">
        <f t="shared" si="36"/>
        <v>7</v>
      </c>
      <c r="I695" t="str">
        <f t="shared" si="37"/>
        <v>C3P12</v>
      </c>
    </row>
    <row r="696" spans="1:9">
      <c r="A696" t="str">
        <f>'Assemble Data'!B697</f>
        <v>P10</v>
      </c>
      <c r="B696" s="13">
        <f>IFERROR(SUMIF('Assemble Data'!K:K,'Assemble Data'!A697,'Assemble Data'!L:L),0)</f>
        <v>1920</v>
      </c>
      <c r="C696" s="13" t="str">
        <f>INDEX('Assemble Data'!$O$24:$O$1023,MATCH('Assemble Data'!A697,'Assemble Data'!$N$24:$N$1023,0))</f>
        <v>C3</v>
      </c>
      <c r="D696" s="13">
        <f>SUMIF('Assemble Data'!H:H,'Assemble Data'!A697,'Assemble Data'!I:I)</f>
        <v>3</v>
      </c>
      <c r="E696" s="13">
        <f>IFERROR(IF(AND('Assemble Data'!D697&lt;&gt;"",'Assemble Data'!D697&lt;&gt;B696),1,0),1)</f>
        <v>0</v>
      </c>
      <c r="F696" s="13">
        <f ca="1">IF('Assemble Data'!E697="",0,IF(ISERROR(FIND("INDEX",_xlfn.FORMULATEXT('Assemble Data'!E697),1)),1,0)+IFERROR(IF(AND('Assemble Data'!E697&lt;&gt;C696,'Assemble Data'!E697&lt;&gt;""),1,0),1))</f>
        <v>0</v>
      </c>
      <c r="G696" s="13">
        <f ca="1">IF('Assemble Data'!F697="",0,IF(ISERROR(FIND("VLOOKUP",_xlfn.FORMULATEXT('Assemble Data'!F697),1)),1,0)+IFERROR(IF(AND('Assemble Data'!F697&lt;&gt;D696,'Assemble Data'!F697&lt;&gt;""),1,0),1))</f>
        <v>0</v>
      </c>
      <c r="H696" s="13">
        <f t="shared" si="36"/>
        <v>8</v>
      </c>
      <c r="I696" t="str">
        <f t="shared" si="37"/>
        <v>C3P10</v>
      </c>
    </row>
    <row r="697" spans="1:9">
      <c r="A697" t="str">
        <f>'Assemble Data'!B698</f>
        <v>P10</v>
      </c>
      <c r="B697" s="13">
        <f>IFERROR(SUMIF('Assemble Data'!K:K,'Assemble Data'!A698,'Assemble Data'!L:L),0)</f>
        <v>1920</v>
      </c>
      <c r="C697" s="13" t="str">
        <f>INDEX('Assemble Data'!$O$24:$O$1023,MATCH('Assemble Data'!A698,'Assemble Data'!$N$24:$N$1023,0))</f>
        <v>C3</v>
      </c>
      <c r="D697" s="13">
        <f>SUMIF('Assemble Data'!H:H,'Assemble Data'!A698,'Assemble Data'!I:I)</f>
        <v>3</v>
      </c>
      <c r="E697" s="13">
        <f>IFERROR(IF(AND('Assemble Data'!D698&lt;&gt;"",'Assemble Data'!D698&lt;&gt;B697),1,0),1)</f>
        <v>0</v>
      </c>
      <c r="F697" s="13">
        <f ca="1">IF('Assemble Data'!E698="",0,IF(ISERROR(FIND("INDEX",_xlfn.FORMULATEXT('Assemble Data'!E698),1)),1,0)+IFERROR(IF(AND('Assemble Data'!E698&lt;&gt;C697,'Assemble Data'!E698&lt;&gt;""),1,0),1))</f>
        <v>0</v>
      </c>
      <c r="G697" s="13">
        <f ca="1">IF('Assemble Data'!F698="",0,IF(ISERROR(FIND("VLOOKUP",_xlfn.FORMULATEXT('Assemble Data'!F698),1)),1,0)+IFERROR(IF(AND('Assemble Data'!F698&lt;&gt;D697,'Assemble Data'!F698&lt;&gt;""),1,0),1))</f>
        <v>0</v>
      </c>
      <c r="H697" s="13">
        <f t="shared" si="36"/>
        <v>8</v>
      </c>
      <c r="I697" t="str">
        <f t="shared" si="37"/>
        <v>C3P10</v>
      </c>
    </row>
    <row r="698" spans="1:9">
      <c r="A698" t="str">
        <f>'Assemble Data'!B699</f>
        <v>P11</v>
      </c>
      <c r="B698" s="13">
        <f>IFERROR(SUMIF('Assemble Data'!K:K,'Assemble Data'!A699,'Assemble Data'!L:L),0)</f>
        <v>8800</v>
      </c>
      <c r="C698" s="13" t="str">
        <f>INDEX('Assemble Data'!$O$24:$O$1023,MATCH('Assemble Data'!A699,'Assemble Data'!$N$24:$N$1023,0))</f>
        <v>C3</v>
      </c>
      <c r="D698" s="13">
        <f>SUMIF('Assemble Data'!H:H,'Assemble Data'!A699,'Assemble Data'!I:I)</f>
        <v>11</v>
      </c>
      <c r="E698" s="13">
        <f>IFERROR(IF(AND('Assemble Data'!D699&lt;&gt;"",'Assemble Data'!D699&lt;&gt;B698),1,0),1)</f>
        <v>0</v>
      </c>
      <c r="F698" s="13">
        <f ca="1">IF('Assemble Data'!E699="",0,IF(ISERROR(FIND("INDEX",_xlfn.FORMULATEXT('Assemble Data'!E699),1)),1,0)+IFERROR(IF(AND('Assemble Data'!E699&lt;&gt;C698,'Assemble Data'!E699&lt;&gt;""),1,0),1))</f>
        <v>0</v>
      </c>
      <c r="G698" s="13">
        <f ca="1">IF('Assemble Data'!F699="",0,IF(ISERROR(FIND("VLOOKUP",_xlfn.FORMULATEXT('Assemble Data'!F699),1)),1,0)+IFERROR(IF(AND('Assemble Data'!F699&lt;&gt;D698,'Assemble Data'!F699&lt;&gt;""),1,0),1))</f>
        <v>0</v>
      </c>
      <c r="H698" s="13">
        <f t="shared" si="36"/>
        <v>9</v>
      </c>
      <c r="I698" t="str">
        <f t="shared" si="37"/>
        <v>C3P11</v>
      </c>
    </row>
    <row r="699" spans="1:9">
      <c r="A699" t="str">
        <f>'Assemble Data'!B700</f>
        <v>P18</v>
      </c>
      <c r="B699" s="13">
        <f>IFERROR(SUMIF('Assemble Data'!K:K,'Assemble Data'!A700,'Assemble Data'!L:L),0)</f>
        <v>4320</v>
      </c>
      <c r="C699" s="13" t="str">
        <f>INDEX('Assemble Data'!$O$24:$O$1023,MATCH('Assemble Data'!A700,'Assemble Data'!$N$24:$N$1023,0))</f>
        <v>O3</v>
      </c>
      <c r="D699" s="13">
        <f>SUMIF('Assemble Data'!H:H,'Assemble Data'!A700,'Assemble Data'!I:I)</f>
        <v>6</v>
      </c>
      <c r="E699" s="13">
        <f>IFERROR(IF(AND('Assemble Data'!D700&lt;&gt;"",'Assemble Data'!D700&lt;&gt;B699),1,0),1)</f>
        <v>0</v>
      </c>
      <c r="F699" s="13">
        <f ca="1">IF('Assemble Data'!E700="",0,IF(ISERROR(FIND("INDEX",_xlfn.FORMULATEXT('Assemble Data'!E700),1)),1,0)+IFERROR(IF(AND('Assemble Data'!E700&lt;&gt;C699,'Assemble Data'!E700&lt;&gt;""),1,0),1))</f>
        <v>0</v>
      </c>
      <c r="G699" s="13">
        <f ca="1">IF('Assemble Data'!F700="",0,IF(ISERROR(FIND("VLOOKUP",_xlfn.FORMULATEXT('Assemble Data'!F700),1)),1,0)+IFERROR(IF(AND('Assemble Data'!F700&lt;&gt;D699,'Assemble Data'!F700&lt;&gt;""),1,0),1))</f>
        <v>0</v>
      </c>
      <c r="H699" s="13">
        <f t="shared" ref="H699:H762" si="38">H682</f>
        <v>2</v>
      </c>
      <c r="I699" t="str">
        <f t="shared" si="37"/>
        <v>O3P18</v>
      </c>
    </row>
    <row r="700" spans="1:9">
      <c r="A700" t="str">
        <f>'Assemble Data'!B701</f>
        <v>P14</v>
      </c>
      <c r="B700" s="13">
        <f>IFERROR(SUMIF('Assemble Data'!K:K,'Assemble Data'!A701,'Assemble Data'!L:L),0)</f>
        <v>7200</v>
      </c>
      <c r="C700" s="13" t="str">
        <f>INDEX('Assemble Data'!$O$24:$O$1023,MATCH('Assemble Data'!A701,'Assemble Data'!$N$24:$N$1023,0))</f>
        <v>N3</v>
      </c>
      <c r="D700" s="13">
        <f>SUMIF('Assemble Data'!H:H,'Assemble Data'!A701,'Assemble Data'!I:I)</f>
        <v>8</v>
      </c>
      <c r="E700" s="13">
        <f>IFERROR(IF(AND('Assemble Data'!D701&lt;&gt;"",'Assemble Data'!D701&lt;&gt;B700),1,0),1)</f>
        <v>0</v>
      </c>
      <c r="F700" s="13">
        <f ca="1">IF('Assemble Data'!E701="",0,IF(ISERROR(FIND("INDEX",_xlfn.FORMULATEXT('Assemble Data'!E701),1)),1,0)+IFERROR(IF(AND('Assemble Data'!E701&lt;&gt;C700,'Assemble Data'!E701&lt;&gt;""),1,0),1))</f>
        <v>0</v>
      </c>
      <c r="G700" s="13">
        <f ca="1">IF('Assemble Data'!F701="",0,IF(ISERROR(FIND("VLOOKUP",_xlfn.FORMULATEXT('Assemble Data'!F701),1)),1,0)+IFERROR(IF(AND('Assemble Data'!F701&lt;&gt;D700,'Assemble Data'!F701&lt;&gt;""),1,0),1))</f>
        <v>0</v>
      </c>
      <c r="H700" s="13">
        <f t="shared" si="38"/>
        <v>5</v>
      </c>
      <c r="I700" t="str">
        <f t="shared" si="37"/>
        <v>N3P14</v>
      </c>
    </row>
    <row r="701" spans="1:9">
      <c r="A701" t="str">
        <f>'Assemble Data'!B702</f>
        <v>P10</v>
      </c>
      <c r="B701" s="13">
        <f>IFERROR(SUMIF('Assemble Data'!K:K,'Assemble Data'!A702,'Assemble Data'!L:L),0)</f>
        <v>1920</v>
      </c>
      <c r="C701" s="13" t="str">
        <f>INDEX('Assemble Data'!$O$24:$O$1023,MATCH('Assemble Data'!A702,'Assemble Data'!$N$24:$N$1023,0))</f>
        <v>C3</v>
      </c>
      <c r="D701" s="13">
        <f>SUMIF('Assemble Data'!H:H,'Assemble Data'!A702,'Assemble Data'!I:I)</f>
        <v>3</v>
      </c>
      <c r="E701" s="13">
        <f>IFERROR(IF(AND('Assemble Data'!D702&lt;&gt;"",'Assemble Data'!D702&lt;&gt;B701),1,0),1)</f>
        <v>0</v>
      </c>
      <c r="F701" s="13">
        <f ca="1">IF('Assemble Data'!E702="",0,IF(ISERROR(FIND("INDEX",_xlfn.FORMULATEXT('Assemble Data'!E702),1)),1,0)+IFERROR(IF(AND('Assemble Data'!E702&lt;&gt;C701,'Assemble Data'!E702&lt;&gt;""),1,0),1))</f>
        <v>0</v>
      </c>
      <c r="G701" s="13">
        <f ca="1">IF('Assemble Data'!F702="",0,IF(ISERROR(FIND("VLOOKUP",_xlfn.FORMULATEXT('Assemble Data'!F702),1)),1,0)+IFERROR(IF(AND('Assemble Data'!F702&lt;&gt;D701,'Assemble Data'!F702&lt;&gt;""),1,0),1))</f>
        <v>0</v>
      </c>
      <c r="H701" s="13">
        <f t="shared" si="38"/>
        <v>8</v>
      </c>
      <c r="I701" t="str">
        <f t="shared" si="37"/>
        <v>C3P10</v>
      </c>
    </row>
    <row r="702" spans="1:9">
      <c r="A702" t="str">
        <f>'Assemble Data'!B703</f>
        <v>P13</v>
      </c>
      <c r="B702" s="13">
        <f>IFERROR(SUMIF('Assemble Data'!K:K,'Assemble Data'!A703,'Assemble Data'!L:L),0)</f>
        <v>3600</v>
      </c>
      <c r="C702" s="13" t="str">
        <f>INDEX('Assemble Data'!$O$24:$O$1023,MATCH('Assemble Data'!A703,'Assemble Data'!$N$24:$N$1023,0))</f>
        <v>C3</v>
      </c>
      <c r="D702" s="13">
        <f>SUMIF('Assemble Data'!H:H,'Assemble Data'!A703,'Assemble Data'!I:I)</f>
        <v>5</v>
      </c>
      <c r="E702" s="13">
        <f>IFERROR(IF(AND('Assemble Data'!D703&lt;&gt;"",'Assemble Data'!D703&lt;&gt;B702),1,0),1)</f>
        <v>0</v>
      </c>
      <c r="F702" s="13">
        <f ca="1">IF('Assemble Data'!E703="",0,IF(ISERROR(FIND("INDEX",_xlfn.FORMULATEXT('Assemble Data'!E703),1)),1,0)+IFERROR(IF(AND('Assemble Data'!E703&lt;&gt;C702,'Assemble Data'!E703&lt;&gt;""),1,0),1))</f>
        <v>0</v>
      </c>
      <c r="G702" s="13">
        <f ca="1">IF('Assemble Data'!F703="",0,IF(ISERROR(FIND("VLOOKUP",_xlfn.FORMULATEXT('Assemble Data'!F703),1)),1,0)+IFERROR(IF(AND('Assemble Data'!F703&lt;&gt;D702,'Assemble Data'!F703&lt;&gt;""),1,0),1))</f>
        <v>0</v>
      </c>
      <c r="H702" s="13">
        <f t="shared" si="38"/>
        <v>3</v>
      </c>
      <c r="I702" t="str">
        <f t="shared" si="37"/>
        <v>C3P13</v>
      </c>
    </row>
    <row r="703" spans="1:9">
      <c r="A703" t="str">
        <f>'Assemble Data'!B704</f>
        <v>P13</v>
      </c>
      <c r="B703" s="13">
        <f>IFERROR(SUMIF('Assemble Data'!K:K,'Assemble Data'!A704,'Assemble Data'!L:L),0)</f>
        <v>3600</v>
      </c>
      <c r="C703" s="13" t="str">
        <f>INDEX('Assemble Data'!$O$24:$O$1023,MATCH('Assemble Data'!A704,'Assemble Data'!$N$24:$N$1023,0))</f>
        <v>C3</v>
      </c>
      <c r="D703" s="13">
        <f>SUMIF('Assemble Data'!H:H,'Assemble Data'!A704,'Assemble Data'!I:I)</f>
        <v>5</v>
      </c>
      <c r="E703" s="13">
        <f>IFERROR(IF(AND('Assemble Data'!D704&lt;&gt;"",'Assemble Data'!D704&lt;&gt;B703),1,0),1)</f>
        <v>0</v>
      </c>
      <c r="F703" s="13">
        <f ca="1">IF('Assemble Data'!E704="",0,IF(ISERROR(FIND("INDEX",_xlfn.FORMULATEXT('Assemble Data'!E704),1)),1,0)+IFERROR(IF(AND('Assemble Data'!E704&lt;&gt;C703,'Assemble Data'!E704&lt;&gt;""),1,0),1))</f>
        <v>0</v>
      </c>
      <c r="G703" s="13">
        <f ca="1">IF('Assemble Data'!F704="",0,IF(ISERROR(FIND("VLOOKUP",_xlfn.FORMULATEXT('Assemble Data'!F704),1)),1,0)+IFERROR(IF(AND('Assemble Data'!F704&lt;&gt;D703,'Assemble Data'!F704&lt;&gt;""),1,0),1))</f>
        <v>0</v>
      </c>
      <c r="H703" s="13">
        <f t="shared" si="38"/>
        <v>3</v>
      </c>
      <c r="I703" t="str">
        <f t="shared" si="37"/>
        <v>C3P13</v>
      </c>
    </row>
    <row r="704" spans="1:9">
      <c r="A704" t="str">
        <f>'Assemble Data'!B705</f>
        <v>P10</v>
      </c>
      <c r="B704" s="13">
        <f>IFERROR(SUMIF('Assemble Data'!K:K,'Assemble Data'!A705,'Assemble Data'!L:L),0)</f>
        <v>1920</v>
      </c>
      <c r="C704" s="13" t="str">
        <f>INDEX('Assemble Data'!$O$24:$O$1023,MATCH('Assemble Data'!A705,'Assemble Data'!$N$24:$N$1023,0))</f>
        <v>C3</v>
      </c>
      <c r="D704" s="13">
        <f>SUMIF('Assemble Data'!H:H,'Assemble Data'!A705,'Assemble Data'!I:I)</f>
        <v>3</v>
      </c>
      <c r="E704" s="13">
        <f>IFERROR(IF(AND('Assemble Data'!D705&lt;&gt;"",'Assemble Data'!D705&lt;&gt;B704),1,0),1)</f>
        <v>0</v>
      </c>
      <c r="F704" s="13">
        <f ca="1">IF('Assemble Data'!E705="",0,IF(ISERROR(FIND("INDEX",_xlfn.FORMULATEXT('Assemble Data'!E705),1)),1,0)+IFERROR(IF(AND('Assemble Data'!E705&lt;&gt;C704,'Assemble Data'!E705&lt;&gt;""),1,0),1))</f>
        <v>0</v>
      </c>
      <c r="G704" s="13">
        <f ca="1">IF('Assemble Data'!F705="",0,IF(ISERROR(FIND("VLOOKUP",_xlfn.FORMULATEXT('Assemble Data'!F705),1)),1,0)+IFERROR(IF(AND('Assemble Data'!F705&lt;&gt;D704,'Assemble Data'!F705&lt;&gt;""),1,0),1))</f>
        <v>0</v>
      </c>
      <c r="H704" s="13">
        <f t="shared" si="38"/>
        <v>8</v>
      </c>
      <c r="I704" t="str">
        <f t="shared" si="37"/>
        <v>C3P10</v>
      </c>
    </row>
    <row r="705" spans="1:9">
      <c r="A705" t="str">
        <f>'Assemble Data'!B706</f>
        <v>P11</v>
      </c>
      <c r="B705" s="13">
        <f>IFERROR(SUMIF('Assemble Data'!K:K,'Assemble Data'!A706,'Assemble Data'!L:L),0)</f>
        <v>8800</v>
      </c>
      <c r="C705" s="13" t="str">
        <f>INDEX('Assemble Data'!$O$24:$O$1023,MATCH('Assemble Data'!A706,'Assemble Data'!$N$24:$N$1023,0))</f>
        <v>C3</v>
      </c>
      <c r="D705" s="13">
        <f>SUMIF('Assemble Data'!H:H,'Assemble Data'!A706,'Assemble Data'!I:I)</f>
        <v>11</v>
      </c>
      <c r="E705" s="13">
        <f>IFERROR(IF(AND('Assemble Data'!D706&lt;&gt;"",'Assemble Data'!D706&lt;&gt;B705),1,0),1)</f>
        <v>0</v>
      </c>
      <c r="F705" s="13">
        <f ca="1">IF('Assemble Data'!E706="",0,IF(ISERROR(FIND("INDEX",_xlfn.FORMULATEXT('Assemble Data'!E706),1)),1,0)+IFERROR(IF(AND('Assemble Data'!E706&lt;&gt;C705,'Assemble Data'!E706&lt;&gt;""),1,0),1))</f>
        <v>0</v>
      </c>
      <c r="G705" s="13">
        <f ca="1">IF('Assemble Data'!F706="",0,IF(ISERROR(FIND("VLOOKUP",_xlfn.FORMULATEXT('Assemble Data'!F706),1)),1,0)+IFERROR(IF(AND('Assemble Data'!F706&lt;&gt;D705,'Assemble Data'!F706&lt;&gt;""),1,0),1))</f>
        <v>0</v>
      </c>
      <c r="H705" s="13">
        <f t="shared" si="38"/>
        <v>9</v>
      </c>
      <c r="I705" t="str">
        <f t="shared" si="37"/>
        <v>C3P11</v>
      </c>
    </row>
    <row r="706" spans="1:9">
      <c r="A706" t="str">
        <f>'Assemble Data'!B707</f>
        <v>P16</v>
      </c>
      <c r="B706" s="13">
        <f>IFERROR(SUMIF('Assemble Data'!K:K,'Assemble Data'!A707,'Assemble Data'!L:L),0)</f>
        <v>5200</v>
      </c>
      <c r="C706" s="13" t="str">
        <f>INDEX('Assemble Data'!$O$24:$O$1023,MATCH('Assemble Data'!A707,'Assemble Data'!$N$24:$N$1023,0))</f>
        <v>N3</v>
      </c>
      <c r="D706" s="13">
        <f>SUMIF('Assemble Data'!H:H,'Assemble Data'!A707,'Assemble Data'!I:I)</f>
        <v>4</v>
      </c>
      <c r="E706" s="13">
        <f>IFERROR(IF(AND('Assemble Data'!D707&lt;&gt;"",'Assemble Data'!D707&lt;&gt;B706),1,0),1)</f>
        <v>0</v>
      </c>
      <c r="F706" s="13">
        <f ca="1">IF('Assemble Data'!E707="",0,IF(ISERROR(FIND("INDEX",_xlfn.FORMULATEXT('Assemble Data'!E707),1)),1,0)+IFERROR(IF(AND('Assemble Data'!E707&lt;&gt;C706,'Assemble Data'!E707&lt;&gt;""),1,0),1))</f>
        <v>0</v>
      </c>
      <c r="G706" s="13">
        <f ca="1">IF('Assemble Data'!F707="",0,IF(ISERROR(FIND("VLOOKUP",_xlfn.FORMULATEXT('Assemble Data'!F707),1)),1,0)+IFERROR(IF(AND('Assemble Data'!F707&lt;&gt;D706,'Assemble Data'!F707&lt;&gt;""),1,0),1))</f>
        <v>0</v>
      </c>
      <c r="H706" s="13">
        <f t="shared" si="38"/>
        <v>0</v>
      </c>
      <c r="I706" t="str">
        <f t="shared" si="37"/>
        <v>N3P16</v>
      </c>
    </row>
    <row r="707" spans="1:9">
      <c r="A707" t="str">
        <f>'Assemble Data'!B708</f>
        <v>P17</v>
      </c>
      <c r="B707" s="13">
        <f>IFERROR(SUMIF('Assemble Data'!K:K,'Assemble Data'!A708,'Assemble Data'!L:L),0)</f>
        <v>9600</v>
      </c>
      <c r="C707" s="13" t="str">
        <f>INDEX('Assemble Data'!$O$24:$O$1023,MATCH('Assemble Data'!A708,'Assemble Data'!$N$24:$N$1023,0))</f>
        <v>O3</v>
      </c>
      <c r="D707" s="13">
        <f>SUMIF('Assemble Data'!H:H,'Assemble Data'!A708,'Assemble Data'!I:I)</f>
        <v>12</v>
      </c>
      <c r="E707" s="13">
        <f>IFERROR(IF(AND('Assemble Data'!D708&lt;&gt;"",'Assemble Data'!D708&lt;&gt;B707),1,0),1)</f>
        <v>0</v>
      </c>
      <c r="F707" s="13">
        <f ca="1">IF('Assemble Data'!E708="",0,IF(ISERROR(FIND("INDEX",_xlfn.FORMULATEXT('Assemble Data'!E708),1)),1,0)+IFERROR(IF(AND('Assemble Data'!E708&lt;&gt;C707,'Assemble Data'!E708&lt;&gt;""),1,0),1))</f>
        <v>0</v>
      </c>
      <c r="G707" s="13">
        <f ca="1">IF('Assemble Data'!F708="",0,IF(ISERROR(FIND("VLOOKUP",_xlfn.FORMULATEXT('Assemble Data'!F708),1)),1,0)+IFERROR(IF(AND('Assemble Data'!F708&lt;&gt;D707,'Assemble Data'!F708&lt;&gt;""),1,0),1))</f>
        <v>0</v>
      </c>
      <c r="H707" s="13">
        <f t="shared" si="38"/>
        <v>6</v>
      </c>
      <c r="I707" t="str">
        <f t="shared" si="37"/>
        <v>O3P17</v>
      </c>
    </row>
    <row r="708" spans="1:9">
      <c r="A708" t="str">
        <f>'Assemble Data'!B709</f>
        <v>P17</v>
      </c>
      <c r="B708" s="13">
        <f>IFERROR(SUMIF('Assemble Data'!K:K,'Assemble Data'!A709,'Assemble Data'!L:L),0)</f>
        <v>9600</v>
      </c>
      <c r="C708" s="13" t="str">
        <f>INDEX('Assemble Data'!$O$24:$O$1023,MATCH('Assemble Data'!A709,'Assemble Data'!$N$24:$N$1023,0))</f>
        <v>O3</v>
      </c>
      <c r="D708" s="13">
        <f>SUMIF('Assemble Data'!H:H,'Assemble Data'!A709,'Assemble Data'!I:I)</f>
        <v>12</v>
      </c>
      <c r="E708" s="13">
        <f>IFERROR(IF(AND('Assemble Data'!D709&lt;&gt;"",'Assemble Data'!D709&lt;&gt;B708),1,0),1)</f>
        <v>0</v>
      </c>
      <c r="F708" s="13">
        <f ca="1">IF('Assemble Data'!E709="",0,IF(ISERROR(FIND("INDEX",_xlfn.FORMULATEXT('Assemble Data'!E709),1)),1,0)+IFERROR(IF(AND('Assemble Data'!E709&lt;&gt;C708,'Assemble Data'!E709&lt;&gt;""),1,0),1))</f>
        <v>0</v>
      </c>
      <c r="G708" s="13">
        <f ca="1">IF('Assemble Data'!F709="",0,IF(ISERROR(FIND("VLOOKUP",_xlfn.FORMULATEXT('Assemble Data'!F709),1)),1,0)+IFERROR(IF(AND('Assemble Data'!F709&lt;&gt;D708,'Assemble Data'!F709&lt;&gt;""),1,0),1))</f>
        <v>0</v>
      </c>
      <c r="H708" s="13">
        <f t="shared" si="38"/>
        <v>6</v>
      </c>
      <c r="I708" t="str">
        <f t="shared" si="37"/>
        <v>O3P17</v>
      </c>
    </row>
    <row r="709" spans="1:9">
      <c r="A709" t="str">
        <f>'Assemble Data'!B710</f>
        <v>P13</v>
      </c>
      <c r="B709" s="13">
        <f>IFERROR(SUMIF('Assemble Data'!K:K,'Assemble Data'!A710,'Assemble Data'!L:L),0)</f>
        <v>3600</v>
      </c>
      <c r="C709" s="13" t="str">
        <f>INDEX('Assemble Data'!$O$24:$O$1023,MATCH('Assemble Data'!A710,'Assemble Data'!$N$24:$N$1023,0))</f>
        <v>C3</v>
      </c>
      <c r="D709" s="13">
        <f>SUMIF('Assemble Data'!H:H,'Assemble Data'!A710,'Assemble Data'!I:I)</f>
        <v>5</v>
      </c>
      <c r="E709" s="13">
        <f>IFERROR(IF(AND('Assemble Data'!D710&lt;&gt;"",'Assemble Data'!D710&lt;&gt;B709),1,0),1)</f>
        <v>0</v>
      </c>
      <c r="F709" s="13">
        <f ca="1">IF('Assemble Data'!E710="",0,IF(ISERROR(FIND("INDEX",_xlfn.FORMULATEXT('Assemble Data'!E710),1)),1,0)+IFERROR(IF(AND('Assemble Data'!E710&lt;&gt;C709,'Assemble Data'!E710&lt;&gt;""),1,0),1))</f>
        <v>0</v>
      </c>
      <c r="G709" s="13">
        <f ca="1">IF('Assemble Data'!F710="",0,IF(ISERROR(FIND("VLOOKUP",_xlfn.FORMULATEXT('Assemble Data'!F710),1)),1,0)+IFERROR(IF(AND('Assemble Data'!F710&lt;&gt;D709,'Assemble Data'!F710&lt;&gt;""),1,0),1))</f>
        <v>0</v>
      </c>
      <c r="H709" s="13">
        <f t="shared" si="38"/>
        <v>3</v>
      </c>
      <c r="I709" t="str">
        <f t="shared" si="37"/>
        <v>C3P13</v>
      </c>
    </row>
    <row r="710" spans="1:9">
      <c r="A710" t="str">
        <f>'Assemble Data'!B711</f>
        <v>P11</v>
      </c>
      <c r="B710" s="13">
        <f>IFERROR(SUMIF('Assemble Data'!K:K,'Assemble Data'!A711,'Assemble Data'!L:L),0)</f>
        <v>8800</v>
      </c>
      <c r="C710" s="13" t="str">
        <f>INDEX('Assemble Data'!$O$24:$O$1023,MATCH('Assemble Data'!A711,'Assemble Data'!$N$24:$N$1023,0))</f>
        <v>C3</v>
      </c>
      <c r="D710" s="13">
        <f>SUMIF('Assemble Data'!H:H,'Assemble Data'!A711,'Assemble Data'!I:I)</f>
        <v>11</v>
      </c>
      <c r="E710" s="13">
        <f>IFERROR(IF(AND('Assemble Data'!D711&lt;&gt;"",'Assemble Data'!D711&lt;&gt;B710),1,0),1)</f>
        <v>0</v>
      </c>
      <c r="F710" s="13">
        <f ca="1">IF('Assemble Data'!E711="",0,IF(ISERROR(FIND("INDEX",_xlfn.FORMULATEXT('Assemble Data'!E711),1)),1,0)+IFERROR(IF(AND('Assemble Data'!E711&lt;&gt;C710,'Assemble Data'!E711&lt;&gt;""),1,0),1))</f>
        <v>0</v>
      </c>
      <c r="G710" s="13">
        <f ca="1">IF('Assemble Data'!F711="",0,IF(ISERROR(FIND("VLOOKUP",_xlfn.FORMULATEXT('Assemble Data'!F711),1)),1,0)+IFERROR(IF(AND('Assemble Data'!F711&lt;&gt;D710,'Assemble Data'!F711&lt;&gt;""),1,0),1))</f>
        <v>0</v>
      </c>
      <c r="H710" s="13">
        <f t="shared" si="38"/>
        <v>9</v>
      </c>
      <c r="I710" t="str">
        <f t="shared" si="37"/>
        <v>C3P11</v>
      </c>
    </row>
    <row r="711" spans="1:9">
      <c r="A711" t="str">
        <f>'Assemble Data'!B712</f>
        <v>P11</v>
      </c>
      <c r="B711" s="13">
        <f>IFERROR(SUMIF('Assemble Data'!K:K,'Assemble Data'!A712,'Assemble Data'!L:L),0)</f>
        <v>8800</v>
      </c>
      <c r="C711" s="13" t="str">
        <f>INDEX('Assemble Data'!$O$24:$O$1023,MATCH('Assemble Data'!A712,'Assemble Data'!$N$24:$N$1023,0))</f>
        <v>C3</v>
      </c>
      <c r="D711" s="13">
        <f>SUMIF('Assemble Data'!H:H,'Assemble Data'!A712,'Assemble Data'!I:I)</f>
        <v>11</v>
      </c>
      <c r="E711" s="13">
        <f>IFERROR(IF(AND('Assemble Data'!D712&lt;&gt;"",'Assemble Data'!D712&lt;&gt;B711),1,0),1)</f>
        <v>0</v>
      </c>
      <c r="F711" s="13">
        <f ca="1">IF('Assemble Data'!E712="",0,IF(ISERROR(FIND("INDEX",_xlfn.FORMULATEXT('Assemble Data'!E712),1)),1,0)+IFERROR(IF(AND('Assemble Data'!E712&lt;&gt;C711,'Assemble Data'!E712&lt;&gt;""),1,0),1))</f>
        <v>0</v>
      </c>
      <c r="G711" s="13">
        <f ca="1">IF('Assemble Data'!F712="",0,IF(ISERROR(FIND("VLOOKUP",_xlfn.FORMULATEXT('Assemble Data'!F712),1)),1,0)+IFERROR(IF(AND('Assemble Data'!F712&lt;&gt;D711,'Assemble Data'!F712&lt;&gt;""),1,0),1))</f>
        <v>0</v>
      </c>
      <c r="H711" s="13">
        <f t="shared" si="38"/>
        <v>9</v>
      </c>
      <c r="I711" t="str">
        <f t="shared" si="37"/>
        <v>C3P11</v>
      </c>
    </row>
    <row r="712" spans="1:9">
      <c r="A712" t="str">
        <f>'Assemble Data'!B713</f>
        <v>P12</v>
      </c>
      <c r="B712" s="13">
        <f>IFERROR(SUMIF('Assemble Data'!K:K,'Assemble Data'!A713,'Assemble Data'!L:L),0)</f>
        <v>5460</v>
      </c>
      <c r="C712" s="13" t="str">
        <f>INDEX('Assemble Data'!$O$24:$O$1023,MATCH('Assemble Data'!A713,'Assemble Data'!$N$24:$N$1023,0))</f>
        <v>C3</v>
      </c>
      <c r="D712" s="13">
        <f>SUMIF('Assemble Data'!H:H,'Assemble Data'!A713,'Assemble Data'!I:I)</f>
        <v>6.5</v>
      </c>
      <c r="E712" s="13">
        <f>IFERROR(IF(AND('Assemble Data'!D713&lt;&gt;"",'Assemble Data'!D713&lt;&gt;B712),1,0),1)</f>
        <v>0</v>
      </c>
      <c r="F712" s="13">
        <f ca="1">IF('Assemble Data'!E713="",0,IF(ISERROR(FIND("INDEX",_xlfn.FORMULATEXT('Assemble Data'!E713),1)),1,0)+IFERROR(IF(AND('Assemble Data'!E713&lt;&gt;C712,'Assemble Data'!E713&lt;&gt;""),1,0),1))</f>
        <v>0</v>
      </c>
      <c r="G712" s="13">
        <f ca="1">IF('Assemble Data'!F713="",0,IF(ISERROR(FIND("VLOOKUP",_xlfn.FORMULATEXT('Assemble Data'!F713),1)),1,0)+IFERROR(IF(AND('Assemble Data'!F713&lt;&gt;D712,'Assemble Data'!F713&lt;&gt;""),1,0),1))</f>
        <v>0</v>
      </c>
      <c r="H712" s="13">
        <f t="shared" si="38"/>
        <v>7</v>
      </c>
      <c r="I712" t="str">
        <f t="shared" si="37"/>
        <v>C3P12</v>
      </c>
    </row>
    <row r="713" spans="1:9">
      <c r="A713" t="str">
        <f>'Assemble Data'!B714</f>
        <v>P10</v>
      </c>
      <c r="B713" s="13">
        <f>IFERROR(SUMIF('Assemble Data'!K:K,'Assemble Data'!A714,'Assemble Data'!L:L),0)</f>
        <v>1920</v>
      </c>
      <c r="C713" s="13" t="str">
        <f>INDEX('Assemble Data'!$O$24:$O$1023,MATCH('Assemble Data'!A714,'Assemble Data'!$N$24:$N$1023,0))</f>
        <v>C3</v>
      </c>
      <c r="D713" s="13">
        <f>SUMIF('Assemble Data'!H:H,'Assemble Data'!A714,'Assemble Data'!I:I)</f>
        <v>3</v>
      </c>
      <c r="E713" s="13">
        <f>IFERROR(IF(AND('Assemble Data'!D714&lt;&gt;"",'Assemble Data'!D714&lt;&gt;B713),1,0),1)</f>
        <v>0</v>
      </c>
      <c r="F713" s="13">
        <f ca="1">IF('Assemble Data'!E714="",0,IF(ISERROR(FIND("INDEX",_xlfn.FORMULATEXT('Assemble Data'!E714),1)),1,0)+IFERROR(IF(AND('Assemble Data'!E714&lt;&gt;C713,'Assemble Data'!E714&lt;&gt;""),1,0),1))</f>
        <v>0</v>
      </c>
      <c r="G713" s="13">
        <f ca="1">IF('Assemble Data'!F714="",0,IF(ISERROR(FIND("VLOOKUP",_xlfn.FORMULATEXT('Assemble Data'!F714),1)),1,0)+IFERROR(IF(AND('Assemble Data'!F714&lt;&gt;D713,'Assemble Data'!F714&lt;&gt;""),1,0),1))</f>
        <v>0</v>
      </c>
      <c r="H713" s="13">
        <f t="shared" si="38"/>
        <v>8</v>
      </c>
      <c r="I713" t="str">
        <f t="shared" si="37"/>
        <v>C3P10</v>
      </c>
    </row>
    <row r="714" spans="1:9">
      <c r="A714" t="str">
        <f>'Assemble Data'!B715</f>
        <v>P10</v>
      </c>
      <c r="B714" s="13">
        <f>IFERROR(SUMIF('Assemble Data'!K:K,'Assemble Data'!A715,'Assemble Data'!L:L),0)</f>
        <v>1920</v>
      </c>
      <c r="C714" s="13" t="str">
        <f>INDEX('Assemble Data'!$O$24:$O$1023,MATCH('Assemble Data'!A715,'Assemble Data'!$N$24:$N$1023,0))</f>
        <v>C3</v>
      </c>
      <c r="D714" s="13">
        <f>SUMIF('Assemble Data'!H:H,'Assemble Data'!A715,'Assemble Data'!I:I)</f>
        <v>3</v>
      </c>
      <c r="E714" s="13">
        <f>IFERROR(IF(AND('Assemble Data'!D715&lt;&gt;"",'Assemble Data'!D715&lt;&gt;B714),1,0),1)</f>
        <v>0</v>
      </c>
      <c r="F714" s="13">
        <f ca="1">IF('Assemble Data'!E715="",0,IF(ISERROR(FIND("INDEX",_xlfn.FORMULATEXT('Assemble Data'!E715),1)),1,0)+IFERROR(IF(AND('Assemble Data'!E715&lt;&gt;C714,'Assemble Data'!E715&lt;&gt;""),1,0),1))</f>
        <v>0</v>
      </c>
      <c r="G714" s="13">
        <f ca="1">IF('Assemble Data'!F715="",0,IF(ISERROR(FIND("VLOOKUP",_xlfn.FORMULATEXT('Assemble Data'!F715),1)),1,0)+IFERROR(IF(AND('Assemble Data'!F715&lt;&gt;D714,'Assemble Data'!F715&lt;&gt;""),1,0),1))</f>
        <v>0</v>
      </c>
      <c r="H714" s="13">
        <f t="shared" si="38"/>
        <v>8</v>
      </c>
      <c r="I714" t="str">
        <f t="shared" si="37"/>
        <v>C3P10</v>
      </c>
    </row>
    <row r="715" spans="1:9">
      <c r="A715" t="str">
        <f>'Assemble Data'!B716</f>
        <v>P11</v>
      </c>
      <c r="B715" s="13">
        <f>IFERROR(SUMIF('Assemble Data'!K:K,'Assemble Data'!A716,'Assemble Data'!L:L),0)</f>
        <v>8800</v>
      </c>
      <c r="C715" s="13" t="str">
        <f>INDEX('Assemble Data'!$O$24:$O$1023,MATCH('Assemble Data'!A716,'Assemble Data'!$N$24:$N$1023,0))</f>
        <v>C3</v>
      </c>
      <c r="D715" s="13">
        <f>SUMIF('Assemble Data'!H:H,'Assemble Data'!A716,'Assemble Data'!I:I)</f>
        <v>11</v>
      </c>
      <c r="E715" s="13">
        <f>IFERROR(IF(AND('Assemble Data'!D716&lt;&gt;"",'Assemble Data'!D716&lt;&gt;B715),1,0),1)</f>
        <v>0</v>
      </c>
      <c r="F715" s="13">
        <f ca="1">IF('Assemble Data'!E716="",0,IF(ISERROR(FIND("INDEX",_xlfn.FORMULATEXT('Assemble Data'!E716),1)),1,0)+IFERROR(IF(AND('Assemble Data'!E716&lt;&gt;C715,'Assemble Data'!E716&lt;&gt;""),1,0),1))</f>
        <v>0</v>
      </c>
      <c r="G715" s="13">
        <f ca="1">IF('Assemble Data'!F716="",0,IF(ISERROR(FIND("VLOOKUP",_xlfn.FORMULATEXT('Assemble Data'!F716),1)),1,0)+IFERROR(IF(AND('Assemble Data'!F716&lt;&gt;D715,'Assemble Data'!F716&lt;&gt;""),1,0),1))</f>
        <v>0</v>
      </c>
      <c r="H715" s="13">
        <f t="shared" si="38"/>
        <v>9</v>
      </c>
      <c r="I715" t="str">
        <f t="shared" si="37"/>
        <v>C3P11</v>
      </c>
    </row>
    <row r="716" spans="1:9">
      <c r="A716" t="str">
        <f>'Assemble Data'!B717</f>
        <v>P18</v>
      </c>
      <c r="B716" s="13">
        <f>IFERROR(SUMIF('Assemble Data'!K:K,'Assemble Data'!A717,'Assemble Data'!L:L),0)</f>
        <v>8640</v>
      </c>
      <c r="C716" s="13" t="str">
        <f>INDEX('Assemble Data'!$O$24:$O$1023,MATCH('Assemble Data'!A717,'Assemble Data'!$N$24:$N$1023,0))</f>
        <v>O3</v>
      </c>
      <c r="D716" s="13">
        <f>SUMIF('Assemble Data'!H:H,'Assemble Data'!A717,'Assemble Data'!I:I)</f>
        <v>6</v>
      </c>
      <c r="E716" s="13">
        <f>IFERROR(IF(AND('Assemble Data'!D717&lt;&gt;"",'Assemble Data'!D717&lt;&gt;B716),1,0),1)</f>
        <v>0</v>
      </c>
      <c r="F716" s="13">
        <f ca="1">IF('Assemble Data'!E717="",0,IF(ISERROR(FIND("INDEX",_xlfn.FORMULATEXT('Assemble Data'!E717),1)),1,0)+IFERROR(IF(AND('Assemble Data'!E717&lt;&gt;C716,'Assemble Data'!E717&lt;&gt;""),1,0),1))</f>
        <v>0</v>
      </c>
      <c r="G716" s="13">
        <f ca="1">IF('Assemble Data'!F717="",0,IF(ISERROR(FIND("VLOOKUP",_xlfn.FORMULATEXT('Assemble Data'!F717),1)),1,0)+IFERROR(IF(AND('Assemble Data'!F717&lt;&gt;D716,'Assemble Data'!F717&lt;&gt;""),1,0),1))</f>
        <v>0</v>
      </c>
      <c r="H716" s="13">
        <f t="shared" si="38"/>
        <v>2</v>
      </c>
      <c r="I716" t="str">
        <f t="shared" si="37"/>
        <v>O3P18</v>
      </c>
    </row>
    <row r="717" spans="1:9">
      <c r="A717" t="str">
        <f>'Assemble Data'!B718</f>
        <v>P14</v>
      </c>
      <c r="B717" s="13">
        <f>IFERROR(SUMIF('Assemble Data'!K:K,'Assemble Data'!A718,'Assemble Data'!L:L),0)</f>
        <v>7200</v>
      </c>
      <c r="C717" s="13" t="str">
        <f>INDEX('Assemble Data'!$O$24:$O$1023,MATCH('Assemble Data'!A718,'Assemble Data'!$N$24:$N$1023,0))</f>
        <v>N3</v>
      </c>
      <c r="D717" s="13">
        <f>SUMIF('Assemble Data'!H:H,'Assemble Data'!A718,'Assemble Data'!I:I)</f>
        <v>8</v>
      </c>
      <c r="E717" s="13">
        <f>IFERROR(IF(AND('Assemble Data'!D718&lt;&gt;"",'Assemble Data'!D718&lt;&gt;B717),1,0),1)</f>
        <v>0</v>
      </c>
      <c r="F717" s="13">
        <f ca="1">IF('Assemble Data'!E718="",0,IF(ISERROR(FIND("INDEX",_xlfn.FORMULATEXT('Assemble Data'!E718),1)),1,0)+IFERROR(IF(AND('Assemble Data'!E718&lt;&gt;C717,'Assemble Data'!E718&lt;&gt;""),1,0),1))</f>
        <v>0</v>
      </c>
      <c r="G717" s="13">
        <f ca="1">IF('Assemble Data'!F718="",0,IF(ISERROR(FIND("VLOOKUP",_xlfn.FORMULATEXT('Assemble Data'!F718),1)),1,0)+IFERROR(IF(AND('Assemble Data'!F718&lt;&gt;D717,'Assemble Data'!F718&lt;&gt;""),1,0),1))</f>
        <v>0</v>
      </c>
      <c r="H717" s="13">
        <f t="shared" si="38"/>
        <v>5</v>
      </c>
      <c r="I717" t="str">
        <f t="shared" si="37"/>
        <v>N3P14</v>
      </c>
    </row>
    <row r="718" spans="1:9">
      <c r="A718" t="str">
        <f>'Assemble Data'!B719</f>
        <v>P10</v>
      </c>
      <c r="B718" s="13">
        <f>IFERROR(SUMIF('Assemble Data'!K:K,'Assemble Data'!A719,'Assemble Data'!L:L),0)</f>
        <v>1920</v>
      </c>
      <c r="C718" s="13" t="str">
        <f>INDEX('Assemble Data'!$O$24:$O$1023,MATCH('Assemble Data'!A719,'Assemble Data'!$N$24:$N$1023,0))</f>
        <v>C3</v>
      </c>
      <c r="D718" s="13">
        <f>SUMIF('Assemble Data'!H:H,'Assemble Data'!A719,'Assemble Data'!I:I)</f>
        <v>3</v>
      </c>
      <c r="E718" s="13">
        <f>IFERROR(IF(AND('Assemble Data'!D719&lt;&gt;"",'Assemble Data'!D719&lt;&gt;B718),1,0),1)</f>
        <v>0</v>
      </c>
      <c r="F718" s="13">
        <f ca="1">IF('Assemble Data'!E719="",0,IF(ISERROR(FIND("INDEX",_xlfn.FORMULATEXT('Assemble Data'!E719),1)),1,0)+IFERROR(IF(AND('Assemble Data'!E719&lt;&gt;C718,'Assemble Data'!E719&lt;&gt;""),1,0),1))</f>
        <v>0</v>
      </c>
      <c r="G718" s="13">
        <f ca="1">IF('Assemble Data'!F719="",0,IF(ISERROR(FIND("VLOOKUP",_xlfn.FORMULATEXT('Assemble Data'!F719),1)),1,0)+IFERROR(IF(AND('Assemble Data'!F719&lt;&gt;D718,'Assemble Data'!F719&lt;&gt;""),1,0),1))</f>
        <v>0</v>
      </c>
      <c r="H718" s="13">
        <f t="shared" si="38"/>
        <v>8</v>
      </c>
      <c r="I718" t="str">
        <f t="shared" si="37"/>
        <v>C3P10</v>
      </c>
    </row>
    <row r="719" spans="1:9">
      <c r="A719" t="str">
        <f>'Assemble Data'!B720</f>
        <v>P13</v>
      </c>
      <c r="B719" s="13">
        <f>IFERROR(SUMIF('Assemble Data'!K:K,'Assemble Data'!A720,'Assemble Data'!L:L),0)</f>
        <v>3600</v>
      </c>
      <c r="C719" s="13" t="str">
        <f>INDEX('Assemble Data'!$O$24:$O$1023,MATCH('Assemble Data'!A720,'Assemble Data'!$N$24:$N$1023,0))</f>
        <v>C3</v>
      </c>
      <c r="D719" s="13">
        <f>SUMIF('Assemble Data'!H:H,'Assemble Data'!A720,'Assemble Data'!I:I)</f>
        <v>5</v>
      </c>
      <c r="E719" s="13">
        <f>IFERROR(IF(AND('Assemble Data'!D720&lt;&gt;"",'Assemble Data'!D720&lt;&gt;B719),1,0),1)</f>
        <v>0</v>
      </c>
      <c r="F719" s="13">
        <f ca="1">IF('Assemble Data'!E720="",0,IF(ISERROR(FIND("INDEX",_xlfn.FORMULATEXT('Assemble Data'!E720),1)),1,0)+IFERROR(IF(AND('Assemble Data'!E720&lt;&gt;C719,'Assemble Data'!E720&lt;&gt;""),1,0),1))</f>
        <v>0</v>
      </c>
      <c r="G719" s="13">
        <f ca="1">IF('Assemble Data'!F720="",0,IF(ISERROR(FIND("VLOOKUP",_xlfn.FORMULATEXT('Assemble Data'!F720),1)),1,0)+IFERROR(IF(AND('Assemble Data'!F720&lt;&gt;D719,'Assemble Data'!F720&lt;&gt;""),1,0),1))</f>
        <v>0</v>
      </c>
      <c r="H719" s="13">
        <f t="shared" si="38"/>
        <v>3</v>
      </c>
      <c r="I719" t="str">
        <f t="shared" si="37"/>
        <v>C3P13</v>
      </c>
    </row>
    <row r="720" spans="1:9">
      <c r="A720" t="str">
        <f>'Assemble Data'!B721</f>
        <v>P13</v>
      </c>
      <c r="B720" s="13">
        <f>IFERROR(SUMIF('Assemble Data'!K:K,'Assemble Data'!A721,'Assemble Data'!L:L),0)</f>
        <v>3600</v>
      </c>
      <c r="C720" s="13" t="str">
        <f>INDEX('Assemble Data'!$O$24:$O$1023,MATCH('Assemble Data'!A721,'Assemble Data'!$N$24:$N$1023,0))</f>
        <v>C3</v>
      </c>
      <c r="D720" s="13">
        <f>SUMIF('Assemble Data'!H:H,'Assemble Data'!A721,'Assemble Data'!I:I)</f>
        <v>5</v>
      </c>
      <c r="E720" s="13">
        <f>IFERROR(IF(AND('Assemble Data'!D721&lt;&gt;"",'Assemble Data'!D721&lt;&gt;B720),1,0),1)</f>
        <v>0</v>
      </c>
      <c r="F720" s="13">
        <f ca="1">IF('Assemble Data'!E721="",0,IF(ISERROR(FIND("INDEX",_xlfn.FORMULATEXT('Assemble Data'!E721),1)),1,0)+IFERROR(IF(AND('Assemble Data'!E721&lt;&gt;C720,'Assemble Data'!E721&lt;&gt;""),1,0),1))</f>
        <v>0</v>
      </c>
      <c r="G720" s="13">
        <f ca="1">IF('Assemble Data'!F721="",0,IF(ISERROR(FIND("VLOOKUP",_xlfn.FORMULATEXT('Assemble Data'!F721),1)),1,0)+IFERROR(IF(AND('Assemble Data'!F721&lt;&gt;D720,'Assemble Data'!F721&lt;&gt;""),1,0),1))</f>
        <v>0</v>
      </c>
      <c r="H720" s="13">
        <f t="shared" si="38"/>
        <v>3</v>
      </c>
      <c r="I720" t="str">
        <f t="shared" si="37"/>
        <v>C3P13</v>
      </c>
    </row>
    <row r="721" spans="1:9">
      <c r="A721" t="str">
        <f>'Assemble Data'!B722</f>
        <v>P10</v>
      </c>
      <c r="B721" s="13">
        <f>IFERROR(SUMIF('Assemble Data'!K:K,'Assemble Data'!A722,'Assemble Data'!L:L),0)</f>
        <v>1920</v>
      </c>
      <c r="C721" s="13" t="str">
        <f>INDEX('Assemble Data'!$O$24:$O$1023,MATCH('Assemble Data'!A722,'Assemble Data'!$N$24:$N$1023,0))</f>
        <v>C3</v>
      </c>
      <c r="D721" s="13">
        <f>SUMIF('Assemble Data'!H:H,'Assemble Data'!A722,'Assemble Data'!I:I)</f>
        <v>3</v>
      </c>
      <c r="E721" s="13">
        <f>IFERROR(IF(AND('Assemble Data'!D722&lt;&gt;"",'Assemble Data'!D722&lt;&gt;B721),1,0),1)</f>
        <v>0</v>
      </c>
      <c r="F721" s="13">
        <f ca="1">IF('Assemble Data'!E722="",0,IF(ISERROR(FIND("INDEX",_xlfn.FORMULATEXT('Assemble Data'!E722),1)),1,0)+IFERROR(IF(AND('Assemble Data'!E722&lt;&gt;C721,'Assemble Data'!E722&lt;&gt;""),1,0),1))</f>
        <v>0</v>
      </c>
      <c r="G721" s="13">
        <f ca="1">IF('Assemble Data'!F722="",0,IF(ISERROR(FIND("VLOOKUP",_xlfn.FORMULATEXT('Assemble Data'!F722),1)),1,0)+IFERROR(IF(AND('Assemble Data'!F722&lt;&gt;D721,'Assemble Data'!F722&lt;&gt;""),1,0),1))</f>
        <v>0</v>
      </c>
      <c r="H721" s="13">
        <f t="shared" si="38"/>
        <v>8</v>
      </c>
      <c r="I721" t="str">
        <f t="shared" si="37"/>
        <v>C3P10</v>
      </c>
    </row>
    <row r="722" spans="1:9">
      <c r="A722" t="str">
        <f>'Assemble Data'!B723</f>
        <v>P11</v>
      </c>
      <c r="B722" s="13">
        <f>IFERROR(SUMIF('Assemble Data'!K:K,'Assemble Data'!A723,'Assemble Data'!L:L),0)</f>
        <v>13200</v>
      </c>
      <c r="C722" s="13" t="str">
        <f>INDEX('Assemble Data'!$O$24:$O$1023,MATCH('Assemble Data'!A723,'Assemble Data'!$N$24:$N$1023,0))</f>
        <v>C1</v>
      </c>
      <c r="D722" s="13">
        <f>SUMIF('Assemble Data'!H:H,'Assemble Data'!A723,'Assemble Data'!I:I)</f>
        <v>11</v>
      </c>
      <c r="E722" s="13">
        <f>IFERROR(IF(AND('Assemble Data'!D723&lt;&gt;"",'Assemble Data'!D723&lt;&gt;B722),1,0),1)</f>
        <v>0</v>
      </c>
      <c r="F722" s="13">
        <f ca="1">IF('Assemble Data'!E723="",0,IF(ISERROR(FIND("INDEX",_xlfn.FORMULATEXT('Assemble Data'!E723),1)),1,0)+IFERROR(IF(AND('Assemble Data'!E723&lt;&gt;C722,'Assemble Data'!E723&lt;&gt;""),1,0),1))</f>
        <v>0</v>
      </c>
      <c r="G722" s="13">
        <f ca="1">IF('Assemble Data'!F723="",0,IF(ISERROR(FIND("VLOOKUP",_xlfn.FORMULATEXT('Assemble Data'!F723),1)),1,0)+IFERROR(IF(AND('Assemble Data'!F723&lt;&gt;D722,'Assemble Data'!F723&lt;&gt;""),1,0),1))</f>
        <v>0</v>
      </c>
      <c r="H722" s="13">
        <f t="shared" si="38"/>
        <v>9</v>
      </c>
      <c r="I722" t="str">
        <f t="shared" si="37"/>
        <v>C1P11</v>
      </c>
    </row>
    <row r="723" spans="1:9">
      <c r="A723" t="str">
        <f>'Assemble Data'!B724</f>
        <v>P16</v>
      </c>
      <c r="B723" s="13">
        <f>IFERROR(SUMIF('Assemble Data'!K:K,'Assemble Data'!A724,'Assemble Data'!L:L),0)</f>
        <v>7279.9999999999991</v>
      </c>
      <c r="C723" s="13" t="str">
        <f>INDEX('Assemble Data'!$O$24:$O$1023,MATCH('Assemble Data'!A724,'Assemble Data'!$N$24:$N$1023,0))</f>
        <v>N1</v>
      </c>
      <c r="D723" s="13">
        <f>SUMIF('Assemble Data'!H:H,'Assemble Data'!A724,'Assemble Data'!I:I)</f>
        <v>4</v>
      </c>
      <c r="E723" s="13">
        <f>IFERROR(IF(AND('Assemble Data'!D724&lt;&gt;"",'Assemble Data'!D724&lt;&gt;B723),1,0),1)</f>
        <v>0</v>
      </c>
      <c r="F723" s="13">
        <f ca="1">IF('Assemble Data'!E724="",0,IF(ISERROR(FIND("INDEX",_xlfn.FORMULATEXT('Assemble Data'!E724),1)),1,0)+IFERROR(IF(AND('Assemble Data'!E724&lt;&gt;C723,'Assemble Data'!E724&lt;&gt;""),1,0),1))</f>
        <v>0</v>
      </c>
      <c r="G723" s="13">
        <f ca="1">IF('Assemble Data'!F724="",0,IF(ISERROR(FIND("VLOOKUP",_xlfn.FORMULATEXT('Assemble Data'!F724),1)),1,0)+IFERROR(IF(AND('Assemble Data'!F724&lt;&gt;D723,'Assemble Data'!F724&lt;&gt;""),1,0),1))</f>
        <v>0</v>
      </c>
      <c r="H723" s="13">
        <f t="shared" si="38"/>
        <v>0</v>
      </c>
      <c r="I723" t="str">
        <f t="shared" si="37"/>
        <v>N1P16</v>
      </c>
    </row>
    <row r="724" spans="1:9">
      <c r="A724" t="str">
        <f>'Assemble Data'!B725</f>
        <v>P17</v>
      </c>
      <c r="B724" s="13">
        <f>IFERROR(SUMIF('Assemble Data'!K:K,'Assemble Data'!A725,'Assemble Data'!L:L),0)</f>
        <v>10800</v>
      </c>
      <c r="C724" s="13" t="str">
        <f>INDEX('Assemble Data'!$O$24:$O$1023,MATCH('Assemble Data'!A725,'Assemble Data'!$N$24:$N$1023,0))</f>
        <v>O1</v>
      </c>
      <c r="D724" s="13">
        <f>SUMIF('Assemble Data'!H:H,'Assemble Data'!A725,'Assemble Data'!I:I)</f>
        <v>12</v>
      </c>
      <c r="E724" s="13">
        <f>IFERROR(IF(AND('Assemble Data'!D725&lt;&gt;"",'Assemble Data'!D725&lt;&gt;B724),1,0),1)</f>
        <v>0</v>
      </c>
      <c r="F724" s="13">
        <f ca="1">IF('Assemble Data'!E725="",0,IF(ISERROR(FIND("INDEX",_xlfn.FORMULATEXT('Assemble Data'!E725),1)),1,0)+IFERROR(IF(AND('Assemble Data'!E725&lt;&gt;C724,'Assemble Data'!E725&lt;&gt;""),1,0),1))</f>
        <v>0</v>
      </c>
      <c r="G724" s="13">
        <f ca="1">IF('Assemble Data'!F725="",0,IF(ISERROR(FIND("VLOOKUP",_xlfn.FORMULATEXT('Assemble Data'!F725),1)),1,0)+IFERROR(IF(AND('Assemble Data'!F725&lt;&gt;D724,'Assemble Data'!F725&lt;&gt;""),1,0),1))</f>
        <v>0</v>
      </c>
      <c r="H724" s="13">
        <f t="shared" si="38"/>
        <v>6</v>
      </c>
      <c r="I724" t="str">
        <f t="shared" si="37"/>
        <v>O1P17</v>
      </c>
    </row>
    <row r="725" spans="1:9">
      <c r="A725" t="str">
        <f>'Assemble Data'!B726</f>
        <v>P17</v>
      </c>
      <c r="B725" s="13">
        <f>IFERROR(SUMIF('Assemble Data'!K:K,'Assemble Data'!A726,'Assemble Data'!L:L),0)</f>
        <v>10800</v>
      </c>
      <c r="C725" s="13" t="str">
        <f>INDEX('Assemble Data'!$O$24:$O$1023,MATCH('Assemble Data'!A726,'Assemble Data'!$N$24:$N$1023,0))</f>
        <v>O1</v>
      </c>
      <c r="D725" s="13">
        <f>SUMIF('Assemble Data'!H:H,'Assemble Data'!A726,'Assemble Data'!I:I)</f>
        <v>12</v>
      </c>
      <c r="E725" s="13">
        <f>IFERROR(IF(AND('Assemble Data'!D726&lt;&gt;"",'Assemble Data'!D726&lt;&gt;B725),1,0),1)</f>
        <v>0</v>
      </c>
      <c r="F725" s="13">
        <f ca="1">IF('Assemble Data'!E726="",0,IF(ISERROR(FIND("INDEX",_xlfn.FORMULATEXT('Assemble Data'!E726),1)),1,0)+IFERROR(IF(AND('Assemble Data'!E726&lt;&gt;C725,'Assemble Data'!E726&lt;&gt;""),1,0),1))</f>
        <v>0</v>
      </c>
      <c r="G725" s="13">
        <f ca="1">IF('Assemble Data'!F726="",0,IF(ISERROR(FIND("VLOOKUP",_xlfn.FORMULATEXT('Assemble Data'!F726),1)),1,0)+IFERROR(IF(AND('Assemble Data'!F726&lt;&gt;D725,'Assemble Data'!F726&lt;&gt;""),1,0),1))</f>
        <v>0</v>
      </c>
      <c r="H725" s="13">
        <f t="shared" si="38"/>
        <v>6</v>
      </c>
      <c r="I725" t="str">
        <f t="shared" si="37"/>
        <v>O1P17</v>
      </c>
    </row>
    <row r="726" spans="1:9">
      <c r="A726" t="str">
        <f>'Assemble Data'!B727</f>
        <v>P13</v>
      </c>
      <c r="B726" s="13">
        <f>IFERROR(SUMIF('Assemble Data'!K:K,'Assemble Data'!A727,'Assemble Data'!L:L),0)</f>
        <v>5400</v>
      </c>
      <c r="C726" s="13" t="str">
        <f>INDEX('Assemble Data'!$O$24:$O$1023,MATCH('Assemble Data'!A727,'Assemble Data'!$N$24:$N$1023,0))</f>
        <v>C1</v>
      </c>
      <c r="D726" s="13">
        <f>SUMIF('Assemble Data'!H:H,'Assemble Data'!A727,'Assemble Data'!I:I)</f>
        <v>5</v>
      </c>
      <c r="E726" s="13">
        <f>IFERROR(IF(AND('Assemble Data'!D727&lt;&gt;"",'Assemble Data'!D727&lt;&gt;B726),1,0),1)</f>
        <v>0</v>
      </c>
      <c r="F726" s="13">
        <f ca="1">IF('Assemble Data'!E727="",0,IF(ISERROR(FIND("INDEX",_xlfn.FORMULATEXT('Assemble Data'!E727),1)),1,0)+IFERROR(IF(AND('Assemble Data'!E727&lt;&gt;C726,'Assemble Data'!E727&lt;&gt;""),1,0),1))</f>
        <v>0</v>
      </c>
      <c r="G726" s="13">
        <f ca="1">IF('Assemble Data'!F727="",0,IF(ISERROR(FIND("VLOOKUP",_xlfn.FORMULATEXT('Assemble Data'!F727),1)),1,0)+IFERROR(IF(AND('Assemble Data'!F727&lt;&gt;D726,'Assemble Data'!F727&lt;&gt;""),1,0),1))</f>
        <v>0</v>
      </c>
      <c r="H726" s="13">
        <f t="shared" si="38"/>
        <v>3</v>
      </c>
      <c r="I726" t="str">
        <f t="shared" si="37"/>
        <v>C1P13</v>
      </c>
    </row>
    <row r="727" spans="1:9">
      <c r="A727" t="str">
        <f>'Assemble Data'!B728</f>
        <v>P11</v>
      </c>
      <c r="B727" s="13">
        <f>IFERROR(SUMIF('Assemble Data'!K:K,'Assemble Data'!A728,'Assemble Data'!L:L),0)</f>
        <v>13200</v>
      </c>
      <c r="C727" s="13" t="str">
        <f>INDEX('Assemble Data'!$O$24:$O$1023,MATCH('Assemble Data'!A728,'Assemble Data'!$N$24:$N$1023,0))</f>
        <v>C1</v>
      </c>
      <c r="D727" s="13">
        <f>SUMIF('Assemble Data'!H:H,'Assemble Data'!A728,'Assemble Data'!I:I)</f>
        <v>11</v>
      </c>
      <c r="E727" s="13">
        <f>IFERROR(IF(AND('Assemble Data'!D728&lt;&gt;"",'Assemble Data'!D728&lt;&gt;B727),1,0),1)</f>
        <v>0</v>
      </c>
      <c r="F727" s="13">
        <f ca="1">IF('Assemble Data'!E728="",0,IF(ISERROR(FIND("INDEX",_xlfn.FORMULATEXT('Assemble Data'!E728),1)),1,0)+IFERROR(IF(AND('Assemble Data'!E728&lt;&gt;C727,'Assemble Data'!E728&lt;&gt;""),1,0),1))</f>
        <v>0</v>
      </c>
      <c r="G727" s="13">
        <f ca="1">IF('Assemble Data'!F728="",0,IF(ISERROR(FIND("VLOOKUP",_xlfn.FORMULATEXT('Assemble Data'!F728),1)),1,0)+IFERROR(IF(AND('Assemble Data'!F728&lt;&gt;D727,'Assemble Data'!F728&lt;&gt;""),1,0),1))</f>
        <v>0</v>
      </c>
      <c r="H727" s="13">
        <f t="shared" si="38"/>
        <v>9</v>
      </c>
      <c r="I727" t="str">
        <f t="shared" si="37"/>
        <v>C1P11</v>
      </c>
    </row>
    <row r="728" spans="1:9">
      <c r="A728" t="str">
        <f>'Assemble Data'!B729</f>
        <v>P11</v>
      </c>
      <c r="B728" s="13">
        <f>IFERROR(SUMIF('Assemble Data'!K:K,'Assemble Data'!A729,'Assemble Data'!L:L),0)</f>
        <v>13200</v>
      </c>
      <c r="C728" s="13" t="str">
        <f>INDEX('Assemble Data'!$O$24:$O$1023,MATCH('Assemble Data'!A729,'Assemble Data'!$N$24:$N$1023,0))</f>
        <v>C1</v>
      </c>
      <c r="D728" s="13">
        <f>SUMIF('Assemble Data'!H:H,'Assemble Data'!A729,'Assemble Data'!I:I)</f>
        <v>11</v>
      </c>
      <c r="E728" s="13">
        <f>IFERROR(IF(AND('Assemble Data'!D729&lt;&gt;"",'Assemble Data'!D729&lt;&gt;B728),1,0),1)</f>
        <v>0</v>
      </c>
      <c r="F728" s="13">
        <f ca="1">IF('Assemble Data'!E729="",0,IF(ISERROR(FIND("INDEX",_xlfn.FORMULATEXT('Assemble Data'!E729),1)),1,0)+IFERROR(IF(AND('Assemble Data'!E729&lt;&gt;C728,'Assemble Data'!E729&lt;&gt;""),1,0),1))</f>
        <v>0</v>
      </c>
      <c r="G728" s="13">
        <f ca="1">IF('Assemble Data'!F729="",0,IF(ISERROR(FIND("VLOOKUP",_xlfn.FORMULATEXT('Assemble Data'!F729),1)),1,0)+IFERROR(IF(AND('Assemble Data'!F729&lt;&gt;D728,'Assemble Data'!F729&lt;&gt;""),1,0),1))</f>
        <v>0</v>
      </c>
      <c r="H728" s="13">
        <f t="shared" si="38"/>
        <v>9</v>
      </c>
      <c r="I728" t="str">
        <f t="shared" ref="I728:I791" si="39">C728&amp;A728</f>
        <v>C1P11</v>
      </c>
    </row>
    <row r="729" spans="1:9">
      <c r="A729" t="str">
        <f>'Assemble Data'!B730</f>
        <v>P12</v>
      </c>
      <c r="B729" s="13">
        <f>IFERROR(SUMIF('Assemble Data'!K:K,'Assemble Data'!A730,'Assemble Data'!L:L),0)</f>
        <v>8190</v>
      </c>
      <c r="C729" s="13" t="str">
        <f>INDEX('Assemble Data'!$O$24:$O$1023,MATCH('Assemble Data'!A730,'Assemble Data'!$N$24:$N$1023,0))</f>
        <v>C1</v>
      </c>
      <c r="D729" s="13">
        <f>SUMIF('Assemble Data'!H:H,'Assemble Data'!A730,'Assemble Data'!I:I)</f>
        <v>6.5</v>
      </c>
      <c r="E729" s="13">
        <f>IFERROR(IF(AND('Assemble Data'!D730&lt;&gt;"",'Assemble Data'!D730&lt;&gt;B729),1,0),1)</f>
        <v>0</v>
      </c>
      <c r="F729" s="13">
        <f ca="1">IF('Assemble Data'!E730="",0,IF(ISERROR(FIND("INDEX",_xlfn.FORMULATEXT('Assemble Data'!E730),1)),1,0)+IFERROR(IF(AND('Assemble Data'!E730&lt;&gt;C729,'Assemble Data'!E730&lt;&gt;""),1,0),1))</f>
        <v>0</v>
      </c>
      <c r="G729" s="13">
        <f ca="1">IF('Assemble Data'!F730="",0,IF(ISERROR(FIND("VLOOKUP",_xlfn.FORMULATEXT('Assemble Data'!F730),1)),1,0)+IFERROR(IF(AND('Assemble Data'!F730&lt;&gt;D729,'Assemble Data'!F730&lt;&gt;""),1,0),1))</f>
        <v>0</v>
      </c>
      <c r="H729" s="13">
        <f t="shared" si="38"/>
        <v>7</v>
      </c>
      <c r="I729" t="str">
        <f t="shared" si="39"/>
        <v>C1P12</v>
      </c>
    </row>
    <row r="730" spans="1:9">
      <c r="A730" t="str">
        <f>'Assemble Data'!B731</f>
        <v>P10</v>
      </c>
      <c r="B730" s="13">
        <f>IFERROR(SUMIF('Assemble Data'!K:K,'Assemble Data'!A731,'Assemble Data'!L:L),0)</f>
        <v>2880</v>
      </c>
      <c r="C730" s="13" t="str">
        <f>INDEX('Assemble Data'!$O$24:$O$1023,MATCH('Assemble Data'!A731,'Assemble Data'!$N$24:$N$1023,0))</f>
        <v>C1</v>
      </c>
      <c r="D730" s="13">
        <f>SUMIF('Assemble Data'!H:H,'Assemble Data'!A731,'Assemble Data'!I:I)</f>
        <v>3</v>
      </c>
      <c r="E730" s="13">
        <f>IFERROR(IF(AND('Assemble Data'!D731&lt;&gt;"",'Assemble Data'!D731&lt;&gt;B730),1,0),1)</f>
        <v>0</v>
      </c>
      <c r="F730" s="13">
        <f ca="1">IF('Assemble Data'!E731="",0,IF(ISERROR(FIND("INDEX",_xlfn.FORMULATEXT('Assemble Data'!E731),1)),1,0)+IFERROR(IF(AND('Assemble Data'!E731&lt;&gt;C730,'Assemble Data'!E731&lt;&gt;""),1,0),1))</f>
        <v>0</v>
      </c>
      <c r="G730" s="13">
        <f ca="1">IF('Assemble Data'!F731="",0,IF(ISERROR(FIND("VLOOKUP",_xlfn.FORMULATEXT('Assemble Data'!F731),1)),1,0)+IFERROR(IF(AND('Assemble Data'!F731&lt;&gt;D730,'Assemble Data'!F731&lt;&gt;""),1,0),1))</f>
        <v>0</v>
      </c>
      <c r="H730" s="13">
        <f t="shared" si="38"/>
        <v>8</v>
      </c>
      <c r="I730" t="str">
        <f t="shared" si="39"/>
        <v>C1P10</v>
      </c>
    </row>
    <row r="731" spans="1:9">
      <c r="A731" t="str">
        <f>'Assemble Data'!B732</f>
        <v>P10</v>
      </c>
      <c r="B731" s="13">
        <f>IFERROR(SUMIF('Assemble Data'!K:K,'Assemble Data'!A732,'Assemble Data'!L:L),0)</f>
        <v>2880</v>
      </c>
      <c r="C731" s="13" t="str">
        <f>INDEX('Assemble Data'!$O$24:$O$1023,MATCH('Assemble Data'!A732,'Assemble Data'!$N$24:$N$1023,0))</f>
        <v>C1</v>
      </c>
      <c r="D731" s="13">
        <f>SUMIF('Assemble Data'!H:H,'Assemble Data'!A732,'Assemble Data'!I:I)</f>
        <v>3</v>
      </c>
      <c r="E731" s="13">
        <f>IFERROR(IF(AND('Assemble Data'!D732&lt;&gt;"",'Assemble Data'!D732&lt;&gt;B731),1,0),1)</f>
        <v>0</v>
      </c>
      <c r="F731" s="13">
        <f ca="1">IF('Assemble Data'!E732="",0,IF(ISERROR(FIND("INDEX",_xlfn.FORMULATEXT('Assemble Data'!E732),1)),1,0)+IFERROR(IF(AND('Assemble Data'!E732&lt;&gt;C731,'Assemble Data'!E732&lt;&gt;""),1,0),1))</f>
        <v>0</v>
      </c>
      <c r="G731" s="13">
        <f ca="1">IF('Assemble Data'!F732="",0,IF(ISERROR(FIND("VLOOKUP",_xlfn.FORMULATEXT('Assemble Data'!F732),1)),1,0)+IFERROR(IF(AND('Assemble Data'!F732&lt;&gt;D731,'Assemble Data'!F732&lt;&gt;""),1,0),1))</f>
        <v>0</v>
      </c>
      <c r="H731" s="13">
        <f t="shared" si="38"/>
        <v>8</v>
      </c>
      <c r="I731" t="str">
        <f t="shared" si="39"/>
        <v>C1P10</v>
      </c>
    </row>
    <row r="732" spans="1:9">
      <c r="A732" t="str">
        <f>'Assemble Data'!B733</f>
        <v>P11</v>
      </c>
      <c r="B732" s="13">
        <f>IFERROR(SUMIF('Assemble Data'!K:K,'Assemble Data'!A733,'Assemble Data'!L:L),0)</f>
        <v>13200</v>
      </c>
      <c r="C732" s="13" t="str">
        <f>INDEX('Assemble Data'!$O$24:$O$1023,MATCH('Assemble Data'!A733,'Assemble Data'!$N$24:$N$1023,0))</f>
        <v>C1</v>
      </c>
      <c r="D732" s="13">
        <f>SUMIF('Assemble Data'!H:H,'Assemble Data'!A733,'Assemble Data'!I:I)</f>
        <v>11</v>
      </c>
      <c r="E732" s="13">
        <f>IFERROR(IF(AND('Assemble Data'!D733&lt;&gt;"",'Assemble Data'!D733&lt;&gt;B732),1,0),1)</f>
        <v>0</v>
      </c>
      <c r="F732" s="13">
        <f ca="1">IF('Assemble Data'!E733="",0,IF(ISERROR(FIND("INDEX",_xlfn.FORMULATEXT('Assemble Data'!E733),1)),1,0)+IFERROR(IF(AND('Assemble Data'!E733&lt;&gt;C732,'Assemble Data'!E733&lt;&gt;""),1,0),1))</f>
        <v>0</v>
      </c>
      <c r="G732" s="13">
        <f ca="1">IF('Assemble Data'!F733="",0,IF(ISERROR(FIND("VLOOKUP",_xlfn.FORMULATEXT('Assemble Data'!F733),1)),1,0)+IFERROR(IF(AND('Assemble Data'!F733&lt;&gt;D732,'Assemble Data'!F733&lt;&gt;""),1,0),1))</f>
        <v>0</v>
      </c>
      <c r="H732" s="13">
        <f t="shared" si="38"/>
        <v>9</v>
      </c>
      <c r="I732" t="str">
        <f t="shared" si="39"/>
        <v>C1P11</v>
      </c>
    </row>
    <row r="733" spans="1:9">
      <c r="A733" t="str">
        <f>'Assemble Data'!B734</f>
        <v>P18</v>
      </c>
      <c r="B733" s="13">
        <f>IFERROR(SUMIF('Assemble Data'!K:K,'Assemble Data'!A734,'Assemble Data'!L:L),0)</f>
        <v>4860</v>
      </c>
      <c r="C733" s="13" t="str">
        <f>INDEX('Assemble Data'!$O$24:$O$1023,MATCH('Assemble Data'!A734,'Assemble Data'!$N$24:$N$1023,0))</f>
        <v>O1</v>
      </c>
      <c r="D733" s="13">
        <f>SUMIF('Assemble Data'!H:H,'Assemble Data'!A734,'Assemble Data'!I:I)</f>
        <v>6</v>
      </c>
      <c r="E733" s="13">
        <f>IFERROR(IF(AND('Assemble Data'!D734&lt;&gt;"",'Assemble Data'!D734&lt;&gt;B733),1,0),1)</f>
        <v>0</v>
      </c>
      <c r="F733" s="13">
        <f ca="1">IF('Assemble Data'!E734="",0,IF(ISERROR(FIND("INDEX",_xlfn.FORMULATEXT('Assemble Data'!E734),1)),1,0)+IFERROR(IF(AND('Assemble Data'!E734&lt;&gt;C733,'Assemble Data'!E734&lt;&gt;""),1,0),1))</f>
        <v>0</v>
      </c>
      <c r="G733" s="13">
        <f ca="1">IF('Assemble Data'!F734="",0,IF(ISERROR(FIND("VLOOKUP",_xlfn.FORMULATEXT('Assemble Data'!F734),1)),1,0)+IFERROR(IF(AND('Assemble Data'!F734&lt;&gt;D733,'Assemble Data'!F734&lt;&gt;""),1,0),1))</f>
        <v>0</v>
      </c>
      <c r="H733" s="13">
        <f t="shared" si="38"/>
        <v>2</v>
      </c>
      <c r="I733" t="str">
        <f t="shared" si="39"/>
        <v>O1P18</v>
      </c>
    </row>
    <row r="734" spans="1:9">
      <c r="A734" t="str">
        <f>'Assemble Data'!B735</f>
        <v>P14</v>
      </c>
      <c r="B734" s="13">
        <f>IFERROR(SUMIF('Assemble Data'!K:K,'Assemble Data'!A735,'Assemble Data'!L:L),0)</f>
        <v>10080</v>
      </c>
      <c r="C734" s="13" t="str">
        <f>INDEX('Assemble Data'!$O$24:$O$1023,MATCH('Assemble Data'!A735,'Assemble Data'!$N$24:$N$1023,0))</f>
        <v>N1</v>
      </c>
      <c r="D734" s="13">
        <f>SUMIF('Assemble Data'!H:H,'Assemble Data'!A735,'Assemble Data'!I:I)</f>
        <v>8</v>
      </c>
      <c r="E734" s="13">
        <f>IFERROR(IF(AND('Assemble Data'!D735&lt;&gt;"",'Assemble Data'!D735&lt;&gt;B734),1,0),1)</f>
        <v>0</v>
      </c>
      <c r="F734" s="13">
        <f ca="1">IF('Assemble Data'!E735="",0,IF(ISERROR(FIND("INDEX",_xlfn.FORMULATEXT('Assemble Data'!E735),1)),1,0)+IFERROR(IF(AND('Assemble Data'!E735&lt;&gt;C734,'Assemble Data'!E735&lt;&gt;""),1,0),1))</f>
        <v>0</v>
      </c>
      <c r="G734" s="13">
        <f ca="1">IF('Assemble Data'!F735="",0,IF(ISERROR(FIND("VLOOKUP",_xlfn.FORMULATEXT('Assemble Data'!F735),1)),1,0)+IFERROR(IF(AND('Assemble Data'!F735&lt;&gt;D734,'Assemble Data'!F735&lt;&gt;""),1,0),1))</f>
        <v>0</v>
      </c>
      <c r="H734" s="13">
        <f t="shared" si="38"/>
        <v>5</v>
      </c>
      <c r="I734" t="str">
        <f t="shared" si="39"/>
        <v>N1P14</v>
      </c>
    </row>
    <row r="735" spans="1:9">
      <c r="A735" t="str">
        <f>'Assemble Data'!B736</f>
        <v>P10</v>
      </c>
      <c r="B735" s="13">
        <f>IFERROR(SUMIF('Assemble Data'!K:K,'Assemble Data'!A736,'Assemble Data'!L:L),0)</f>
        <v>2880</v>
      </c>
      <c r="C735" s="13" t="str">
        <f>INDEX('Assemble Data'!$O$24:$O$1023,MATCH('Assemble Data'!A736,'Assemble Data'!$N$24:$N$1023,0))</f>
        <v>C1</v>
      </c>
      <c r="D735" s="13">
        <f>SUMIF('Assemble Data'!H:H,'Assemble Data'!A736,'Assemble Data'!I:I)</f>
        <v>3</v>
      </c>
      <c r="E735" s="13">
        <f>IFERROR(IF(AND('Assemble Data'!D736&lt;&gt;"",'Assemble Data'!D736&lt;&gt;B735),1,0),1)</f>
        <v>0</v>
      </c>
      <c r="F735" s="13">
        <f ca="1">IF('Assemble Data'!E736="",0,IF(ISERROR(FIND("INDEX",_xlfn.FORMULATEXT('Assemble Data'!E736),1)),1,0)+IFERROR(IF(AND('Assemble Data'!E736&lt;&gt;C735,'Assemble Data'!E736&lt;&gt;""),1,0),1))</f>
        <v>0</v>
      </c>
      <c r="G735" s="13">
        <f ca="1">IF('Assemble Data'!F736="",0,IF(ISERROR(FIND("VLOOKUP",_xlfn.FORMULATEXT('Assemble Data'!F736),1)),1,0)+IFERROR(IF(AND('Assemble Data'!F736&lt;&gt;D735,'Assemble Data'!F736&lt;&gt;""),1,0),1))</f>
        <v>0</v>
      </c>
      <c r="H735" s="13">
        <f t="shared" si="38"/>
        <v>8</v>
      </c>
      <c r="I735" t="str">
        <f t="shared" si="39"/>
        <v>C1P10</v>
      </c>
    </row>
    <row r="736" spans="1:9">
      <c r="A736" t="str">
        <f>'Assemble Data'!B737</f>
        <v>P13</v>
      </c>
      <c r="B736" s="13">
        <f>IFERROR(SUMIF('Assemble Data'!K:K,'Assemble Data'!A737,'Assemble Data'!L:L),0)</f>
        <v>5400</v>
      </c>
      <c r="C736" s="13" t="str">
        <f>INDEX('Assemble Data'!$O$24:$O$1023,MATCH('Assemble Data'!A737,'Assemble Data'!$N$24:$N$1023,0))</f>
        <v>C1</v>
      </c>
      <c r="D736" s="13">
        <f>SUMIF('Assemble Data'!H:H,'Assemble Data'!A737,'Assemble Data'!I:I)</f>
        <v>5</v>
      </c>
      <c r="E736" s="13">
        <f>IFERROR(IF(AND('Assemble Data'!D737&lt;&gt;"",'Assemble Data'!D737&lt;&gt;B736),1,0),1)</f>
        <v>0</v>
      </c>
      <c r="F736" s="13">
        <f ca="1">IF('Assemble Data'!E737="",0,IF(ISERROR(FIND("INDEX",_xlfn.FORMULATEXT('Assemble Data'!E737),1)),1,0)+IFERROR(IF(AND('Assemble Data'!E737&lt;&gt;C736,'Assemble Data'!E737&lt;&gt;""),1,0),1))</f>
        <v>0</v>
      </c>
      <c r="G736" s="13">
        <f ca="1">IF('Assemble Data'!F737="",0,IF(ISERROR(FIND("VLOOKUP",_xlfn.FORMULATEXT('Assemble Data'!F737),1)),1,0)+IFERROR(IF(AND('Assemble Data'!F737&lt;&gt;D736,'Assemble Data'!F737&lt;&gt;""),1,0),1))</f>
        <v>0</v>
      </c>
      <c r="H736" s="13">
        <f t="shared" si="38"/>
        <v>3</v>
      </c>
      <c r="I736" t="str">
        <f t="shared" si="39"/>
        <v>C1P13</v>
      </c>
    </row>
    <row r="737" spans="1:9">
      <c r="A737" t="str">
        <f>'Assemble Data'!B738</f>
        <v>P13</v>
      </c>
      <c r="B737" s="13">
        <f>IFERROR(SUMIF('Assemble Data'!K:K,'Assemble Data'!A738,'Assemble Data'!L:L),0)</f>
        <v>5400</v>
      </c>
      <c r="C737" s="13" t="str">
        <f>INDEX('Assemble Data'!$O$24:$O$1023,MATCH('Assemble Data'!A738,'Assemble Data'!$N$24:$N$1023,0))</f>
        <v>C1</v>
      </c>
      <c r="D737" s="13">
        <f>SUMIF('Assemble Data'!H:H,'Assemble Data'!A738,'Assemble Data'!I:I)</f>
        <v>5</v>
      </c>
      <c r="E737" s="13">
        <f>IFERROR(IF(AND('Assemble Data'!D738&lt;&gt;"",'Assemble Data'!D738&lt;&gt;B737),1,0),1)</f>
        <v>0</v>
      </c>
      <c r="F737" s="13">
        <f ca="1">IF('Assemble Data'!E738="",0,IF(ISERROR(FIND("INDEX",_xlfn.FORMULATEXT('Assemble Data'!E738),1)),1,0)+IFERROR(IF(AND('Assemble Data'!E738&lt;&gt;C737,'Assemble Data'!E738&lt;&gt;""),1,0),1))</f>
        <v>0</v>
      </c>
      <c r="G737" s="13">
        <f ca="1">IF('Assemble Data'!F738="",0,IF(ISERROR(FIND("VLOOKUP",_xlfn.FORMULATEXT('Assemble Data'!F738),1)),1,0)+IFERROR(IF(AND('Assemble Data'!F738&lt;&gt;D737,'Assemble Data'!F738&lt;&gt;""),1,0),1))</f>
        <v>0</v>
      </c>
      <c r="H737" s="13">
        <f t="shared" si="38"/>
        <v>3</v>
      </c>
      <c r="I737" t="str">
        <f t="shared" si="39"/>
        <v>C1P13</v>
      </c>
    </row>
    <row r="738" spans="1:9">
      <c r="A738" t="str">
        <f>'Assemble Data'!B739</f>
        <v>P10</v>
      </c>
      <c r="B738" s="13">
        <f>IFERROR(SUMIF('Assemble Data'!K:K,'Assemble Data'!A739,'Assemble Data'!L:L),0)</f>
        <v>2880</v>
      </c>
      <c r="C738" s="13" t="str">
        <f>INDEX('Assemble Data'!$O$24:$O$1023,MATCH('Assemble Data'!A739,'Assemble Data'!$N$24:$N$1023,0))</f>
        <v>C1</v>
      </c>
      <c r="D738" s="13">
        <f>SUMIF('Assemble Data'!H:H,'Assemble Data'!A739,'Assemble Data'!I:I)</f>
        <v>3</v>
      </c>
      <c r="E738" s="13">
        <f>IFERROR(IF(AND('Assemble Data'!D739&lt;&gt;"",'Assemble Data'!D739&lt;&gt;B738),1,0),1)</f>
        <v>0</v>
      </c>
      <c r="F738" s="13">
        <f ca="1">IF('Assemble Data'!E739="",0,IF(ISERROR(FIND("INDEX",_xlfn.FORMULATEXT('Assemble Data'!E739),1)),1,0)+IFERROR(IF(AND('Assemble Data'!E739&lt;&gt;C738,'Assemble Data'!E739&lt;&gt;""),1,0),1))</f>
        <v>0</v>
      </c>
      <c r="G738" s="13">
        <f ca="1">IF('Assemble Data'!F739="",0,IF(ISERROR(FIND("VLOOKUP",_xlfn.FORMULATEXT('Assemble Data'!F739),1)),1,0)+IFERROR(IF(AND('Assemble Data'!F739&lt;&gt;D738,'Assemble Data'!F739&lt;&gt;""),1,0),1))</f>
        <v>0</v>
      </c>
      <c r="H738" s="13">
        <f t="shared" si="38"/>
        <v>8</v>
      </c>
      <c r="I738" t="str">
        <f t="shared" si="39"/>
        <v>C1P10</v>
      </c>
    </row>
    <row r="739" spans="1:9">
      <c r="A739" t="str">
        <f>'Assemble Data'!B740</f>
        <v>P11</v>
      </c>
      <c r="B739" s="13">
        <f>IFERROR(SUMIF('Assemble Data'!K:K,'Assemble Data'!A740,'Assemble Data'!L:L),0)</f>
        <v>13200</v>
      </c>
      <c r="C739" s="13" t="str">
        <f>INDEX('Assemble Data'!$O$24:$O$1023,MATCH('Assemble Data'!A740,'Assemble Data'!$N$24:$N$1023,0))</f>
        <v>C1</v>
      </c>
      <c r="D739" s="13">
        <f>SUMIF('Assemble Data'!H:H,'Assemble Data'!A740,'Assemble Data'!I:I)</f>
        <v>11</v>
      </c>
      <c r="E739" s="13">
        <f>IFERROR(IF(AND('Assemble Data'!D740&lt;&gt;"",'Assemble Data'!D740&lt;&gt;B739),1,0),1)</f>
        <v>0</v>
      </c>
      <c r="F739" s="13">
        <f ca="1">IF('Assemble Data'!E740="",0,IF(ISERROR(FIND("INDEX",_xlfn.FORMULATEXT('Assemble Data'!E740),1)),1,0)+IFERROR(IF(AND('Assemble Data'!E740&lt;&gt;C739,'Assemble Data'!E740&lt;&gt;""),1,0),1))</f>
        <v>0</v>
      </c>
      <c r="G739" s="13">
        <f ca="1">IF('Assemble Data'!F740="",0,IF(ISERROR(FIND("VLOOKUP",_xlfn.FORMULATEXT('Assemble Data'!F740),1)),1,0)+IFERROR(IF(AND('Assemble Data'!F740&lt;&gt;D739,'Assemble Data'!F740&lt;&gt;""),1,0),1))</f>
        <v>0</v>
      </c>
      <c r="H739" s="13">
        <f t="shared" si="38"/>
        <v>9</v>
      </c>
      <c r="I739" t="str">
        <f t="shared" si="39"/>
        <v>C1P11</v>
      </c>
    </row>
    <row r="740" spans="1:9">
      <c r="A740" t="str">
        <f>'Assemble Data'!B741</f>
        <v>P16</v>
      </c>
      <c r="B740" s="13">
        <f>IFERROR(SUMIF('Assemble Data'!K:K,'Assemble Data'!A741,'Assemble Data'!L:L),0)</f>
        <v>7279.9999999999991</v>
      </c>
      <c r="C740" s="13" t="str">
        <f>INDEX('Assemble Data'!$O$24:$O$1023,MATCH('Assemble Data'!A741,'Assemble Data'!$N$24:$N$1023,0))</f>
        <v>N1</v>
      </c>
      <c r="D740" s="13">
        <f>SUMIF('Assemble Data'!H:H,'Assemble Data'!A741,'Assemble Data'!I:I)</f>
        <v>4</v>
      </c>
      <c r="E740" s="13">
        <f>IFERROR(IF(AND('Assemble Data'!D741&lt;&gt;"",'Assemble Data'!D741&lt;&gt;B740),1,0),1)</f>
        <v>0</v>
      </c>
      <c r="F740" s="13">
        <f ca="1">IF('Assemble Data'!E741="",0,IF(ISERROR(FIND("INDEX",_xlfn.FORMULATEXT('Assemble Data'!E741),1)),1,0)+IFERROR(IF(AND('Assemble Data'!E741&lt;&gt;C740,'Assemble Data'!E741&lt;&gt;""),1,0),1))</f>
        <v>0</v>
      </c>
      <c r="G740" s="13">
        <f ca="1">IF('Assemble Data'!F741="",0,IF(ISERROR(FIND("VLOOKUP",_xlfn.FORMULATEXT('Assemble Data'!F741),1)),1,0)+IFERROR(IF(AND('Assemble Data'!F741&lt;&gt;D740,'Assemble Data'!F741&lt;&gt;""),1,0),1))</f>
        <v>0</v>
      </c>
      <c r="H740" s="13">
        <f t="shared" si="38"/>
        <v>0</v>
      </c>
      <c r="I740" t="str">
        <f t="shared" si="39"/>
        <v>N1P16</v>
      </c>
    </row>
    <row r="741" spans="1:9">
      <c r="A741" t="str">
        <f>'Assemble Data'!B742</f>
        <v>P17</v>
      </c>
      <c r="B741" s="13">
        <f>IFERROR(SUMIF('Assemble Data'!K:K,'Assemble Data'!A742,'Assemble Data'!L:L),0)</f>
        <v>10800</v>
      </c>
      <c r="C741" s="13" t="str">
        <f>INDEX('Assemble Data'!$O$24:$O$1023,MATCH('Assemble Data'!A742,'Assemble Data'!$N$24:$N$1023,0))</f>
        <v>O1</v>
      </c>
      <c r="D741" s="13">
        <f>SUMIF('Assemble Data'!H:H,'Assemble Data'!A742,'Assemble Data'!I:I)</f>
        <v>12</v>
      </c>
      <c r="E741" s="13">
        <f>IFERROR(IF(AND('Assemble Data'!D742&lt;&gt;"",'Assemble Data'!D742&lt;&gt;B741),1,0),1)</f>
        <v>0</v>
      </c>
      <c r="F741" s="13">
        <f ca="1">IF('Assemble Data'!E742="",0,IF(ISERROR(FIND("INDEX",_xlfn.FORMULATEXT('Assemble Data'!E742),1)),1,0)+IFERROR(IF(AND('Assemble Data'!E742&lt;&gt;C741,'Assemble Data'!E742&lt;&gt;""),1,0),1))</f>
        <v>0</v>
      </c>
      <c r="G741" s="13">
        <f ca="1">IF('Assemble Data'!F742="",0,IF(ISERROR(FIND("VLOOKUP",_xlfn.FORMULATEXT('Assemble Data'!F742),1)),1,0)+IFERROR(IF(AND('Assemble Data'!F742&lt;&gt;D741,'Assemble Data'!F742&lt;&gt;""),1,0),1))</f>
        <v>0</v>
      </c>
      <c r="H741" s="13">
        <f t="shared" si="38"/>
        <v>6</v>
      </c>
      <c r="I741" t="str">
        <f t="shared" si="39"/>
        <v>O1P17</v>
      </c>
    </row>
    <row r="742" spans="1:9">
      <c r="A742" t="str">
        <f>'Assemble Data'!B743</f>
        <v>P17</v>
      </c>
      <c r="B742" s="13">
        <f>IFERROR(SUMIF('Assemble Data'!K:K,'Assemble Data'!A743,'Assemble Data'!L:L),0)</f>
        <v>13200.000000000002</v>
      </c>
      <c r="C742" s="13" t="str">
        <f>INDEX('Assemble Data'!$O$24:$O$1023,MATCH('Assemble Data'!A743,'Assemble Data'!$N$24:$N$1023,0))</f>
        <v>O2</v>
      </c>
      <c r="D742" s="13">
        <f>SUMIF('Assemble Data'!H:H,'Assemble Data'!A743,'Assemble Data'!I:I)</f>
        <v>12</v>
      </c>
      <c r="E742" s="13">
        <f>IFERROR(IF(AND('Assemble Data'!D743&lt;&gt;"",'Assemble Data'!D743&lt;&gt;B742),1,0),1)</f>
        <v>0</v>
      </c>
      <c r="F742" s="13">
        <f ca="1">IF('Assemble Data'!E743="",0,IF(ISERROR(FIND("INDEX",_xlfn.FORMULATEXT('Assemble Data'!E743),1)),1,0)+IFERROR(IF(AND('Assemble Data'!E743&lt;&gt;C742,'Assemble Data'!E743&lt;&gt;""),1,0),1))</f>
        <v>0</v>
      </c>
      <c r="G742" s="13">
        <f ca="1">IF('Assemble Data'!F743="",0,IF(ISERROR(FIND("VLOOKUP",_xlfn.FORMULATEXT('Assemble Data'!F743),1)),1,0)+IFERROR(IF(AND('Assemble Data'!F743&lt;&gt;D742,'Assemble Data'!F743&lt;&gt;""),1,0),1))</f>
        <v>0</v>
      </c>
      <c r="H742" s="13">
        <f t="shared" si="38"/>
        <v>6</v>
      </c>
      <c r="I742" t="str">
        <f t="shared" si="39"/>
        <v>O2P17</v>
      </c>
    </row>
    <row r="743" spans="1:9">
      <c r="A743" t="str">
        <f>'Assemble Data'!B744</f>
        <v>P13</v>
      </c>
      <c r="B743" s="13">
        <f>IFERROR(SUMIF('Assemble Data'!K:K,'Assemble Data'!A744,'Assemble Data'!L:L),0)</f>
        <v>4500</v>
      </c>
      <c r="C743" s="13" t="str">
        <f>INDEX('Assemble Data'!$O$24:$O$1023,MATCH('Assemble Data'!A744,'Assemble Data'!$N$24:$N$1023,0))</f>
        <v>C2</v>
      </c>
      <c r="D743" s="13">
        <f>SUMIF('Assemble Data'!H:H,'Assemble Data'!A744,'Assemble Data'!I:I)</f>
        <v>5</v>
      </c>
      <c r="E743" s="13">
        <f>IFERROR(IF(AND('Assemble Data'!D744&lt;&gt;"",'Assemble Data'!D744&lt;&gt;B743),1,0),1)</f>
        <v>0</v>
      </c>
      <c r="F743" s="13">
        <f ca="1">IF('Assemble Data'!E744="",0,IF(ISERROR(FIND("INDEX",_xlfn.FORMULATEXT('Assemble Data'!E744),1)),1,0)+IFERROR(IF(AND('Assemble Data'!E744&lt;&gt;C743,'Assemble Data'!E744&lt;&gt;""),1,0),1))</f>
        <v>0</v>
      </c>
      <c r="G743" s="13">
        <f ca="1">IF('Assemble Data'!F744="",0,IF(ISERROR(FIND("VLOOKUP",_xlfn.FORMULATEXT('Assemble Data'!F744),1)),1,0)+IFERROR(IF(AND('Assemble Data'!F744&lt;&gt;D743,'Assemble Data'!F744&lt;&gt;""),1,0),1))</f>
        <v>0</v>
      </c>
      <c r="H743" s="13">
        <f t="shared" si="38"/>
        <v>3</v>
      </c>
      <c r="I743" t="str">
        <f t="shared" si="39"/>
        <v>C2P13</v>
      </c>
    </row>
    <row r="744" spans="1:9">
      <c r="A744" t="str">
        <f>'Assemble Data'!B745</f>
        <v>P11</v>
      </c>
      <c r="B744" s="13">
        <f>IFERROR(SUMIF('Assemble Data'!K:K,'Assemble Data'!A745,'Assemble Data'!L:L),0)</f>
        <v>11000</v>
      </c>
      <c r="C744" s="13" t="str">
        <f>INDEX('Assemble Data'!$O$24:$O$1023,MATCH('Assemble Data'!A745,'Assemble Data'!$N$24:$N$1023,0))</f>
        <v>C2</v>
      </c>
      <c r="D744" s="13">
        <f>SUMIF('Assemble Data'!H:H,'Assemble Data'!A745,'Assemble Data'!I:I)</f>
        <v>11</v>
      </c>
      <c r="E744" s="13">
        <f>IFERROR(IF(AND('Assemble Data'!D745&lt;&gt;"",'Assemble Data'!D745&lt;&gt;B744),1,0),1)</f>
        <v>0</v>
      </c>
      <c r="F744" s="13">
        <f ca="1">IF('Assemble Data'!E745="",0,IF(ISERROR(FIND("INDEX",_xlfn.FORMULATEXT('Assemble Data'!E745),1)),1,0)+IFERROR(IF(AND('Assemble Data'!E745&lt;&gt;C744,'Assemble Data'!E745&lt;&gt;""),1,0),1))</f>
        <v>0</v>
      </c>
      <c r="G744" s="13">
        <f ca="1">IF('Assemble Data'!F745="",0,IF(ISERROR(FIND("VLOOKUP",_xlfn.FORMULATEXT('Assemble Data'!F745),1)),1,0)+IFERROR(IF(AND('Assemble Data'!F745&lt;&gt;D744,'Assemble Data'!F745&lt;&gt;""),1,0),1))</f>
        <v>0</v>
      </c>
      <c r="H744" s="13">
        <f t="shared" si="38"/>
        <v>9</v>
      </c>
      <c r="I744" t="str">
        <f t="shared" si="39"/>
        <v>C2P11</v>
      </c>
    </row>
    <row r="745" spans="1:9">
      <c r="A745" t="str">
        <f>'Assemble Data'!B746</f>
        <v>P11</v>
      </c>
      <c r="B745" s="13">
        <f>IFERROR(SUMIF('Assemble Data'!K:K,'Assemble Data'!A746,'Assemble Data'!L:L),0)</f>
        <v>11000</v>
      </c>
      <c r="C745" s="13" t="str">
        <f>INDEX('Assemble Data'!$O$24:$O$1023,MATCH('Assemble Data'!A746,'Assemble Data'!$N$24:$N$1023,0))</f>
        <v>C2</v>
      </c>
      <c r="D745" s="13">
        <f>SUMIF('Assemble Data'!H:H,'Assemble Data'!A746,'Assemble Data'!I:I)</f>
        <v>11</v>
      </c>
      <c r="E745" s="13">
        <f>IFERROR(IF(AND('Assemble Data'!D746&lt;&gt;"",'Assemble Data'!D746&lt;&gt;B745),1,0),1)</f>
        <v>0</v>
      </c>
      <c r="F745" s="13">
        <f ca="1">IF('Assemble Data'!E746="",0,IF(ISERROR(FIND("INDEX",_xlfn.FORMULATEXT('Assemble Data'!E746),1)),1,0)+IFERROR(IF(AND('Assemble Data'!E746&lt;&gt;C745,'Assemble Data'!E746&lt;&gt;""),1,0),1))</f>
        <v>0</v>
      </c>
      <c r="G745" s="13">
        <f ca="1">IF('Assemble Data'!F746="",0,IF(ISERROR(FIND("VLOOKUP",_xlfn.FORMULATEXT('Assemble Data'!F746),1)),1,0)+IFERROR(IF(AND('Assemble Data'!F746&lt;&gt;D745,'Assemble Data'!F746&lt;&gt;""),1,0),1))</f>
        <v>0</v>
      </c>
      <c r="H745" s="13">
        <f t="shared" si="38"/>
        <v>9</v>
      </c>
      <c r="I745" t="str">
        <f t="shared" si="39"/>
        <v>C2P11</v>
      </c>
    </row>
    <row r="746" spans="1:9">
      <c r="A746" t="str">
        <f>'Assemble Data'!B747</f>
        <v>P12</v>
      </c>
      <c r="B746" s="13">
        <f>IFERROR(SUMIF('Assemble Data'!K:K,'Assemble Data'!A747,'Assemble Data'!L:L),0)</f>
        <v>6825</v>
      </c>
      <c r="C746" s="13" t="str">
        <f>INDEX('Assemble Data'!$O$24:$O$1023,MATCH('Assemble Data'!A747,'Assemble Data'!$N$24:$N$1023,0))</f>
        <v>C2</v>
      </c>
      <c r="D746" s="13">
        <f>SUMIF('Assemble Data'!H:H,'Assemble Data'!A747,'Assemble Data'!I:I)</f>
        <v>6.5</v>
      </c>
      <c r="E746" s="13">
        <f>IFERROR(IF(AND('Assemble Data'!D747&lt;&gt;"",'Assemble Data'!D747&lt;&gt;B746),1,0),1)</f>
        <v>0</v>
      </c>
      <c r="F746" s="13">
        <f ca="1">IF('Assemble Data'!E747="",0,IF(ISERROR(FIND("INDEX",_xlfn.FORMULATEXT('Assemble Data'!E747),1)),1,0)+IFERROR(IF(AND('Assemble Data'!E747&lt;&gt;C746,'Assemble Data'!E747&lt;&gt;""),1,0),1))</f>
        <v>0</v>
      </c>
      <c r="G746" s="13">
        <f ca="1">IF('Assemble Data'!F747="",0,IF(ISERROR(FIND("VLOOKUP",_xlfn.FORMULATEXT('Assemble Data'!F747),1)),1,0)+IFERROR(IF(AND('Assemble Data'!F747&lt;&gt;D746,'Assemble Data'!F747&lt;&gt;""),1,0),1))</f>
        <v>0</v>
      </c>
      <c r="H746" s="13">
        <f t="shared" si="38"/>
        <v>7</v>
      </c>
      <c r="I746" t="str">
        <f t="shared" si="39"/>
        <v>C2P12</v>
      </c>
    </row>
    <row r="747" spans="1:9">
      <c r="A747" t="str">
        <f>'Assemble Data'!B748</f>
        <v>P10</v>
      </c>
      <c r="B747" s="13">
        <f>IFERROR(SUMIF('Assemble Data'!K:K,'Assemble Data'!A748,'Assemble Data'!L:L),0)</f>
        <v>2400</v>
      </c>
      <c r="C747" s="13" t="str">
        <f>INDEX('Assemble Data'!$O$24:$O$1023,MATCH('Assemble Data'!A748,'Assemble Data'!$N$24:$N$1023,0))</f>
        <v>C2</v>
      </c>
      <c r="D747" s="13">
        <f>SUMIF('Assemble Data'!H:H,'Assemble Data'!A748,'Assemble Data'!I:I)</f>
        <v>3</v>
      </c>
      <c r="E747" s="13">
        <f>IFERROR(IF(AND('Assemble Data'!D748&lt;&gt;"",'Assemble Data'!D748&lt;&gt;B747),1,0),1)</f>
        <v>0</v>
      </c>
      <c r="F747" s="13">
        <f ca="1">IF('Assemble Data'!E748="",0,IF(ISERROR(FIND("INDEX",_xlfn.FORMULATEXT('Assemble Data'!E748),1)),1,0)+IFERROR(IF(AND('Assemble Data'!E748&lt;&gt;C747,'Assemble Data'!E748&lt;&gt;""),1,0),1))</f>
        <v>0</v>
      </c>
      <c r="G747" s="13">
        <f ca="1">IF('Assemble Data'!F748="",0,IF(ISERROR(FIND("VLOOKUP",_xlfn.FORMULATEXT('Assemble Data'!F748),1)),1,0)+IFERROR(IF(AND('Assemble Data'!F748&lt;&gt;D747,'Assemble Data'!F748&lt;&gt;""),1,0),1))</f>
        <v>0</v>
      </c>
      <c r="H747" s="13">
        <f t="shared" si="38"/>
        <v>8</v>
      </c>
      <c r="I747" t="str">
        <f t="shared" si="39"/>
        <v>C2P10</v>
      </c>
    </row>
    <row r="748" spans="1:9">
      <c r="A748" t="str">
        <f>'Assemble Data'!B749</f>
        <v>P10</v>
      </c>
      <c r="B748" s="13">
        <f>IFERROR(SUMIF('Assemble Data'!K:K,'Assemble Data'!A749,'Assemble Data'!L:L),0)</f>
        <v>2400</v>
      </c>
      <c r="C748" s="13" t="str">
        <f>INDEX('Assemble Data'!$O$24:$O$1023,MATCH('Assemble Data'!A749,'Assemble Data'!$N$24:$N$1023,0))</f>
        <v>C2</v>
      </c>
      <c r="D748" s="13">
        <f>SUMIF('Assemble Data'!H:H,'Assemble Data'!A749,'Assemble Data'!I:I)</f>
        <v>3</v>
      </c>
      <c r="E748" s="13">
        <f>IFERROR(IF(AND('Assemble Data'!D749&lt;&gt;"",'Assemble Data'!D749&lt;&gt;B748),1,0),1)</f>
        <v>0</v>
      </c>
      <c r="F748" s="13">
        <f ca="1">IF('Assemble Data'!E749="",0,IF(ISERROR(FIND("INDEX",_xlfn.FORMULATEXT('Assemble Data'!E749),1)),1,0)+IFERROR(IF(AND('Assemble Data'!E749&lt;&gt;C748,'Assemble Data'!E749&lt;&gt;""),1,0),1))</f>
        <v>0</v>
      </c>
      <c r="G748" s="13">
        <f ca="1">IF('Assemble Data'!F749="",0,IF(ISERROR(FIND("VLOOKUP",_xlfn.FORMULATEXT('Assemble Data'!F749),1)),1,0)+IFERROR(IF(AND('Assemble Data'!F749&lt;&gt;D748,'Assemble Data'!F749&lt;&gt;""),1,0),1))</f>
        <v>0</v>
      </c>
      <c r="H748" s="13">
        <f t="shared" si="38"/>
        <v>8</v>
      </c>
      <c r="I748" t="str">
        <f t="shared" si="39"/>
        <v>C2P10</v>
      </c>
    </row>
    <row r="749" spans="1:9">
      <c r="A749" t="str">
        <f>'Assemble Data'!B750</f>
        <v>P11</v>
      </c>
      <c r="B749" s="13">
        <f>IFERROR(SUMIF('Assemble Data'!K:K,'Assemble Data'!A750,'Assemble Data'!L:L),0)</f>
        <v>11000</v>
      </c>
      <c r="C749" s="13" t="str">
        <f>INDEX('Assemble Data'!$O$24:$O$1023,MATCH('Assemble Data'!A750,'Assemble Data'!$N$24:$N$1023,0))</f>
        <v>C2</v>
      </c>
      <c r="D749" s="13">
        <f>SUMIF('Assemble Data'!H:H,'Assemble Data'!A750,'Assemble Data'!I:I)</f>
        <v>11</v>
      </c>
      <c r="E749" s="13">
        <f>IFERROR(IF(AND('Assemble Data'!D750&lt;&gt;"",'Assemble Data'!D750&lt;&gt;B749),1,0),1)</f>
        <v>0</v>
      </c>
      <c r="F749" s="13">
        <f ca="1">IF('Assemble Data'!E750="",0,IF(ISERROR(FIND("INDEX",_xlfn.FORMULATEXT('Assemble Data'!E750),1)),1,0)+IFERROR(IF(AND('Assemble Data'!E750&lt;&gt;C749,'Assemble Data'!E750&lt;&gt;""),1,0),1))</f>
        <v>0</v>
      </c>
      <c r="G749" s="13">
        <f ca="1">IF('Assemble Data'!F750="",0,IF(ISERROR(FIND("VLOOKUP",_xlfn.FORMULATEXT('Assemble Data'!F750),1)),1,0)+IFERROR(IF(AND('Assemble Data'!F750&lt;&gt;D749,'Assemble Data'!F750&lt;&gt;""),1,0),1))</f>
        <v>0</v>
      </c>
      <c r="H749" s="13">
        <f t="shared" si="38"/>
        <v>9</v>
      </c>
      <c r="I749" t="str">
        <f t="shared" si="39"/>
        <v>C2P11</v>
      </c>
    </row>
    <row r="750" spans="1:9">
      <c r="A750" t="str">
        <f>'Assemble Data'!B751</f>
        <v>P18</v>
      </c>
      <c r="B750" s="13">
        <f>IFERROR(SUMIF('Assemble Data'!K:K,'Assemble Data'!A751,'Assemble Data'!L:L),0)</f>
        <v>5940.0000000000009</v>
      </c>
      <c r="C750" s="13" t="str">
        <f>INDEX('Assemble Data'!$O$24:$O$1023,MATCH('Assemble Data'!A751,'Assemble Data'!$N$24:$N$1023,0))</f>
        <v>O2</v>
      </c>
      <c r="D750" s="13">
        <f>SUMIF('Assemble Data'!H:H,'Assemble Data'!A751,'Assemble Data'!I:I)</f>
        <v>6</v>
      </c>
      <c r="E750" s="13">
        <f>IFERROR(IF(AND('Assemble Data'!D751&lt;&gt;"",'Assemble Data'!D751&lt;&gt;B750),1,0),1)</f>
        <v>0</v>
      </c>
      <c r="F750" s="13">
        <f ca="1">IF('Assemble Data'!E751="",0,IF(ISERROR(FIND("INDEX",_xlfn.FORMULATEXT('Assemble Data'!E751),1)),1,0)+IFERROR(IF(AND('Assemble Data'!E751&lt;&gt;C750,'Assemble Data'!E751&lt;&gt;""),1,0),1))</f>
        <v>0</v>
      </c>
      <c r="G750" s="13">
        <f ca="1">IF('Assemble Data'!F751="",0,IF(ISERROR(FIND("VLOOKUP",_xlfn.FORMULATEXT('Assemble Data'!F751),1)),1,0)+IFERROR(IF(AND('Assemble Data'!F751&lt;&gt;D750,'Assemble Data'!F751&lt;&gt;""),1,0),1))</f>
        <v>0</v>
      </c>
      <c r="H750" s="13">
        <f t="shared" si="38"/>
        <v>2</v>
      </c>
      <c r="I750" t="str">
        <f t="shared" si="39"/>
        <v>O2P18</v>
      </c>
    </row>
    <row r="751" spans="1:9">
      <c r="A751" t="str">
        <f>'Assemble Data'!B752</f>
        <v>P14</v>
      </c>
      <c r="B751" s="13">
        <f>IFERROR(SUMIF('Assemble Data'!K:K,'Assemble Data'!A752,'Assemble Data'!L:L),0)</f>
        <v>6480</v>
      </c>
      <c r="C751" s="13" t="str">
        <f>INDEX('Assemble Data'!$O$24:$O$1023,MATCH('Assemble Data'!A752,'Assemble Data'!$N$24:$N$1023,0))</f>
        <v>N2</v>
      </c>
      <c r="D751" s="13">
        <f>SUMIF('Assemble Data'!H:H,'Assemble Data'!A752,'Assemble Data'!I:I)</f>
        <v>8</v>
      </c>
      <c r="E751" s="13">
        <f>IFERROR(IF(AND('Assemble Data'!D752&lt;&gt;"",'Assemble Data'!D752&lt;&gt;B751),1,0),1)</f>
        <v>0</v>
      </c>
      <c r="F751" s="13">
        <f ca="1">IF('Assemble Data'!E752="",0,IF(ISERROR(FIND("INDEX",_xlfn.FORMULATEXT('Assemble Data'!E752),1)),1,0)+IFERROR(IF(AND('Assemble Data'!E752&lt;&gt;C751,'Assemble Data'!E752&lt;&gt;""),1,0),1))</f>
        <v>0</v>
      </c>
      <c r="G751" s="13">
        <f ca="1">IF('Assemble Data'!F752="",0,IF(ISERROR(FIND("VLOOKUP",_xlfn.FORMULATEXT('Assemble Data'!F752),1)),1,0)+IFERROR(IF(AND('Assemble Data'!F752&lt;&gt;D751,'Assemble Data'!F752&lt;&gt;""),1,0),1))</f>
        <v>0</v>
      </c>
      <c r="H751" s="13">
        <f t="shared" si="38"/>
        <v>5</v>
      </c>
      <c r="I751" t="str">
        <f t="shared" si="39"/>
        <v>N2P14</v>
      </c>
    </row>
    <row r="752" spans="1:9">
      <c r="A752" t="str">
        <f>'Assemble Data'!B753</f>
        <v>P10</v>
      </c>
      <c r="B752" s="13">
        <f>IFERROR(SUMIF('Assemble Data'!K:K,'Assemble Data'!A753,'Assemble Data'!L:L),0)</f>
        <v>2400</v>
      </c>
      <c r="C752" s="13" t="str">
        <f>INDEX('Assemble Data'!$O$24:$O$1023,MATCH('Assemble Data'!A753,'Assemble Data'!$N$24:$N$1023,0))</f>
        <v>C2</v>
      </c>
      <c r="D752" s="13">
        <f>SUMIF('Assemble Data'!H:H,'Assemble Data'!A753,'Assemble Data'!I:I)</f>
        <v>3</v>
      </c>
      <c r="E752" s="13">
        <f>IFERROR(IF(AND('Assemble Data'!D753&lt;&gt;"",'Assemble Data'!D753&lt;&gt;B752),1,0),1)</f>
        <v>0</v>
      </c>
      <c r="F752" s="13">
        <f ca="1">IF('Assemble Data'!E753="",0,IF(ISERROR(FIND("INDEX",_xlfn.FORMULATEXT('Assemble Data'!E753),1)),1,0)+IFERROR(IF(AND('Assemble Data'!E753&lt;&gt;C752,'Assemble Data'!E753&lt;&gt;""),1,0),1))</f>
        <v>0</v>
      </c>
      <c r="G752" s="13">
        <f ca="1">IF('Assemble Data'!F753="",0,IF(ISERROR(FIND("VLOOKUP",_xlfn.FORMULATEXT('Assemble Data'!F753),1)),1,0)+IFERROR(IF(AND('Assemble Data'!F753&lt;&gt;D752,'Assemble Data'!F753&lt;&gt;""),1,0),1))</f>
        <v>0</v>
      </c>
      <c r="H752" s="13">
        <f t="shared" si="38"/>
        <v>8</v>
      </c>
      <c r="I752" t="str">
        <f t="shared" si="39"/>
        <v>C2P10</v>
      </c>
    </row>
    <row r="753" spans="1:9">
      <c r="A753" t="str">
        <f>'Assemble Data'!B754</f>
        <v>P13</v>
      </c>
      <c r="B753" s="13">
        <f>IFERROR(SUMIF('Assemble Data'!K:K,'Assemble Data'!A754,'Assemble Data'!L:L),0)</f>
        <v>4500</v>
      </c>
      <c r="C753" s="13" t="str">
        <f>INDEX('Assemble Data'!$O$24:$O$1023,MATCH('Assemble Data'!A754,'Assemble Data'!$N$24:$N$1023,0))</f>
        <v>C2</v>
      </c>
      <c r="D753" s="13">
        <f>SUMIF('Assemble Data'!H:H,'Assemble Data'!A754,'Assemble Data'!I:I)</f>
        <v>5</v>
      </c>
      <c r="E753" s="13">
        <f>IFERROR(IF(AND('Assemble Data'!D754&lt;&gt;"",'Assemble Data'!D754&lt;&gt;B753),1,0),1)</f>
        <v>0</v>
      </c>
      <c r="F753" s="13">
        <f ca="1">IF('Assemble Data'!E754="",0,IF(ISERROR(FIND("INDEX",_xlfn.FORMULATEXT('Assemble Data'!E754),1)),1,0)+IFERROR(IF(AND('Assemble Data'!E754&lt;&gt;C753,'Assemble Data'!E754&lt;&gt;""),1,0),1))</f>
        <v>0</v>
      </c>
      <c r="G753" s="13">
        <f ca="1">IF('Assemble Data'!F754="",0,IF(ISERROR(FIND("VLOOKUP",_xlfn.FORMULATEXT('Assemble Data'!F754),1)),1,0)+IFERROR(IF(AND('Assemble Data'!F754&lt;&gt;D753,'Assemble Data'!F754&lt;&gt;""),1,0),1))</f>
        <v>0</v>
      </c>
      <c r="H753" s="13">
        <f t="shared" si="38"/>
        <v>3</v>
      </c>
      <c r="I753" t="str">
        <f t="shared" si="39"/>
        <v>C2P13</v>
      </c>
    </row>
    <row r="754" spans="1:9">
      <c r="A754" t="str">
        <f>'Assemble Data'!B755</f>
        <v>P13</v>
      </c>
      <c r="B754" s="13">
        <f>IFERROR(SUMIF('Assemble Data'!K:K,'Assemble Data'!A755,'Assemble Data'!L:L),0)</f>
        <v>4500</v>
      </c>
      <c r="C754" s="13" t="str">
        <f>INDEX('Assemble Data'!$O$24:$O$1023,MATCH('Assemble Data'!A755,'Assemble Data'!$N$24:$N$1023,0))</f>
        <v>C2</v>
      </c>
      <c r="D754" s="13">
        <f>SUMIF('Assemble Data'!H:H,'Assemble Data'!A755,'Assemble Data'!I:I)</f>
        <v>5</v>
      </c>
      <c r="E754" s="13">
        <f>IFERROR(IF(AND('Assemble Data'!D755&lt;&gt;"",'Assemble Data'!D755&lt;&gt;B754),1,0),1)</f>
        <v>0</v>
      </c>
      <c r="F754" s="13">
        <f ca="1">IF('Assemble Data'!E755="",0,IF(ISERROR(FIND("INDEX",_xlfn.FORMULATEXT('Assemble Data'!E755),1)),1,0)+IFERROR(IF(AND('Assemble Data'!E755&lt;&gt;C754,'Assemble Data'!E755&lt;&gt;""),1,0),1))</f>
        <v>0</v>
      </c>
      <c r="G754" s="13">
        <f ca="1">IF('Assemble Data'!F755="",0,IF(ISERROR(FIND("VLOOKUP",_xlfn.FORMULATEXT('Assemble Data'!F755),1)),1,0)+IFERROR(IF(AND('Assemble Data'!F755&lt;&gt;D754,'Assemble Data'!F755&lt;&gt;""),1,0),1))</f>
        <v>0</v>
      </c>
      <c r="H754" s="13">
        <f t="shared" si="38"/>
        <v>3</v>
      </c>
      <c r="I754" t="str">
        <f t="shared" si="39"/>
        <v>C2P13</v>
      </c>
    </row>
    <row r="755" spans="1:9">
      <c r="A755" t="str">
        <f>'Assemble Data'!B756</f>
        <v>P10</v>
      </c>
      <c r="B755" s="13">
        <f>IFERROR(SUMIF('Assemble Data'!K:K,'Assemble Data'!A756,'Assemble Data'!L:L),0)</f>
        <v>2400</v>
      </c>
      <c r="C755" s="13" t="str">
        <f>INDEX('Assemble Data'!$O$24:$O$1023,MATCH('Assemble Data'!A756,'Assemble Data'!$N$24:$N$1023,0))</f>
        <v>C2</v>
      </c>
      <c r="D755" s="13">
        <f>SUMIF('Assemble Data'!H:H,'Assemble Data'!A756,'Assemble Data'!I:I)</f>
        <v>3</v>
      </c>
      <c r="E755" s="13">
        <f>IFERROR(IF(AND('Assemble Data'!D756&lt;&gt;"",'Assemble Data'!D756&lt;&gt;B755),1,0),1)</f>
        <v>0</v>
      </c>
      <c r="F755" s="13">
        <f ca="1">IF('Assemble Data'!E756="",0,IF(ISERROR(FIND("INDEX",_xlfn.FORMULATEXT('Assemble Data'!E756),1)),1,0)+IFERROR(IF(AND('Assemble Data'!E756&lt;&gt;C755,'Assemble Data'!E756&lt;&gt;""),1,0),1))</f>
        <v>0</v>
      </c>
      <c r="G755" s="13">
        <f ca="1">IF('Assemble Data'!F756="",0,IF(ISERROR(FIND("VLOOKUP",_xlfn.FORMULATEXT('Assemble Data'!F756),1)),1,0)+IFERROR(IF(AND('Assemble Data'!F756&lt;&gt;D755,'Assemble Data'!F756&lt;&gt;""),1,0),1))</f>
        <v>0</v>
      </c>
      <c r="H755" s="13">
        <f t="shared" si="38"/>
        <v>8</v>
      </c>
      <c r="I755" t="str">
        <f t="shared" si="39"/>
        <v>C2P10</v>
      </c>
    </row>
    <row r="756" spans="1:9">
      <c r="A756" t="str">
        <f>'Assemble Data'!B757</f>
        <v>P11</v>
      </c>
      <c r="B756" s="13">
        <f>IFERROR(SUMIF('Assemble Data'!K:K,'Assemble Data'!A757,'Assemble Data'!L:L),0)</f>
        <v>11000</v>
      </c>
      <c r="C756" s="13" t="str">
        <f>INDEX('Assemble Data'!$O$24:$O$1023,MATCH('Assemble Data'!A757,'Assemble Data'!$N$24:$N$1023,0))</f>
        <v>C2</v>
      </c>
      <c r="D756" s="13">
        <f>SUMIF('Assemble Data'!H:H,'Assemble Data'!A757,'Assemble Data'!I:I)</f>
        <v>11</v>
      </c>
      <c r="E756" s="13">
        <f>IFERROR(IF(AND('Assemble Data'!D757&lt;&gt;"",'Assemble Data'!D757&lt;&gt;B756),1,0),1)</f>
        <v>0</v>
      </c>
      <c r="F756" s="13">
        <f ca="1">IF('Assemble Data'!E757="",0,IF(ISERROR(FIND("INDEX",_xlfn.FORMULATEXT('Assemble Data'!E757),1)),1,0)+IFERROR(IF(AND('Assemble Data'!E757&lt;&gt;C756,'Assemble Data'!E757&lt;&gt;""),1,0),1))</f>
        <v>0</v>
      </c>
      <c r="G756" s="13">
        <f ca="1">IF('Assemble Data'!F757="",0,IF(ISERROR(FIND("VLOOKUP",_xlfn.FORMULATEXT('Assemble Data'!F757),1)),1,0)+IFERROR(IF(AND('Assemble Data'!F757&lt;&gt;D756,'Assemble Data'!F757&lt;&gt;""),1,0),1))</f>
        <v>0</v>
      </c>
      <c r="H756" s="13">
        <f t="shared" si="38"/>
        <v>9</v>
      </c>
      <c r="I756" t="str">
        <f t="shared" si="39"/>
        <v>C2P11</v>
      </c>
    </row>
    <row r="757" spans="1:9">
      <c r="A757" t="str">
        <f>'Assemble Data'!B758</f>
        <v>P16</v>
      </c>
      <c r="B757" s="13">
        <f>IFERROR(SUMIF('Assemble Data'!K:K,'Assemble Data'!A758,'Assemble Data'!L:L),0)</f>
        <v>4680</v>
      </c>
      <c r="C757" s="13" t="str">
        <f>INDEX('Assemble Data'!$O$24:$O$1023,MATCH('Assemble Data'!A758,'Assemble Data'!$N$24:$N$1023,0))</f>
        <v>N2</v>
      </c>
      <c r="D757" s="13">
        <f>SUMIF('Assemble Data'!H:H,'Assemble Data'!A758,'Assemble Data'!I:I)</f>
        <v>4</v>
      </c>
      <c r="E757" s="13">
        <f>IFERROR(IF(AND('Assemble Data'!D758&lt;&gt;"",'Assemble Data'!D758&lt;&gt;B757),1,0),1)</f>
        <v>0</v>
      </c>
      <c r="F757" s="13">
        <f ca="1">IF('Assemble Data'!E758="",0,IF(ISERROR(FIND("INDEX",_xlfn.FORMULATEXT('Assemble Data'!E758),1)),1,0)+IFERROR(IF(AND('Assemble Data'!E758&lt;&gt;C757,'Assemble Data'!E758&lt;&gt;""),1,0),1))</f>
        <v>0</v>
      </c>
      <c r="G757" s="13">
        <f ca="1">IF('Assemble Data'!F758="",0,IF(ISERROR(FIND("VLOOKUP",_xlfn.FORMULATEXT('Assemble Data'!F758),1)),1,0)+IFERROR(IF(AND('Assemble Data'!F758&lt;&gt;D757,'Assemble Data'!F758&lt;&gt;""),1,0),1))</f>
        <v>0</v>
      </c>
      <c r="H757" s="13">
        <f t="shared" si="38"/>
        <v>0</v>
      </c>
      <c r="I757" t="str">
        <f t="shared" si="39"/>
        <v>N2P16</v>
      </c>
    </row>
    <row r="758" spans="1:9">
      <c r="A758" t="str">
        <f>'Assemble Data'!B759</f>
        <v>P17</v>
      </c>
      <c r="B758" s="13">
        <f>IFERROR(SUMIF('Assemble Data'!K:K,'Assemble Data'!A759,'Assemble Data'!L:L),0)</f>
        <v>13200.000000000002</v>
      </c>
      <c r="C758" s="13" t="str">
        <f>INDEX('Assemble Data'!$O$24:$O$1023,MATCH('Assemble Data'!A759,'Assemble Data'!$N$24:$N$1023,0))</f>
        <v>O2</v>
      </c>
      <c r="D758" s="13">
        <f>SUMIF('Assemble Data'!H:H,'Assemble Data'!A759,'Assemble Data'!I:I)</f>
        <v>12</v>
      </c>
      <c r="E758" s="13">
        <f>IFERROR(IF(AND('Assemble Data'!D759&lt;&gt;"",'Assemble Data'!D759&lt;&gt;B758),1,0),1)</f>
        <v>0</v>
      </c>
      <c r="F758" s="13">
        <f ca="1">IF('Assemble Data'!E759="",0,IF(ISERROR(FIND("INDEX",_xlfn.FORMULATEXT('Assemble Data'!E759),1)),1,0)+IFERROR(IF(AND('Assemble Data'!E759&lt;&gt;C758,'Assemble Data'!E759&lt;&gt;""),1,0),1))</f>
        <v>0</v>
      </c>
      <c r="G758" s="13">
        <f ca="1">IF('Assemble Data'!F759="",0,IF(ISERROR(FIND("VLOOKUP",_xlfn.FORMULATEXT('Assemble Data'!F759),1)),1,0)+IFERROR(IF(AND('Assemble Data'!F759&lt;&gt;D758,'Assemble Data'!F759&lt;&gt;""),1,0),1))</f>
        <v>0</v>
      </c>
      <c r="H758" s="13">
        <f t="shared" si="38"/>
        <v>6</v>
      </c>
      <c r="I758" t="str">
        <f t="shared" si="39"/>
        <v>O2P17</v>
      </c>
    </row>
    <row r="759" spans="1:9">
      <c r="A759" t="str">
        <f>'Assemble Data'!B760</f>
        <v>P17</v>
      </c>
      <c r="B759" s="13">
        <f>IFERROR(SUMIF('Assemble Data'!K:K,'Assemble Data'!A760,'Assemble Data'!L:L),0)</f>
        <v>13200.000000000002</v>
      </c>
      <c r="C759" s="13" t="str">
        <f>INDEX('Assemble Data'!$O$24:$O$1023,MATCH('Assemble Data'!A760,'Assemble Data'!$N$24:$N$1023,0))</f>
        <v>O2</v>
      </c>
      <c r="D759" s="13">
        <f>SUMIF('Assemble Data'!H:H,'Assemble Data'!A760,'Assemble Data'!I:I)</f>
        <v>12</v>
      </c>
      <c r="E759" s="13">
        <f>IFERROR(IF(AND('Assemble Data'!D760&lt;&gt;"",'Assemble Data'!D760&lt;&gt;B759),1,0),1)</f>
        <v>0</v>
      </c>
      <c r="F759" s="13">
        <f ca="1">IF('Assemble Data'!E760="",0,IF(ISERROR(FIND("INDEX",_xlfn.FORMULATEXT('Assemble Data'!E760),1)),1,0)+IFERROR(IF(AND('Assemble Data'!E760&lt;&gt;C759,'Assemble Data'!E760&lt;&gt;""),1,0),1))</f>
        <v>0</v>
      </c>
      <c r="G759" s="13">
        <f ca="1">IF('Assemble Data'!F760="",0,IF(ISERROR(FIND("VLOOKUP",_xlfn.FORMULATEXT('Assemble Data'!F760),1)),1,0)+IFERROR(IF(AND('Assemble Data'!F760&lt;&gt;D759,'Assemble Data'!F760&lt;&gt;""),1,0),1))</f>
        <v>0</v>
      </c>
      <c r="H759" s="13">
        <f t="shared" si="38"/>
        <v>6</v>
      </c>
      <c r="I759" t="str">
        <f t="shared" si="39"/>
        <v>O2P17</v>
      </c>
    </row>
    <row r="760" spans="1:9">
      <c r="A760" t="str">
        <f>'Assemble Data'!B761</f>
        <v>P13</v>
      </c>
      <c r="B760" s="13">
        <f>IFERROR(SUMIF('Assemble Data'!K:K,'Assemble Data'!A761,'Assemble Data'!L:L),0)</f>
        <v>9000</v>
      </c>
      <c r="C760" s="13" t="str">
        <f>INDEX('Assemble Data'!$O$24:$O$1023,MATCH('Assemble Data'!A761,'Assemble Data'!$N$24:$N$1023,0))</f>
        <v>C2</v>
      </c>
      <c r="D760" s="13">
        <f>SUMIF('Assemble Data'!H:H,'Assemble Data'!A761,'Assemble Data'!I:I)</f>
        <v>5</v>
      </c>
      <c r="E760" s="13">
        <f>IFERROR(IF(AND('Assemble Data'!D761&lt;&gt;"",'Assemble Data'!D761&lt;&gt;B760),1,0),1)</f>
        <v>0</v>
      </c>
      <c r="F760" s="13">
        <f ca="1">IF('Assemble Data'!E761="",0,IF(ISERROR(FIND("INDEX",_xlfn.FORMULATEXT('Assemble Data'!E761),1)),1,0)+IFERROR(IF(AND('Assemble Data'!E761&lt;&gt;C760,'Assemble Data'!E761&lt;&gt;""),1,0),1))</f>
        <v>0</v>
      </c>
      <c r="G760" s="13">
        <f ca="1">IF('Assemble Data'!F761="",0,IF(ISERROR(FIND("VLOOKUP",_xlfn.FORMULATEXT('Assemble Data'!F761),1)),1,0)+IFERROR(IF(AND('Assemble Data'!F761&lt;&gt;D760,'Assemble Data'!F761&lt;&gt;""),1,0),1))</f>
        <v>0</v>
      </c>
      <c r="H760" s="13">
        <f t="shared" si="38"/>
        <v>3</v>
      </c>
      <c r="I760" t="str">
        <f t="shared" si="39"/>
        <v>C2P13</v>
      </c>
    </row>
    <row r="761" spans="1:9">
      <c r="A761" t="str">
        <f>'Assemble Data'!B762</f>
        <v>P11</v>
      </c>
      <c r="B761" s="13">
        <f>IFERROR(SUMIF('Assemble Data'!K:K,'Assemble Data'!A762,'Assemble Data'!L:L),0)</f>
        <v>11000</v>
      </c>
      <c r="C761" s="13" t="str">
        <f>INDEX('Assemble Data'!$O$24:$O$1023,MATCH('Assemble Data'!A762,'Assemble Data'!$N$24:$N$1023,0))</f>
        <v>C2</v>
      </c>
      <c r="D761" s="13">
        <f>SUMIF('Assemble Data'!H:H,'Assemble Data'!A762,'Assemble Data'!I:I)</f>
        <v>11</v>
      </c>
      <c r="E761" s="13">
        <f>IFERROR(IF(AND('Assemble Data'!D762&lt;&gt;"",'Assemble Data'!D762&lt;&gt;B761),1,0),1)</f>
        <v>0</v>
      </c>
      <c r="F761" s="13">
        <f ca="1">IF('Assemble Data'!E762="",0,IF(ISERROR(FIND("INDEX",_xlfn.FORMULATEXT('Assemble Data'!E762),1)),1,0)+IFERROR(IF(AND('Assemble Data'!E762&lt;&gt;C761,'Assemble Data'!E762&lt;&gt;""),1,0),1))</f>
        <v>0</v>
      </c>
      <c r="G761" s="13">
        <f ca="1">IF('Assemble Data'!F762="",0,IF(ISERROR(FIND("VLOOKUP",_xlfn.FORMULATEXT('Assemble Data'!F762),1)),1,0)+IFERROR(IF(AND('Assemble Data'!F762&lt;&gt;D761,'Assemble Data'!F762&lt;&gt;""),1,0),1))</f>
        <v>0</v>
      </c>
      <c r="H761" s="13">
        <f t="shared" si="38"/>
        <v>9</v>
      </c>
      <c r="I761" t="str">
        <f t="shared" si="39"/>
        <v>C2P11</v>
      </c>
    </row>
    <row r="762" spans="1:9">
      <c r="A762" t="str">
        <f>'Assemble Data'!B763</f>
        <v>P11</v>
      </c>
      <c r="B762" s="13">
        <f>IFERROR(SUMIF('Assemble Data'!K:K,'Assemble Data'!A763,'Assemble Data'!L:L),0)</f>
        <v>11000</v>
      </c>
      <c r="C762" s="13" t="str">
        <f>INDEX('Assemble Data'!$O$24:$O$1023,MATCH('Assemble Data'!A763,'Assemble Data'!$N$24:$N$1023,0))</f>
        <v>C2</v>
      </c>
      <c r="D762" s="13">
        <f>SUMIF('Assemble Data'!H:H,'Assemble Data'!A763,'Assemble Data'!I:I)</f>
        <v>11</v>
      </c>
      <c r="E762" s="13">
        <f>IFERROR(IF(AND('Assemble Data'!D763&lt;&gt;"",'Assemble Data'!D763&lt;&gt;B762),1,0),1)</f>
        <v>0</v>
      </c>
      <c r="F762" s="13">
        <f ca="1">IF('Assemble Data'!E763="",0,IF(ISERROR(FIND("INDEX",_xlfn.FORMULATEXT('Assemble Data'!E763),1)),1,0)+IFERROR(IF(AND('Assemble Data'!E763&lt;&gt;C762,'Assemble Data'!E763&lt;&gt;""),1,0),1))</f>
        <v>0</v>
      </c>
      <c r="G762" s="13">
        <f ca="1">IF('Assemble Data'!F763="",0,IF(ISERROR(FIND("VLOOKUP",_xlfn.FORMULATEXT('Assemble Data'!F763),1)),1,0)+IFERROR(IF(AND('Assemble Data'!F763&lt;&gt;D762,'Assemble Data'!F763&lt;&gt;""),1,0),1))</f>
        <v>0</v>
      </c>
      <c r="H762" s="13">
        <f t="shared" si="38"/>
        <v>9</v>
      </c>
      <c r="I762" t="str">
        <f t="shared" si="39"/>
        <v>C2P11</v>
      </c>
    </row>
    <row r="763" spans="1:9">
      <c r="A763" t="str">
        <f>'Assemble Data'!B764</f>
        <v>P12</v>
      </c>
      <c r="B763" s="13">
        <f>IFERROR(SUMIF('Assemble Data'!K:K,'Assemble Data'!A764,'Assemble Data'!L:L),0)</f>
        <v>6825</v>
      </c>
      <c r="C763" s="13" t="str">
        <f>INDEX('Assemble Data'!$O$24:$O$1023,MATCH('Assemble Data'!A764,'Assemble Data'!$N$24:$N$1023,0))</f>
        <v>C2</v>
      </c>
      <c r="D763" s="13">
        <f>SUMIF('Assemble Data'!H:H,'Assemble Data'!A764,'Assemble Data'!I:I)</f>
        <v>6.5</v>
      </c>
      <c r="E763" s="13">
        <f>IFERROR(IF(AND('Assemble Data'!D764&lt;&gt;"",'Assemble Data'!D764&lt;&gt;B763),1,0),1)</f>
        <v>0</v>
      </c>
      <c r="F763" s="13">
        <f ca="1">IF('Assemble Data'!E764="",0,IF(ISERROR(FIND("INDEX",_xlfn.FORMULATEXT('Assemble Data'!E764),1)),1,0)+IFERROR(IF(AND('Assemble Data'!E764&lt;&gt;C763,'Assemble Data'!E764&lt;&gt;""),1,0),1))</f>
        <v>0</v>
      </c>
      <c r="G763" s="13">
        <f ca="1">IF('Assemble Data'!F764="",0,IF(ISERROR(FIND("VLOOKUP",_xlfn.FORMULATEXT('Assemble Data'!F764),1)),1,0)+IFERROR(IF(AND('Assemble Data'!F764&lt;&gt;D763,'Assemble Data'!F764&lt;&gt;""),1,0),1))</f>
        <v>0</v>
      </c>
      <c r="H763" s="13">
        <f t="shared" ref="H763:H826" si="40">H746</f>
        <v>7</v>
      </c>
      <c r="I763" t="str">
        <f t="shared" si="39"/>
        <v>C2P12</v>
      </c>
    </row>
    <row r="764" spans="1:9">
      <c r="A764" t="str">
        <f>'Assemble Data'!B765</f>
        <v>P10</v>
      </c>
      <c r="B764" s="13">
        <f>IFERROR(SUMIF('Assemble Data'!K:K,'Assemble Data'!A765,'Assemble Data'!L:L),0)</f>
        <v>2400</v>
      </c>
      <c r="C764" s="13" t="str">
        <f>INDEX('Assemble Data'!$O$24:$O$1023,MATCH('Assemble Data'!A765,'Assemble Data'!$N$24:$N$1023,0))</f>
        <v>C2</v>
      </c>
      <c r="D764" s="13">
        <f>SUMIF('Assemble Data'!H:H,'Assemble Data'!A765,'Assemble Data'!I:I)</f>
        <v>3</v>
      </c>
      <c r="E764" s="13">
        <f>IFERROR(IF(AND('Assemble Data'!D765&lt;&gt;"",'Assemble Data'!D765&lt;&gt;B764),1,0),1)</f>
        <v>0</v>
      </c>
      <c r="F764" s="13">
        <f ca="1">IF('Assemble Data'!E765="",0,IF(ISERROR(FIND("INDEX",_xlfn.FORMULATEXT('Assemble Data'!E765),1)),1,0)+IFERROR(IF(AND('Assemble Data'!E765&lt;&gt;C764,'Assemble Data'!E765&lt;&gt;""),1,0),1))</f>
        <v>0</v>
      </c>
      <c r="G764" s="13">
        <f ca="1">IF('Assemble Data'!F765="",0,IF(ISERROR(FIND("VLOOKUP",_xlfn.FORMULATEXT('Assemble Data'!F765),1)),1,0)+IFERROR(IF(AND('Assemble Data'!F765&lt;&gt;D764,'Assemble Data'!F765&lt;&gt;""),1,0),1))</f>
        <v>0</v>
      </c>
      <c r="H764" s="13">
        <f t="shared" si="40"/>
        <v>8</v>
      </c>
      <c r="I764" t="str">
        <f t="shared" si="39"/>
        <v>C2P10</v>
      </c>
    </row>
    <row r="765" spans="1:9">
      <c r="A765" t="str">
        <f>'Assemble Data'!B766</f>
        <v>P10</v>
      </c>
      <c r="B765" s="13">
        <f>IFERROR(SUMIF('Assemble Data'!K:K,'Assemble Data'!A766,'Assemble Data'!L:L),0)</f>
        <v>2400</v>
      </c>
      <c r="C765" s="13" t="str">
        <f>INDEX('Assemble Data'!$O$24:$O$1023,MATCH('Assemble Data'!A766,'Assemble Data'!$N$24:$N$1023,0))</f>
        <v>C2</v>
      </c>
      <c r="D765" s="13">
        <f>SUMIF('Assemble Data'!H:H,'Assemble Data'!A766,'Assemble Data'!I:I)</f>
        <v>3</v>
      </c>
      <c r="E765" s="13">
        <f>IFERROR(IF(AND('Assemble Data'!D766&lt;&gt;"",'Assemble Data'!D766&lt;&gt;B765),1,0),1)</f>
        <v>0</v>
      </c>
      <c r="F765" s="13">
        <f ca="1">IF('Assemble Data'!E766="",0,IF(ISERROR(FIND("INDEX",_xlfn.FORMULATEXT('Assemble Data'!E766),1)),1,0)+IFERROR(IF(AND('Assemble Data'!E766&lt;&gt;C765,'Assemble Data'!E766&lt;&gt;""),1,0),1))</f>
        <v>0</v>
      </c>
      <c r="G765" s="13">
        <f ca="1">IF('Assemble Data'!F766="",0,IF(ISERROR(FIND("VLOOKUP",_xlfn.FORMULATEXT('Assemble Data'!F766),1)),1,0)+IFERROR(IF(AND('Assemble Data'!F766&lt;&gt;D765,'Assemble Data'!F766&lt;&gt;""),1,0),1))</f>
        <v>0</v>
      </c>
      <c r="H765" s="13">
        <f t="shared" si="40"/>
        <v>8</v>
      </c>
      <c r="I765" t="str">
        <f t="shared" si="39"/>
        <v>C2P10</v>
      </c>
    </row>
    <row r="766" spans="1:9">
      <c r="A766" t="str">
        <f>'Assemble Data'!B767</f>
        <v>P11</v>
      </c>
      <c r="B766" s="13">
        <f>IFERROR(SUMIF('Assemble Data'!K:K,'Assemble Data'!A767,'Assemble Data'!L:L),0)</f>
        <v>11000</v>
      </c>
      <c r="C766" s="13" t="str">
        <f>INDEX('Assemble Data'!$O$24:$O$1023,MATCH('Assemble Data'!A767,'Assemble Data'!$N$24:$N$1023,0))</f>
        <v>C2</v>
      </c>
      <c r="D766" s="13">
        <f>SUMIF('Assemble Data'!H:H,'Assemble Data'!A767,'Assemble Data'!I:I)</f>
        <v>11</v>
      </c>
      <c r="E766" s="13">
        <f>IFERROR(IF(AND('Assemble Data'!D767&lt;&gt;"",'Assemble Data'!D767&lt;&gt;B766),1,0),1)</f>
        <v>0</v>
      </c>
      <c r="F766" s="13">
        <f ca="1">IF('Assemble Data'!E767="",0,IF(ISERROR(FIND("INDEX",_xlfn.FORMULATEXT('Assemble Data'!E767),1)),1,0)+IFERROR(IF(AND('Assemble Data'!E767&lt;&gt;C766,'Assemble Data'!E767&lt;&gt;""),1,0),1))</f>
        <v>0</v>
      </c>
      <c r="G766" s="13">
        <f ca="1">IF('Assemble Data'!F767="",0,IF(ISERROR(FIND("VLOOKUP",_xlfn.FORMULATEXT('Assemble Data'!F767),1)),1,0)+IFERROR(IF(AND('Assemble Data'!F767&lt;&gt;D766,'Assemble Data'!F767&lt;&gt;""),1,0),1))</f>
        <v>0</v>
      </c>
      <c r="H766" s="13">
        <f t="shared" si="40"/>
        <v>9</v>
      </c>
      <c r="I766" t="str">
        <f t="shared" si="39"/>
        <v>C2P11</v>
      </c>
    </row>
    <row r="767" spans="1:9">
      <c r="A767" t="str">
        <f>'Assemble Data'!B768</f>
        <v>P18</v>
      </c>
      <c r="B767" s="13">
        <f>IFERROR(SUMIF('Assemble Data'!K:K,'Assemble Data'!A768,'Assemble Data'!L:L),0)</f>
        <v>5940.0000000000009</v>
      </c>
      <c r="C767" s="13" t="str">
        <f>INDEX('Assemble Data'!$O$24:$O$1023,MATCH('Assemble Data'!A768,'Assemble Data'!$N$24:$N$1023,0))</f>
        <v>O2</v>
      </c>
      <c r="D767" s="13">
        <f>SUMIF('Assemble Data'!H:H,'Assemble Data'!A768,'Assemble Data'!I:I)</f>
        <v>6</v>
      </c>
      <c r="E767" s="13">
        <f>IFERROR(IF(AND('Assemble Data'!D768&lt;&gt;"",'Assemble Data'!D768&lt;&gt;B767),1,0),1)</f>
        <v>0</v>
      </c>
      <c r="F767" s="13">
        <f ca="1">IF('Assemble Data'!E768="",0,IF(ISERROR(FIND("INDEX",_xlfn.FORMULATEXT('Assemble Data'!E768),1)),1,0)+IFERROR(IF(AND('Assemble Data'!E768&lt;&gt;C767,'Assemble Data'!E768&lt;&gt;""),1,0),1))</f>
        <v>0</v>
      </c>
      <c r="G767" s="13">
        <f ca="1">IF('Assemble Data'!F768="",0,IF(ISERROR(FIND("VLOOKUP",_xlfn.FORMULATEXT('Assemble Data'!F768),1)),1,0)+IFERROR(IF(AND('Assemble Data'!F768&lt;&gt;D767,'Assemble Data'!F768&lt;&gt;""),1,0),1))</f>
        <v>0</v>
      </c>
      <c r="H767" s="13">
        <f t="shared" si="40"/>
        <v>2</v>
      </c>
      <c r="I767" t="str">
        <f t="shared" si="39"/>
        <v>O2P18</v>
      </c>
    </row>
    <row r="768" spans="1:9">
      <c r="A768" t="str">
        <f>'Assemble Data'!B769</f>
        <v>P14</v>
      </c>
      <c r="B768" s="13">
        <f>IFERROR(SUMIF('Assemble Data'!K:K,'Assemble Data'!A769,'Assemble Data'!L:L),0)</f>
        <v>6480</v>
      </c>
      <c r="C768" s="13" t="str">
        <f>INDEX('Assemble Data'!$O$24:$O$1023,MATCH('Assemble Data'!A769,'Assemble Data'!$N$24:$N$1023,0))</f>
        <v>N2</v>
      </c>
      <c r="D768" s="13">
        <f>SUMIF('Assemble Data'!H:H,'Assemble Data'!A769,'Assemble Data'!I:I)</f>
        <v>8</v>
      </c>
      <c r="E768" s="13">
        <f>IFERROR(IF(AND('Assemble Data'!D769&lt;&gt;"",'Assemble Data'!D769&lt;&gt;B768),1,0),1)</f>
        <v>0</v>
      </c>
      <c r="F768" s="13">
        <f ca="1">IF('Assemble Data'!E769="",0,IF(ISERROR(FIND("INDEX",_xlfn.FORMULATEXT('Assemble Data'!E769),1)),1,0)+IFERROR(IF(AND('Assemble Data'!E769&lt;&gt;C768,'Assemble Data'!E769&lt;&gt;""),1,0),1))</f>
        <v>0</v>
      </c>
      <c r="G768" s="13">
        <f ca="1">IF('Assemble Data'!F769="",0,IF(ISERROR(FIND("VLOOKUP",_xlfn.FORMULATEXT('Assemble Data'!F769),1)),1,0)+IFERROR(IF(AND('Assemble Data'!F769&lt;&gt;D768,'Assemble Data'!F769&lt;&gt;""),1,0),1))</f>
        <v>0</v>
      </c>
      <c r="H768" s="13">
        <f t="shared" si="40"/>
        <v>5</v>
      </c>
      <c r="I768" t="str">
        <f t="shared" si="39"/>
        <v>N2P14</v>
      </c>
    </row>
    <row r="769" spans="1:9">
      <c r="A769" t="str">
        <f>'Assemble Data'!B770</f>
        <v>P10</v>
      </c>
      <c r="B769" s="13">
        <f>IFERROR(SUMIF('Assemble Data'!K:K,'Assemble Data'!A770,'Assemble Data'!L:L),0)</f>
        <v>2400</v>
      </c>
      <c r="C769" s="13" t="str">
        <f>INDEX('Assemble Data'!$O$24:$O$1023,MATCH('Assemble Data'!A770,'Assemble Data'!$N$24:$N$1023,0))</f>
        <v>C2</v>
      </c>
      <c r="D769" s="13">
        <f>SUMIF('Assemble Data'!H:H,'Assemble Data'!A770,'Assemble Data'!I:I)</f>
        <v>3</v>
      </c>
      <c r="E769" s="13">
        <f>IFERROR(IF(AND('Assemble Data'!D770&lt;&gt;"",'Assemble Data'!D770&lt;&gt;B769),1,0),1)</f>
        <v>0</v>
      </c>
      <c r="F769" s="13">
        <f ca="1">IF('Assemble Data'!E770="",0,IF(ISERROR(FIND("INDEX",_xlfn.FORMULATEXT('Assemble Data'!E770),1)),1,0)+IFERROR(IF(AND('Assemble Data'!E770&lt;&gt;C769,'Assemble Data'!E770&lt;&gt;""),1,0),1))</f>
        <v>0</v>
      </c>
      <c r="G769" s="13">
        <f ca="1">IF('Assemble Data'!F770="",0,IF(ISERROR(FIND("VLOOKUP",_xlfn.FORMULATEXT('Assemble Data'!F770),1)),1,0)+IFERROR(IF(AND('Assemble Data'!F770&lt;&gt;D769,'Assemble Data'!F770&lt;&gt;""),1,0),1))</f>
        <v>0</v>
      </c>
      <c r="H769" s="13">
        <f t="shared" si="40"/>
        <v>8</v>
      </c>
      <c r="I769" t="str">
        <f t="shared" si="39"/>
        <v>C2P10</v>
      </c>
    </row>
    <row r="770" spans="1:9">
      <c r="A770" t="str">
        <f>'Assemble Data'!B771</f>
        <v>P13</v>
      </c>
      <c r="B770" s="13">
        <f>IFERROR(SUMIF('Assemble Data'!K:K,'Assemble Data'!A771,'Assemble Data'!L:L),0)</f>
        <v>4500</v>
      </c>
      <c r="C770" s="13" t="str">
        <f>INDEX('Assemble Data'!$O$24:$O$1023,MATCH('Assemble Data'!A771,'Assemble Data'!$N$24:$N$1023,0))</f>
        <v>C2</v>
      </c>
      <c r="D770" s="13">
        <f>SUMIF('Assemble Data'!H:H,'Assemble Data'!A771,'Assemble Data'!I:I)</f>
        <v>5</v>
      </c>
      <c r="E770" s="13">
        <f>IFERROR(IF(AND('Assemble Data'!D771&lt;&gt;"",'Assemble Data'!D771&lt;&gt;B770),1,0),1)</f>
        <v>0</v>
      </c>
      <c r="F770" s="13">
        <f ca="1">IF('Assemble Data'!E771="",0,IF(ISERROR(FIND("INDEX",_xlfn.FORMULATEXT('Assemble Data'!E771),1)),1,0)+IFERROR(IF(AND('Assemble Data'!E771&lt;&gt;C770,'Assemble Data'!E771&lt;&gt;""),1,0),1))</f>
        <v>0</v>
      </c>
      <c r="G770" s="13">
        <f ca="1">IF('Assemble Data'!F771="",0,IF(ISERROR(FIND("VLOOKUP",_xlfn.FORMULATEXT('Assemble Data'!F771),1)),1,0)+IFERROR(IF(AND('Assemble Data'!F771&lt;&gt;D770,'Assemble Data'!F771&lt;&gt;""),1,0),1))</f>
        <v>0</v>
      </c>
      <c r="H770" s="13">
        <f t="shared" si="40"/>
        <v>3</v>
      </c>
      <c r="I770" t="str">
        <f t="shared" si="39"/>
        <v>C2P13</v>
      </c>
    </row>
    <row r="771" spans="1:9">
      <c r="A771" t="str">
        <f>'Assemble Data'!B772</f>
        <v>P13</v>
      </c>
      <c r="B771" s="13">
        <f>IFERROR(SUMIF('Assemble Data'!K:K,'Assemble Data'!A772,'Assemble Data'!L:L),0)</f>
        <v>4500</v>
      </c>
      <c r="C771" s="13" t="str">
        <f>INDEX('Assemble Data'!$O$24:$O$1023,MATCH('Assemble Data'!A772,'Assemble Data'!$N$24:$N$1023,0))</f>
        <v>C2</v>
      </c>
      <c r="D771" s="13">
        <f>SUMIF('Assemble Data'!H:H,'Assemble Data'!A772,'Assemble Data'!I:I)</f>
        <v>5</v>
      </c>
      <c r="E771" s="13">
        <f>IFERROR(IF(AND('Assemble Data'!D772&lt;&gt;"",'Assemble Data'!D772&lt;&gt;B771),1,0),1)</f>
        <v>0</v>
      </c>
      <c r="F771" s="13">
        <f ca="1">IF('Assemble Data'!E772="",0,IF(ISERROR(FIND("INDEX",_xlfn.FORMULATEXT('Assemble Data'!E772),1)),1,0)+IFERROR(IF(AND('Assemble Data'!E772&lt;&gt;C771,'Assemble Data'!E772&lt;&gt;""),1,0),1))</f>
        <v>0</v>
      </c>
      <c r="G771" s="13">
        <f ca="1">IF('Assemble Data'!F772="",0,IF(ISERROR(FIND("VLOOKUP",_xlfn.FORMULATEXT('Assemble Data'!F772),1)),1,0)+IFERROR(IF(AND('Assemble Data'!F772&lt;&gt;D771,'Assemble Data'!F772&lt;&gt;""),1,0),1))</f>
        <v>0</v>
      </c>
      <c r="H771" s="13">
        <f t="shared" si="40"/>
        <v>3</v>
      </c>
      <c r="I771" t="str">
        <f t="shared" si="39"/>
        <v>C2P13</v>
      </c>
    </row>
    <row r="772" spans="1:9">
      <c r="A772" t="str">
        <f>'Assemble Data'!B773</f>
        <v>P10</v>
      </c>
      <c r="B772" s="13">
        <f>IFERROR(SUMIF('Assemble Data'!K:K,'Assemble Data'!A773,'Assemble Data'!L:L),0)</f>
        <v>2400</v>
      </c>
      <c r="C772" s="13" t="str">
        <f>INDEX('Assemble Data'!$O$24:$O$1023,MATCH('Assemble Data'!A773,'Assemble Data'!$N$24:$N$1023,0))</f>
        <v>C2</v>
      </c>
      <c r="D772" s="13">
        <f>SUMIF('Assemble Data'!H:H,'Assemble Data'!A773,'Assemble Data'!I:I)</f>
        <v>3</v>
      </c>
      <c r="E772" s="13">
        <f>IFERROR(IF(AND('Assemble Data'!D773&lt;&gt;"",'Assemble Data'!D773&lt;&gt;B772),1,0),1)</f>
        <v>0</v>
      </c>
      <c r="F772" s="13">
        <f ca="1">IF('Assemble Data'!E773="",0,IF(ISERROR(FIND("INDEX",_xlfn.FORMULATEXT('Assemble Data'!E773),1)),1,0)+IFERROR(IF(AND('Assemble Data'!E773&lt;&gt;C772,'Assemble Data'!E773&lt;&gt;""),1,0),1))</f>
        <v>0</v>
      </c>
      <c r="G772" s="13">
        <f ca="1">IF('Assemble Data'!F773="",0,IF(ISERROR(FIND("VLOOKUP",_xlfn.FORMULATEXT('Assemble Data'!F773),1)),1,0)+IFERROR(IF(AND('Assemble Data'!F773&lt;&gt;D772,'Assemble Data'!F773&lt;&gt;""),1,0),1))</f>
        <v>0</v>
      </c>
      <c r="H772" s="13">
        <f t="shared" si="40"/>
        <v>8</v>
      </c>
      <c r="I772" t="str">
        <f t="shared" si="39"/>
        <v>C2P10</v>
      </c>
    </row>
    <row r="773" spans="1:9">
      <c r="A773" t="str">
        <f>'Assemble Data'!B774</f>
        <v>P11</v>
      </c>
      <c r="B773" s="13">
        <f>IFERROR(SUMIF('Assemble Data'!K:K,'Assemble Data'!A774,'Assemble Data'!L:L),0)</f>
        <v>11000</v>
      </c>
      <c r="C773" s="13" t="str">
        <f>INDEX('Assemble Data'!$O$24:$O$1023,MATCH('Assemble Data'!A774,'Assemble Data'!$N$24:$N$1023,0))</f>
        <v>C2</v>
      </c>
      <c r="D773" s="13">
        <f>SUMIF('Assemble Data'!H:H,'Assemble Data'!A774,'Assemble Data'!I:I)</f>
        <v>11</v>
      </c>
      <c r="E773" s="13">
        <f>IFERROR(IF(AND('Assemble Data'!D774&lt;&gt;"",'Assemble Data'!D774&lt;&gt;B773),1,0),1)</f>
        <v>0</v>
      </c>
      <c r="F773" s="13">
        <f ca="1">IF('Assemble Data'!E774="",0,IF(ISERROR(FIND("INDEX",_xlfn.FORMULATEXT('Assemble Data'!E774),1)),1,0)+IFERROR(IF(AND('Assemble Data'!E774&lt;&gt;C773,'Assemble Data'!E774&lt;&gt;""),1,0),1))</f>
        <v>0</v>
      </c>
      <c r="G773" s="13">
        <f ca="1">IF('Assemble Data'!F774="",0,IF(ISERROR(FIND("VLOOKUP",_xlfn.FORMULATEXT('Assemble Data'!F774),1)),1,0)+IFERROR(IF(AND('Assemble Data'!F774&lt;&gt;D773,'Assemble Data'!F774&lt;&gt;""),1,0),1))</f>
        <v>0</v>
      </c>
      <c r="H773" s="13">
        <f t="shared" si="40"/>
        <v>9</v>
      </c>
      <c r="I773" t="str">
        <f t="shared" si="39"/>
        <v>C2P11</v>
      </c>
    </row>
    <row r="774" spans="1:9">
      <c r="A774" t="str">
        <f>'Assemble Data'!B775</f>
        <v>P16</v>
      </c>
      <c r="B774" s="13">
        <f>IFERROR(SUMIF('Assemble Data'!K:K,'Assemble Data'!A775,'Assemble Data'!L:L),0)</f>
        <v>4680</v>
      </c>
      <c r="C774" s="13" t="str">
        <f>INDEX('Assemble Data'!$O$24:$O$1023,MATCH('Assemble Data'!A775,'Assemble Data'!$N$24:$N$1023,0))</f>
        <v>N2</v>
      </c>
      <c r="D774" s="13">
        <f>SUMIF('Assemble Data'!H:H,'Assemble Data'!A775,'Assemble Data'!I:I)</f>
        <v>4</v>
      </c>
      <c r="E774" s="13">
        <f>IFERROR(IF(AND('Assemble Data'!D775&lt;&gt;"",'Assemble Data'!D775&lt;&gt;B774),1,0),1)</f>
        <v>0</v>
      </c>
      <c r="F774" s="13">
        <f ca="1">IF('Assemble Data'!E775="",0,IF(ISERROR(FIND("INDEX",_xlfn.FORMULATEXT('Assemble Data'!E775),1)),1,0)+IFERROR(IF(AND('Assemble Data'!E775&lt;&gt;C774,'Assemble Data'!E775&lt;&gt;""),1,0),1))</f>
        <v>0</v>
      </c>
      <c r="G774" s="13">
        <f ca="1">IF('Assemble Data'!F775="",0,IF(ISERROR(FIND("VLOOKUP",_xlfn.FORMULATEXT('Assemble Data'!F775),1)),1,0)+IFERROR(IF(AND('Assemble Data'!F775&lt;&gt;D774,'Assemble Data'!F775&lt;&gt;""),1,0),1))</f>
        <v>0</v>
      </c>
      <c r="H774" s="13">
        <f t="shared" si="40"/>
        <v>0</v>
      </c>
      <c r="I774" t="str">
        <f t="shared" si="39"/>
        <v>N2P16</v>
      </c>
    </row>
    <row r="775" spans="1:9">
      <c r="A775" t="str">
        <f>'Assemble Data'!B776</f>
        <v>P17</v>
      </c>
      <c r="B775" s="13">
        <f>IFERROR(SUMIF('Assemble Data'!K:K,'Assemble Data'!A776,'Assemble Data'!L:L),0)</f>
        <v>26400.000000000004</v>
      </c>
      <c r="C775" s="13" t="str">
        <f>INDEX('Assemble Data'!$O$24:$O$1023,MATCH('Assemble Data'!A776,'Assemble Data'!$N$24:$N$1023,0))</f>
        <v>O2</v>
      </c>
      <c r="D775" s="13">
        <f>SUMIF('Assemble Data'!H:H,'Assemble Data'!A776,'Assemble Data'!I:I)</f>
        <v>12</v>
      </c>
      <c r="E775" s="13">
        <f>IFERROR(IF(AND('Assemble Data'!D776&lt;&gt;"",'Assemble Data'!D776&lt;&gt;B775),1,0),1)</f>
        <v>0</v>
      </c>
      <c r="F775" s="13">
        <f ca="1">IF('Assemble Data'!E776="",0,IF(ISERROR(FIND("INDEX",_xlfn.FORMULATEXT('Assemble Data'!E776),1)),1,0)+IFERROR(IF(AND('Assemble Data'!E776&lt;&gt;C775,'Assemble Data'!E776&lt;&gt;""),1,0),1))</f>
        <v>0</v>
      </c>
      <c r="G775" s="13">
        <f ca="1">IF('Assemble Data'!F776="",0,IF(ISERROR(FIND("VLOOKUP",_xlfn.FORMULATEXT('Assemble Data'!F776),1)),1,0)+IFERROR(IF(AND('Assemble Data'!F776&lt;&gt;D775,'Assemble Data'!F776&lt;&gt;""),1,0),1))</f>
        <v>0</v>
      </c>
      <c r="H775" s="13">
        <f t="shared" si="40"/>
        <v>6</v>
      </c>
      <c r="I775" t="str">
        <f t="shared" si="39"/>
        <v>O2P17</v>
      </c>
    </row>
    <row r="776" spans="1:9">
      <c r="A776" t="str">
        <f>'Assemble Data'!B777</f>
        <v>P17</v>
      </c>
      <c r="B776" s="13">
        <f>IFERROR(SUMIF('Assemble Data'!K:K,'Assemble Data'!A777,'Assemble Data'!L:L),0)</f>
        <v>13200.000000000002</v>
      </c>
      <c r="C776" s="13" t="str">
        <f>INDEX('Assemble Data'!$O$24:$O$1023,MATCH('Assemble Data'!A777,'Assemble Data'!$N$24:$N$1023,0))</f>
        <v>O2</v>
      </c>
      <c r="D776" s="13">
        <f>SUMIF('Assemble Data'!H:H,'Assemble Data'!A777,'Assemble Data'!I:I)</f>
        <v>12</v>
      </c>
      <c r="E776" s="13">
        <f>IFERROR(IF(AND('Assemble Data'!D777&lt;&gt;"",'Assemble Data'!D777&lt;&gt;B776),1,0),1)</f>
        <v>0</v>
      </c>
      <c r="F776" s="13">
        <f ca="1">IF('Assemble Data'!E777="",0,IF(ISERROR(FIND("INDEX",_xlfn.FORMULATEXT('Assemble Data'!E777),1)),1,0)+IFERROR(IF(AND('Assemble Data'!E777&lt;&gt;C776,'Assemble Data'!E777&lt;&gt;""),1,0),1))</f>
        <v>0</v>
      </c>
      <c r="G776" s="13">
        <f ca="1">IF('Assemble Data'!F777="",0,IF(ISERROR(FIND("VLOOKUP",_xlfn.FORMULATEXT('Assemble Data'!F777),1)),1,0)+IFERROR(IF(AND('Assemble Data'!F777&lt;&gt;D776,'Assemble Data'!F777&lt;&gt;""),1,0),1))</f>
        <v>0</v>
      </c>
      <c r="H776" s="13">
        <f t="shared" si="40"/>
        <v>6</v>
      </c>
      <c r="I776" t="str">
        <f t="shared" si="39"/>
        <v>O2P17</v>
      </c>
    </row>
    <row r="777" spans="1:9">
      <c r="A777" t="str">
        <f>'Assemble Data'!B778</f>
        <v>P13</v>
      </c>
      <c r="B777" s="13">
        <f>IFERROR(SUMIF('Assemble Data'!K:K,'Assemble Data'!A778,'Assemble Data'!L:L),0)</f>
        <v>4500</v>
      </c>
      <c r="C777" s="13" t="str">
        <f>INDEX('Assemble Data'!$O$24:$O$1023,MATCH('Assemble Data'!A778,'Assemble Data'!$N$24:$N$1023,0))</f>
        <v>C2</v>
      </c>
      <c r="D777" s="13">
        <f>SUMIF('Assemble Data'!H:H,'Assemble Data'!A778,'Assemble Data'!I:I)</f>
        <v>5</v>
      </c>
      <c r="E777" s="13">
        <f>IFERROR(IF(AND('Assemble Data'!D778&lt;&gt;"",'Assemble Data'!D778&lt;&gt;B777),1,0),1)</f>
        <v>0</v>
      </c>
      <c r="F777" s="13">
        <f ca="1">IF('Assemble Data'!E778="",0,IF(ISERROR(FIND("INDEX",_xlfn.FORMULATEXT('Assemble Data'!E778),1)),1,0)+IFERROR(IF(AND('Assemble Data'!E778&lt;&gt;C777,'Assemble Data'!E778&lt;&gt;""),1,0),1))</f>
        <v>0</v>
      </c>
      <c r="G777" s="13">
        <f ca="1">IF('Assemble Data'!F778="",0,IF(ISERROR(FIND("VLOOKUP",_xlfn.FORMULATEXT('Assemble Data'!F778),1)),1,0)+IFERROR(IF(AND('Assemble Data'!F778&lt;&gt;D777,'Assemble Data'!F778&lt;&gt;""),1,0),1))</f>
        <v>0</v>
      </c>
      <c r="H777" s="13">
        <f t="shared" si="40"/>
        <v>3</v>
      </c>
      <c r="I777" t="str">
        <f t="shared" si="39"/>
        <v>C2P13</v>
      </c>
    </row>
    <row r="778" spans="1:9">
      <c r="A778" t="str">
        <f>'Assemble Data'!B779</f>
        <v>P11</v>
      </c>
      <c r="B778" s="13">
        <f>IFERROR(SUMIF('Assemble Data'!K:K,'Assemble Data'!A779,'Assemble Data'!L:L),0)</f>
        <v>11000</v>
      </c>
      <c r="C778" s="13" t="str">
        <f>INDEX('Assemble Data'!$O$24:$O$1023,MATCH('Assemble Data'!A779,'Assemble Data'!$N$24:$N$1023,0))</f>
        <v>C2</v>
      </c>
      <c r="D778" s="13">
        <f>SUMIF('Assemble Data'!H:H,'Assemble Data'!A779,'Assemble Data'!I:I)</f>
        <v>11</v>
      </c>
      <c r="E778" s="13">
        <f>IFERROR(IF(AND('Assemble Data'!D779&lt;&gt;"",'Assemble Data'!D779&lt;&gt;B778),1,0),1)</f>
        <v>0</v>
      </c>
      <c r="F778" s="13">
        <f ca="1">IF('Assemble Data'!E779="",0,IF(ISERROR(FIND("INDEX",_xlfn.FORMULATEXT('Assemble Data'!E779),1)),1,0)+IFERROR(IF(AND('Assemble Data'!E779&lt;&gt;C778,'Assemble Data'!E779&lt;&gt;""),1,0),1))</f>
        <v>0</v>
      </c>
      <c r="G778" s="13">
        <f ca="1">IF('Assemble Data'!F779="",0,IF(ISERROR(FIND("VLOOKUP",_xlfn.FORMULATEXT('Assemble Data'!F779),1)),1,0)+IFERROR(IF(AND('Assemble Data'!F779&lt;&gt;D778,'Assemble Data'!F779&lt;&gt;""),1,0),1))</f>
        <v>0</v>
      </c>
      <c r="H778" s="13">
        <f t="shared" si="40"/>
        <v>9</v>
      </c>
      <c r="I778" t="str">
        <f t="shared" si="39"/>
        <v>C2P11</v>
      </c>
    </row>
    <row r="779" spans="1:9">
      <c r="A779" t="str">
        <f>'Assemble Data'!B780</f>
        <v>P11</v>
      </c>
      <c r="B779" s="13">
        <f>IFERROR(SUMIF('Assemble Data'!K:K,'Assemble Data'!A780,'Assemble Data'!L:L),0)</f>
        <v>11000</v>
      </c>
      <c r="C779" s="13" t="str">
        <f>INDEX('Assemble Data'!$O$24:$O$1023,MATCH('Assemble Data'!A780,'Assemble Data'!$N$24:$N$1023,0))</f>
        <v>C2</v>
      </c>
      <c r="D779" s="13">
        <f>SUMIF('Assemble Data'!H:H,'Assemble Data'!A780,'Assemble Data'!I:I)</f>
        <v>11</v>
      </c>
      <c r="E779" s="13">
        <f>IFERROR(IF(AND('Assemble Data'!D780&lt;&gt;"",'Assemble Data'!D780&lt;&gt;B779),1,0),1)</f>
        <v>0</v>
      </c>
      <c r="F779" s="13">
        <f ca="1">IF('Assemble Data'!E780="",0,IF(ISERROR(FIND("INDEX",_xlfn.FORMULATEXT('Assemble Data'!E780),1)),1,0)+IFERROR(IF(AND('Assemble Data'!E780&lt;&gt;C779,'Assemble Data'!E780&lt;&gt;""),1,0),1))</f>
        <v>0</v>
      </c>
      <c r="G779" s="13">
        <f ca="1">IF('Assemble Data'!F780="",0,IF(ISERROR(FIND("VLOOKUP",_xlfn.FORMULATEXT('Assemble Data'!F780),1)),1,0)+IFERROR(IF(AND('Assemble Data'!F780&lt;&gt;D779,'Assemble Data'!F780&lt;&gt;""),1,0),1))</f>
        <v>0</v>
      </c>
      <c r="H779" s="13">
        <f t="shared" si="40"/>
        <v>9</v>
      </c>
      <c r="I779" t="str">
        <f t="shared" si="39"/>
        <v>C2P11</v>
      </c>
    </row>
    <row r="780" spans="1:9">
      <c r="A780" t="str">
        <f>'Assemble Data'!B781</f>
        <v>P12</v>
      </c>
      <c r="B780" s="13">
        <f>IFERROR(SUMIF('Assemble Data'!K:K,'Assemble Data'!A781,'Assemble Data'!L:L),0)</f>
        <v>6825</v>
      </c>
      <c r="C780" s="13" t="str">
        <f>INDEX('Assemble Data'!$O$24:$O$1023,MATCH('Assemble Data'!A781,'Assemble Data'!$N$24:$N$1023,0))</f>
        <v>C2</v>
      </c>
      <c r="D780" s="13">
        <f>SUMIF('Assemble Data'!H:H,'Assemble Data'!A781,'Assemble Data'!I:I)</f>
        <v>6.5</v>
      </c>
      <c r="E780" s="13">
        <f>IFERROR(IF(AND('Assemble Data'!D781&lt;&gt;"",'Assemble Data'!D781&lt;&gt;B780),1,0),1)</f>
        <v>0</v>
      </c>
      <c r="F780" s="13">
        <f ca="1">IF('Assemble Data'!E781="",0,IF(ISERROR(FIND("INDEX",_xlfn.FORMULATEXT('Assemble Data'!E781),1)),1,0)+IFERROR(IF(AND('Assemble Data'!E781&lt;&gt;C780,'Assemble Data'!E781&lt;&gt;""),1,0),1))</f>
        <v>0</v>
      </c>
      <c r="G780" s="13">
        <f ca="1">IF('Assemble Data'!F781="",0,IF(ISERROR(FIND("VLOOKUP",_xlfn.FORMULATEXT('Assemble Data'!F781),1)),1,0)+IFERROR(IF(AND('Assemble Data'!F781&lt;&gt;D780,'Assemble Data'!F781&lt;&gt;""),1,0),1))</f>
        <v>0</v>
      </c>
      <c r="H780" s="13">
        <f t="shared" si="40"/>
        <v>7</v>
      </c>
      <c r="I780" t="str">
        <f t="shared" si="39"/>
        <v>C2P12</v>
      </c>
    </row>
    <row r="781" spans="1:9">
      <c r="A781" t="str">
        <f>'Assemble Data'!B782</f>
        <v>P10</v>
      </c>
      <c r="B781" s="13">
        <f>IFERROR(SUMIF('Assemble Data'!K:K,'Assemble Data'!A782,'Assemble Data'!L:L),0)</f>
        <v>2400</v>
      </c>
      <c r="C781" s="13" t="str">
        <f>INDEX('Assemble Data'!$O$24:$O$1023,MATCH('Assemble Data'!A782,'Assemble Data'!$N$24:$N$1023,0))</f>
        <v>C2</v>
      </c>
      <c r="D781" s="13">
        <f>SUMIF('Assemble Data'!H:H,'Assemble Data'!A782,'Assemble Data'!I:I)</f>
        <v>3</v>
      </c>
      <c r="E781" s="13">
        <f>IFERROR(IF(AND('Assemble Data'!D782&lt;&gt;"",'Assemble Data'!D782&lt;&gt;B781),1,0),1)</f>
        <v>0</v>
      </c>
      <c r="F781" s="13">
        <f ca="1">IF('Assemble Data'!E782="",0,IF(ISERROR(FIND("INDEX",_xlfn.FORMULATEXT('Assemble Data'!E782),1)),1,0)+IFERROR(IF(AND('Assemble Data'!E782&lt;&gt;C781,'Assemble Data'!E782&lt;&gt;""),1,0),1))</f>
        <v>0</v>
      </c>
      <c r="G781" s="13">
        <f ca="1">IF('Assemble Data'!F782="",0,IF(ISERROR(FIND("VLOOKUP",_xlfn.FORMULATEXT('Assemble Data'!F782),1)),1,0)+IFERROR(IF(AND('Assemble Data'!F782&lt;&gt;D781,'Assemble Data'!F782&lt;&gt;""),1,0),1))</f>
        <v>0</v>
      </c>
      <c r="H781" s="13">
        <f t="shared" si="40"/>
        <v>8</v>
      </c>
      <c r="I781" t="str">
        <f t="shared" si="39"/>
        <v>C2P10</v>
      </c>
    </row>
    <row r="782" spans="1:9">
      <c r="A782" t="str">
        <f>'Assemble Data'!B783</f>
        <v>P10</v>
      </c>
      <c r="B782" s="13">
        <f>IFERROR(SUMIF('Assemble Data'!K:K,'Assemble Data'!A783,'Assemble Data'!L:L),0)</f>
        <v>2400</v>
      </c>
      <c r="C782" s="13" t="str">
        <f>INDEX('Assemble Data'!$O$24:$O$1023,MATCH('Assemble Data'!A783,'Assemble Data'!$N$24:$N$1023,0))</f>
        <v>C2</v>
      </c>
      <c r="D782" s="13">
        <f>SUMIF('Assemble Data'!H:H,'Assemble Data'!A783,'Assemble Data'!I:I)</f>
        <v>3</v>
      </c>
      <c r="E782" s="13">
        <f>IFERROR(IF(AND('Assemble Data'!D783&lt;&gt;"",'Assemble Data'!D783&lt;&gt;B782),1,0),1)</f>
        <v>0</v>
      </c>
      <c r="F782" s="13">
        <f ca="1">IF('Assemble Data'!E783="",0,IF(ISERROR(FIND("INDEX",_xlfn.FORMULATEXT('Assemble Data'!E783),1)),1,0)+IFERROR(IF(AND('Assemble Data'!E783&lt;&gt;C782,'Assemble Data'!E783&lt;&gt;""),1,0),1))</f>
        <v>0</v>
      </c>
      <c r="G782" s="13">
        <f ca="1">IF('Assemble Data'!F783="",0,IF(ISERROR(FIND("VLOOKUP",_xlfn.FORMULATEXT('Assemble Data'!F783),1)),1,0)+IFERROR(IF(AND('Assemble Data'!F783&lt;&gt;D782,'Assemble Data'!F783&lt;&gt;""),1,0),1))</f>
        <v>0</v>
      </c>
      <c r="H782" s="13">
        <f t="shared" si="40"/>
        <v>8</v>
      </c>
      <c r="I782" t="str">
        <f t="shared" si="39"/>
        <v>C2P10</v>
      </c>
    </row>
    <row r="783" spans="1:9">
      <c r="A783" t="str">
        <f>'Assemble Data'!B784</f>
        <v>P11</v>
      </c>
      <c r="B783" s="13">
        <f>IFERROR(SUMIF('Assemble Data'!K:K,'Assemble Data'!A784,'Assemble Data'!L:L),0)</f>
        <v>11000</v>
      </c>
      <c r="C783" s="13" t="str">
        <f>INDEX('Assemble Data'!$O$24:$O$1023,MATCH('Assemble Data'!A784,'Assemble Data'!$N$24:$N$1023,0))</f>
        <v>C2</v>
      </c>
      <c r="D783" s="13">
        <f>SUMIF('Assemble Data'!H:H,'Assemble Data'!A784,'Assemble Data'!I:I)</f>
        <v>11</v>
      </c>
      <c r="E783" s="13">
        <f>IFERROR(IF(AND('Assemble Data'!D784&lt;&gt;"",'Assemble Data'!D784&lt;&gt;B783),1,0),1)</f>
        <v>0</v>
      </c>
      <c r="F783" s="13">
        <f ca="1">IF('Assemble Data'!E784="",0,IF(ISERROR(FIND("INDEX",_xlfn.FORMULATEXT('Assemble Data'!E784),1)),1,0)+IFERROR(IF(AND('Assemble Data'!E784&lt;&gt;C783,'Assemble Data'!E784&lt;&gt;""),1,0),1))</f>
        <v>0</v>
      </c>
      <c r="G783" s="13">
        <f ca="1">IF('Assemble Data'!F784="",0,IF(ISERROR(FIND("VLOOKUP",_xlfn.FORMULATEXT('Assemble Data'!F784),1)),1,0)+IFERROR(IF(AND('Assemble Data'!F784&lt;&gt;D783,'Assemble Data'!F784&lt;&gt;""),1,0),1))</f>
        <v>0</v>
      </c>
      <c r="H783" s="13">
        <f t="shared" si="40"/>
        <v>9</v>
      </c>
      <c r="I783" t="str">
        <f t="shared" si="39"/>
        <v>C2P11</v>
      </c>
    </row>
    <row r="784" spans="1:9">
      <c r="A784" t="str">
        <f>'Assemble Data'!B785</f>
        <v>P18</v>
      </c>
      <c r="B784" s="13">
        <f>IFERROR(SUMIF('Assemble Data'!K:K,'Assemble Data'!A785,'Assemble Data'!L:L),0)</f>
        <v>5940.0000000000009</v>
      </c>
      <c r="C784" s="13" t="str">
        <f>INDEX('Assemble Data'!$O$24:$O$1023,MATCH('Assemble Data'!A785,'Assemble Data'!$N$24:$N$1023,0))</f>
        <v>O2</v>
      </c>
      <c r="D784" s="13">
        <f>SUMIF('Assemble Data'!H:H,'Assemble Data'!A785,'Assemble Data'!I:I)</f>
        <v>6</v>
      </c>
      <c r="E784" s="13">
        <f>IFERROR(IF(AND('Assemble Data'!D785&lt;&gt;"",'Assemble Data'!D785&lt;&gt;B784),1,0),1)</f>
        <v>0</v>
      </c>
      <c r="F784" s="13">
        <f ca="1">IF('Assemble Data'!E785="",0,IF(ISERROR(FIND("INDEX",_xlfn.FORMULATEXT('Assemble Data'!E785),1)),1,0)+IFERROR(IF(AND('Assemble Data'!E785&lt;&gt;C784,'Assemble Data'!E785&lt;&gt;""),1,0),1))</f>
        <v>0</v>
      </c>
      <c r="G784" s="13">
        <f ca="1">IF('Assemble Data'!F785="",0,IF(ISERROR(FIND("VLOOKUP",_xlfn.FORMULATEXT('Assemble Data'!F785),1)),1,0)+IFERROR(IF(AND('Assemble Data'!F785&lt;&gt;D784,'Assemble Data'!F785&lt;&gt;""),1,0),1))</f>
        <v>0</v>
      </c>
      <c r="H784" s="13">
        <f t="shared" si="40"/>
        <v>2</v>
      </c>
      <c r="I784" t="str">
        <f t="shared" si="39"/>
        <v>O2P18</v>
      </c>
    </row>
    <row r="785" spans="1:9">
      <c r="A785" t="str">
        <f>'Assemble Data'!B786</f>
        <v>P14</v>
      </c>
      <c r="B785" s="13">
        <f>IFERROR(SUMIF('Assemble Data'!K:K,'Assemble Data'!A786,'Assemble Data'!L:L),0)</f>
        <v>6480</v>
      </c>
      <c r="C785" s="13" t="str">
        <f>INDEX('Assemble Data'!$O$24:$O$1023,MATCH('Assemble Data'!A786,'Assemble Data'!$N$24:$N$1023,0))</f>
        <v>N2</v>
      </c>
      <c r="D785" s="13">
        <f>SUMIF('Assemble Data'!H:H,'Assemble Data'!A786,'Assemble Data'!I:I)</f>
        <v>8</v>
      </c>
      <c r="E785" s="13">
        <f>IFERROR(IF(AND('Assemble Data'!D786&lt;&gt;"",'Assemble Data'!D786&lt;&gt;B785),1,0),1)</f>
        <v>0</v>
      </c>
      <c r="F785" s="13">
        <f ca="1">IF('Assemble Data'!E786="",0,IF(ISERROR(FIND("INDEX",_xlfn.FORMULATEXT('Assemble Data'!E786),1)),1,0)+IFERROR(IF(AND('Assemble Data'!E786&lt;&gt;C785,'Assemble Data'!E786&lt;&gt;""),1,0),1))</f>
        <v>0</v>
      </c>
      <c r="G785" s="13">
        <f ca="1">IF('Assemble Data'!F786="",0,IF(ISERROR(FIND("VLOOKUP",_xlfn.FORMULATEXT('Assemble Data'!F786),1)),1,0)+IFERROR(IF(AND('Assemble Data'!F786&lt;&gt;D785,'Assemble Data'!F786&lt;&gt;""),1,0),1))</f>
        <v>0</v>
      </c>
      <c r="H785" s="13">
        <f t="shared" si="40"/>
        <v>5</v>
      </c>
      <c r="I785" t="str">
        <f t="shared" si="39"/>
        <v>N2P14</v>
      </c>
    </row>
    <row r="786" spans="1:9">
      <c r="A786" t="str">
        <f>'Assemble Data'!B787</f>
        <v>P10</v>
      </c>
      <c r="B786" s="13">
        <f>IFERROR(SUMIF('Assemble Data'!K:K,'Assemble Data'!A787,'Assemble Data'!L:L),0)</f>
        <v>2400</v>
      </c>
      <c r="C786" s="13" t="str">
        <f>INDEX('Assemble Data'!$O$24:$O$1023,MATCH('Assemble Data'!A787,'Assemble Data'!$N$24:$N$1023,0))</f>
        <v>C2</v>
      </c>
      <c r="D786" s="13">
        <f>SUMIF('Assemble Data'!H:H,'Assemble Data'!A787,'Assemble Data'!I:I)</f>
        <v>3</v>
      </c>
      <c r="E786" s="13">
        <f>IFERROR(IF(AND('Assemble Data'!D787&lt;&gt;"",'Assemble Data'!D787&lt;&gt;B786),1,0),1)</f>
        <v>0</v>
      </c>
      <c r="F786" s="13">
        <f ca="1">IF('Assemble Data'!E787="",0,IF(ISERROR(FIND("INDEX",_xlfn.FORMULATEXT('Assemble Data'!E787),1)),1,0)+IFERROR(IF(AND('Assemble Data'!E787&lt;&gt;C786,'Assemble Data'!E787&lt;&gt;""),1,0),1))</f>
        <v>0</v>
      </c>
      <c r="G786" s="13">
        <f ca="1">IF('Assemble Data'!F787="",0,IF(ISERROR(FIND("VLOOKUP",_xlfn.FORMULATEXT('Assemble Data'!F787),1)),1,0)+IFERROR(IF(AND('Assemble Data'!F787&lt;&gt;D786,'Assemble Data'!F787&lt;&gt;""),1,0),1))</f>
        <v>0</v>
      </c>
      <c r="H786" s="13">
        <f t="shared" si="40"/>
        <v>8</v>
      </c>
      <c r="I786" t="str">
        <f t="shared" si="39"/>
        <v>C2P10</v>
      </c>
    </row>
    <row r="787" spans="1:9">
      <c r="A787" t="str">
        <f>'Assemble Data'!B788</f>
        <v>P13</v>
      </c>
      <c r="B787" s="13">
        <f>IFERROR(SUMIF('Assemble Data'!K:K,'Assemble Data'!A788,'Assemble Data'!L:L),0)</f>
        <v>4500</v>
      </c>
      <c r="C787" s="13" t="str">
        <f>INDEX('Assemble Data'!$O$24:$O$1023,MATCH('Assemble Data'!A788,'Assemble Data'!$N$24:$N$1023,0))</f>
        <v>C2</v>
      </c>
      <c r="D787" s="13">
        <f>SUMIF('Assemble Data'!H:H,'Assemble Data'!A788,'Assemble Data'!I:I)</f>
        <v>5</v>
      </c>
      <c r="E787" s="13">
        <f>IFERROR(IF(AND('Assemble Data'!D788&lt;&gt;"",'Assemble Data'!D788&lt;&gt;B787),1,0),1)</f>
        <v>0</v>
      </c>
      <c r="F787" s="13">
        <f ca="1">IF('Assemble Data'!E788="",0,IF(ISERROR(FIND("INDEX",_xlfn.FORMULATEXT('Assemble Data'!E788),1)),1,0)+IFERROR(IF(AND('Assemble Data'!E788&lt;&gt;C787,'Assemble Data'!E788&lt;&gt;""),1,0),1))</f>
        <v>0</v>
      </c>
      <c r="G787" s="13">
        <f ca="1">IF('Assemble Data'!F788="",0,IF(ISERROR(FIND("VLOOKUP",_xlfn.FORMULATEXT('Assemble Data'!F788),1)),1,0)+IFERROR(IF(AND('Assemble Data'!F788&lt;&gt;D787,'Assemble Data'!F788&lt;&gt;""),1,0),1))</f>
        <v>0</v>
      </c>
      <c r="H787" s="13">
        <f t="shared" si="40"/>
        <v>3</v>
      </c>
      <c r="I787" t="str">
        <f t="shared" si="39"/>
        <v>C2P13</v>
      </c>
    </row>
    <row r="788" spans="1:9">
      <c r="A788" t="str">
        <f>'Assemble Data'!B789</f>
        <v>P13</v>
      </c>
      <c r="B788" s="13">
        <f>IFERROR(SUMIF('Assemble Data'!K:K,'Assemble Data'!A789,'Assemble Data'!L:L),0)</f>
        <v>4500</v>
      </c>
      <c r="C788" s="13" t="str">
        <f>INDEX('Assemble Data'!$O$24:$O$1023,MATCH('Assemble Data'!A789,'Assemble Data'!$N$24:$N$1023,0))</f>
        <v>C2</v>
      </c>
      <c r="D788" s="13">
        <f>SUMIF('Assemble Data'!H:H,'Assemble Data'!A789,'Assemble Data'!I:I)</f>
        <v>5</v>
      </c>
      <c r="E788" s="13">
        <f>IFERROR(IF(AND('Assemble Data'!D789&lt;&gt;"",'Assemble Data'!D789&lt;&gt;B788),1,0),1)</f>
        <v>0</v>
      </c>
      <c r="F788" s="13">
        <f ca="1">IF('Assemble Data'!E789="",0,IF(ISERROR(FIND("INDEX",_xlfn.FORMULATEXT('Assemble Data'!E789),1)),1,0)+IFERROR(IF(AND('Assemble Data'!E789&lt;&gt;C788,'Assemble Data'!E789&lt;&gt;""),1,0),1))</f>
        <v>0</v>
      </c>
      <c r="G788" s="13">
        <f ca="1">IF('Assemble Data'!F789="",0,IF(ISERROR(FIND("VLOOKUP",_xlfn.FORMULATEXT('Assemble Data'!F789),1)),1,0)+IFERROR(IF(AND('Assemble Data'!F789&lt;&gt;D788,'Assemble Data'!F789&lt;&gt;""),1,0),1))</f>
        <v>0</v>
      </c>
      <c r="H788" s="13">
        <f t="shared" si="40"/>
        <v>3</v>
      </c>
      <c r="I788" t="str">
        <f t="shared" si="39"/>
        <v>C2P13</v>
      </c>
    </row>
    <row r="789" spans="1:9">
      <c r="A789" t="str">
        <f>'Assemble Data'!B790</f>
        <v>P10</v>
      </c>
      <c r="B789" s="13">
        <f>IFERROR(SUMIF('Assemble Data'!K:K,'Assemble Data'!A790,'Assemble Data'!L:L),0)</f>
        <v>2400</v>
      </c>
      <c r="C789" s="13" t="str">
        <f>INDEX('Assemble Data'!$O$24:$O$1023,MATCH('Assemble Data'!A790,'Assemble Data'!$N$24:$N$1023,0))</f>
        <v>C2</v>
      </c>
      <c r="D789" s="13">
        <f>SUMIF('Assemble Data'!H:H,'Assemble Data'!A790,'Assemble Data'!I:I)</f>
        <v>3</v>
      </c>
      <c r="E789" s="13">
        <f>IFERROR(IF(AND('Assemble Data'!D790&lt;&gt;"",'Assemble Data'!D790&lt;&gt;B789),1,0),1)</f>
        <v>0</v>
      </c>
      <c r="F789" s="13">
        <f ca="1">IF('Assemble Data'!E790="",0,IF(ISERROR(FIND("INDEX",_xlfn.FORMULATEXT('Assemble Data'!E790),1)),1,0)+IFERROR(IF(AND('Assemble Data'!E790&lt;&gt;C789,'Assemble Data'!E790&lt;&gt;""),1,0),1))</f>
        <v>0</v>
      </c>
      <c r="G789" s="13">
        <f ca="1">IF('Assemble Data'!F790="",0,IF(ISERROR(FIND("VLOOKUP",_xlfn.FORMULATEXT('Assemble Data'!F790),1)),1,0)+IFERROR(IF(AND('Assemble Data'!F790&lt;&gt;D789,'Assemble Data'!F790&lt;&gt;""),1,0),1))</f>
        <v>0</v>
      </c>
      <c r="H789" s="13">
        <f t="shared" si="40"/>
        <v>8</v>
      </c>
      <c r="I789" t="str">
        <f t="shared" si="39"/>
        <v>C2P10</v>
      </c>
    </row>
    <row r="790" spans="1:9">
      <c r="A790" t="str">
        <f>'Assemble Data'!B791</f>
        <v>P11</v>
      </c>
      <c r="B790" s="13">
        <f>IFERROR(SUMIF('Assemble Data'!K:K,'Assemble Data'!A791,'Assemble Data'!L:L),0)</f>
        <v>11000</v>
      </c>
      <c r="C790" s="13" t="str">
        <f>INDEX('Assemble Data'!$O$24:$O$1023,MATCH('Assemble Data'!A791,'Assemble Data'!$N$24:$N$1023,0))</f>
        <v>C2</v>
      </c>
      <c r="D790" s="13">
        <f>SUMIF('Assemble Data'!H:H,'Assemble Data'!A791,'Assemble Data'!I:I)</f>
        <v>11</v>
      </c>
      <c r="E790" s="13">
        <f>IFERROR(IF(AND('Assemble Data'!D791&lt;&gt;"",'Assemble Data'!D791&lt;&gt;B790),1,0),1)</f>
        <v>0</v>
      </c>
      <c r="F790" s="13">
        <f ca="1">IF('Assemble Data'!E791="",0,IF(ISERROR(FIND("INDEX",_xlfn.FORMULATEXT('Assemble Data'!E791),1)),1,0)+IFERROR(IF(AND('Assemble Data'!E791&lt;&gt;C790,'Assemble Data'!E791&lt;&gt;""),1,0),1))</f>
        <v>0</v>
      </c>
      <c r="G790" s="13">
        <f ca="1">IF('Assemble Data'!F791="",0,IF(ISERROR(FIND("VLOOKUP",_xlfn.FORMULATEXT('Assemble Data'!F791),1)),1,0)+IFERROR(IF(AND('Assemble Data'!F791&lt;&gt;D790,'Assemble Data'!F791&lt;&gt;""),1,0),1))</f>
        <v>0</v>
      </c>
      <c r="H790" s="13">
        <f t="shared" si="40"/>
        <v>9</v>
      </c>
      <c r="I790" t="str">
        <f t="shared" si="39"/>
        <v>C2P11</v>
      </c>
    </row>
    <row r="791" spans="1:9">
      <c r="A791" t="str">
        <f>'Assemble Data'!B792</f>
        <v>P16</v>
      </c>
      <c r="B791" s="13">
        <f>IFERROR(SUMIF('Assemble Data'!K:K,'Assemble Data'!A792,'Assemble Data'!L:L),0)</f>
        <v>4680</v>
      </c>
      <c r="C791" s="13" t="str">
        <f>INDEX('Assemble Data'!$O$24:$O$1023,MATCH('Assemble Data'!A792,'Assemble Data'!$N$24:$N$1023,0))</f>
        <v>N2</v>
      </c>
      <c r="D791" s="13">
        <f>SUMIF('Assemble Data'!H:H,'Assemble Data'!A792,'Assemble Data'!I:I)</f>
        <v>4</v>
      </c>
      <c r="E791" s="13">
        <f>IFERROR(IF(AND('Assemble Data'!D792&lt;&gt;"",'Assemble Data'!D792&lt;&gt;B791),1,0),1)</f>
        <v>0</v>
      </c>
      <c r="F791" s="13">
        <f ca="1">IF('Assemble Data'!E792="",0,IF(ISERROR(FIND("INDEX",_xlfn.FORMULATEXT('Assemble Data'!E792),1)),1,0)+IFERROR(IF(AND('Assemble Data'!E792&lt;&gt;C791,'Assemble Data'!E792&lt;&gt;""),1,0),1))</f>
        <v>0</v>
      </c>
      <c r="G791" s="13">
        <f ca="1">IF('Assemble Data'!F792="",0,IF(ISERROR(FIND("VLOOKUP",_xlfn.FORMULATEXT('Assemble Data'!F792),1)),1,0)+IFERROR(IF(AND('Assemble Data'!F792&lt;&gt;D791,'Assemble Data'!F792&lt;&gt;""),1,0),1))</f>
        <v>0</v>
      </c>
      <c r="H791" s="13">
        <f t="shared" si="40"/>
        <v>0</v>
      </c>
      <c r="I791" t="str">
        <f t="shared" si="39"/>
        <v>N2P16</v>
      </c>
    </row>
    <row r="792" spans="1:9">
      <c r="A792" t="str">
        <f>'Assemble Data'!B793</f>
        <v>P17</v>
      </c>
      <c r="B792" s="13">
        <f>IFERROR(SUMIF('Assemble Data'!K:K,'Assemble Data'!A793,'Assemble Data'!L:L),0)</f>
        <v>9600</v>
      </c>
      <c r="C792" s="13" t="str">
        <f>INDEX('Assemble Data'!$O$24:$O$1023,MATCH('Assemble Data'!A793,'Assemble Data'!$N$24:$N$1023,0))</f>
        <v>O3</v>
      </c>
      <c r="D792" s="13">
        <f>SUMIF('Assemble Data'!H:H,'Assemble Data'!A793,'Assemble Data'!I:I)</f>
        <v>12</v>
      </c>
      <c r="E792" s="13">
        <f>IFERROR(IF(AND('Assemble Data'!D793&lt;&gt;"",'Assemble Data'!D793&lt;&gt;B792),1,0),1)</f>
        <v>0</v>
      </c>
      <c r="F792" s="13">
        <f ca="1">IF('Assemble Data'!E793="",0,IF(ISERROR(FIND("INDEX",_xlfn.FORMULATEXT('Assemble Data'!E793),1)),1,0)+IFERROR(IF(AND('Assemble Data'!E793&lt;&gt;C792,'Assemble Data'!E793&lt;&gt;""),1,0),1))</f>
        <v>0</v>
      </c>
      <c r="G792" s="13">
        <f ca="1">IF('Assemble Data'!F793="",0,IF(ISERROR(FIND("VLOOKUP",_xlfn.FORMULATEXT('Assemble Data'!F793),1)),1,0)+IFERROR(IF(AND('Assemble Data'!F793&lt;&gt;D792,'Assemble Data'!F793&lt;&gt;""),1,0),1))</f>
        <v>0</v>
      </c>
      <c r="H792" s="13">
        <f t="shared" si="40"/>
        <v>6</v>
      </c>
      <c r="I792" t="str">
        <f t="shared" ref="I792:I855" si="41">C792&amp;A792</f>
        <v>O3P17</v>
      </c>
    </row>
    <row r="793" spans="1:9">
      <c r="A793" t="str">
        <f>'Assemble Data'!B794</f>
        <v>P17</v>
      </c>
      <c r="B793" s="13">
        <f>IFERROR(SUMIF('Assemble Data'!K:K,'Assemble Data'!A794,'Assemble Data'!L:L),0)</f>
        <v>9600</v>
      </c>
      <c r="C793" s="13" t="str">
        <f>INDEX('Assemble Data'!$O$24:$O$1023,MATCH('Assemble Data'!A794,'Assemble Data'!$N$24:$N$1023,0))</f>
        <v>O3</v>
      </c>
      <c r="D793" s="13">
        <f>SUMIF('Assemble Data'!H:H,'Assemble Data'!A794,'Assemble Data'!I:I)</f>
        <v>12</v>
      </c>
      <c r="E793" s="13">
        <f>IFERROR(IF(AND('Assemble Data'!D794&lt;&gt;"",'Assemble Data'!D794&lt;&gt;B793),1,0),1)</f>
        <v>0</v>
      </c>
      <c r="F793" s="13">
        <f ca="1">IF('Assemble Data'!E794="",0,IF(ISERROR(FIND("INDEX",_xlfn.FORMULATEXT('Assemble Data'!E794),1)),1,0)+IFERROR(IF(AND('Assemble Data'!E794&lt;&gt;C793,'Assemble Data'!E794&lt;&gt;""),1,0),1))</f>
        <v>0</v>
      </c>
      <c r="G793" s="13">
        <f ca="1">IF('Assemble Data'!F794="",0,IF(ISERROR(FIND("VLOOKUP",_xlfn.FORMULATEXT('Assemble Data'!F794),1)),1,0)+IFERROR(IF(AND('Assemble Data'!F794&lt;&gt;D793,'Assemble Data'!F794&lt;&gt;""),1,0),1))</f>
        <v>0</v>
      </c>
      <c r="H793" s="13">
        <f t="shared" si="40"/>
        <v>6</v>
      </c>
      <c r="I793" t="str">
        <f t="shared" si="41"/>
        <v>O3P17</v>
      </c>
    </row>
    <row r="794" spans="1:9">
      <c r="A794" t="str">
        <f>'Assemble Data'!B795</f>
        <v>P13</v>
      </c>
      <c r="B794" s="13">
        <f>IFERROR(SUMIF('Assemble Data'!K:K,'Assemble Data'!A795,'Assemble Data'!L:L),0)</f>
        <v>3600</v>
      </c>
      <c r="C794" s="13" t="str">
        <f>INDEX('Assemble Data'!$O$24:$O$1023,MATCH('Assemble Data'!A795,'Assemble Data'!$N$24:$N$1023,0))</f>
        <v>C3</v>
      </c>
      <c r="D794" s="13">
        <f>SUMIF('Assemble Data'!H:H,'Assemble Data'!A795,'Assemble Data'!I:I)</f>
        <v>5</v>
      </c>
      <c r="E794" s="13">
        <f>IFERROR(IF(AND('Assemble Data'!D795&lt;&gt;"",'Assemble Data'!D795&lt;&gt;B794),1,0),1)</f>
        <v>0</v>
      </c>
      <c r="F794" s="13">
        <f ca="1">IF('Assemble Data'!E795="",0,IF(ISERROR(FIND("INDEX",_xlfn.FORMULATEXT('Assemble Data'!E795),1)),1,0)+IFERROR(IF(AND('Assemble Data'!E795&lt;&gt;C794,'Assemble Data'!E795&lt;&gt;""),1,0),1))</f>
        <v>0</v>
      </c>
      <c r="G794" s="13">
        <f ca="1">IF('Assemble Data'!F795="",0,IF(ISERROR(FIND("VLOOKUP",_xlfn.FORMULATEXT('Assemble Data'!F795),1)),1,0)+IFERROR(IF(AND('Assemble Data'!F795&lt;&gt;D794,'Assemble Data'!F795&lt;&gt;""),1,0),1))</f>
        <v>0</v>
      </c>
      <c r="H794" s="13">
        <f t="shared" si="40"/>
        <v>3</v>
      </c>
      <c r="I794" t="str">
        <f t="shared" si="41"/>
        <v>C3P13</v>
      </c>
    </row>
    <row r="795" spans="1:9">
      <c r="A795" t="str">
        <f>'Assemble Data'!B796</f>
        <v>P11</v>
      </c>
      <c r="B795" s="13">
        <f>IFERROR(SUMIF('Assemble Data'!K:K,'Assemble Data'!A796,'Assemble Data'!L:L),0)</f>
        <v>8800</v>
      </c>
      <c r="C795" s="13" t="str">
        <f>INDEX('Assemble Data'!$O$24:$O$1023,MATCH('Assemble Data'!A796,'Assemble Data'!$N$24:$N$1023,0))</f>
        <v>C3</v>
      </c>
      <c r="D795" s="13">
        <f>SUMIF('Assemble Data'!H:H,'Assemble Data'!A796,'Assemble Data'!I:I)</f>
        <v>11</v>
      </c>
      <c r="E795" s="13">
        <f>IFERROR(IF(AND('Assemble Data'!D796&lt;&gt;"",'Assemble Data'!D796&lt;&gt;B795),1,0),1)</f>
        <v>0</v>
      </c>
      <c r="F795" s="13">
        <f ca="1">IF('Assemble Data'!E796="",0,IF(ISERROR(FIND("INDEX",_xlfn.FORMULATEXT('Assemble Data'!E796),1)),1,0)+IFERROR(IF(AND('Assemble Data'!E796&lt;&gt;C795,'Assemble Data'!E796&lt;&gt;""),1,0),1))</f>
        <v>0</v>
      </c>
      <c r="G795" s="13">
        <f ca="1">IF('Assemble Data'!F796="",0,IF(ISERROR(FIND("VLOOKUP",_xlfn.FORMULATEXT('Assemble Data'!F796),1)),1,0)+IFERROR(IF(AND('Assemble Data'!F796&lt;&gt;D795,'Assemble Data'!F796&lt;&gt;""),1,0),1))</f>
        <v>0</v>
      </c>
      <c r="H795" s="13">
        <f t="shared" si="40"/>
        <v>9</v>
      </c>
      <c r="I795" t="str">
        <f t="shared" si="41"/>
        <v>C3P11</v>
      </c>
    </row>
    <row r="796" spans="1:9">
      <c r="A796" t="str">
        <f>'Assemble Data'!B797</f>
        <v>P11</v>
      </c>
      <c r="B796" s="13">
        <f>IFERROR(SUMIF('Assemble Data'!K:K,'Assemble Data'!A797,'Assemble Data'!L:L),0)</f>
        <v>8800</v>
      </c>
      <c r="C796" s="13" t="str">
        <f>INDEX('Assemble Data'!$O$24:$O$1023,MATCH('Assemble Data'!A797,'Assemble Data'!$N$24:$N$1023,0))</f>
        <v>C3</v>
      </c>
      <c r="D796" s="13">
        <f>SUMIF('Assemble Data'!H:H,'Assemble Data'!A797,'Assemble Data'!I:I)</f>
        <v>11</v>
      </c>
      <c r="E796" s="13">
        <f>IFERROR(IF(AND('Assemble Data'!D797&lt;&gt;"",'Assemble Data'!D797&lt;&gt;B796),1,0),1)</f>
        <v>0</v>
      </c>
      <c r="F796" s="13">
        <f ca="1">IF('Assemble Data'!E797="",0,IF(ISERROR(FIND("INDEX",_xlfn.FORMULATEXT('Assemble Data'!E797),1)),1,0)+IFERROR(IF(AND('Assemble Data'!E797&lt;&gt;C796,'Assemble Data'!E797&lt;&gt;""),1,0),1))</f>
        <v>0</v>
      </c>
      <c r="G796" s="13">
        <f ca="1">IF('Assemble Data'!F797="",0,IF(ISERROR(FIND("VLOOKUP",_xlfn.FORMULATEXT('Assemble Data'!F797),1)),1,0)+IFERROR(IF(AND('Assemble Data'!F797&lt;&gt;D796,'Assemble Data'!F797&lt;&gt;""),1,0),1))</f>
        <v>0</v>
      </c>
      <c r="H796" s="13">
        <f t="shared" si="40"/>
        <v>9</v>
      </c>
      <c r="I796" t="str">
        <f t="shared" si="41"/>
        <v>C3P11</v>
      </c>
    </row>
    <row r="797" spans="1:9">
      <c r="A797" t="str">
        <f>'Assemble Data'!B798</f>
        <v>P12</v>
      </c>
      <c r="B797" s="13">
        <f>IFERROR(SUMIF('Assemble Data'!K:K,'Assemble Data'!A798,'Assemble Data'!L:L),0)</f>
        <v>5460</v>
      </c>
      <c r="C797" s="13" t="str">
        <f>INDEX('Assemble Data'!$O$24:$O$1023,MATCH('Assemble Data'!A798,'Assemble Data'!$N$24:$N$1023,0))</f>
        <v>C3</v>
      </c>
      <c r="D797" s="13">
        <f>SUMIF('Assemble Data'!H:H,'Assemble Data'!A798,'Assemble Data'!I:I)</f>
        <v>6.5</v>
      </c>
      <c r="E797" s="13">
        <f>IFERROR(IF(AND('Assemble Data'!D798&lt;&gt;"",'Assemble Data'!D798&lt;&gt;B797),1,0),1)</f>
        <v>0</v>
      </c>
      <c r="F797" s="13">
        <f ca="1">IF('Assemble Data'!E798="",0,IF(ISERROR(FIND("INDEX",_xlfn.FORMULATEXT('Assemble Data'!E798),1)),1,0)+IFERROR(IF(AND('Assemble Data'!E798&lt;&gt;C797,'Assemble Data'!E798&lt;&gt;""),1,0),1))</f>
        <v>0</v>
      </c>
      <c r="G797" s="13">
        <f ca="1">IF('Assemble Data'!F798="",0,IF(ISERROR(FIND("VLOOKUP",_xlfn.FORMULATEXT('Assemble Data'!F798),1)),1,0)+IFERROR(IF(AND('Assemble Data'!F798&lt;&gt;D797,'Assemble Data'!F798&lt;&gt;""),1,0),1))</f>
        <v>0</v>
      </c>
      <c r="H797" s="13">
        <f t="shared" si="40"/>
        <v>7</v>
      </c>
      <c r="I797" t="str">
        <f t="shared" si="41"/>
        <v>C3P12</v>
      </c>
    </row>
    <row r="798" spans="1:9">
      <c r="A798" t="str">
        <f>'Assemble Data'!B799</f>
        <v>P10</v>
      </c>
      <c r="B798" s="13">
        <f>IFERROR(SUMIF('Assemble Data'!K:K,'Assemble Data'!A799,'Assemble Data'!L:L),0)</f>
        <v>1920</v>
      </c>
      <c r="C798" s="13" t="str">
        <f>INDEX('Assemble Data'!$O$24:$O$1023,MATCH('Assemble Data'!A799,'Assemble Data'!$N$24:$N$1023,0))</f>
        <v>C3</v>
      </c>
      <c r="D798" s="13">
        <f>SUMIF('Assemble Data'!H:H,'Assemble Data'!A799,'Assemble Data'!I:I)</f>
        <v>3</v>
      </c>
      <c r="E798" s="13">
        <f>IFERROR(IF(AND('Assemble Data'!D799&lt;&gt;"",'Assemble Data'!D799&lt;&gt;B798),1,0),1)</f>
        <v>0</v>
      </c>
      <c r="F798" s="13">
        <f ca="1">IF('Assemble Data'!E799="",0,IF(ISERROR(FIND("INDEX",_xlfn.FORMULATEXT('Assemble Data'!E799),1)),1,0)+IFERROR(IF(AND('Assemble Data'!E799&lt;&gt;C798,'Assemble Data'!E799&lt;&gt;""),1,0),1))</f>
        <v>0</v>
      </c>
      <c r="G798" s="13">
        <f ca="1">IF('Assemble Data'!F799="",0,IF(ISERROR(FIND("VLOOKUP",_xlfn.FORMULATEXT('Assemble Data'!F799),1)),1,0)+IFERROR(IF(AND('Assemble Data'!F799&lt;&gt;D798,'Assemble Data'!F799&lt;&gt;""),1,0),1))</f>
        <v>0</v>
      </c>
      <c r="H798" s="13">
        <f t="shared" si="40"/>
        <v>8</v>
      </c>
      <c r="I798" t="str">
        <f t="shared" si="41"/>
        <v>C3P10</v>
      </c>
    </row>
    <row r="799" spans="1:9">
      <c r="A799" t="str">
        <f>'Assemble Data'!B800</f>
        <v>P10</v>
      </c>
      <c r="B799" s="13">
        <f>IFERROR(SUMIF('Assemble Data'!K:K,'Assemble Data'!A800,'Assemble Data'!L:L),0)</f>
        <v>1920</v>
      </c>
      <c r="C799" s="13" t="str">
        <f>INDEX('Assemble Data'!$O$24:$O$1023,MATCH('Assemble Data'!A800,'Assemble Data'!$N$24:$N$1023,0))</f>
        <v>C3</v>
      </c>
      <c r="D799" s="13">
        <f>SUMIF('Assemble Data'!H:H,'Assemble Data'!A800,'Assemble Data'!I:I)</f>
        <v>3</v>
      </c>
      <c r="E799" s="13">
        <f>IFERROR(IF(AND('Assemble Data'!D800&lt;&gt;"",'Assemble Data'!D800&lt;&gt;B799),1,0),1)</f>
        <v>0</v>
      </c>
      <c r="F799" s="13">
        <f ca="1">IF('Assemble Data'!E800="",0,IF(ISERROR(FIND("INDEX",_xlfn.FORMULATEXT('Assemble Data'!E800),1)),1,0)+IFERROR(IF(AND('Assemble Data'!E800&lt;&gt;C799,'Assemble Data'!E800&lt;&gt;""),1,0),1))</f>
        <v>0</v>
      </c>
      <c r="G799" s="13">
        <f ca="1">IF('Assemble Data'!F800="",0,IF(ISERROR(FIND("VLOOKUP",_xlfn.FORMULATEXT('Assemble Data'!F800),1)),1,0)+IFERROR(IF(AND('Assemble Data'!F800&lt;&gt;D799,'Assemble Data'!F800&lt;&gt;""),1,0),1))</f>
        <v>0</v>
      </c>
      <c r="H799" s="13">
        <f t="shared" si="40"/>
        <v>8</v>
      </c>
      <c r="I799" t="str">
        <f t="shared" si="41"/>
        <v>C3P10</v>
      </c>
    </row>
    <row r="800" spans="1:9">
      <c r="A800" t="str">
        <f>'Assemble Data'!B801</f>
        <v>P11</v>
      </c>
      <c r="B800" s="13">
        <f>IFERROR(SUMIF('Assemble Data'!K:K,'Assemble Data'!A801,'Assemble Data'!L:L),0)</f>
        <v>8800</v>
      </c>
      <c r="C800" s="13" t="str">
        <f>INDEX('Assemble Data'!$O$24:$O$1023,MATCH('Assemble Data'!A801,'Assemble Data'!$N$24:$N$1023,0))</f>
        <v>C3</v>
      </c>
      <c r="D800" s="13">
        <f>SUMIF('Assemble Data'!H:H,'Assemble Data'!A801,'Assemble Data'!I:I)</f>
        <v>11</v>
      </c>
      <c r="E800" s="13">
        <f>IFERROR(IF(AND('Assemble Data'!D801&lt;&gt;"",'Assemble Data'!D801&lt;&gt;B800),1,0),1)</f>
        <v>0</v>
      </c>
      <c r="F800" s="13">
        <f ca="1">IF('Assemble Data'!E801="",0,IF(ISERROR(FIND("INDEX",_xlfn.FORMULATEXT('Assemble Data'!E801),1)),1,0)+IFERROR(IF(AND('Assemble Data'!E801&lt;&gt;C800,'Assemble Data'!E801&lt;&gt;""),1,0),1))</f>
        <v>0</v>
      </c>
      <c r="G800" s="13">
        <f ca="1">IF('Assemble Data'!F801="",0,IF(ISERROR(FIND("VLOOKUP",_xlfn.FORMULATEXT('Assemble Data'!F801),1)),1,0)+IFERROR(IF(AND('Assemble Data'!F801&lt;&gt;D800,'Assemble Data'!F801&lt;&gt;""),1,0),1))</f>
        <v>0</v>
      </c>
      <c r="H800" s="13">
        <f t="shared" si="40"/>
        <v>9</v>
      </c>
      <c r="I800" t="str">
        <f t="shared" si="41"/>
        <v>C3P11</v>
      </c>
    </row>
    <row r="801" spans="1:9">
      <c r="A801" t="str">
        <f>'Assemble Data'!B802</f>
        <v>P18</v>
      </c>
      <c r="B801" s="13">
        <f>IFERROR(SUMIF('Assemble Data'!K:K,'Assemble Data'!A802,'Assemble Data'!L:L),0)</f>
        <v>4320</v>
      </c>
      <c r="C801" s="13" t="str">
        <f>INDEX('Assemble Data'!$O$24:$O$1023,MATCH('Assemble Data'!A802,'Assemble Data'!$N$24:$N$1023,0))</f>
        <v>O3</v>
      </c>
      <c r="D801" s="13">
        <f>SUMIF('Assemble Data'!H:H,'Assemble Data'!A802,'Assemble Data'!I:I)</f>
        <v>6</v>
      </c>
      <c r="E801" s="13">
        <f>IFERROR(IF(AND('Assemble Data'!D802&lt;&gt;"",'Assemble Data'!D802&lt;&gt;B801),1,0),1)</f>
        <v>0</v>
      </c>
      <c r="F801" s="13">
        <f ca="1">IF('Assemble Data'!E802="",0,IF(ISERROR(FIND("INDEX",_xlfn.FORMULATEXT('Assemble Data'!E802),1)),1,0)+IFERROR(IF(AND('Assemble Data'!E802&lt;&gt;C801,'Assemble Data'!E802&lt;&gt;""),1,0),1))</f>
        <v>0</v>
      </c>
      <c r="G801" s="13">
        <f ca="1">IF('Assemble Data'!F802="",0,IF(ISERROR(FIND("VLOOKUP",_xlfn.FORMULATEXT('Assemble Data'!F802),1)),1,0)+IFERROR(IF(AND('Assemble Data'!F802&lt;&gt;D801,'Assemble Data'!F802&lt;&gt;""),1,0),1))</f>
        <v>0</v>
      </c>
      <c r="H801" s="13">
        <f t="shared" si="40"/>
        <v>2</v>
      </c>
      <c r="I801" t="str">
        <f t="shared" si="41"/>
        <v>O3P18</v>
      </c>
    </row>
    <row r="802" spans="1:9">
      <c r="A802" t="str">
        <f>'Assemble Data'!B803</f>
        <v>P14</v>
      </c>
      <c r="B802" s="13">
        <f>IFERROR(SUMIF('Assemble Data'!K:K,'Assemble Data'!A803,'Assemble Data'!L:L),0)</f>
        <v>7200</v>
      </c>
      <c r="C802" s="13" t="str">
        <f>INDEX('Assemble Data'!$O$24:$O$1023,MATCH('Assemble Data'!A803,'Assemble Data'!$N$24:$N$1023,0))</f>
        <v>N3</v>
      </c>
      <c r="D802" s="13">
        <f>SUMIF('Assemble Data'!H:H,'Assemble Data'!A803,'Assemble Data'!I:I)</f>
        <v>8</v>
      </c>
      <c r="E802" s="13">
        <f>IFERROR(IF(AND('Assemble Data'!D803&lt;&gt;"",'Assemble Data'!D803&lt;&gt;B802),1,0),1)</f>
        <v>0</v>
      </c>
      <c r="F802" s="13">
        <f ca="1">IF('Assemble Data'!E803="",0,IF(ISERROR(FIND("INDEX",_xlfn.FORMULATEXT('Assemble Data'!E803),1)),1,0)+IFERROR(IF(AND('Assemble Data'!E803&lt;&gt;C802,'Assemble Data'!E803&lt;&gt;""),1,0),1))</f>
        <v>0</v>
      </c>
      <c r="G802" s="13">
        <f ca="1">IF('Assemble Data'!F803="",0,IF(ISERROR(FIND("VLOOKUP",_xlfn.FORMULATEXT('Assemble Data'!F803),1)),1,0)+IFERROR(IF(AND('Assemble Data'!F803&lt;&gt;D802,'Assemble Data'!F803&lt;&gt;""),1,0),1))</f>
        <v>0</v>
      </c>
      <c r="H802" s="13">
        <f t="shared" si="40"/>
        <v>5</v>
      </c>
      <c r="I802" t="str">
        <f t="shared" si="41"/>
        <v>N3P14</v>
      </c>
    </row>
    <row r="803" spans="1:9">
      <c r="A803" t="str">
        <f>'Assemble Data'!B804</f>
        <v>P10</v>
      </c>
      <c r="B803" s="13">
        <f>IFERROR(SUMIF('Assemble Data'!K:K,'Assemble Data'!A804,'Assemble Data'!L:L),0)</f>
        <v>1920</v>
      </c>
      <c r="C803" s="13" t="str">
        <f>INDEX('Assemble Data'!$O$24:$O$1023,MATCH('Assemble Data'!A804,'Assemble Data'!$N$24:$N$1023,0))</f>
        <v>C3</v>
      </c>
      <c r="D803" s="13">
        <f>SUMIF('Assemble Data'!H:H,'Assemble Data'!A804,'Assemble Data'!I:I)</f>
        <v>3</v>
      </c>
      <c r="E803" s="13">
        <f>IFERROR(IF(AND('Assemble Data'!D804&lt;&gt;"",'Assemble Data'!D804&lt;&gt;B803),1,0),1)</f>
        <v>0</v>
      </c>
      <c r="F803" s="13">
        <f ca="1">IF('Assemble Data'!E804="",0,IF(ISERROR(FIND("INDEX",_xlfn.FORMULATEXT('Assemble Data'!E804),1)),1,0)+IFERROR(IF(AND('Assemble Data'!E804&lt;&gt;C803,'Assemble Data'!E804&lt;&gt;""),1,0),1))</f>
        <v>0</v>
      </c>
      <c r="G803" s="13">
        <f ca="1">IF('Assemble Data'!F804="",0,IF(ISERROR(FIND("VLOOKUP",_xlfn.FORMULATEXT('Assemble Data'!F804),1)),1,0)+IFERROR(IF(AND('Assemble Data'!F804&lt;&gt;D803,'Assemble Data'!F804&lt;&gt;""),1,0),1))</f>
        <v>0</v>
      </c>
      <c r="H803" s="13">
        <f t="shared" si="40"/>
        <v>8</v>
      </c>
      <c r="I803" t="str">
        <f t="shared" si="41"/>
        <v>C3P10</v>
      </c>
    </row>
    <row r="804" spans="1:9">
      <c r="A804" t="str">
        <f>'Assemble Data'!B805</f>
        <v>P13</v>
      </c>
      <c r="B804" s="13">
        <f>IFERROR(SUMIF('Assemble Data'!K:K,'Assemble Data'!A805,'Assemble Data'!L:L),0)</f>
        <v>3600</v>
      </c>
      <c r="C804" s="13" t="str">
        <f>INDEX('Assemble Data'!$O$24:$O$1023,MATCH('Assemble Data'!A805,'Assemble Data'!$N$24:$N$1023,0))</f>
        <v>C3</v>
      </c>
      <c r="D804" s="13">
        <f>SUMIF('Assemble Data'!H:H,'Assemble Data'!A805,'Assemble Data'!I:I)</f>
        <v>5</v>
      </c>
      <c r="E804" s="13">
        <f>IFERROR(IF(AND('Assemble Data'!D805&lt;&gt;"",'Assemble Data'!D805&lt;&gt;B804),1,0),1)</f>
        <v>0</v>
      </c>
      <c r="F804" s="13">
        <f ca="1">IF('Assemble Data'!E805="",0,IF(ISERROR(FIND("INDEX",_xlfn.FORMULATEXT('Assemble Data'!E805),1)),1,0)+IFERROR(IF(AND('Assemble Data'!E805&lt;&gt;C804,'Assemble Data'!E805&lt;&gt;""),1,0),1))</f>
        <v>0</v>
      </c>
      <c r="G804" s="13">
        <f ca="1">IF('Assemble Data'!F805="",0,IF(ISERROR(FIND("VLOOKUP",_xlfn.FORMULATEXT('Assemble Data'!F805),1)),1,0)+IFERROR(IF(AND('Assemble Data'!F805&lt;&gt;D804,'Assemble Data'!F805&lt;&gt;""),1,0),1))</f>
        <v>0</v>
      </c>
      <c r="H804" s="13">
        <f t="shared" si="40"/>
        <v>3</v>
      </c>
      <c r="I804" t="str">
        <f t="shared" si="41"/>
        <v>C3P13</v>
      </c>
    </row>
    <row r="805" spans="1:9">
      <c r="A805" t="str">
        <f>'Assemble Data'!B806</f>
        <v>P13</v>
      </c>
      <c r="B805" s="13">
        <f>IFERROR(SUMIF('Assemble Data'!K:K,'Assemble Data'!A806,'Assemble Data'!L:L),0)</f>
        <v>3600</v>
      </c>
      <c r="C805" s="13" t="str">
        <f>INDEX('Assemble Data'!$O$24:$O$1023,MATCH('Assemble Data'!A806,'Assemble Data'!$N$24:$N$1023,0))</f>
        <v>C3</v>
      </c>
      <c r="D805" s="13">
        <f>SUMIF('Assemble Data'!H:H,'Assemble Data'!A806,'Assemble Data'!I:I)</f>
        <v>5</v>
      </c>
      <c r="E805" s="13">
        <f>IFERROR(IF(AND('Assemble Data'!D806&lt;&gt;"",'Assemble Data'!D806&lt;&gt;B805),1,0),1)</f>
        <v>0</v>
      </c>
      <c r="F805" s="13">
        <f ca="1">IF('Assemble Data'!E806="",0,IF(ISERROR(FIND("INDEX",_xlfn.FORMULATEXT('Assemble Data'!E806),1)),1,0)+IFERROR(IF(AND('Assemble Data'!E806&lt;&gt;C805,'Assemble Data'!E806&lt;&gt;""),1,0),1))</f>
        <v>0</v>
      </c>
      <c r="G805" s="13">
        <f ca="1">IF('Assemble Data'!F806="",0,IF(ISERROR(FIND("VLOOKUP",_xlfn.FORMULATEXT('Assemble Data'!F806),1)),1,0)+IFERROR(IF(AND('Assemble Data'!F806&lt;&gt;D805,'Assemble Data'!F806&lt;&gt;""),1,0),1))</f>
        <v>0</v>
      </c>
      <c r="H805" s="13">
        <f t="shared" si="40"/>
        <v>3</v>
      </c>
      <c r="I805" t="str">
        <f t="shared" si="41"/>
        <v>C3P13</v>
      </c>
    </row>
    <row r="806" spans="1:9">
      <c r="A806" t="str">
        <f>'Assemble Data'!B807</f>
        <v>P10</v>
      </c>
      <c r="B806" s="13">
        <f>IFERROR(SUMIF('Assemble Data'!K:K,'Assemble Data'!A807,'Assemble Data'!L:L),0)</f>
        <v>1920</v>
      </c>
      <c r="C806" s="13" t="str">
        <f>INDEX('Assemble Data'!$O$24:$O$1023,MATCH('Assemble Data'!A807,'Assemble Data'!$N$24:$N$1023,0))</f>
        <v>C3</v>
      </c>
      <c r="D806" s="13">
        <f>SUMIF('Assemble Data'!H:H,'Assemble Data'!A807,'Assemble Data'!I:I)</f>
        <v>3</v>
      </c>
      <c r="E806" s="13">
        <f>IFERROR(IF(AND('Assemble Data'!D807&lt;&gt;"",'Assemble Data'!D807&lt;&gt;B806),1,0),1)</f>
        <v>0</v>
      </c>
      <c r="F806" s="13">
        <f ca="1">IF('Assemble Data'!E807="",0,IF(ISERROR(FIND("INDEX",_xlfn.FORMULATEXT('Assemble Data'!E807),1)),1,0)+IFERROR(IF(AND('Assemble Data'!E807&lt;&gt;C806,'Assemble Data'!E807&lt;&gt;""),1,0),1))</f>
        <v>0</v>
      </c>
      <c r="G806" s="13">
        <f ca="1">IF('Assemble Data'!F807="",0,IF(ISERROR(FIND("VLOOKUP",_xlfn.FORMULATEXT('Assemble Data'!F807),1)),1,0)+IFERROR(IF(AND('Assemble Data'!F807&lt;&gt;D806,'Assemble Data'!F807&lt;&gt;""),1,0),1))</f>
        <v>0</v>
      </c>
      <c r="H806" s="13">
        <f t="shared" si="40"/>
        <v>8</v>
      </c>
      <c r="I806" t="str">
        <f t="shared" si="41"/>
        <v>C3P10</v>
      </c>
    </row>
    <row r="807" spans="1:9">
      <c r="A807" t="str">
        <f>'Assemble Data'!B808</f>
        <v>P11</v>
      </c>
      <c r="B807" s="13">
        <f>IFERROR(SUMIF('Assemble Data'!K:K,'Assemble Data'!A808,'Assemble Data'!L:L),0)</f>
        <v>8800</v>
      </c>
      <c r="C807" s="13" t="str">
        <f>INDEX('Assemble Data'!$O$24:$O$1023,MATCH('Assemble Data'!A808,'Assemble Data'!$N$24:$N$1023,0))</f>
        <v>C3</v>
      </c>
      <c r="D807" s="13">
        <f>SUMIF('Assemble Data'!H:H,'Assemble Data'!A808,'Assemble Data'!I:I)</f>
        <v>11</v>
      </c>
      <c r="E807" s="13">
        <f>IFERROR(IF(AND('Assemble Data'!D808&lt;&gt;"",'Assemble Data'!D808&lt;&gt;B807),1,0),1)</f>
        <v>0</v>
      </c>
      <c r="F807" s="13">
        <f ca="1">IF('Assemble Data'!E808="",0,IF(ISERROR(FIND("INDEX",_xlfn.FORMULATEXT('Assemble Data'!E808),1)),1,0)+IFERROR(IF(AND('Assemble Data'!E808&lt;&gt;C807,'Assemble Data'!E808&lt;&gt;""),1,0),1))</f>
        <v>0</v>
      </c>
      <c r="G807" s="13">
        <f ca="1">IF('Assemble Data'!F808="",0,IF(ISERROR(FIND("VLOOKUP",_xlfn.FORMULATEXT('Assemble Data'!F808),1)),1,0)+IFERROR(IF(AND('Assemble Data'!F808&lt;&gt;D807,'Assemble Data'!F808&lt;&gt;""),1,0),1))</f>
        <v>0</v>
      </c>
      <c r="H807" s="13">
        <f t="shared" si="40"/>
        <v>9</v>
      </c>
      <c r="I807" t="str">
        <f t="shared" si="41"/>
        <v>C3P11</v>
      </c>
    </row>
    <row r="808" spans="1:9">
      <c r="A808" t="str">
        <f>'Assemble Data'!B809</f>
        <v>P16</v>
      </c>
      <c r="B808" s="13">
        <f>IFERROR(SUMIF('Assemble Data'!K:K,'Assemble Data'!A809,'Assemble Data'!L:L),0)</f>
        <v>5200</v>
      </c>
      <c r="C808" s="13" t="str">
        <f>INDEX('Assemble Data'!$O$24:$O$1023,MATCH('Assemble Data'!A809,'Assemble Data'!$N$24:$N$1023,0))</f>
        <v>N3</v>
      </c>
      <c r="D808" s="13">
        <f>SUMIF('Assemble Data'!H:H,'Assemble Data'!A809,'Assemble Data'!I:I)</f>
        <v>4</v>
      </c>
      <c r="E808" s="13">
        <f>IFERROR(IF(AND('Assemble Data'!D809&lt;&gt;"",'Assemble Data'!D809&lt;&gt;B808),1,0),1)</f>
        <v>0</v>
      </c>
      <c r="F808" s="13">
        <f ca="1">IF('Assemble Data'!E809="",0,IF(ISERROR(FIND("INDEX",_xlfn.FORMULATEXT('Assemble Data'!E809),1)),1,0)+IFERROR(IF(AND('Assemble Data'!E809&lt;&gt;C808,'Assemble Data'!E809&lt;&gt;""),1,0),1))</f>
        <v>0</v>
      </c>
      <c r="G808" s="13">
        <f ca="1">IF('Assemble Data'!F809="",0,IF(ISERROR(FIND("VLOOKUP",_xlfn.FORMULATEXT('Assemble Data'!F809),1)),1,0)+IFERROR(IF(AND('Assemble Data'!F809&lt;&gt;D808,'Assemble Data'!F809&lt;&gt;""),1,0),1))</f>
        <v>0</v>
      </c>
      <c r="H808" s="13">
        <f t="shared" si="40"/>
        <v>0</v>
      </c>
      <c r="I808" t="str">
        <f t="shared" si="41"/>
        <v>N3P16</v>
      </c>
    </row>
    <row r="809" spans="1:9">
      <c r="A809" t="str">
        <f>'Assemble Data'!B810</f>
        <v>P17</v>
      </c>
      <c r="B809" s="13">
        <f>IFERROR(SUMIF('Assemble Data'!K:K,'Assemble Data'!A810,'Assemble Data'!L:L),0)</f>
        <v>9600</v>
      </c>
      <c r="C809" s="13" t="str">
        <f>INDEX('Assemble Data'!$O$24:$O$1023,MATCH('Assemble Data'!A810,'Assemble Data'!$N$24:$N$1023,0))</f>
        <v>O3</v>
      </c>
      <c r="D809" s="13">
        <f>SUMIF('Assemble Data'!H:H,'Assemble Data'!A810,'Assemble Data'!I:I)</f>
        <v>12</v>
      </c>
      <c r="E809" s="13">
        <f>IFERROR(IF(AND('Assemble Data'!D810&lt;&gt;"",'Assemble Data'!D810&lt;&gt;B809),1,0),1)</f>
        <v>0</v>
      </c>
      <c r="F809" s="13">
        <f ca="1">IF('Assemble Data'!E810="",0,IF(ISERROR(FIND("INDEX",_xlfn.FORMULATEXT('Assemble Data'!E810),1)),1,0)+IFERROR(IF(AND('Assemble Data'!E810&lt;&gt;C809,'Assemble Data'!E810&lt;&gt;""),1,0),1))</f>
        <v>0</v>
      </c>
      <c r="G809" s="13">
        <f ca="1">IF('Assemble Data'!F810="",0,IF(ISERROR(FIND("VLOOKUP",_xlfn.FORMULATEXT('Assemble Data'!F810),1)),1,0)+IFERROR(IF(AND('Assemble Data'!F810&lt;&gt;D809,'Assemble Data'!F810&lt;&gt;""),1,0),1))</f>
        <v>0</v>
      </c>
      <c r="H809" s="13">
        <f t="shared" si="40"/>
        <v>6</v>
      </c>
      <c r="I809" t="str">
        <f t="shared" si="41"/>
        <v>O3P17</v>
      </c>
    </row>
    <row r="810" spans="1:9">
      <c r="A810" t="str">
        <f>'Assemble Data'!B811</f>
        <v>P17</v>
      </c>
      <c r="B810" s="13">
        <f>IFERROR(SUMIF('Assemble Data'!K:K,'Assemble Data'!A811,'Assemble Data'!L:L),0)</f>
        <v>9600</v>
      </c>
      <c r="C810" s="13" t="str">
        <f>INDEX('Assemble Data'!$O$24:$O$1023,MATCH('Assemble Data'!A811,'Assemble Data'!$N$24:$N$1023,0))</f>
        <v>O3</v>
      </c>
      <c r="D810" s="13">
        <f>SUMIF('Assemble Data'!H:H,'Assemble Data'!A811,'Assemble Data'!I:I)</f>
        <v>12</v>
      </c>
      <c r="E810" s="13">
        <f>IFERROR(IF(AND('Assemble Data'!D811&lt;&gt;"",'Assemble Data'!D811&lt;&gt;B810),1,0),1)</f>
        <v>0</v>
      </c>
      <c r="F810" s="13">
        <f ca="1">IF('Assemble Data'!E811="",0,IF(ISERROR(FIND("INDEX",_xlfn.FORMULATEXT('Assemble Data'!E811),1)),1,0)+IFERROR(IF(AND('Assemble Data'!E811&lt;&gt;C810,'Assemble Data'!E811&lt;&gt;""),1,0),1))</f>
        <v>0</v>
      </c>
      <c r="G810" s="13">
        <f ca="1">IF('Assemble Data'!F811="",0,IF(ISERROR(FIND("VLOOKUP",_xlfn.FORMULATEXT('Assemble Data'!F811),1)),1,0)+IFERROR(IF(AND('Assemble Data'!F811&lt;&gt;D810,'Assemble Data'!F811&lt;&gt;""),1,0),1))</f>
        <v>0</v>
      </c>
      <c r="H810" s="13">
        <f t="shared" si="40"/>
        <v>6</v>
      </c>
      <c r="I810" t="str">
        <f t="shared" si="41"/>
        <v>O3P17</v>
      </c>
    </row>
    <row r="811" spans="1:9">
      <c r="A811" t="str">
        <f>'Assemble Data'!B812</f>
        <v>P13</v>
      </c>
      <c r="B811" s="13">
        <f>IFERROR(SUMIF('Assemble Data'!K:K,'Assemble Data'!A812,'Assemble Data'!L:L),0)</f>
        <v>3600</v>
      </c>
      <c r="C811" s="13" t="str">
        <f>INDEX('Assemble Data'!$O$24:$O$1023,MATCH('Assemble Data'!A812,'Assemble Data'!$N$24:$N$1023,0))</f>
        <v>C3</v>
      </c>
      <c r="D811" s="13">
        <f>SUMIF('Assemble Data'!H:H,'Assemble Data'!A812,'Assemble Data'!I:I)</f>
        <v>5</v>
      </c>
      <c r="E811" s="13">
        <f>IFERROR(IF(AND('Assemble Data'!D812&lt;&gt;"",'Assemble Data'!D812&lt;&gt;B811),1,0),1)</f>
        <v>0</v>
      </c>
      <c r="F811" s="13">
        <f ca="1">IF('Assemble Data'!E812="",0,IF(ISERROR(FIND("INDEX",_xlfn.FORMULATEXT('Assemble Data'!E812),1)),1,0)+IFERROR(IF(AND('Assemble Data'!E812&lt;&gt;C811,'Assemble Data'!E812&lt;&gt;""),1,0),1))</f>
        <v>0</v>
      </c>
      <c r="G811" s="13">
        <f ca="1">IF('Assemble Data'!F812="",0,IF(ISERROR(FIND("VLOOKUP",_xlfn.FORMULATEXT('Assemble Data'!F812),1)),1,0)+IFERROR(IF(AND('Assemble Data'!F812&lt;&gt;D811,'Assemble Data'!F812&lt;&gt;""),1,0),1))</f>
        <v>0</v>
      </c>
      <c r="H811" s="13">
        <f t="shared" si="40"/>
        <v>3</v>
      </c>
      <c r="I811" t="str">
        <f t="shared" si="41"/>
        <v>C3P13</v>
      </c>
    </row>
    <row r="812" spans="1:9">
      <c r="A812" t="str">
        <f>'Assemble Data'!B813</f>
        <v>P11</v>
      </c>
      <c r="B812" s="13">
        <f>IFERROR(SUMIF('Assemble Data'!K:K,'Assemble Data'!A813,'Assemble Data'!L:L),0)</f>
        <v>8800</v>
      </c>
      <c r="C812" s="13" t="str">
        <f>INDEX('Assemble Data'!$O$24:$O$1023,MATCH('Assemble Data'!A813,'Assemble Data'!$N$24:$N$1023,0))</f>
        <v>C3</v>
      </c>
      <c r="D812" s="13">
        <f>SUMIF('Assemble Data'!H:H,'Assemble Data'!A813,'Assemble Data'!I:I)</f>
        <v>11</v>
      </c>
      <c r="E812" s="13">
        <f>IFERROR(IF(AND('Assemble Data'!D813&lt;&gt;"",'Assemble Data'!D813&lt;&gt;B812),1,0),1)</f>
        <v>0</v>
      </c>
      <c r="F812" s="13">
        <f ca="1">IF('Assemble Data'!E813="",0,IF(ISERROR(FIND("INDEX",_xlfn.FORMULATEXT('Assemble Data'!E813),1)),1,0)+IFERROR(IF(AND('Assemble Data'!E813&lt;&gt;C812,'Assemble Data'!E813&lt;&gt;""),1,0),1))</f>
        <v>0</v>
      </c>
      <c r="G812" s="13">
        <f ca="1">IF('Assemble Data'!F813="",0,IF(ISERROR(FIND("VLOOKUP",_xlfn.FORMULATEXT('Assemble Data'!F813),1)),1,0)+IFERROR(IF(AND('Assemble Data'!F813&lt;&gt;D812,'Assemble Data'!F813&lt;&gt;""),1,0),1))</f>
        <v>0</v>
      </c>
      <c r="H812" s="13">
        <f t="shared" si="40"/>
        <v>9</v>
      </c>
      <c r="I812" t="str">
        <f t="shared" si="41"/>
        <v>C3P11</v>
      </c>
    </row>
    <row r="813" spans="1:9">
      <c r="A813" t="str">
        <f>'Assemble Data'!B814</f>
        <v>P11</v>
      </c>
      <c r="B813" s="13">
        <f>IFERROR(SUMIF('Assemble Data'!K:K,'Assemble Data'!A814,'Assemble Data'!L:L),0)</f>
        <v>8800</v>
      </c>
      <c r="C813" s="13" t="str">
        <f>INDEX('Assemble Data'!$O$24:$O$1023,MATCH('Assemble Data'!A814,'Assemble Data'!$N$24:$N$1023,0))</f>
        <v>C3</v>
      </c>
      <c r="D813" s="13">
        <f>SUMIF('Assemble Data'!H:H,'Assemble Data'!A814,'Assemble Data'!I:I)</f>
        <v>11</v>
      </c>
      <c r="E813" s="13">
        <f>IFERROR(IF(AND('Assemble Data'!D814&lt;&gt;"",'Assemble Data'!D814&lt;&gt;B813),1,0),1)</f>
        <v>0</v>
      </c>
      <c r="F813" s="13">
        <f ca="1">IF('Assemble Data'!E814="",0,IF(ISERROR(FIND("INDEX",_xlfn.FORMULATEXT('Assemble Data'!E814),1)),1,0)+IFERROR(IF(AND('Assemble Data'!E814&lt;&gt;C813,'Assemble Data'!E814&lt;&gt;""),1,0),1))</f>
        <v>0</v>
      </c>
      <c r="G813" s="13">
        <f ca="1">IF('Assemble Data'!F814="",0,IF(ISERROR(FIND("VLOOKUP",_xlfn.FORMULATEXT('Assemble Data'!F814),1)),1,0)+IFERROR(IF(AND('Assemble Data'!F814&lt;&gt;D813,'Assemble Data'!F814&lt;&gt;""),1,0),1))</f>
        <v>0</v>
      </c>
      <c r="H813" s="13">
        <f t="shared" si="40"/>
        <v>9</v>
      </c>
      <c r="I813" t="str">
        <f t="shared" si="41"/>
        <v>C3P11</v>
      </c>
    </row>
    <row r="814" spans="1:9">
      <c r="A814" t="str">
        <f>'Assemble Data'!B815</f>
        <v>P12</v>
      </c>
      <c r="B814" s="13">
        <f>IFERROR(SUMIF('Assemble Data'!K:K,'Assemble Data'!A815,'Assemble Data'!L:L),0)</f>
        <v>5460</v>
      </c>
      <c r="C814" s="13" t="str">
        <f>INDEX('Assemble Data'!$O$24:$O$1023,MATCH('Assemble Data'!A815,'Assemble Data'!$N$24:$N$1023,0))</f>
        <v>C3</v>
      </c>
      <c r="D814" s="13">
        <f>SUMIF('Assemble Data'!H:H,'Assemble Data'!A815,'Assemble Data'!I:I)</f>
        <v>6.5</v>
      </c>
      <c r="E814" s="13">
        <f>IFERROR(IF(AND('Assemble Data'!D815&lt;&gt;"",'Assemble Data'!D815&lt;&gt;B814),1,0),1)</f>
        <v>0</v>
      </c>
      <c r="F814" s="13">
        <f ca="1">IF('Assemble Data'!E815="",0,IF(ISERROR(FIND("INDEX",_xlfn.FORMULATEXT('Assemble Data'!E815),1)),1,0)+IFERROR(IF(AND('Assemble Data'!E815&lt;&gt;C814,'Assemble Data'!E815&lt;&gt;""),1,0),1))</f>
        <v>0</v>
      </c>
      <c r="G814" s="13">
        <f ca="1">IF('Assemble Data'!F815="",0,IF(ISERROR(FIND("VLOOKUP",_xlfn.FORMULATEXT('Assemble Data'!F815),1)),1,0)+IFERROR(IF(AND('Assemble Data'!F815&lt;&gt;D814,'Assemble Data'!F815&lt;&gt;""),1,0),1))</f>
        <v>0</v>
      </c>
      <c r="H814" s="13">
        <f t="shared" si="40"/>
        <v>7</v>
      </c>
      <c r="I814" t="str">
        <f t="shared" si="41"/>
        <v>C3P12</v>
      </c>
    </row>
    <row r="815" spans="1:9">
      <c r="A815" t="str">
        <f>'Assemble Data'!B816</f>
        <v>P10</v>
      </c>
      <c r="B815" s="13">
        <f>IFERROR(SUMIF('Assemble Data'!K:K,'Assemble Data'!A816,'Assemble Data'!L:L),0)</f>
        <v>1920</v>
      </c>
      <c r="C815" s="13" t="str">
        <f>INDEX('Assemble Data'!$O$24:$O$1023,MATCH('Assemble Data'!A816,'Assemble Data'!$N$24:$N$1023,0))</f>
        <v>C3</v>
      </c>
      <c r="D815" s="13">
        <f>SUMIF('Assemble Data'!H:H,'Assemble Data'!A816,'Assemble Data'!I:I)</f>
        <v>3</v>
      </c>
      <c r="E815" s="13">
        <f>IFERROR(IF(AND('Assemble Data'!D816&lt;&gt;"",'Assemble Data'!D816&lt;&gt;B815),1,0),1)</f>
        <v>0</v>
      </c>
      <c r="F815" s="13">
        <f ca="1">IF('Assemble Data'!E816="",0,IF(ISERROR(FIND("INDEX",_xlfn.FORMULATEXT('Assemble Data'!E816),1)),1,0)+IFERROR(IF(AND('Assemble Data'!E816&lt;&gt;C815,'Assemble Data'!E816&lt;&gt;""),1,0),1))</f>
        <v>0</v>
      </c>
      <c r="G815" s="13">
        <f ca="1">IF('Assemble Data'!F816="",0,IF(ISERROR(FIND("VLOOKUP",_xlfn.FORMULATEXT('Assemble Data'!F816),1)),1,0)+IFERROR(IF(AND('Assemble Data'!F816&lt;&gt;D815,'Assemble Data'!F816&lt;&gt;""),1,0),1))</f>
        <v>0</v>
      </c>
      <c r="H815" s="13">
        <f t="shared" si="40"/>
        <v>8</v>
      </c>
      <c r="I815" t="str">
        <f t="shared" si="41"/>
        <v>C3P10</v>
      </c>
    </row>
    <row r="816" spans="1:9">
      <c r="A816" t="str">
        <f>'Assemble Data'!B817</f>
        <v>P10</v>
      </c>
      <c r="B816" s="13">
        <f>IFERROR(SUMIF('Assemble Data'!K:K,'Assemble Data'!A817,'Assemble Data'!L:L),0)</f>
        <v>3840</v>
      </c>
      <c r="C816" s="13" t="str">
        <f>INDEX('Assemble Data'!$O$24:$O$1023,MATCH('Assemble Data'!A817,'Assemble Data'!$N$24:$N$1023,0))</f>
        <v>C3</v>
      </c>
      <c r="D816" s="13">
        <f>SUMIF('Assemble Data'!H:H,'Assemble Data'!A817,'Assemble Data'!I:I)</f>
        <v>3</v>
      </c>
      <c r="E816" s="13">
        <f>IFERROR(IF(AND('Assemble Data'!D817&lt;&gt;"",'Assemble Data'!D817&lt;&gt;B816),1,0),1)</f>
        <v>0</v>
      </c>
      <c r="F816" s="13">
        <f ca="1">IF('Assemble Data'!E817="",0,IF(ISERROR(FIND("INDEX",_xlfn.FORMULATEXT('Assemble Data'!E817),1)),1,0)+IFERROR(IF(AND('Assemble Data'!E817&lt;&gt;C816,'Assemble Data'!E817&lt;&gt;""),1,0),1))</f>
        <v>0</v>
      </c>
      <c r="G816" s="13">
        <f ca="1">IF('Assemble Data'!F817="",0,IF(ISERROR(FIND("VLOOKUP",_xlfn.FORMULATEXT('Assemble Data'!F817),1)),1,0)+IFERROR(IF(AND('Assemble Data'!F817&lt;&gt;D816,'Assemble Data'!F817&lt;&gt;""),1,0),1))</f>
        <v>0</v>
      </c>
      <c r="H816" s="13">
        <f t="shared" si="40"/>
        <v>8</v>
      </c>
      <c r="I816" t="str">
        <f t="shared" si="41"/>
        <v>C3P10</v>
      </c>
    </row>
    <row r="817" spans="1:9">
      <c r="A817" t="str">
        <f>'Assemble Data'!B818</f>
        <v>P11</v>
      </c>
      <c r="B817" s="13">
        <f>IFERROR(SUMIF('Assemble Data'!K:K,'Assemble Data'!A818,'Assemble Data'!L:L),0)</f>
        <v>8800</v>
      </c>
      <c r="C817" s="13" t="str">
        <f>INDEX('Assemble Data'!$O$24:$O$1023,MATCH('Assemble Data'!A818,'Assemble Data'!$N$24:$N$1023,0))</f>
        <v>C3</v>
      </c>
      <c r="D817" s="13">
        <f>SUMIF('Assemble Data'!H:H,'Assemble Data'!A818,'Assemble Data'!I:I)</f>
        <v>11</v>
      </c>
      <c r="E817" s="13">
        <f>IFERROR(IF(AND('Assemble Data'!D818&lt;&gt;"",'Assemble Data'!D818&lt;&gt;B817),1,0),1)</f>
        <v>0</v>
      </c>
      <c r="F817" s="13">
        <f ca="1">IF('Assemble Data'!E818="",0,IF(ISERROR(FIND("INDEX",_xlfn.FORMULATEXT('Assemble Data'!E818),1)),1,0)+IFERROR(IF(AND('Assemble Data'!E818&lt;&gt;C817,'Assemble Data'!E818&lt;&gt;""),1,0),1))</f>
        <v>0</v>
      </c>
      <c r="G817" s="13">
        <f ca="1">IF('Assemble Data'!F818="",0,IF(ISERROR(FIND("VLOOKUP",_xlfn.FORMULATEXT('Assemble Data'!F818),1)),1,0)+IFERROR(IF(AND('Assemble Data'!F818&lt;&gt;D817,'Assemble Data'!F818&lt;&gt;""),1,0),1))</f>
        <v>0</v>
      </c>
      <c r="H817" s="13">
        <f t="shared" si="40"/>
        <v>9</v>
      </c>
      <c r="I817" t="str">
        <f t="shared" si="41"/>
        <v>C3P11</v>
      </c>
    </row>
    <row r="818" spans="1:9">
      <c r="A818" t="str">
        <f>'Assemble Data'!B819</f>
        <v>P18</v>
      </c>
      <c r="B818" s="13">
        <f>IFERROR(SUMIF('Assemble Data'!K:K,'Assemble Data'!A819,'Assemble Data'!L:L),0)</f>
        <v>4320</v>
      </c>
      <c r="C818" s="13" t="str">
        <f>INDEX('Assemble Data'!$O$24:$O$1023,MATCH('Assemble Data'!A819,'Assemble Data'!$N$24:$N$1023,0))</f>
        <v>O3</v>
      </c>
      <c r="D818" s="13">
        <f>SUMIF('Assemble Data'!H:H,'Assemble Data'!A819,'Assemble Data'!I:I)</f>
        <v>6</v>
      </c>
      <c r="E818" s="13">
        <f>IFERROR(IF(AND('Assemble Data'!D819&lt;&gt;"",'Assemble Data'!D819&lt;&gt;B818),1,0),1)</f>
        <v>0</v>
      </c>
      <c r="F818" s="13">
        <f ca="1">IF('Assemble Data'!E819="",0,IF(ISERROR(FIND("INDEX",_xlfn.FORMULATEXT('Assemble Data'!E819),1)),1,0)+IFERROR(IF(AND('Assemble Data'!E819&lt;&gt;C818,'Assemble Data'!E819&lt;&gt;""),1,0),1))</f>
        <v>0</v>
      </c>
      <c r="G818" s="13">
        <f ca="1">IF('Assemble Data'!F819="",0,IF(ISERROR(FIND("VLOOKUP",_xlfn.FORMULATEXT('Assemble Data'!F819),1)),1,0)+IFERROR(IF(AND('Assemble Data'!F819&lt;&gt;D818,'Assemble Data'!F819&lt;&gt;""),1,0),1))</f>
        <v>0</v>
      </c>
      <c r="H818" s="13">
        <f t="shared" si="40"/>
        <v>2</v>
      </c>
      <c r="I818" t="str">
        <f t="shared" si="41"/>
        <v>O3P18</v>
      </c>
    </row>
    <row r="819" spans="1:9">
      <c r="A819" t="str">
        <f>'Assemble Data'!B820</f>
        <v>P14</v>
      </c>
      <c r="B819" s="13">
        <f>IFERROR(SUMIF('Assemble Data'!K:K,'Assemble Data'!A820,'Assemble Data'!L:L),0)</f>
        <v>7200</v>
      </c>
      <c r="C819" s="13" t="str">
        <f>INDEX('Assemble Data'!$O$24:$O$1023,MATCH('Assemble Data'!A820,'Assemble Data'!$N$24:$N$1023,0))</f>
        <v>N3</v>
      </c>
      <c r="D819" s="13">
        <f>SUMIF('Assemble Data'!H:H,'Assemble Data'!A820,'Assemble Data'!I:I)</f>
        <v>8</v>
      </c>
      <c r="E819" s="13">
        <f>IFERROR(IF(AND('Assemble Data'!D820&lt;&gt;"",'Assemble Data'!D820&lt;&gt;B819),1,0),1)</f>
        <v>0</v>
      </c>
      <c r="F819" s="13">
        <f ca="1">IF('Assemble Data'!E820="",0,IF(ISERROR(FIND("INDEX",_xlfn.FORMULATEXT('Assemble Data'!E820),1)),1,0)+IFERROR(IF(AND('Assemble Data'!E820&lt;&gt;C819,'Assemble Data'!E820&lt;&gt;""),1,0),1))</f>
        <v>0</v>
      </c>
      <c r="G819" s="13">
        <f ca="1">IF('Assemble Data'!F820="",0,IF(ISERROR(FIND("VLOOKUP",_xlfn.FORMULATEXT('Assemble Data'!F820),1)),1,0)+IFERROR(IF(AND('Assemble Data'!F820&lt;&gt;D819,'Assemble Data'!F820&lt;&gt;""),1,0),1))</f>
        <v>0</v>
      </c>
      <c r="H819" s="13">
        <f t="shared" si="40"/>
        <v>5</v>
      </c>
      <c r="I819" t="str">
        <f t="shared" si="41"/>
        <v>N3P14</v>
      </c>
    </row>
    <row r="820" spans="1:9">
      <c r="A820" t="str">
        <f>'Assemble Data'!B821</f>
        <v>P10</v>
      </c>
      <c r="B820" s="13">
        <f>IFERROR(SUMIF('Assemble Data'!K:K,'Assemble Data'!A821,'Assemble Data'!L:L),0)</f>
        <v>1920</v>
      </c>
      <c r="C820" s="13" t="str">
        <f>INDEX('Assemble Data'!$O$24:$O$1023,MATCH('Assemble Data'!A821,'Assemble Data'!$N$24:$N$1023,0))</f>
        <v>C3</v>
      </c>
      <c r="D820" s="13">
        <f>SUMIF('Assemble Data'!H:H,'Assemble Data'!A821,'Assemble Data'!I:I)</f>
        <v>3</v>
      </c>
      <c r="E820" s="13">
        <f>IFERROR(IF(AND('Assemble Data'!D821&lt;&gt;"",'Assemble Data'!D821&lt;&gt;B820),1,0),1)</f>
        <v>0</v>
      </c>
      <c r="F820" s="13">
        <f ca="1">IF('Assemble Data'!E821="",0,IF(ISERROR(FIND("INDEX",_xlfn.FORMULATEXT('Assemble Data'!E821),1)),1,0)+IFERROR(IF(AND('Assemble Data'!E821&lt;&gt;C820,'Assemble Data'!E821&lt;&gt;""),1,0),1))</f>
        <v>0</v>
      </c>
      <c r="G820" s="13">
        <f ca="1">IF('Assemble Data'!F821="",0,IF(ISERROR(FIND("VLOOKUP",_xlfn.FORMULATEXT('Assemble Data'!F821),1)),1,0)+IFERROR(IF(AND('Assemble Data'!F821&lt;&gt;D820,'Assemble Data'!F821&lt;&gt;""),1,0),1))</f>
        <v>0</v>
      </c>
      <c r="H820" s="13">
        <f t="shared" si="40"/>
        <v>8</v>
      </c>
      <c r="I820" t="str">
        <f t="shared" si="41"/>
        <v>C3P10</v>
      </c>
    </row>
    <row r="821" spans="1:9">
      <c r="A821" t="str">
        <f>'Assemble Data'!B822</f>
        <v>P13</v>
      </c>
      <c r="B821" s="13">
        <f>IFERROR(SUMIF('Assemble Data'!K:K,'Assemble Data'!A822,'Assemble Data'!L:L),0)</f>
        <v>3600</v>
      </c>
      <c r="C821" s="13" t="str">
        <f>INDEX('Assemble Data'!$O$24:$O$1023,MATCH('Assemble Data'!A822,'Assemble Data'!$N$24:$N$1023,0))</f>
        <v>C3</v>
      </c>
      <c r="D821" s="13">
        <f>SUMIF('Assemble Data'!H:H,'Assemble Data'!A822,'Assemble Data'!I:I)</f>
        <v>5</v>
      </c>
      <c r="E821" s="13">
        <f>IFERROR(IF(AND('Assemble Data'!D822&lt;&gt;"",'Assemble Data'!D822&lt;&gt;B821),1,0),1)</f>
        <v>0</v>
      </c>
      <c r="F821" s="13">
        <f ca="1">IF('Assemble Data'!E822="",0,IF(ISERROR(FIND("INDEX",_xlfn.FORMULATEXT('Assemble Data'!E822),1)),1,0)+IFERROR(IF(AND('Assemble Data'!E822&lt;&gt;C821,'Assemble Data'!E822&lt;&gt;""),1,0),1))</f>
        <v>0</v>
      </c>
      <c r="G821" s="13">
        <f ca="1">IF('Assemble Data'!F822="",0,IF(ISERROR(FIND("VLOOKUP",_xlfn.FORMULATEXT('Assemble Data'!F822),1)),1,0)+IFERROR(IF(AND('Assemble Data'!F822&lt;&gt;D821,'Assemble Data'!F822&lt;&gt;""),1,0),1))</f>
        <v>0</v>
      </c>
      <c r="H821" s="13">
        <f t="shared" si="40"/>
        <v>3</v>
      </c>
      <c r="I821" t="str">
        <f t="shared" si="41"/>
        <v>C3P13</v>
      </c>
    </row>
    <row r="822" spans="1:9">
      <c r="A822" t="str">
        <f>'Assemble Data'!B823</f>
        <v>P13</v>
      </c>
      <c r="B822" s="13">
        <f>IFERROR(SUMIF('Assemble Data'!K:K,'Assemble Data'!A823,'Assemble Data'!L:L),0)</f>
        <v>5400</v>
      </c>
      <c r="C822" s="13" t="str">
        <f>INDEX('Assemble Data'!$O$24:$O$1023,MATCH('Assemble Data'!A823,'Assemble Data'!$N$24:$N$1023,0))</f>
        <v>C1</v>
      </c>
      <c r="D822" s="13">
        <f>SUMIF('Assemble Data'!H:H,'Assemble Data'!A823,'Assemble Data'!I:I)</f>
        <v>5</v>
      </c>
      <c r="E822" s="13">
        <f>IFERROR(IF(AND('Assemble Data'!D823&lt;&gt;"",'Assemble Data'!D823&lt;&gt;B822),1,0),1)</f>
        <v>0</v>
      </c>
      <c r="F822" s="13">
        <f ca="1">IF('Assemble Data'!E823="",0,IF(ISERROR(FIND("INDEX",_xlfn.FORMULATEXT('Assemble Data'!E823),1)),1,0)+IFERROR(IF(AND('Assemble Data'!E823&lt;&gt;C822,'Assemble Data'!E823&lt;&gt;""),1,0),1))</f>
        <v>0</v>
      </c>
      <c r="G822" s="13">
        <f ca="1">IF('Assemble Data'!F823="",0,IF(ISERROR(FIND("VLOOKUP",_xlfn.FORMULATEXT('Assemble Data'!F823),1)),1,0)+IFERROR(IF(AND('Assemble Data'!F823&lt;&gt;D822,'Assemble Data'!F823&lt;&gt;""),1,0),1))</f>
        <v>0</v>
      </c>
      <c r="H822" s="13">
        <f t="shared" si="40"/>
        <v>3</v>
      </c>
      <c r="I822" t="str">
        <f t="shared" si="41"/>
        <v>C1P13</v>
      </c>
    </row>
    <row r="823" spans="1:9">
      <c r="A823" t="str">
        <f>'Assemble Data'!B824</f>
        <v>P10</v>
      </c>
      <c r="B823" s="13">
        <f>IFERROR(SUMIF('Assemble Data'!K:K,'Assemble Data'!A824,'Assemble Data'!L:L),0)</f>
        <v>2880</v>
      </c>
      <c r="C823" s="13" t="str">
        <f>INDEX('Assemble Data'!$O$24:$O$1023,MATCH('Assemble Data'!A824,'Assemble Data'!$N$24:$N$1023,0))</f>
        <v>C1</v>
      </c>
      <c r="D823" s="13">
        <f>SUMIF('Assemble Data'!H:H,'Assemble Data'!A824,'Assemble Data'!I:I)</f>
        <v>3</v>
      </c>
      <c r="E823" s="13">
        <f>IFERROR(IF(AND('Assemble Data'!D824&lt;&gt;"",'Assemble Data'!D824&lt;&gt;B823),1,0),1)</f>
        <v>0</v>
      </c>
      <c r="F823" s="13">
        <f ca="1">IF('Assemble Data'!E824="",0,IF(ISERROR(FIND("INDEX",_xlfn.FORMULATEXT('Assemble Data'!E824),1)),1,0)+IFERROR(IF(AND('Assemble Data'!E824&lt;&gt;C823,'Assemble Data'!E824&lt;&gt;""),1,0),1))</f>
        <v>0</v>
      </c>
      <c r="G823" s="13">
        <f ca="1">IF('Assemble Data'!F824="",0,IF(ISERROR(FIND("VLOOKUP",_xlfn.FORMULATEXT('Assemble Data'!F824),1)),1,0)+IFERROR(IF(AND('Assemble Data'!F824&lt;&gt;D823,'Assemble Data'!F824&lt;&gt;""),1,0),1))</f>
        <v>0</v>
      </c>
      <c r="H823" s="13">
        <f t="shared" si="40"/>
        <v>8</v>
      </c>
      <c r="I823" t="str">
        <f t="shared" si="41"/>
        <v>C1P10</v>
      </c>
    </row>
    <row r="824" spans="1:9">
      <c r="A824" t="str">
        <f>'Assemble Data'!B825</f>
        <v>P11</v>
      </c>
      <c r="B824" s="13">
        <f>IFERROR(SUMIF('Assemble Data'!K:K,'Assemble Data'!A825,'Assemble Data'!L:L),0)</f>
        <v>13200</v>
      </c>
      <c r="C824" s="13" t="str">
        <f>INDEX('Assemble Data'!$O$24:$O$1023,MATCH('Assemble Data'!A825,'Assemble Data'!$N$24:$N$1023,0))</f>
        <v>C1</v>
      </c>
      <c r="D824" s="13">
        <f>SUMIF('Assemble Data'!H:H,'Assemble Data'!A825,'Assemble Data'!I:I)</f>
        <v>11</v>
      </c>
      <c r="E824" s="13">
        <f>IFERROR(IF(AND('Assemble Data'!D825&lt;&gt;"",'Assemble Data'!D825&lt;&gt;B824),1,0),1)</f>
        <v>0</v>
      </c>
      <c r="F824" s="13">
        <f ca="1">IF('Assemble Data'!E825="",0,IF(ISERROR(FIND("INDEX",_xlfn.FORMULATEXT('Assemble Data'!E825),1)),1,0)+IFERROR(IF(AND('Assemble Data'!E825&lt;&gt;C824,'Assemble Data'!E825&lt;&gt;""),1,0),1))</f>
        <v>0</v>
      </c>
      <c r="G824" s="13">
        <f ca="1">IF('Assemble Data'!F825="",0,IF(ISERROR(FIND("VLOOKUP",_xlfn.FORMULATEXT('Assemble Data'!F825),1)),1,0)+IFERROR(IF(AND('Assemble Data'!F825&lt;&gt;D824,'Assemble Data'!F825&lt;&gt;""),1,0),1))</f>
        <v>0</v>
      </c>
      <c r="H824" s="13">
        <f t="shared" si="40"/>
        <v>9</v>
      </c>
      <c r="I824" t="str">
        <f t="shared" si="41"/>
        <v>C1P11</v>
      </c>
    </row>
    <row r="825" spans="1:9">
      <c r="A825" t="str">
        <f>'Assemble Data'!B826</f>
        <v>P16</v>
      </c>
      <c r="B825" s="13">
        <f>IFERROR(SUMIF('Assemble Data'!K:K,'Assemble Data'!A826,'Assemble Data'!L:L),0)</f>
        <v>7279.9999999999991</v>
      </c>
      <c r="C825" s="13" t="str">
        <f>INDEX('Assemble Data'!$O$24:$O$1023,MATCH('Assemble Data'!A826,'Assemble Data'!$N$24:$N$1023,0))</f>
        <v>N1</v>
      </c>
      <c r="D825" s="13">
        <f>SUMIF('Assemble Data'!H:H,'Assemble Data'!A826,'Assemble Data'!I:I)</f>
        <v>4</v>
      </c>
      <c r="E825" s="13">
        <f>IFERROR(IF(AND('Assemble Data'!D826&lt;&gt;"",'Assemble Data'!D826&lt;&gt;B825),1,0),1)</f>
        <v>0</v>
      </c>
      <c r="F825" s="13">
        <f ca="1">IF('Assemble Data'!E826="",0,IF(ISERROR(FIND("INDEX",_xlfn.FORMULATEXT('Assemble Data'!E826),1)),1,0)+IFERROR(IF(AND('Assemble Data'!E826&lt;&gt;C825,'Assemble Data'!E826&lt;&gt;""),1,0),1))</f>
        <v>0</v>
      </c>
      <c r="G825" s="13">
        <f ca="1">IF('Assemble Data'!F826="",0,IF(ISERROR(FIND("VLOOKUP",_xlfn.FORMULATEXT('Assemble Data'!F826),1)),1,0)+IFERROR(IF(AND('Assemble Data'!F826&lt;&gt;D825,'Assemble Data'!F826&lt;&gt;""),1,0),1))</f>
        <v>0</v>
      </c>
      <c r="H825" s="13">
        <f t="shared" si="40"/>
        <v>0</v>
      </c>
      <c r="I825" t="str">
        <f t="shared" si="41"/>
        <v>N1P16</v>
      </c>
    </row>
    <row r="826" spans="1:9">
      <c r="A826" t="str">
        <f>'Assemble Data'!B827</f>
        <v>P17</v>
      </c>
      <c r="B826" s="13">
        <f>IFERROR(SUMIF('Assemble Data'!K:K,'Assemble Data'!A827,'Assemble Data'!L:L),0)</f>
        <v>10800</v>
      </c>
      <c r="C826" s="13" t="str">
        <f>INDEX('Assemble Data'!$O$24:$O$1023,MATCH('Assemble Data'!A827,'Assemble Data'!$N$24:$N$1023,0))</f>
        <v>O1</v>
      </c>
      <c r="D826" s="13">
        <f>SUMIF('Assemble Data'!H:H,'Assemble Data'!A827,'Assemble Data'!I:I)</f>
        <v>12</v>
      </c>
      <c r="E826" s="13">
        <f>IFERROR(IF(AND('Assemble Data'!D827&lt;&gt;"",'Assemble Data'!D827&lt;&gt;B826),1,0),1)</f>
        <v>0</v>
      </c>
      <c r="F826" s="13">
        <f ca="1">IF('Assemble Data'!E827="",0,IF(ISERROR(FIND("INDEX",_xlfn.FORMULATEXT('Assemble Data'!E827),1)),1,0)+IFERROR(IF(AND('Assemble Data'!E827&lt;&gt;C826,'Assemble Data'!E827&lt;&gt;""),1,0),1))</f>
        <v>0</v>
      </c>
      <c r="G826" s="13">
        <f ca="1">IF('Assemble Data'!F827="",0,IF(ISERROR(FIND("VLOOKUP",_xlfn.FORMULATEXT('Assemble Data'!F827),1)),1,0)+IFERROR(IF(AND('Assemble Data'!F827&lt;&gt;D826,'Assemble Data'!F827&lt;&gt;""),1,0),1))</f>
        <v>0</v>
      </c>
      <c r="H826" s="13">
        <f t="shared" si="40"/>
        <v>6</v>
      </c>
      <c r="I826" t="str">
        <f t="shared" si="41"/>
        <v>O1P17</v>
      </c>
    </row>
    <row r="827" spans="1:9">
      <c r="A827" t="str">
        <f>'Assemble Data'!B828</f>
        <v>P17</v>
      </c>
      <c r="B827" s="13">
        <f>IFERROR(SUMIF('Assemble Data'!K:K,'Assemble Data'!A828,'Assemble Data'!L:L),0)</f>
        <v>10800</v>
      </c>
      <c r="C827" s="13" t="str">
        <f>INDEX('Assemble Data'!$O$24:$O$1023,MATCH('Assemble Data'!A828,'Assemble Data'!$N$24:$N$1023,0))</f>
        <v>O1</v>
      </c>
      <c r="D827" s="13">
        <f>SUMIF('Assemble Data'!H:H,'Assemble Data'!A828,'Assemble Data'!I:I)</f>
        <v>12</v>
      </c>
      <c r="E827" s="13">
        <f>IFERROR(IF(AND('Assemble Data'!D828&lt;&gt;"",'Assemble Data'!D828&lt;&gt;B827),1,0),1)</f>
        <v>0</v>
      </c>
      <c r="F827" s="13">
        <f ca="1">IF('Assemble Data'!E828="",0,IF(ISERROR(FIND("INDEX",_xlfn.FORMULATEXT('Assemble Data'!E828),1)),1,0)+IFERROR(IF(AND('Assemble Data'!E828&lt;&gt;C827,'Assemble Data'!E828&lt;&gt;""),1,0),1))</f>
        <v>0</v>
      </c>
      <c r="G827" s="13">
        <f ca="1">IF('Assemble Data'!F828="",0,IF(ISERROR(FIND("VLOOKUP",_xlfn.FORMULATEXT('Assemble Data'!F828),1)),1,0)+IFERROR(IF(AND('Assemble Data'!F828&lt;&gt;D827,'Assemble Data'!F828&lt;&gt;""),1,0),1))</f>
        <v>0</v>
      </c>
      <c r="H827" s="13">
        <f t="shared" ref="H827:H890" si="42">H810</f>
        <v>6</v>
      </c>
      <c r="I827" t="str">
        <f t="shared" si="41"/>
        <v>O1P17</v>
      </c>
    </row>
    <row r="828" spans="1:9">
      <c r="A828" t="str">
        <f>'Assemble Data'!B829</f>
        <v>P13</v>
      </c>
      <c r="B828" s="13">
        <f>IFERROR(SUMIF('Assemble Data'!K:K,'Assemble Data'!A829,'Assemble Data'!L:L),0)</f>
        <v>5400</v>
      </c>
      <c r="C828" s="13" t="str">
        <f>INDEX('Assemble Data'!$O$24:$O$1023,MATCH('Assemble Data'!A829,'Assemble Data'!$N$24:$N$1023,0))</f>
        <v>C1</v>
      </c>
      <c r="D828" s="13">
        <f>SUMIF('Assemble Data'!H:H,'Assemble Data'!A829,'Assemble Data'!I:I)</f>
        <v>5</v>
      </c>
      <c r="E828" s="13">
        <f>IFERROR(IF(AND('Assemble Data'!D829&lt;&gt;"",'Assemble Data'!D829&lt;&gt;B828),1,0),1)</f>
        <v>0</v>
      </c>
      <c r="F828" s="13">
        <f ca="1">IF('Assemble Data'!E829="",0,IF(ISERROR(FIND("INDEX",_xlfn.FORMULATEXT('Assemble Data'!E829),1)),1,0)+IFERROR(IF(AND('Assemble Data'!E829&lt;&gt;C828,'Assemble Data'!E829&lt;&gt;""),1,0),1))</f>
        <v>0</v>
      </c>
      <c r="G828" s="13">
        <f ca="1">IF('Assemble Data'!F829="",0,IF(ISERROR(FIND("VLOOKUP",_xlfn.FORMULATEXT('Assemble Data'!F829),1)),1,0)+IFERROR(IF(AND('Assemble Data'!F829&lt;&gt;D828,'Assemble Data'!F829&lt;&gt;""),1,0),1))</f>
        <v>0</v>
      </c>
      <c r="H828" s="13">
        <f t="shared" si="42"/>
        <v>3</v>
      </c>
      <c r="I828" t="str">
        <f t="shared" si="41"/>
        <v>C1P13</v>
      </c>
    </row>
    <row r="829" spans="1:9">
      <c r="A829" t="str">
        <f>'Assemble Data'!B830</f>
        <v>P11</v>
      </c>
      <c r="B829" s="13">
        <f>IFERROR(SUMIF('Assemble Data'!K:K,'Assemble Data'!A830,'Assemble Data'!L:L),0)</f>
        <v>13200</v>
      </c>
      <c r="C829" s="13" t="str">
        <f>INDEX('Assemble Data'!$O$24:$O$1023,MATCH('Assemble Data'!A830,'Assemble Data'!$N$24:$N$1023,0))</f>
        <v>C1</v>
      </c>
      <c r="D829" s="13">
        <f>SUMIF('Assemble Data'!H:H,'Assemble Data'!A830,'Assemble Data'!I:I)</f>
        <v>11</v>
      </c>
      <c r="E829" s="13">
        <f>IFERROR(IF(AND('Assemble Data'!D830&lt;&gt;"",'Assemble Data'!D830&lt;&gt;B829),1,0),1)</f>
        <v>0</v>
      </c>
      <c r="F829" s="13">
        <f ca="1">IF('Assemble Data'!E830="",0,IF(ISERROR(FIND("INDEX",_xlfn.FORMULATEXT('Assemble Data'!E830),1)),1,0)+IFERROR(IF(AND('Assemble Data'!E830&lt;&gt;C829,'Assemble Data'!E830&lt;&gt;""),1,0),1))</f>
        <v>0</v>
      </c>
      <c r="G829" s="13">
        <f ca="1">IF('Assemble Data'!F830="",0,IF(ISERROR(FIND("VLOOKUP",_xlfn.FORMULATEXT('Assemble Data'!F830),1)),1,0)+IFERROR(IF(AND('Assemble Data'!F830&lt;&gt;D829,'Assemble Data'!F830&lt;&gt;""),1,0),1))</f>
        <v>0</v>
      </c>
      <c r="H829" s="13">
        <f t="shared" si="42"/>
        <v>9</v>
      </c>
      <c r="I829" t="str">
        <f t="shared" si="41"/>
        <v>C1P11</v>
      </c>
    </row>
    <row r="830" spans="1:9">
      <c r="A830" t="str">
        <f>'Assemble Data'!B831</f>
        <v>P11</v>
      </c>
      <c r="B830" s="13">
        <f>IFERROR(SUMIF('Assemble Data'!K:K,'Assemble Data'!A831,'Assemble Data'!L:L),0)</f>
        <v>13200</v>
      </c>
      <c r="C830" s="13" t="str">
        <f>INDEX('Assemble Data'!$O$24:$O$1023,MATCH('Assemble Data'!A831,'Assemble Data'!$N$24:$N$1023,0))</f>
        <v>C1</v>
      </c>
      <c r="D830" s="13">
        <f>SUMIF('Assemble Data'!H:H,'Assemble Data'!A831,'Assemble Data'!I:I)</f>
        <v>11</v>
      </c>
      <c r="E830" s="13">
        <f>IFERROR(IF(AND('Assemble Data'!D831&lt;&gt;"",'Assemble Data'!D831&lt;&gt;B830),1,0),1)</f>
        <v>0</v>
      </c>
      <c r="F830" s="13">
        <f ca="1">IF('Assemble Data'!E831="",0,IF(ISERROR(FIND("INDEX",_xlfn.FORMULATEXT('Assemble Data'!E831),1)),1,0)+IFERROR(IF(AND('Assemble Data'!E831&lt;&gt;C830,'Assemble Data'!E831&lt;&gt;""),1,0),1))</f>
        <v>0</v>
      </c>
      <c r="G830" s="13">
        <f ca="1">IF('Assemble Data'!F831="",0,IF(ISERROR(FIND("VLOOKUP",_xlfn.FORMULATEXT('Assemble Data'!F831),1)),1,0)+IFERROR(IF(AND('Assemble Data'!F831&lt;&gt;D830,'Assemble Data'!F831&lt;&gt;""),1,0),1))</f>
        <v>0</v>
      </c>
      <c r="H830" s="13">
        <f t="shared" si="42"/>
        <v>9</v>
      </c>
      <c r="I830" t="str">
        <f t="shared" si="41"/>
        <v>C1P11</v>
      </c>
    </row>
    <row r="831" spans="1:9">
      <c r="A831" t="str">
        <f>'Assemble Data'!B832</f>
        <v>P12</v>
      </c>
      <c r="B831" s="13">
        <f>IFERROR(SUMIF('Assemble Data'!K:K,'Assemble Data'!A832,'Assemble Data'!L:L),0)</f>
        <v>8190</v>
      </c>
      <c r="C831" s="13" t="str">
        <f>INDEX('Assemble Data'!$O$24:$O$1023,MATCH('Assemble Data'!A832,'Assemble Data'!$N$24:$N$1023,0))</f>
        <v>C1</v>
      </c>
      <c r="D831" s="13">
        <f>SUMIF('Assemble Data'!H:H,'Assemble Data'!A832,'Assemble Data'!I:I)</f>
        <v>6.5</v>
      </c>
      <c r="E831" s="13">
        <f>IFERROR(IF(AND('Assemble Data'!D832&lt;&gt;"",'Assemble Data'!D832&lt;&gt;B831),1,0),1)</f>
        <v>0</v>
      </c>
      <c r="F831" s="13">
        <f ca="1">IF('Assemble Data'!E832="",0,IF(ISERROR(FIND("INDEX",_xlfn.FORMULATEXT('Assemble Data'!E832),1)),1,0)+IFERROR(IF(AND('Assemble Data'!E832&lt;&gt;C831,'Assemble Data'!E832&lt;&gt;""),1,0),1))</f>
        <v>0</v>
      </c>
      <c r="G831" s="13">
        <f ca="1">IF('Assemble Data'!F832="",0,IF(ISERROR(FIND("VLOOKUP",_xlfn.FORMULATEXT('Assemble Data'!F832),1)),1,0)+IFERROR(IF(AND('Assemble Data'!F832&lt;&gt;D831,'Assemble Data'!F832&lt;&gt;""),1,0),1))</f>
        <v>0</v>
      </c>
      <c r="H831" s="13">
        <f t="shared" si="42"/>
        <v>7</v>
      </c>
      <c r="I831" t="str">
        <f t="shared" si="41"/>
        <v>C1P12</v>
      </c>
    </row>
    <row r="832" spans="1:9">
      <c r="A832" t="str">
        <f>'Assemble Data'!B833</f>
        <v>P10</v>
      </c>
      <c r="B832" s="13">
        <f>IFERROR(SUMIF('Assemble Data'!K:K,'Assemble Data'!A833,'Assemble Data'!L:L),0)</f>
        <v>2880</v>
      </c>
      <c r="C832" s="13" t="str">
        <f>INDEX('Assemble Data'!$O$24:$O$1023,MATCH('Assemble Data'!A833,'Assemble Data'!$N$24:$N$1023,0))</f>
        <v>C1</v>
      </c>
      <c r="D832" s="13">
        <f>SUMIF('Assemble Data'!H:H,'Assemble Data'!A833,'Assemble Data'!I:I)</f>
        <v>3</v>
      </c>
      <c r="E832" s="13">
        <f>IFERROR(IF(AND('Assemble Data'!D833&lt;&gt;"",'Assemble Data'!D833&lt;&gt;B832),1,0),1)</f>
        <v>0</v>
      </c>
      <c r="F832" s="13">
        <f ca="1">IF('Assemble Data'!E833="",0,IF(ISERROR(FIND("INDEX",_xlfn.FORMULATEXT('Assemble Data'!E833),1)),1,0)+IFERROR(IF(AND('Assemble Data'!E833&lt;&gt;C832,'Assemble Data'!E833&lt;&gt;""),1,0),1))</f>
        <v>0</v>
      </c>
      <c r="G832" s="13">
        <f ca="1">IF('Assemble Data'!F833="",0,IF(ISERROR(FIND("VLOOKUP",_xlfn.FORMULATEXT('Assemble Data'!F833),1)),1,0)+IFERROR(IF(AND('Assemble Data'!F833&lt;&gt;D832,'Assemble Data'!F833&lt;&gt;""),1,0),1))</f>
        <v>0</v>
      </c>
      <c r="H832" s="13">
        <f t="shared" si="42"/>
        <v>8</v>
      </c>
      <c r="I832" t="str">
        <f t="shared" si="41"/>
        <v>C1P10</v>
      </c>
    </row>
    <row r="833" spans="1:9">
      <c r="A833" t="str">
        <f>'Assemble Data'!B834</f>
        <v>P10</v>
      </c>
      <c r="B833" s="13">
        <f>IFERROR(SUMIF('Assemble Data'!K:K,'Assemble Data'!A834,'Assemble Data'!L:L),0)</f>
        <v>2880</v>
      </c>
      <c r="C833" s="13" t="str">
        <f>INDEX('Assemble Data'!$O$24:$O$1023,MATCH('Assemble Data'!A834,'Assemble Data'!$N$24:$N$1023,0))</f>
        <v>C1</v>
      </c>
      <c r="D833" s="13">
        <f>SUMIF('Assemble Data'!H:H,'Assemble Data'!A834,'Assemble Data'!I:I)</f>
        <v>3</v>
      </c>
      <c r="E833" s="13">
        <f>IFERROR(IF(AND('Assemble Data'!D834&lt;&gt;"",'Assemble Data'!D834&lt;&gt;B833),1,0),1)</f>
        <v>0</v>
      </c>
      <c r="F833" s="13">
        <f ca="1">IF('Assemble Data'!E834="",0,IF(ISERROR(FIND("INDEX",_xlfn.FORMULATEXT('Assemble Data'!E834),1)),1,0)+IFERROR(IF(AND('Assemble Data'!E834&lt;&gt;C833,'Assemble Data'!E834&lt;&gt;""),1,0),1))</f>
        <v>0</v>
      </c>
      <c r="G833" s="13">
        <f ca="1">IF('Assemble Data'!F834="",0,IF(ISERROR(FIND("VLOOKUP",_xlfn.FORMULATEXT('Assemble Data'!F834),1)),1,0)+IFERROR(IF(AND('Assemble Data'!F834&lt;&gt;D833,'Assemble Data'!F834&lt;&gt;""),1,0),1))</f>
        <v>0</v>
      </c>
      <c r="H833" s="13">
        <f t="shared" si="42"/>
        <v>8</v>
      </c>
      <c r="I833" t="str">
        <f t="shared" si="41"/>
        <v>C1P10</v>
      </c>
    </row>
    <row r="834" spans="1:9">
      <c r="A834" t="str">
        <f>'Assemble Data'!B835</f>
        <v>P11</v>
      </c>
      <c r="B834" s="13">
        <f>IFERROR(SUMIF('Assemble Data'!K:K,'Assemble Data'!A835,'Assemble Data'!L:L),0)</f>
        <v>13200</v>
      </c>
      <c r="C834" s="13" t="str">
        <f>INDEX('Assemble Data'!$O$24:$O$1023,MATCH('Assemble Data'!A835,'Assemble Data'!$N$24:$N$1023,0))</f>
        <v>C1</v>
      </c>
      <c r="D834" s="13">
        <f>SUMIF('Assemble Data'!H:H,'Assemble Data'!A835,'Assemble Data'!I:I)</f>
        <v>11</v>
      </c>
      <c r="E834" s="13">
        <f>IFERROR(IF(AND('Assemble Data'!D835&lt;&gt;"",'Assemble Data'!D835&lt;&gt;B834),1,0),1)</f>
        <v>0</v>
      </c>
      <c r="F834" s="13">
        <f ca="1">IF('Assemble Data'!E835="",0,IF(ISERROR(FIND("INDEX",_xlfn.FORMULATEXT('Assemble Data'!E835),1)),1,0)+IFERROR(IF(AND('Assemble Data'!E835&lt;&gt;C834,'Assemble Data'!E835&lt;&gt;""),1,0),1))</f>
        <v>0</v>
      </c>
      <c r="G834" s="13">
        <f ca="1">IF('Assemble Data'!F835="",0,IF(ISERROR(FIND("VLOOKUP",_xlfn.FORMULATEXT('Assemble Data'!F835),1)),1,0)+IFERROR(IF(AND('Assemble Data'!F835&lt;&gt;D834,'Assemble Data'!F835&lt;&gt;""),1,0),1))</f>
        <v>0</v>
      </c>
      <c r="H834" s="13">
        <f t="shared" si="42"/>
        <v>9</v>
      </c>
      <c r="I834" t="str">
        <f t="shared" si="41"/>
        <v>C1P11</v>
      </c>
    </row>
    <row r="835" spans="1:9">
      <c r="A835" t="str">
        <f>'Assemble Data'!B836</f>
        <v>P18</v>
      </c>
      <c r="B835" s="13">
        <f>IFERROR(SUMIF('Assemble Data'!K:K,'Assemble Data'!A836,'Assemble Data'!L:L),0)</f>
        <v>4860</v>
      </c>
      <c r="C835" s="13" t="str">
        <f>INDEX('Assemble Data'!$O$24:$O$1023,MATCH('Assemble Data'!A836,'Assemble Data'!$N$24:$N$1023,0))</f>
        <v>O1</v>
      </c>
      <c r="D835" s="13">
        <f>SUMIF('Assemble Data'!H:H,'Assemble Data'!A836,'Assemble Data'!I:I)</f>
        <v>6</v>
      </c>
      <c r="E835" s="13">
        <f>IFERROR(IF(AND('Assemble Data'!D836&lt;&gt;"",'Assemble Data'!D836&lt;&gt;B835),1,0),1)</f>
        <v>0</v>
      </c>
      <c r="F835" s="13">
        <f ca="1">IF('Assemble Data'!E836="",0,IF(ISERROR(FIND("INDEX",_xlfn.FORMULATEXT('Assemble Data'!E836),1)),1,0)+IFERROR(IF(AND('Assemble Data'!E836&lt;&gt;C835,'Assemble Data'!E836&lt;&gt;""),1,0),1))</f>
        <v>0</v>
      </c>
      <c r="G835" s="13">
        <f ca="1">IF('Assemble Data'!F836="",0,IF(ISERROR(FIND("VLOOKUP",_xlfn.FORMULATEXT('Assemble Data'!F836),1)),1,0)+IFERROR(IF(AND('Assemble Data'!F836&lt;&gt;D835,'Assemble Data'!F836&lt;&gt;""),1,0),1))</f>
        <v>0</v>
      </c>
      <c r="H835" s="13">
        <f t="shared" si="42"/>
        <v>2</v>
      </c>
      <c r="I835" t="str">
        <f t="shared" si="41"/>
        <v>O1P18</v>
      </c>
    </row>
    <row r="836" spans="1:9">
      <c r="A836" t="str">
        <f>'Assemble Data'!B837</f>
        <v>P14</v>
      </c>
      <c r="B836" s="13">
        <f>IFERROR(SUMIF('Assemble Data'!K:K,'Assemble Data'!A837,'Assemble Data'!L:L),0)</f>
        <v>10080</v>
      </c>
      <c r="C836" s="13" t="str">
        <f>INDEX('Assemble Data'!$O$24:$O$1023,MATCH('Assemble Data'!A837,'Assemble Data'!$N$24:$N$1023,0))</f>
        <v>N1</v>
      </c>
      <c r="D836" s="13">
        <f>SUMIF('Assemble Data'!H:H,'Assemble Data'!A837,'Assemble Data'!I:I)</f>
        <v>8</v>
      </c>
      <c r="E836" s="13">
        <f>IFERROR(IF(AND('Assemble Data'!D837&lt;&gt;"",'Assemble Data'!D837&lt;&gt;B836),1,0),1)</f>
        <v>0</v>
      </c>
      <c r="F836" s="13">
        <f ca="1">IF('Assemble Data'!E837="",0,IF(ISERROR(FIND("INDEX",_xlfn.FORMULATEXT('Assemble Data'!E837),1)),1,0)+IFERROR(IF(AND('Assemble Data'!E837&lt;&gt;C836,'Assemble Data'!E837&lt;&gt;""),1,0),1))</f>
        <v>0</v>
      </c>
      <c r="G836" s="13">
        <f ca="1">IF('Assemble Data'!F837="",0,IF(ISERROR(FIND("VLOOKUP",_xlfn.FORMULATEXT('Assemble Data'!F837),1)),1,0)+IFERROR(IF(AND('Assemble Data'!F837&lt;&gt;D836,'Assemble Data'!F837&lt;&gt;""),1,0),1))</f>
        <v>0</v>
      </c>
      <c r="H836" s="13">
        <f t="shared" si="42"/>
        <v>5</v>
      </c>
      <c r="I836" t="str">
        <f t="shared" si="41"/>
        <v>N1P14</v>
      </c>
    </row>
    <row r="837" spans="1:9">
      <c r="A837" t="str">
        <f>'Assemble Data'!B838</f>
        <v>P10</v>
      </c>
      <c r="B837" s="13">
        <f>IFERROR(SUMIF('Assemble Data'!K:K,'Assemble Data'!A838,'Assemble Data'!L:L),0)</f>
        <v>2880</v>
      </c>
      <c r="C837" s="13" t="str">
        <f>INDEX('Assemble Data'!$O$24:$O$1023,MATCH('Assemble Data'!A838,'Assemble Data'!$N$24:$N$1023,0))</f>
        <v>C1</v>
      </c>
      <c r="D837" s="13">
        <f>SUMIF('Assemble Data'!H:H,'Assemble Data'!A838,'Assemble Data'!I:I)</f>
        <v>3</v>
      </c>
      <c r="E837" s="13">
        <f>IFERROR(IF(AND('Assemble Data'!D838&lt;&gt;"",'Assemble Data'!D838&lt;&gt;B837),1,0),1)</f>
        <v>0</v>
      </c>
      <c r="F837" s="13">
        <f ca="1">IF('Assemble Data'!E838="",0,IF(ISERROR(FIND("INDEX",_xlfn.FORMULATEXT('Assemble Data'!E838),1)),1,0)+IFERROR(IF(AND('Assemble Data'!E838&lt;&gt;C837,'Assemble Data'!E838&lt;&gt;""),1,0),1))</f>
        <v>0</v>
      </c>
      <c r="G837" s="13">
        <f ca="1">IF('Assemble Data'!F838="",0,IF(ISERROR(FIND("VLOOKUP",_xlfn.FORMULATEXT('Assemble Data'!F838),1)),1,0)+IFERROR(IF(AND('Assemble Data'!F838&lt;&gt;D837,'Assemble Data'!F838&lt;&gt;""),1,0),1))</f>
        <v>0</v>
      </c>
      <c r="H837" s="13">
        <f t="shared" si="42"/>
        <v>8</v>
      </c>
      <c r="I837" t="str">
        <f t="shared" si="41"/>
        <v>C1P10</v>
      </c>
    </row>
    <row r="838" spans="1:9">
      <c r="A838" t="str">
        <f>'Assemble Data'!B839</f>
        <v>P13</v>
      </c>
      <c r="B838" s="13">
        <f>IFERROR(SUMIF('Assemble Data'!K:K,'Assemble Data'!A839,'Assemble Data'!L:L),0)</f>
        <v>5400</v>
      </c>
      <c r="C838" s="13" t="str">
        <f>INDEX('Assemble Data'!$O$24:$O$1023,MATCH('Assemble Data'!A839,'Assemble Data'!$N$24:$N$1023,0))</f>
        <v>C1</v>
      </c>
      <c r="D838" s="13">
        <f>SUMIF('Assemble Data'!H:H,'Assemble Data'!A839,'Assemble Data'!I:I)</f>
        <v>5</v>
      </c>
      <c r="E838" s="13">
        <f>IFERROR(IF(AND('Assemble Data'!D839&lt;&gt;"",'Assemble Data'!D839&lt;&gt;B838),1,0),1)</f>
        <v>0</v>
      </c>
      <c r="F838" s="13">
        <f ca="1">IF('Assemble Data'!E839="",0,IF(ISERROR(FIND("INDEX",_xlfn.FORMULATEXT('Assemble Data'!E839),1)),1,0)+IFERROR(IF(AND('Assemble Data'!E839&lt;&gt;C838,'Assemble Data'!E839&lt;&gt;""),1,0),1))</f>
        <v>0</v>
      </c>
      <c r="G838" s="13">
        <f ca="1">IF('Assemble Data'!F839="",0,IF(ISERROR(FIND("VLOOKUP",_xlfn.FORMULATEXT('Assemble Data'!F839),1)),1,0)+IFERROR(IF(AND('Assemble Data'!F839&lt;&gt;D838,'Assemble Data'!F839&lt;&gt;""),1,0),1))</f>
        <v>0</v>
      </c>
      <c r="H838" s="13">
        <f t="shared" si="42"/>
        <v>3</v>
      </c>
      <c r="I838" t="str">
        <f t="shared" si="41"/>
        <v>C1P13</v>
      </c>
    </row>
    <row r="839" spans="1:9">
      <c r="A839" t="str">
        <f>'Assemble Data'!B840</f>
        <v>P13</v>
      </c>
      <c r="B839" s="13">
        <f>IFERROR(SUMIF('Assemble Data'!K:K,'Assemble Data'!A840,'Assemble Data'!L:L),0)</f>
        <v>5400</v>
      </c>
      <c r="C839" s="13" t="str">
        <f>INDEX('Assemble Data'!$O$24:$O$1023,MATCH('Assemble Data'!A840,'Assemble Data'!$N$24:$N$1023,0))</f>
        <v>C1</v>
      </c>
      <c r="D839" s="13">
        <f>SUMIF('Assemble Data'!H:H,'Assemble Data'!A840,'Assemble Data'!I:I)</f>
        <v>5</v>
      </c>
      <c r="E839" s="13">
        <f>IFERROR(IF(AND('Assemble Data'!D840&lt;&gt;"",'Assemble Data'!D840&lt;&gt;B839),1,0),1)</f>
        <v>0</v>
      </c>
      <c r="F839" s="13">
        <f ca="1">IF('Assemble Data'!E840="",0,IF(ISERROR(FIND("INDEX",_xlfn.FORMULATEXT('Assemble Data'!E840),1)),1,0)+IFERROR(IF(AND('Assemble Data'!E840&lt;&gt;C839,'Assemble Data'!E840&lt;&gt;""),1,0),1))</f>
        <v>0</v>
      </c>
      <c r="G839" s="13">
        <f ca="1">IF('Assemble Data'!F840="",0,IF(ISERROR(FIND("VLOOKUP",_xlfn.FORMULATEXT('Assemble Data'!F840),1)),1,0)+IFERROR(IF(AND('Assemble Data'!F840&lt;&gt;D839,'Assemble Data'!F840&lt;&gt;""),1,0),1))</f>
        <v>0</v>
      </c>
      <c r="H839" s="13">
        <f t="shared" si="42"/>
        <v>3</v>
      </c>
      <c r="I839" t="str">
        <f t="shared" si="41"/>
        <v>C1P13</v>
      </c>
    </row>
    <row r="840" spans="1:9">
      <c r="A840" t="str">
        <f>'Assemble Data'!B841</f>
        <v>P10</v>
      </c>
      <c r="B840" s="13">
        <f>IFERROR(SUMIF('Assemble Data'!K:K,'Assemble Data'!A841,'Assemble Data'!L:L),0)</f>
        <v>2880</v>
      </c>
      <c r="C840" s="13" t="str">
        <f>INDEX('Assemble Data'!$O$24:$O$1023,MATCH('Assemble Data'!A841,'Assemble Data'!$N$24:$N$1023,0))</f>
        <v>C1</v>
      </c>
      <c r="D840" s="13">
        <f>SUMIF('Assemble Data'!H:H,'Assemble Data'!A841,'Assemble Data'!I:I)</f>
        <v>3</v>
      </c>
      <c r="E840" s="13">
        <f>IFERROR(IF(AND('Assemble Data'!D841&lt;&gt;"",'Assemble Data'!D841&lt;&gt;B840),1,0),1)</f>
        <v>0</v>
      </c>
      <c r="F840" s="13">
        <f ca="1">IF('Assemble Data'!E841="",0,IF(ISERROR(FIND("INDEX",_xlfn.FORMULATEXT('Assemble Data'!E841),1)),1,0)+IFERROR(IF(AND('Assemble Data'!E841&lt;&gt;C840,'Assemble Data'!E841&lt;&gt;""),1,0),1))</f>
        <v>0</v>
      </c>
      <c r="G840" s="13">
        <f ca="1">IF('Assemble Data'!F841="",0,IF(ISERROR(FIND("VLOOKUP",_xlfn.FORMULATEXT('Assemble Data'!F841),1)),1,0)+IFERROR(IF(AND('Assemble Data'!F841&lt;&gt;D840,'Assemble Data'!F841&lt;&gt;""),1,0),1))</f>
        <v>0</v>
      </c>
      <c r="H840" s="13">
        <f t="shared" si="42"/>
        <v>8</v>
      </c>
      <c r="I840" t="str">
        <f t="shared" si="41"/>
        <v>C1P10</v>
      </c>
    </row>
    <row r="841" spans="1:9">
      <c r="A841" t="str">
        <f>'Assemble Data'!B842</f>
        <v>P11</v>
      </c>
      <c r="B841" s="13">
        <f>IFERROR(SUMIF('Assemble Data'!K:K,'Assemble Data'!A842,'Assemble Data'!L:L),0)</f>
        <v>13200</v>
      </c>
      <c r="C841" s="13" t="str">
        <f>INDEX('Assemble Data'!$O$24:$O$1023,MATCH('Assemble Data'!A842,'Assemble Data'!$N$24:$N$1023,0))</f>
        <v>C1</v>
      </c>
      <c r="D841" s="13">
        <f>SUMIF('Assemble Data'!H:H,'Assemble Data'!A842,'Assemble Data'!I:I)</f>
        <v>11</v>
      </c>
      <c r="E841" s="13">
        <f>IFERROR(IF(AND('Assemble Data'!D842&lt;&gt;"",'Assemble Data'!D842&lt;&gt;B841),1,0),1)</f>
        <v>0</v>
      </c>
      <c r="F841" s="13">
        <f ca="1">IF('Assemble Data'!E842="",0,IF(ISERROR(FIND("INDEX",_xlfn.FORMULATEXT('Assemble Data'!E842),1)),1,0)+IFERROR(IF(AND('Assemble Data'!E842&lt;&gt;C841,'Assemble Data'!E842&lt;&gt;""),1,0),1))</f>
        <v>0</v>
      </c>
      <c r="G841" s="13">
        <f ca="1">IF('Assemble Data'!F842="",0,IF(ISERROR(FIND("VLOOKUP",_xlfn.FORMULATEXT('Assemble Data'!F842),1)),1,0)+IFERROR(IF(AND('Assemble Data'!F842&lt;&gt;D841,'Assemble Data'!F842&lt;&gt;""),1,0),1))</f>
        <v>0</v>
      </c>
      <c r="H841" s="13">
        <f t="shared" si="42"/>
        <v>9</v>
      </c>
      <c r="I841" t="str">
        <f t="shared" si="41"/>
        <v>C1P11</v>
      </c>
    </row>
    <row r="842" spans="1:9">
      <c r="A842" t="str">
        <f>'Assemble Data'!B843</f>
        <v>P16</v>
      </c>
      <c r="B842" s="13">
        <f>IFERROR(SUMIF('Assemble Data'!K:K,'Assemble Data'!A843,'Assemble Data'!L:L),0)</f>
        <v>4680</v>
      </c>
      <c r="C842" s="13" t="str">
        <f>INDEX('Assemble Data'!$O$24:$O$1023,MATCH('Assemble Data'!A843,'Assemble Data'!$N$24:$N$1023,0))</f>
        <v>N2</v>
      </c>
      <c r="D842" s="13">
        <f>SUMIF('Assemble Data'!H:H,'Assemble Data'!A843,'Assemble Data'!I:I)</f>
        <v>4</v>
      </c>
      <c r="E842" s="13">
        <f>IFERROR(IF(AND('Assemble Data'!D843&lt;&gt;"",'Assemble Data'!D843&lt;&gt;B842),1,0),1)</f>
        <v>0</v>
      </c>
      <c r="F842" s="13">
        <f ca="1">IF('Assemble Data'!E843="",0,IF(ISERROR(FIND("INDEX",_xlfn.FORMULATEXT('Assemble Data'!E843),1)),1,0)+IFERROR(IF(AND('Assemble Data'!E843&lt;&gt;C842,'Assemble Data'!E843&lt;&gt;""),1,0),1))</f>
        <v>0</v>
      </c>
      <c r="G842" s="13">
        <f ca="1">IF('Assemble Data'!F843="",0,IF(ISERROR(FIND("VLOOKUP",_xlfn.FORMULATEXT('Assemble Data'!F843),1)),1,0)+IFERROR(IF(AND('Assemble Data'!F843&lt;&gt;D842,'Assemble Data'!F843&lt;&gt;""),1,0),1))</f>
        <v>0</v>
      </c>
      <c r="H842" s="13">
        <f t="shared" si="42"/>
        <v>0</v>
      </c>
      <c r="I842" t="str">
        <f t="shared" si="41"/>
        <v>N2P16</v>
      </c>
    </row>
    <row r="843" spans="1:9">
      <c r="A843" t="str">
        <f>'Assemble Data'!B844</f>
        <v>P17</v>
      </c>
      <c r="B843" s="13">
        <f>IFERROR(SUMIF('Assemble Data'!K:K,'Assemble Data'!A844,'Assemble Data'!L:L),0)</f>
        <v>13200.000000000002</v>
      </c>
      <c r="C843" s="13" t="str">
        <f>INDEX('Assemble Data'!$O$24:$O$1023,MATCH('Assemble Data'!A844,'Assemble Data'!$N$24:$N$1023,0))</f>
        <v>O2</v>
      </c>
      <c r="D843" s="13">
        <f>SUMIF('Assemble Data'!H:H,'Assemble Data'!A844,'Assemble Data'!I:I)</f>
        <v>12</v>
      </c>
      <c r="E843" s="13">
        <f>IFERROR(IF(AND('Assemble Data'!D844&lt;&gt;"",'Assemble Data'!D844&lt;&gt;B843),1,0),1)</f>
        <v>0</v>
      </c>
      <c r="F843" s="13">
        <f ca="1">IF('Assemble Data'!E844="",0,IF(ISERROR(FIND("INDEX",_xlfn.FORMULATEXT('Assemble Data'!E844),1)),1,0)+IFERROR(IF(AND('Assemble Data'!E844&lt;&gt;C843,'Assemble Data'!E844&lt;&gt;""),1,0),1))</f>
        <v>0</v>
      </c>
      <c r="G843" s="13">
        <f ca="1">IF('Assemble Data'!F844="",0,IF(ISERROR(FIND("VLOOKUP",_xlfn.FORMULATEXT('Assemble Data'!F844),1)),1,0)+IFERROR(IF(AND('Assemble Data'!F844&lt;&gt;D843,'Assemble Data'!F844&lt;&gt;""),1,0),1))</f>
        <v>0</v>
      </c>
      <c r="H843" s="13">
        <f t="shared" si="42"/>
        <v>6</v>
      </c>
      <c r="I843" t="str">
        <f t="shared" si="41"/>
        <v>O2P17</v>
      </c>
    </row>
    <row r="844" spans="1:9">
      <c r="A844" t="str">
        <f>'Assemble Data'!B845</f>
        <v>P17</v>
      </c>
      <c r="B844" s="13">
        <f>IFERROR(SUMIF('Assemble Data'!K:K,'Assemble Data'!A845,'Assemble Data'!L:L),0)</f>
        <v>13200.000000000002</v>
      </c>
      <c r="C844" s="13" t="str">
        <f>INDEX('Assemble Data'!$O$24:$O$1023,MATCH('Assemble Data'!A845,'Assemble Data'!$N$24:$N$1023,0))</f>
        <v>O2</v>
      </c>
      <c r="D844" s="13">
        <f>SUMIF('Assemble Data'!H:H,'Assemble Data'!A845,'Assemble Data'!I:I)</f>
        <v>12</v>
      </c>
      <c r="E844" s="13">
        <f>IFERROR(IF(AND('Assemble Data'!D845&lt;&gt;"",'Assemble Data'!D845&lt;&gt;B844),1,0),1)</f>
        <v>0</v>
      </c>
      <c r="F844" s="13">
        <f ca="1">IF('Assemble Data'!E845="",0,IF(ISERROR(FIND("INDEX",_xlfn.FORMULATEXT('Assemble Data'!E845),1)),1,0)+IFERROR(IF(AND('Assemble Data'!E845&lt;&gt;C844,'Assemble Data'!E845&lt;&gt;""),1,0),1))</f>
        <v>0</v>
      </c>
      <c r="G844" s="13">
        <f ca="1">IF('Assemble Data'!F845="",0,IF(ISERROR(FIND("VLOOKUP",_xlfn.FORMULATEXT('Assemble Data'!F845),1)),1,0)+IFERROR(IF(AND('Assemble Data'!F845&lt;&gt;D844,'Assemble Data'!F845&lt;&gt;""),1,0),1))</f>
        <v>0</v>
      </c>
      <c r="H844" s="13">
        <f t="shared" si="42"/>
        <v>6</v>
      </c>
      <c r="I844" t="str">
        <f t="shared" si="41"/>
        <v>O2P17</v>
      </c>
    </row>
    <row r="845" spans="1:9">
      <c r="A845" t="str">
        <f>'Assemble Data'!B846</f>
        <v>P13</v>
      </c>
      <c r="B845" s="13">
        <f>IFERROR(SUMIF('Assemble Data'!K:K,'Assemble Data'!A846,'Assemble Data'!L:L),0)</f>
        <v>4500</v>
      </c>
      <c r="C845" s="13" t="str">
        <f>INDEX('Assemble Data'!$O$24:$O$1023,MATCH('Assemble Data'!A846,'Assemble Data'!$N$24:$N$1023,0))</f>
        <v>C2</v>
      </c>
      <c r="D845" s="13">
        <f>SUMIF('Assemble Data'!H:H,'Assemble Data'!A846,'Assemble Data'!I:I)</f>
        <v>5</v>
      </c>
      <c r="E845" s="13">
        <f>IFERROR(IF(AND('Assemble Data'!D846&lt;&gt;"",'Assemble Data'!D846&lt;&gt;B845),1,0),1)</f>
        <v>0</v>
      </c>
      <c r="F845" s="13">
        <f ca="1">IF('Assemble Data'!E846="",0,IF(ISERROR(FIND("INDEX",_xlfn.FORMULATEXT('Assemble Data'!E846),1)),1,0)+IFERROR(IF(AND('Assemble Data'!E846&lt;&gt;C845,'Assemble Data'!E846&lt;&gt;""),1,0),1))</f>
        <v>0</v>
      </c>
      <c r="G845" s="13">
        <f ca="1">IF('Assemble Data'!F846="",0,IF(ISERROR(FIND("VLOOKUP",_xlfn.FORMULATEXT('Assemble Data'!F846),1)),1,0)+IFERROR(IF(AND('Assemble Data'!F846&lt;&gt;D845,'Assemble Data'!F846&lt;&gt;""),1,0),1))</f>
        <v>0</v>
      </c>
      <c r="H845" s="13">
        <f t="shared" si="42"/>
        <v>3</v>
      </c>
      <c r="I845" t="str">
        <f t="shared" si="41"/>
        <v>C2P13</v>
      </c>
    </row>
    <row r="846" spans="1:9">
      <c r="A846" t="str">
        <f>'Assemble Data'!B847</f>
        <v>P11</v>
      </c>
      <c r="B846" s="13">
        <f>IFERROR(SUMIF('Assemble Data'!K:K,'Assemble Data'!A847,'Assemble Data'!L:L),0)</f>
        <v>11000</v>
      </c>
      <c r="C846" s="13" t="str">
        <f>INDEX('Assemble Data'!$O$24:$O$1023,MATCH('Assemble Data'!A847,'Assemble Data'!$N$24:$N$1023,0))</f>
        <v>C2</v>
      </c>
      <c r="D846" s="13">
        <f>SUMIF('Assemble Data'!H:H,'Assemble Data'!A847,'Assemble Data'!I:I)</f>
        <v>11</v>
      </c>
      <c r="E846" s="13">
        <f>IFERROR(IF(AND('Assemble Data'!D847&lt;&gt;"",'Assemble Data'!D847&lt;&gt;B846),1,0),1)</f>
        <v>0</v>
      </c>
      <c r="F846" s="13">
        <f ca="1">IF('Assemble Data'!E847="",0,IF(ISERROR(FIND("INDEX",_xlfn.FORMULATEXT('Assemble Data'!E847),1)),1,0)+IFERROR(IF(AND('Assemble Data'!E847&lt;&gt;C846,'Assemble Data'!E847&lt;&gt;""),1,0),1))</f>
        <v>0</v>
      </c>
      <c r="G846" s="13">
        <f ca="1">IF('Assemble Data'!F847="",0,IF(ISERROR(FIND("VLOOKUP",_xlfn.FORMULATEXT('Assemble Data'!F847),1)),1,0)+IFERROR(IF(AND('Assemble Data'!F847&lt;&gt;D846,'Assemble Data'!F847&lt;&gt;""),1,0),1))</f>
        <v>0</v>
      </c>
      <c r="H846" s="13">
        <f t="shared" si="42"/>
        <v>9</v>
      </c>
      <c r="I846" t="str">
        <f t="shared" si="41"/>
        <v>C2P11</v>
      </c>
    </row>
    <row r="847" spans="1:9">
      <c r="A847" t="str">
        <f>'Assemble Data'!B848</f>
        <v>P11</v>
      </c>
      <c r="B847" s="13">
        <f>IFERROR(SUMIF('Assemble Data'!K:K,'Assemble Data'!A848,'Assemble Data'!L:L),0)</f>
        <v>11000</v>
      </c>
      <c r="C847" s="13" t="str">
        <f>INDEX('Assemble Data'!$O$24:$O$1023,MATCH('Assemble Data'!A848,'Assemble Data'!$N$24:$N$1023,0))</f>
        <v>C2</v>
      </c>
      <c r="D847" s="13">
        <f>SUMIF('Assemble Data'!H:H,'Assemble Data'!A848,'Assemble Data'!I:I)</f>
        <v>11</v>
      </c>
      <c r="E847" s="13">
        <f>IFERROR(IF(AND('Assemble Data'!D848&lt;&gt;"",'Assemble Data'!D848&lt;&gt;B847),1,0),1)</f>
        <v>0</v>
      </c>
      <c r="F847" s="13">
        <f ca="1">IF('Assemble Data'!E848="",0,IF(ISERROR(FIND("INDEX",_xlfn.FORMULATEXT('Assemble Data'!E848),1)),1,0)+IFERROR(IF(AND('Assemble Data'!E848&lt;&gt;C847,'Assemble Data'!E848&lt;&gt;""),1,0),1))</f>
        <v>0</v>
      </c>
      <c r="G847" s="13">
        <f ca="1">IF('Assemble Data'!F848="",0,IF(ISERROR(FIND("VLOOKUP",_xlfn.FORMULATEXT('Assemble Data'!F848),1)),1,0)+IFERROR(IF(AND('Assemble Data'!F848&lt;&gt;D847,'Assemble Data'!F848&lt;&gt;""),1,0),1))</f>
        <v>0</v>
      </c>
      <c r="H847" s="13">
        <f t="shared" si="42"/>
        <v>9</v>
      </c>
      <c r="I847" t="str">
        <f t="shared" si="41"/>
        <v>C2P11</v>
      </c>
    </row>
    <row r="848" spans="1:9">
      <c r="A848" t="str">
        <f>'Assemble Data'!B849</f>
        <v>P12</v>
      </c>
      <c r="B848" s="13">
        <f>IFERROR(SUMIF('Assemble Data'!K:K,'Assemble Data'!A849,'Assemble Data'!L:L),0)</f>
        <v>6825</v>
      </c>
      <c r="C848" s="13" t="str">
        <f>INDEX('Assemble Data'!$O$24:$O$1023,MATCH('Assemble Data'!A849,'Assemble Data'!$N$24:$N$1023,0))</f>
        <v>C2</v>
      </c>
      <c r="D848" s="13">
        <f>SUMIF('Assemble Data'!H:H,'Assemble Data'!A849,'Assemble Data'!I:I)</f>
        <v>6.5</v>
      </c>
      <c r="E848" s="13">
        <f>IFERROR(IF(AND('Assemble Data'!D849&lt;&gt;"",'Assemble Data'!D849&lt;&gt;B848),1,0),1)</f>
        <v>0</v>
      </c>
      <c r="F848" s="13">
        <f ca="1">IF('Assemble Data'!E849="",0,IF(ISERROR(FIND("INDEX",_xlfn.FORMULATEXT('Assemble Data'!E849),1)),1,0)+IFERROR(IF(AND('Assemble Data'!E849&lt;&gt;C848,'Assemble Data'!E849&lt;&gt;""),1,0),1))</f>
        <v>0</v>
      </c>
      <c r="G848" s="13">
        <f ca="1">IF('Assemble Data'!F849="",0,IF(ISERROR(FIND("VLOOKUP",_xlfn.FORMULATEXT('Assemble Data'!F849),1)),1,0)+IFERROR(IF(AND('Assemble Data'!F849&lt;&gt;D848,'Assemble Data'!F849&lt;&gt;""),1,0),1))</f>
        <v>0</v>
      </c>
      <c r="H848" s="13">
        <f t="shared" si="42"/>
        <v>7</v>
      </c>
      <c r="I848" t="str">
        <f t="shared" si="41"/>
        <v>C2P12</v>
      </c>
    </row>
    <row r="849" spans="1:9">
      <c r="A849" t="str">
        <f>'Assemble Data'!B850</f>
        <v>P10</v>
      </c>
      <c r="B849" s="13">
        <f>IFERROR(SUMIF('Assemble Data'!K:K,'Assemble Data'!A850,'Assemble Data'!L:L),0)</f>
        <v>2400</v>
      </c>
      <c r="C849" s="13" t="str">
        <f>INDEX('Assemble Data'!$O$24:$O$1023,MATCH('Assemble Data'!A850,'Assemble Data'!$N$24:$N$1023,0))</f>
        <v>C2</v>
      </c>
      <c r="D849" s="13">
        <f>SUMIF('Assemble Data'!H:H,'Assemble Data'!A850,'Assemble Data'!I:I)</f>
        <v>3</v>
      </c>
      <c r="E849" s="13">
        <f>IFERROR(IF(AND('Assemble Data'!D850&lt;&gt;"",'Assemble Data'!D850&lt;&gt;B849),1,0),1)</f>
        <v>0</v>
      </c>
      <c r="F849" s="13">
        <f ca="1">IF('Assemble Data'!E850="",0,IF(ISERROR(FIND("INDEX",_xlfn.FORMULATEXT('Assemble Data'!E850),1)),1,0)+IFERROR(IF(AND('Assemble Data'!E850&lt;&gt;C849,'Assemble Data'!E850&lt;&gt;""),1,0),1))</f>
        <v>0</v>
      </c>
      <c r="G849" s="13">
        <f ca="1">IF('Assemble Data'!F850="",0,IF(ISERROR(FIND("VLOOKUP",_xlfn.FORMULATEXT('Assemble Data'!F850),1)),1,0)+IFERROR(IF(AND('Assemble Data'!F850&lt;&gt;D849,'Assemble Data'!F850&lt;&gt;""),1,0),1))</f>
        <v>0</v>
      </c>
      <c r="H849" s="13">
        <f t="shared" si="42"/>
        <v>8</v>
      </c>
      <c r="I849" t="str">
        <f t="shared" si="41"/>
        <v>C2P10</v>
      </c>
    </row>
    <row r="850" spans="1:9">
      <c r="A850" t="str">
        <f>'Assemble Data'!B851</f>
        <v>P10</v>
      </c>
      <c r="B850" s="13">
        <f>IFERROR(SUMIF('Assemble Data'!K:K,'Assemble Data'!A851,'Assemble Data'!L:L),0)</f>
        <v>2400</v>
      </c>
      <c r="C850" s="13" t="str">
        <f>INDEX('Assemble Data'!$O$24:$O$1023,MATCH('Assemble Data'!A851,'Assemble Data'!$N$24:$N$1023,0))</f>
        <v>C2</v>
      </c>
      <c r="D850" s="13">
        <f>SUMIF('Assemble Data'!H:H,'Assemble Data'!A851,'Assemble Data'!I:I)</f>
        <v>3</v>
      </c>
      <c r="E850" s="13">
        <f>IFERROR(IF(AND('Assemble Data'!D851&lt;&gt;"",'Assemble Data'!D851&lt;&gt;B850),1,0),1)</f>
        <v>0</v>
      </c>
      <c r="F850" s="13">
        <f ca="1">IF('Assemble Data'!E851="",0,IF(ISERROR(FIND("INDEX",_xlfn.FORMULATEXT('Assemble Data'!E851),1)),1,0)+IFERROR(IF(AND('Assemble Data'!E851&lt;&gt;C850,'Assemble Data'!E851&lt;&gt;""),1,0),1))</f>
        <v>0</v>
      </c>
      <c r="G850" s="13">
        <f ca="1">IF('Assemble Data'!F851="",0,IF(ISERROR(FIND("VLOOKUP",_xlfn.FORMULATEXT('Assemble Data'!F851),1)),1,0)+IFERROR(IF(AND('Assemble Data'!F851&lt;&gt;D850,'Assemble Data'!F851&lt;&gt;""),1,0),1))</f>
        <v>0</v>
      </c>
      <c r="H850" s="13">
        <f t="shared" si="42"/>
        <v>8</v>
      </c>
      <c r="I850" t="str">
        <f t="shared" si="41"/>
        <v>C2P10</v>
      </c>
    </row>
    <row r="851" spans="1:9">
      <c r="A851" t="str">
        <f>'Assemble Data'!B852</f>
        <v>P11</v>
      </c>
      <c r="B851" s="13">
        <f>IFERROR(SUMIF('Assemble Data'!K:K,'Assemble Data'!A852,'Assemble Data'!L:L),0)</f>
        <v>11000</v>
      </c>
      <c r="C851" s="13" t="str">
        <f>INDEX('Assemble Data'!$O$24:$O$1023,MATCH('Assemble Data'!A852,'Assemble Data'!$N$24:$N$1023,0))</f>
        <v>C2</v>
      </c>
      <c r="D851" s="13">
        <f>SUMIF('Assemble Data'!H:H,'Assemble Data'!A852,'Assemble Data'!I:I)</f>
        <v>11</v>
      </c>
      <c r="E851" s="13">
        <f>IFERROR(IF(AND('Assemble Data'!D852&lt;&gt;"",'Assemble Data'!D852&lt;&gt;B851),1,0),1)</f>
        <v>0</v>
      </c>
      <c r="F851" s="13">
        <f ca="1">IF('Assemble Data'!E852="",0,IF(ISERROR(FIND("INDEX",_xlfn.FORMULATEXT('Assemble Data'!E852),1)),1,0)+IFERROR(IF(AND('Assemble Data'!E852&lt;&gt;C851,'Assemble Data'!E852&lt;&gt;""),1,0),1))</f>
        <v>0</v>
      </c>
      <c r="G851" s="13">
        <f ca="1">IF('Assemble Data'!F852="",0,IF(ISERROR(FIND("VLOOKUP",_xlfn.FORMULATEXT('Assemble Data'!F852),1)),1,0)+IFERROR(IF(AND('Assemble Data'!F852&lt;&gt;D851,'Assemble Data'!F852&lt;&gt;""),1,0),1))</f>
        <v>0</v>
      </c>
      <c r="H851" s="13">
        <f t="shared" si="42"/>
        <v>9</v>
      </c>
      <c r="I851" t="str">
        <f t="shared" si="41"/>
        <v>C2P11</v>
      </c>
    </row>
    <row r="852" spans="1:9">
      <c r="A852" t="str">
        <f>'Assemble Data'!B853</f>
        <v>P18</v>
      </c>
      <c r="B852" s="13">
        <f>IFERROR(SUMIF('Assemble Data'!K:K,'Assemble Data'!A853,'Assemble Data'!L:L),0)</f>
        <v>5940.0000000000009</v>
      </c>
      <c r="C852" s="13" t="str">
        <f>INDEX('Assemble Data'!$O$24:$O$1023,MATCH('Assemble Data'!A853,'Assemble Data'!$N$24:$N$1023,0))</f>
        <v>O2</v>
      </c>
      <c r="D852" s="13">
        <f>SUMIF('Assemble Data'!H:H,'Assemble Data'!A853,'Assemble Data'!I:I)</f>
        <v>6</v>
      </c>
      <c r="E852" s="13">
        <f>IFERROR(IF(AND('Assemble Data'!D853&lt;&gt;"",'Assemble Data'!D853&lt;&gt;B852),1,0),1)</f>
        <v>0</v>
      </c>
      <c r="F852" s="13">
        <f ca="1">IF('Assemble Data'!E853="",0,IF(ISERROR(FIND("INDEX",_xlfn.FORMULATEXT('Assemble Data'!E853),1)),1,0)+IFERROR(IF(AND('Assemble Data'!E853&lt;&gt;C852,'Assemble Data'!E853&lt;&gt;""),1,0),1))</f>
        <v>0</v>
      </c>
      <c r="G852" s="13">
        <f ca="1">IF('Assemble Data'!F853="",0,IF(ISERROR(FIND("VLOOKUP",_xlfn.FORMULATEXT('Assemble Data'!F853),1)),1,0)+IFERROR(IF(AND('Assemble Data'!F853&lt;&gt;D852,'Assemble Data'!F853&lt;&gt;""),1,0),1))</f>
        <v>0</v>
      </c>
      <c r="H852" s="13">
        <f t="shared" si="42"/>
        <v>2</v>
      </c>
      <c r="I852" t="str">
        <f t="shared" si="41"/>
        <v>O2P18</v>
      </c>
    </row>
    <row r="853" spans="1:9">
      <c r="A853" t="str">
        <f>'Assemble Data'!B854</f>
        <v>P14</v>
      </c>
      <c r="B853" s="13">
        <f>IFERROR(SUMIF('Assemble Data'!K:K,'Assemble Data'!A854,'Assemble Data'!L:L),0)</f>
        <v>6480</v>
      </c>
      <c r="C853" s="13" t="str">
        <f>INDEX('Assemble Data'!$O$24:$O$1023,MATCH('Assemble Data'!A854,'Assemble Data'!$N$24:$N$1023,0))</f>
        <v>N2</v>
      </c>
      <c r="D853" s="13">
        <f>SUMIF('Assemble Data'!H:H,'Assemble Data'!A854,'Assemble Data'!I:I)</f>
        <v>8</v>
      </c>
      <c r="E853" s="13">
        <f>IFERROR(IF(AND('Assemble Data'!D854&lt;&gt;"",'Assemble Data'!D854&lt;&gt;B853),1,0),1)</f>
        <v>0</v>
      </c>
      <c r="F853" s="13">
        <f ca="1">IF('Assemble Data'!E854="",0,IF(ISERROR(FIND("INDEX",_xlfn.FORMULATEXT('Assemble Data'!E854),1)),1,0)+IFERROR(IF(AND('Assemble Data'!E854&lt;&gt;C853,'Assemble Data'!E854&lt;&gt;""),1,0),1))</f>
        <v>0</v>
      </c>
      <c r="G853" s="13">
        <f ca="1">IF('Assemble Data'!F854="",0,IF(ISERROR(FIND("VLOOKUP",_xlfn.FORMULATEXT('Assemble Data'!F854),1)),1,0)+IFERROR(IF(AND('Assemble Data'!F854&lt;&gt;D853,'Assemble Data'!F854&lt;&gt;""),1,0),1))</f>
        <v>0</v>
      </c>
      <c r="H853" s="13">
        <f t="shared" si="42"/>
        <v>5</v>
      </c>
      <c r="I853" t="str">
        <f t="shared" si="41"/>
        <v>N2P14</v>
      </c>
    </row>
    <row r="854" spans="1:9">
      <c r="A854" t="str">
        <f>'Assemble Data'!B855</f>
        <v>P10</v>
      </c>
      <c r="B854" s="13">
        <f>IFERROR(SUMIF('Assemble Data'!K:K,'Assemble Data'!A855,'Assemble Data'!L:L),0)</f>
        <v>2400</v>
      </c>
      <c r="C854" s="13" t="str">
        <f>INDEX('Assemble Data'!$O$24:$O$1023,MATCH('Assemble Data'!A855,'Assemble Data'!$N$24:$N$1023,0))</f>
        <v>C2</v>
      </c>
      <c r="D854" s="13">
        <f>SUMIF('Assemble Data'!H:H,'Assemble Data'!A855,'Assemble Data'!I:I)</f>
        <v>3</v>
      </c>
      <c r="E854" s="13">
        <f>IFERROR(IF(AND('Assemble Data'!D855&lt;&gt;"",'Assemble Data'!D855&lt;&gt;B854),1,0),1)</f>
        <v>0</v>
      </c>
      <c r="F854" s="13">
        <f ca="1">IF('Assemble Data'!E855="",0,IF(ISERROR(FIND("INDEX",_xlfn.FORMULATEXT('Assemble Data'!E855),1)),1,0)+IFERROR(IF(AND('Assemble Data'!E855&lt;&gt;C854,'Assemble Data'!E855&lt;&gt;""),1,0),1))</f>
        <v>0</v>
      </c>
      <c r="G854" s="13">
        <f ca="1">IF('Assemble Data'!F855="",0,IF(ISERROR(FIND("VLOOKUP",_xlfn.FORMULATEXT('Assemble Data'!F855),1)),1,0)+IFERROR(IF(AND('Assemble Data'!F855&lt;&gt;D854,'Assemble Data'!F855&lt;&gt;""),1,0),1))</f>
        <v>0</v>
      </c>
      <c r="H854" s="13">
        <f t="shared" si="42"/>
        <v>8</v>
      </c>
      <c r="I854" t="str">
        <f t="shared" si="41"/>
        <v>C2P10</v>
      </c>
    </row>
    <row r="855" spans="1:9">
      <c r="A855" t="str">
        <f>'Assemble Data'!B856</f>
        <v>P13</v>
      </c>
      <c r="B855" s="13">
        <f>IFERROR(SUMIF('Assemble Data'!K:K,'Assemble Data'!A856,'Assemble Data'!L:L),0)</f>
        <v>4500</v>
      </c>
      <c r="C855" s="13" t="str">
        <f>INDEX('Assemble Data'!$O$24:$O$1023,MATCH('Assemble Data'!A856,'Assemble Data'!$N$24:$N$1023,0))</f>
        <v>C2</v>
      </c>
      <c r="D855" s="13">
        <f>SUMIF('Assemble Data'!H:H,'Assemble Data'!A856,'Assemble Data'!I:I)</f>
        <v>5</v>
      </c>
      <c r="E855" s="13">
        <f>IFERROR(IF(AND('Assemble Data'!D856&lt;&gt;"",'Assemble Data'!D856&lt;&gt;B855),1,0),1)</f>
        <v>0</v>
      </c>
      <c r="F855" s="13">
        <f ca="1">IF('Assemble Data'!E856="",0,IF(ISERROR(FIND("INDEX",_xlfn.FORMULATEXT('Assemble Data'!E856),1)),1,0)+IFERROR(IF(AND('Assemble Data'!E856&lt;&gt;C855,'Assemble Data'!E856&lt;&gt;""),1,0),1))</f>
        <v>0</v>
      </c>
      <c r="G855" s="13">
        <f ca="1">IF('Assemble Data'!F856="",0,IF(ISERROR(FIND("VLOOKUP",_xlfn.FORMULATEXT('Assemble Data'!F856),1)),1,0)+IFERROR(IF(AND('Assemble Data'!F856&lt;&gt;D855,'Assemble Data'!F856&lt;&gt;""),1,0),1))</f>
        <v>0</v>
      </c>
      <c r="H855" s="13">
        <f t="shared" si="42"/>
        <v>3</v>
      </c>
      <c r="I855" t="str">
        <f t="shared" si="41"/>
        <v>C2P13</v>
      </c>
    </row>
    <row r="856" spans="1:9">
      <c r="A856" t="str">
        <f>'Assemble Data'!B857</f>
        <v>P13</v>
      </c>
      <c r="B856" s="13">
        <f>IFERROR(SUMIF('Assemble Data'!K:K,'Assemble Data'!A857,'Assemble Data'!L:L),0)</f>
        <v>4500</v>
      </c>
      <c r="C856" s="13" t="str">
        <f>INDEX('Assemble Data'!$O$24:$O$1023,MATCH('Assemble Data'!A857,'Assemble Data'!$N$24:$N$1023,0))</f>
        <v>C2</v>
      </c>
      <c r="D856" s="13">
        <f>SUMIF('Assemble Data'!H:H,'Assemble Data'!A857,'Assemble Data'!I:I)</f>
        <v>5</v>
      </c>
      <c r="E856" s="13">
        <f>IFERROR(IF(AND('Assemble Data'!D857&lt;&gt;"",'Assemble Data'!D857&lt;&gt;B856),1,0),1)</f>
        <v>0</v>
      </c>
      <c r="F856" s="13">
        <f ca="1">IF('Assemble Data'!E857="",0,IF(ISERROR(FIND("INDEX",_xlfn.FORMULATEXT('Assemble Data'!E857),1)),1,0)+IFERROR(IF(AND('Assemble Data'!E857&lt;&gt;C856,'Assemble Data'!E857&lt;&gt;""),1,0),1))</f>
        <v>0</v>
      </c>
      <c r="G856" s="13">
        <f ca="1">IF('Assemble Data'!F857="",0,IF(ISERROR(FIND("VLOOKUP",_xlfn.FORMULATEXT('Assemble Data'!F857),1)),1,0)+IFERROR(IF(AND('Assemble Data'!F857&lt;&gt;D856,'Assemble Data'!F857&lt;&gt;""),1,0),1))</f>
        <v>0</v>
      </c>
      <c r="H856" s="13">
        <f t="shared" si="42"/>
        <v>3</v>
      </c>
      <c r="I856" t="str">
        <f t="shared" ref="I856:I919" si="43">C856&amp;A856</f>
        <v>C2P13</v>
      </c>
    </row>
    <row r="857" spans="1:9">
      <c r="A857" t="str">
        <f>'Assemble Data'!B858</f>
        <v>P10</v>
      </c>
      <c r="B857" s="13">
        <f>IFERROR(SUMIF('Assemble Data'!K:K,'Assemble Data'!A858,'Assemble Data'!L:L),0)</f>
        <v>2400</v>
      </c>
      <c r="C857" s="13" t="str">
        <f>INDEX('Assemble Data'!$O$24:$O$1023,MATCH('Assemble Data'!A858,'Assemble Data'!$N$24:$N$1023,0))</f>
        <v>C2</v>
      </c>
      <c r="D857" s="13">
        <f>SUMIF('Assemble Data'!H:H,'Assemble Data'!A858,'Assemble Data'!I:I)</f>
        <v>3</v>
      </c>
      <c r="E857" s="13">
        <f>IFERROR(IF(AND('Assemble Data'!D858&lt;&gt;"",'Assemble Data'!D858&lt;&gt;B857),1,0),1)</f>
        <v>0</v>
      </c>
      <c r="F857" s="13">
        <f ca="1">IF('Assemble Data'!E858="",0,IF(ISERROR(FIND("INDEX",_xlfn.FORMULATEXT('Assemble Data'!E858),1)),1,0)+IFERROR(IF(AND('Assemble Data'!E858&lt;&gt;C857,'Assemble Data'!E858&lt;&gt;""),1,0),1))</f>
        <v>0</v>
      </c>
      <c r="G857" s="13">
        <f ca="1">IF('Assemble Data'!F858="",0,IF(ISERROR(FIND("VLOOKUP",_xlfn.FORMULATEXT('Assemble Data'!F858),1)),1,0)+IFERROR(IF(AND('Assemble Data'!F858&lt;&gt;D857,'Assemble Data'!F858&lt;&gt;""),1,0),1))</f>
        <v>0</v>
      </c>
      <c r="H857" s="13">
        <f t="shared" si="42"/>
        <v>8</v>
      </c>
      <c r="I857" t="str">
        <f t="shared" si="43"/>
        <v>C2P10</v>
      </c>
    </row>
    <row r="858" spans="1:9">
      <c r="A858" t="str">
        <f>'Assemble Data'!B859</f>
        <v>P11</v>
      </c>
      <c r="B858" s="13">
        <f>IFERROR(SUMIF('Assemble Data'!K:K,'Assemble Data'!A859,'Assemble Data'!L:L),0)</f>
        <v>11000</v>
      </c>
      <c r="C858" s="13" t="str">
        <f>INDEX('Assemble Data'!$O$24:$O$1023,MATCH('Assemble Data'!A859,'Assemble Data'!$N$24:$N$1023,0))</f>
        <v>C2</v>
      </c>
      <c r="D858" s="13">
        <f>SUMIF('Assemble Data'!H:H,'Assemble Data'!A859,'Assemble Data'!I:I)</f>
        <v>11</v>
      </c>
      <c r="E858" s="13">
        <f>IFERROR(IF(AND('Assemble Data'!D859&lt;&gt;"",'Assemble Data'!D859&lt;&gt;B858),1,0),1)</f>
        <v>0</v>
      </c>
      <c r="F858" s="13">
        <f ca="1">IF('Assemble Data'!E859="",0,IF(ISERROR(FIND("INDEX",_xlfn.FORMULATEXT('Assemble Data'!E859),1)),1,0)+IFERROR(IF(AND('Assemble Data'!E859&lt;&gt;C858,'Assemble Data'!E859&lt;&gt;""),1,0),1))</f>
        <v>0</v>
      </c>
      <c r="G858" s="13">
        <f ca="1">IF('Assemble Data'!F859="",0,IF(ISERROR(FIND("VLOOKUP",_xlfn.FORMULATEXT('Assemble Data'!F859),1)),1,0)+IFERROR(IF(AND('Assemble Data'!F859&lt;&gt;D858,'Assemble Data'!F859&lt;&gt;""),1,0),1))</f>
        <v>0</v>
      </c>
      <c r="H858" s="13">
        <f t="shared" si="42"/>
        <v>9</v>
      </c>
      <c r="I858" t="str">
        <f t="shared" si="43"/>
        <v>C2P11</v>
      </c>
    </row>
    <row r="859" spans="1:9">
      <c r="A859" t="str">
        <f>'Assemble Data'!B860</f>
        <v>P16</v>
      </c>
      <c r="B859" s="13">
        <f>IFERROR(SUMIF('Assemble Data'!K:K,'Assemble Data'!A860,'Assemble Data'!L:L),0)</f>
        <v>4680</v>
      </c>
      <c r="C859" s="13" t="str">
        <f>INDEX('Assemble Data'!$O$24:$O$1023,MATCH('Assemble Data'!A860,'Assemble Data'!$N$24:$N$1023,0))</f>
        <v>N2</v>
      </c>
      <c r="D859" s="13">
        <f>SUMIF('Assemble Data'!H:H,'Assemble Data'!A860,'Assemble Data'!I:I)</f>
        <v>4</v>
      </c>
      <c r="E859" s="13">
        <f>IFERROR(IF(AND('Assemble Data'!D860&lt;&gt;"",'Assemble Data'!D860&lt;&gt;B859),1,0),1)</f>
        <v>0</v>
      </c>
      <c r="F859" s="13">
        <f ca="1">IF('Assemble Data'!E860="",0,IF(ISERROR(FIND("INDEX",_xlfn.FORMULATEXT('Assemble Data'!E860),1)),1,0)+IFERROR(IF(AND('Assemble Data'!E860&lt;&gt;C859,'Assemble Data'!E860&lt;&gt;""),1,0),1))</f>
        <v>0</v>
      </c>
      <c r="G859" s="13">
        <f ca="1">IF('Assemble Data'!F860="",0,IF(ISERROR(FIND("VLOOKUP",_xlfn.FORMULATEXT('Assemble Data'!F860),1)),1,0)+IFERROR(IF(AND('Assemble Data'!F860&lt;&gt;D859,'Assemble Data'!F860&lt;&gt;""),1,0),1))</f>
        <v>0</v>
      </c>
      <c r="H859" s="13">
        <f t="shared" si="42"/>
        <v>0</v>
      </c>
      <c r="I859" t="str">
        <f t="shared" si="43"/>
        <v>N2P16</v>
      </c>
    </row>
    <row r="860" spans="1:9">
      <c r="A860" t="str">
        <f>'Assemble Data'!B861</f>
        <v>P17</v>
      </c>
      <c r="B860" s="13">
        <f>IFERROR(SUMIF('Assemble Data'!K:K,'Assemble Data'!A861,'Assemble Data'!L:L),0)</f>
        <v>26400.000000000004</v>
      </c>
      <c r="C860" s="13" t="str">
        <f>INDEX('Assemble Data'!$O$24:$O$1023,MATCH('Assemble Data'!A861,'Assemble Data'!$N$24:$N$1023,0))</f>
        <v>O2</v>
      </c>
      <c r="D860" s="13">
        <f>SUMIF('Assemble Data'!H:H,'Assemble Data'!A861,'Assemble Data'!I:I)</f>
        <v>12</v>
      </c>
      <c r="E860" s="13">
        <f>IFERROR(IF(AND('Assemble Data'!D861&lt;&gt;"",'Assemble Data'!D861&lt;&gt;B860),1,0),1)</f>
        <v>0</v>
      </c>
      <c r="F860" s="13">
        <f ca="1">IF('Assemble Data'!E861="",0,IF(ISERROR(FIND("INDEX",_xlfn.FORMULATEXT('Assemble Data'!E861),1)),1,0)+IFERROR(IF(AND('Assemble Data'!E861&lt;&gt;C860,'Assemble Data'!E861&lt;&gt;""),1,0),1))</f>
        <v>0</v>
      </c>
      <c r="G860" s="13">
        <f ca="1">IF('Assemble Data'!F861="",0,IF(ISERROR(FIND("VLOOKUP",_xlfn.FORMULATEXT('Assemble Data'!F861),1)),1,0)+IFERROR(IF(AND('Assemble Data'!F861&lt;&gt;D860,'Assemble Data'!F861&lt;&gt;""),1,0),1))</f>
        <v>0</v>
      </c>
      <c r="H860" s="13">
        <f t="shared" si="42"/>
        <v>6</v>
      </c>
      <c r="I860" t="str">
        <f t="shared" si="43"/>
        <v>O2P17</v>
      </c>
    </row>
    <row r="861" spans="1:9">
      <c r="A861" t="str">
        <f>'Assemble Data'!B862</f>
        <v>P17</v>
      </c>
      <c r="B861" s="13">
        <f>IFERROR(SUMIF('Assemble Data'!K:K,'Assemble Data'!A862,'Assemble Data'!L:L),0)</f>
        <v>13200.000000000002</v>
      </c>
      <c r="C861" s="13" t="str">
        <f>INDEX('Assemble Data'!$O$24:$O$1023,MATCH('Assemble Data'!A862,'Assemble Data'!$N$24:$N$1023,0))</f>
        <v>O2</v>
      </c>
      <c r="D861" s="13">
        <f>SUMIF('Assemble Data'!H:H,'Assemble Data'!A862,'Assemble Data'!I:I)</f>
        <v>12</v>
      </c>
      <c r="E861" s="13">
        <f>IFERROR(IF(AND('Assemble Data'!D862&lt;&gt;"",'Assemble Data'!D862&lt;&gt;B861),1,0),1)</f>
        <v>0</v>
      </c>
      <c r="F861" s="13">
        <f ca="1">IF('Assemble Data'!E862="",0,IF(ISERROR(FIND("INDEX",_xlfn.FORMULATEXT('Assemble Data'!E862),1)),1,0)+IFERROR(IF(AND('Assemble Data'!E862&lt;&gt;C861,'Assemble Data'!E862&lt;&gt;""),1,0),1))</f>
        <v>0</v>
      </c>
      <c r="G861" s="13">
        <f ca="1">IF('Assemble Data'!F862="",0,IF(ISERROR(FIND("VLOOKUP",_xlfn.FORMULATEXT('Assemble Data'!F862),1)),1,0)+IFERROR(IF(AND('Assemble Data'!F862&lt;&gt;D861,'Assemble Data'!F862&lt;&gt;""),1,0),1))</f>
        <v>0</v>
      </c>
      <c r="H861" s="13">
        <f t="shared" si="42"/>
        <v>6</v>
      </c>
      <c r="I861" t="str">
        <f t="shared" si="43"/>
        <v>O2P17</v>
      </c>
    </row>
    <row r="862" spans="1:9">
      <c r="A862" t="str">
        <f>'Assemble Data'!B863</f>
        <v>P13</v>
      </c>
      <c r="B862" s="13">
        <f>IFERROR(SUMIF('Assemble Data'!K:K,'Assemble Data'!A863,'Assemble Data'!L:L),0)</f>
        <v>4500</v>
      </c>
      <c r="C862" s="13" t="str">
        <f>INDEX('Assemble Data'!$O$24:$O$1023,MATCH('Assemble Data'!A863,'Assemble Data'!$N$24:$N$1023,0))</f>
        <v>C2</v>
      </c>
      <c r="D862" s="13">
        <f>SUMIF('Assemble Data'!H:H,'Assemble Data'!A863,'Assemble Data'!I:I)</f>
        <v>5</v>
      </c>
      <c r="E862" s="13">
        <f>IFERROR(IF(AND('Assemble Data'!D863&lt;&gt;"",'Assemble Data'!D863&lt;&gt;B862),1,0),1)</f>
        <v>0</v>
      </c>
      <c r="F862" s="13">
        <f ca="1">IF('Assemble Data'!E863="",0,IF(ISERROR(FIND("INDEX",_xlfn.FORMULATEXT('Assemble Data'!E863),1)),1,0)+IFERROR(IF(AND('Assemble Data'!E863&lt;&gt;C862,'Assemble Data'!E863&lt;&gt;""),1,0),1))</f>
        <v>0</v>
      </c>
      <c r="G862" s="13">
        <f ca="1">IF('Assemble Data'!F863="",0,IF(ISERROR(FIND("VLOOKUP",_xlfn.FORMULATEXT('Assemble Data'!F863),1)),1,0)+IFERROR(IF(AND('Assemble Data'!F863&lt;&gt;D862,'Assemble Data'!F863&lt;&gt;""),1,0),1))</f>
        <v>0</v>
      </c>
      <c r="H862" s="13">
        <f t="shared" si="42"/>
        <v>3</v>
      </c>
      <c r="I862" t="str">
        <f t="shared" si="43"/>
        <v>C2P13</v>
      </c>
    </row>
    <row r="863" spans="1:9">
      <c r="A863" t="str">
        <f>'Assemble Data'!B864</f>
        <v>P11</v>
      </c>
      <c r="B863" s="13">
        <f>IFERROR(SUMIF('Assemble Data'!K:K,'Assemble Data'!A864,'Assemble Data'!L:L),0)</f>
        <v>11000</v>
      </c>
      <c r="C863" s="13" t="str">
        <f>INDEX('Assemble Data'!$O$24:$O$1023,MATCH('Assemble Data'!A864,'Assemble Data'!$N$24:$N$1023,0))</f>
        <v>C2</v>
      </c>
      <c r="D863" s="13">
        <f>SUMIF('Assemble Data'!H:H,'Assemble Data'!A864,'Assemble Data'!I:I)</f>
        <v>11</v>
      </c>
      <c r="E863" s="13">
        <f>IFERROR(IF(AND('Assemble Data'!D864&lt;&gt;"",'Assemble Data'!D864&lt;&gt;B863),1,0),1)</f>
        <v>0</v>
      </c>
      <c r="F863" s="13">
        <f ca="1">IF('Assemble Data'!E864="",0,IF(ISERROR(FIND("INDEX",_xlfn.FORMULATEXT('Assemble Data'!E864),1)),1,0)+IFERROR(IF(AND('Assemble Data'!E864&lt;&gt;C863,'Assemble Data'!E864&lt;&gt;""),1,0),1))</f>
        <v>0</v>
      </c>
      <c r="G863" s="13">
        <f ca="1">IF('Assemble Data'!F864="",0,IF(ISERROR(FIND("VLOOKUP",_xlfn.FORMULATEXT('Assemble Data'!F864),1)),1,0)+IFERROR(IF(AND('Assemble Data'!F864&lt;&gt;D863,'Assemble Data'!F864&lt;&gt;""),1,0),1))</f>
        <v>0</v>
      </c>
      <c r="H863" s="13">
        <f t="shared" si="42"/>
        <v>9</v>
      </c>
      <c r="I863" t="str">
        <f t="shared" si="43"/>
        <v>C2P11</v>
      </c>
    </row>
    <row r="864" spans="1:9">
      <c r="A864" t="str">
        <f>'Assemble Data'!B865</f>
        <v>P11</v>
      </c>
      <c r="B864" s="13">
        <f>IFERROR(SUMIF('Assemble Data'!K:K,'Assemble Data'!A865,'Assemble Data'!L:L),0)</f>
        <v>11000</v>
      </c>
      <c r="C864" s="13" t="str">
        <f>INDEX('Assemble Data'!$O$24:$O$1023,MATCH('Assemble Data'!A865,'Assemble Data'!$N$24:$N$1023,0))</f>
        <v>C2</v>
      </c>
      <c r="D864" s="13">
        <f>SUMIF('Assemble Data'!H:H,'Assemble Data'!A865,'Assemble Data'!I:I)</f>
        <v>11</v>
      </c>
      <c r="E864" s="13">
        <f>IFERROR(IF(AND('Assemble Data'!D865&lt;&gt;"",'Assemble Data'!D865&lt;&gt;B864),1,0),1)</f>
        <v>0</v>
      </c>
      <c r="F864" s="13">
        <f ca="1">IF('Assemble Data'!E865="",0,IF(ISERROR(FIND("INDEX",_xlfn.FORMULATEXT('Assemble Data'!E865),1)),1,0)+IFERROR(IF(AND('Assemble Data'!E865&lt;&gt;C864,'Assemble Data'!E865&lt;&gt;""),1,0),1))</f>
        <v>0</v>
      </c>
      <c r="G864" s="13">
        <f ca="1">IF('Assemble Data'!F865="",0,IF(ISERROR(FIND("VLOOKUP",_xlfn.FORMULATEXT('Assemble Data'!F865),1)),1,0)+IFERROR(IF(AND('Assemble Data'!F865&lt;&gt;D864,'Assemble Data'!F865&lt;&gt;""),1,0),1))</f>
        <v>0</v>
      </c>
      <c r="H864" s="13">
        <f t="shared" si="42"/>
        <v>9</v>
      </c>
      <c r="I864" t="str">
        <f t="shared" si="43"/>
        <v>C2P11</v>
      </c>
    </row>
    <row r="865" spans="1:9">
      <c r="A865" t="str">
        <f>'Assemble Data'!B866</f>
        <v>P12</v>
      </c>
      <c r="B865" s="13">
        <f>IFERROR(SUMIF('Assemble Data'!K:K,'Assemble Data'!A866,'Assemble Data'!L:L),0)</f>
        <v>6825</v>
      </c>
      <c r="C865" s="13" t="str">
        <f>INDEX('Assemble Data'!$O$24:$O$1023,MATCH('Assemble Data'!A866,'Assemble Data'!$N$24:$N$1023,0))</f>
        <v>C2</v>
      </c>
      <c r="D865" s="13">
        <f>SUMIF('Assemble Data'!H:H,'Assemble Data'!A866,'Assemble Data'!I:I)</f>
        <v>6.5</v>
      </c>
      <c r="E865" s="13">
        <f>IFERROR(IF(AND('Assemble Data'!D866&lt;&gt;"",'Assemble Data'!D866&lt;&gt;B865),1,0),1)</f>
        <v>0</v>
      </c>
      <c r="F865" s="13">
        <f ca="1">IF('Assemble Data'!E866="",0,IF(ISERROR(FIND("INDEX",_xlfn.FORMULATEXT('Assemble Data'!E866),1)),1,0)+IFERROR(IF(AND('Assemble Data'!E866&lt;&gt;C865,'Assemble Data'!E866&lt;&gt;""),1,0),1))</f>
        <v>0</v>
      </c>
      <c r="G865" s="13">
        <f ca="1">IF('Assemble Data'!F866="",0,IF(ISERROR(FIND("VLOOKUP",_xlfn.FORMULATEXT('Assemble Data'!F866),1)),1,0)+IFERROR(IF(AND('Assemble Data'!F866&lt;&gt;D865,'Assemble Data'!F866&lt;&gt;""),1,0),1))</f>
        <v>0</v>
      </c>
      <c r="H865" s="13">
        <f t="shared" si="42"/>
        <v>7</v>
      </c>
      <c r="I865" t="str">
        <f t="shared" si="43"/>
        <v>C2P12</v>
      </c>
    </row>
    <row r="866" spans="1:9">
      <c r="A866" t="str">
        <f>'Assemble Data'!B867</f>
        <v>P10</v>
      </c>
      <c r="B866" s="13">
        <f>IFERROR(SUMIF('Assemble Data'!K:K,'Assemble Data'!A867,'Assemble Data'!L:L),0)</f>
        <v>2400</v>
      </c>
      <c r="C866" s="13" t="str">
        <f>INDEX('Assemble Data'!$O$24:$O$1023,MATCH('Assemble Data'!A867,'Assemble Data'!$N$24:$N$1023,0))</f>
        <v>C2</v>
      </c>
      <c r="D866" s="13">
        <f>SUMIF('Assemble Data'!H:H,'Assemble Data'!A867,'Assemble Data'!I:I)</f>
        <v>3</v>
      </c>
      <c r="E866" s="13">
        <f>IFERROR(IF(AND('Assemble Data'!D867&lt;&gt;"",'Assemble Data'!D867&lt;&gt;B866),1,0),1)</f>
        <v>0</v>
      </c>
      <c r="F866" s="13">
        <f ca="1">IF('Assemble Data'!E867="",0,IF(ISERROR(FIND("INDEX",_xlfn.FORMULATEXT('Assemble Data'!E867),1)),1,0)+IFERROR(IF(AND('Assemble Data'!E867&lt;&gt;C866,'Assemble Data'!E867&lt;&gt;""),1,0),1))</f>
        <v>0</v>
      </c>
      <c r="G866" s="13">
        <f ca="1">IF('Assemble Data'!F867="",0,IF(ISERROR(FIND("VLOOKUP",_xlfn.FORMULATEXT('Assemble Data'!F867),1)),1,0)+IFERROR(IF(AND('Assemble Data'!F867&lt;&gt;D866,'Assemble Data'!F867&lt;&gt;""),1,0),1))</f>
        <v>0</v>
      </c>
      <c r="H866" s="13">
        <f t="shared" si="42"/>
        <v>8</v>
      </c>
      <c r="I866" t="str">
        <f t="shared" si="43"/>
        <v>C2P10</v>
      </c>
    </row>
    <row r="867" spans="1:9">
      <c r="A867" t="str">
        <f>'Assemble Data'!B868</f>
        <v>P10</v>
      </c>
      <c r="B867" s="13">
        <f>IFERROR(SUMIF('Assemble Data'!K:K,'Assemble Data'!A868,'Assemble Data'!L:L),0)</f>
        <v>2400</v>
      </c>
      <c r="C867" s="13" t="str">
        <f>INDEX('Assemble Data'!$O$24:$O$1023,MATCH('Assemble Data'!A868,'Assemble Data'!$N$24:$N$1023,0))</f>
        <v>C2</v>
      </c>
      <c r="D867" s="13">
        <f>SUMIF('Assemble Data'!H:H,'Assemble Data'!A868,'Assemble Data'!I:I)</f>
        <v>3</v>
      </c>
      <c r="E867" s="13">
        <f>IFERROR(IF(AND('Assemble Data'!D868&lt;&gt;"",'Assemble Data'!D868&lt;&gt;B867),1,0),1)</f>
        <v>0</v>
      </c>
      <c r="F867" s="13">
        <f ca="1">IF('Assemble Data'!E868="",0,IF(ISERROR(FIND("INDEX",_xlfn.FORMULATEXT('Assemble Data'!E868),1)),1,0)+IFERROR(IF(AND('Assemble Data'!E868&lt;&gt;C867,'Assemble Data'!E868&lt;&gt;""),1,0),1))</f>
        <v>0</v>
      </c>
      <c r="G867" s="13">
        <f ca="1">IF('Assemble Data'!F868="",0,IF(ISERROR(FIND("VLOOKUP",_xlfn.FORMULATEXT('Assemble Data'!F868),1)),1,0)+IFERROR(IF(AND('Assemble Data'!F868&lt;&gt;D867,'Assemble Data'!F868&lt;&gt;""),1,0),1))</f>
        <v>0</v>
      </c>
      <c r="H867" s="13">
        <f t="shared" si="42"/>
        <v>8</v>
      </c>
      <c r="I867" t="str">
        <f t="shared" si="43"/>
        <v>C2P10</v>
      </c>
    </row>
    <row r="868" spans="1:9">
      <c r="A868" t="str">
        <f>'Assemble Data'!B869</f>
        <v>P11</v>
      </c>
      <c r="B868" s="13">
        <f>IFERROR(SUMIF('Assemble Data'!K:K,'Assemble Data'!A869,'Assemble Data'!L:L),0)</f>
        <v>11000</v>
      </c>
      <c r="C868" s="13" t="str">
        <f>INDEX('Assemble Data'!$O$24:$O$1023,MATCH('Assemble Data'!A869,'Assemble Data'!$N$24:$N$1023,0))</f>
        <v>C2</v>
      </c>
      <c r="D868" s="13">
        <f>SUMIF('Assemble Data'!H:H,'Assemble Data'!A869,'Assemble Data'!I:I)</f>
        <v>11</v>
      </c>
      <c r="E868" s="13">
        <f>IFERROR(IF(AND('Assemble Data'!D869&lt;&gt;"",'Assemble Data'!D869&lt;&gt;B868),1,0),1)</f>
        <v>0</v>
      </c>
      <c r="F868" s="13">
        <f ca="1">IF('Assemble Data'!E869="",0,IF(ISERROR(FIND("INDEX",_xlfn.FORMULATEXT('Assemble Data'!E869),1)),1,0)+IFERROR(IF(AND('Assemble Data'!E869&lt;&gt;C868,'Assemble Data'!E869&lt;&gt;""),1,0),1))</f>
        <v>0</v>
      </c>
      <c r="G868" s="13">
        <f ca="1">IF('Assemble Data'!F869="",0,IF(ISERROR(FIND("VLOOKUP",_xlfn.FORMULATEXT('Assemble Data'!F869),1)),1,0)+IFERROR(IF(AND('Assemble Data'!F869&lt;&gt;D868,'Assemble Data'!F869&lt;&gt;""),1,0),1))</f>
        <v>0</v>
      </c>
      <c r="H868" s="13">
        <f t="shared" si="42"/>
        <v>9</v>
      </c>
      <c r="I868" t="str">
        <f t="shared" si="43"/>
        <v>C2P11</v>
      </c>
    </row>
    <row r="869" spans="1:9">
      <c r="A869" t="str">
        <f>'Assemble Data'!B870</f>
        <v>P18</v>
      </c>
      <c r="B869" s="13">
        <f>IFERROR(SUMIF('Assemble Data'!K:K,'Assemble Data'!A870,'Assemble Data'!L:L),0)</f>
        <v>5940.0000000000009</v>
      </c>
      <c r="C869" s="13" t="str">
        <f>INDEX('Assemble Data'!$O$24:$O$1023,MATCH('Assemble Data'!A870,'Assemble Data'!$N$24:$N$1023,0))</f>
        <v>O2</v>
      </c>
      <c r="D869" s="13">
        <f>SUMIF('Assemble Data'!H:H,'Assemble Data'!A870,'Assemble Data'!I:I)</f>
        <v>6</v>
      </c>
      <c r="E869" s="13">
        <f>IFERROR(IF(AND('Assemble Data'!D870&lt;&gt;"",'Assemble Data'!D870&lt;&gt;B869),1,0),1)</f>
        <v>0</v>
      </c>
      <c r="F869" s="13">
        <f ca="1">IF('Assemble Data'!E870="",0,IF(ISERROR(FIND("INDEX",_xlfn.FORMULATEXT('Assemble Data'!E870),1)),1,0)+IFERROR(IF(AND('Assemble Data'!E870&lt;&gt;C869,'Assemble Data'!E870&lt;&gt;""),1,0),1))</f>
        <v>0</v>
      </c>
      <c r="G869" s="13">
        <f ca="1">IF('Assemble Data'!F870="",0,IF(ISERROR(FIND("VLOOKUP",_xlfn.FORMULATEXT('Assemble Data'!F870),1)),1,0)+IFERROR(IF(AND('Assemble Data'!F870&lt;&gt;D869,'Assemble Data'!F870&lt;&gt;""),1,0),1))</f>
        <v>0</v>
      </c>
      <c r="H869" s="13">
        <f t="shared" si="42"/>
        <v>2</v>
      </c>
      <c r="I869" t="str">
        <f t="shared" si="43"/>
        <v>O2P18</v>
      </c>
    </row>
    <row r="870" spans="1:9">
      <c r="A870" t="str">
        <f>'Assemble Data'!B871</f>
        <v>P14</v>
      </c>
      <c r="B870" s="13">
        <f>IFERROR(SUMIF('Assemble Data'!K:K,'Assemble Data'!A871,'Assemble Data'!L:L),0)</f>
        <v>6480</v>
      </c>
      <c r="C870" s="13" t="str">
        <f>INDEX('Assemble Data'!$O$24:$O$1023,MATCH('Assemble Data'!A871,'Assemble Data'!$N$24:$N$1023,0))</f>
        <v>N2</v>
      </c>
      <c r="D870" s="13">
        <f>SUMIF('Assemble Data'!H:H,'Assemble Data'!A871,'Assemble Data'!I:I)</f>
        <v>8</v>
      </c>
      <c r="E870" s="13">
        <f>IFERROR(IF(AND('Assemble Data'!D871&lt;&gt;"",'Assemble Data'!D871&lt;&gt;B870),1,0),1)</f>
        <v>0</v>
      </c>
      <c r="F870" s="13">
        <f ca="1">IF('Assemble Data'!E871="",0,IF(ISERROR(FIND("INDEX",_xlfn.FORMULATEXT('Assemble Data'!E871),1)),1,0)+IFERROR(IF(AND('Assemble Data'!E871&lt;&gt;C870,'Assemble Data'!E871&lt;&gt;""),1,0),1))</f>
        <v>0</v>
      </c>
      <c r="G870" s="13">
        <f ca="1">IF('Assemble Data'!F871="",0,IF(ISERROR(FIND("VLOOKUP",_xlfn.FORMULATEXT('Assemble Data'!F871),1)),1,0)+IFERROR(IF(AND('Assemble Data'!F871&lt;&gt;D870,'Assemble Data'!F871&lt;&gt;""),1,0),1))</f>
        <v>0</v>
      </c>
      <c r="H870" s="13">
        <f t="shared" si="42"/>
        <v>5</v>
      </c>
      <c r="I870" t="str">
        <f t="shared" si="43"/>
        <v>N2P14</v>
      </c>
    </row>
    <row r="871" spans="1:9">
      <c r="A871" t="str">
        <f>'Assemble Data'!B872</f>
        <v>P10</v>
      </c>
      <c r="B871" s="13">
        <f>IFERROR(SUMIF('Assemble Data'!K:K,'Assemble Data'!A872,'Assemble Data'!L:L),0)</f>
        <v>2400</v>
      </c>
      <c r="C871" s="13" t="str">
        <f>INDEX('Assemble Data'!$O$24:$O$1023,MATCH('Assemble Data'!A872,'Assemble Data'!$N$24:$N$1023,0))</f>
        <v>C2</v>
      </c>
      <c r="D871" s="13">
        <f>SUMIF('Assemble Data'!H:H,'Assemble Data'!A872,'Assemble Data'!I:I)</f>
        <v>3</v>
      </c>
      <c r="E871" s="13">
        <f>IFERROR(IF(AND('Assemble Data'!D872&lt;&gt;"",'Assemble Data'!D872&lt;&gt;B871),1,0),1)</f>
        <v>0</v>
      </c>
      <c r="F871" s="13">
        <f ca="1">IF('Assemble Data'!E872="",0,IF(ISERROR(FIND("INDEX",_xlfn.FORMULATEXT('Assemble Data'!E872),1)),1,0)+IFERROR(IF(AND('Assemble Data'!E872&lt;&gt;C871,'Assemble Data'!E872&lt;&gt;""),1,0),1))</f>
        <v>0</v>
      </c>
      <c r="G871" s="13">
        <f ca="1">IF('Assemble Data'!F872="",0,IF(ISERROR(FIND("VLOOKUP",_xlfn.FORMULATEXT('Assemble Data'!F872),1)),1,0)+IFERROR(IF(AND('Assemble Data'!F872&lt;&gt;D871,'Assemble Data'!F872&lt;&gt;""),1,0),1))</f>
        <v>0</v>
      </c>
      <c r="H871" s="13">
        <f t="shared" si="42"/>
        <v>8</v>
      </c>
      <c r="I871" t="str">
        <f t="shared" si="43"/>
        <v>C2P10</v>
      </c>
    </row>
    <row r="872" spans="1:9">
      <c r="A872" t="str">
        <f>'Assemble Data'!B873</f>
        <v>P13</v>
      </c>
      <c r="B872" s="13">
        <f>IFERROR(SUMIF('Assemble Data'!K:K,'Assemble Data'!A873,'Assemble Data'!L:L),0)</f>
        <v>4500</v>
      </c>
      <c r="C872" s="13" t="str">
        <f>INDEX('Assemble Data'!$O$24:$O$1023,MATCH('Assemble Data'!A873,'Assemble Data'!$N$24:$N$1023,0))</f>
        <v>C2</v>
      </c>
      <c r="D872" s="13">
        <f>SUMIF('Assemble Data'!H:H,'Assemble Data'!A873,'Assemble Data'!I:I)</f>
        <v>5</v>
      </c>
      <c r="E872" s="13">
        <f>IFERROR(IF(AND('Assemble Data'!D873&lt;&gt;"",'Assemble Data'!D873&lt;&gt;B872),1,0),1)</f>
        <v>0</v>
      </c>
      <c r="F872" s="13">
        <f ca="1">IF('Assemble Data'!E873="",0,IF(ISERROR(FIND("INDEX",_xlfn.FORMULATEXT('Assemble Data'!E873),1)),1,0)+IFERROR(IF(AND('Assemble Data'!E873&lt;&gt;C872,'Assemble Data'!E873&lt;&gt;""),1,0),1))</f>
        <v>0</v>
      </c>
      <c r="G872" s="13">
        <f ca="1">IF('Assemble Data'!F873="",0,IF(ISERROR(FIND("VLOOKUP",_xlfn.FORMULATEXT('Assemble Data'!F873),1)),1,0)+IFERROR(IF(AND('Assemble Data'!F873&lt;&gt;D872,'Assemble Data'!F873&lt;&gt;""),1,0),1))</f>
        <v>0</v>
      </c>
      <c r="H872" s="13">
        <f t="shared" si="42"/>
        <v>3</v>
      </c>
      <c r="I872" t="str">
        <f t="shared" si="43"/>
        <v>C2P13</v>
      </c>
    </row>
    <row r="873" spans="1:9">
      <c r="A873" t="str">
        <f>'Assemble Data'!B874</f>
        <v>P13</v>
      </c>
      <c r="B873" s="13">
        <f>IFERROR(SUMIF('Assemble Data'!K:K,'Assemble Data'!A874,'Assemble Data'!L:L),0)</f>
        <v>4500</v>
      </c>
      <c r="C873" s="13" t="str">
        <f>INDEX('Assemble Data'!$O$24:$O$1023,MATCH('Assemble Data'!A874,'Assemble Data'!$N$24:$N$1023,0))</f>
        <v>C2</v>
      </c>
      <c r="D873" s="13">
        <f>SUMIF('Assemble Data'!H:H,'Assemble Data'!A874,'Assemble Data'!I:I)</f>
        <v>5</v>
      </c>
      <c r="E873" s="13">
        <f>IFERROR(IF(AND('Assemble Data'!D874&lt;&gt;"",'Assemble Data'!D874&lt;&gt;B873),1,0),1)</f>
        <v>0</v>
      </c>
      <c r="F873" s="13">
        <f ca="1">IF('Assemble Data'!E874="",0,IF(ISERROR(FIND("INDEX",_xlfn.FORMULATEXT('Assemble Data'!E874),1)),1,0)+IFERROR(IF(AND('Assemble Data'!E874&lt;&gt;C873,'Assemble Data'!E874&lt;&gt;""),1,0),1))</f>
        <v>0</v>
      </c>
      <c r="G873" s="13">
        <f ca="1">IF('Assemble Data'!F874="",0,IF(ISERROR(FIND("VLOOKUP",_xlfn.FORMULATEXT('Assemble Data'!F874),1)),1,0)+IFERROR(IF(AND('Assemble Data'!F874&lt;&gt;D873,'Assemble Data'!F874&lt;&gt;""),1,0),1))</f>
        <v>0</v>
      </c>
      <c r="H873" s="13">
        <f t="shared" si="42"/>
        <v>3</v>
      </c>
      <c r="I873" t="str">
        <f t="shared" si="43"/>
        <v>C2P13</v>
      </c>
    </row>
    <row r="874" spans="1:9">
      <c r="A874" t="str">
        <f>'Assemble Data'!B875</f>
        <v>P10</v>
      </c>
      <c r="B874" s="13">
        <f>IFERROR(SUMIF('Assemble Data'!K:K,'Assemble Data'!A875,'Assemble Data'!L:L),0)</f>
        <v>2400</v>
      </c>
      <c r="C874" s="13" t="str">
        <f>INDEX('Assemble Data'!$O$24:$O$1023,MATCH('Assemble Data'!A875,'Assemble Data'!$N$24:$N$1023,0))</f>
        <v>C2</v>
      </c>
      <c r="D874" s="13">
        <f>SUMIF('Assemble Data'!H:H,'Assemble Data'!A875,'Assemble Data'!I:I)</f>
        <v>3</v>
      </c>
      <c r="E874" s="13">
        <f>IFERROR(IF(AND('Assemble Data'!D875&lt;&gt;"",'Assemble Data'!D875&lt;&gt;B874),1,0),1)</f>
        <v>0</v>
      </c>
      <c r="F874" s="13">
        <f ca="1">IF('Assemble Data'!E875="",0,IF(ISERROR(FIND("INDEX",_xlfn.FORMULATEXT('Assemble Data'!E875),1)),1,0)+IFERROR(IF(AND('Assemble Data'!E875&lt;&gt;C874,'Assemble Data'!E875&lt;&gt;""),1,0),1))</f>
        <v>0</v>
      </c>
      <c r="G874" s="13">
        <f ca="1">IF('Assemble Data'!F875="",0,IF(ISERROR(FIND("VLOOKUP",_xlfn.FORMULATEXT('Assemble Data'!F875),1)),1,0)+IFERROR(IF(AND('Assemble Data'!F875&lt;&gt;D874,'Assemble Data'!F875&lt;&gt;""),1,0),1))</f>
        <v>0</v>
      </c>
      <c r="H874" s="13">
        <f t="shared" si="42"/>
        <v>8</v>
      </c>
      <c r="I874" t="str">
        <f t="shared" si="43"/>
        <v>C2P10</v>
      </c>
    </row>
    <row r="875" spans="1:9">
      <c r="A875" t="str">
        <f>'Assemble Data'!B876</f>
        <v>P11</v>
      </c>
      <c r="B875" s="13">
        <f>IFERROR(SUMIF('Assemble Data'!K:K,'Assemble Data'!A876,'Assemble Data'!L:L),0)</f>
        <v>22000</v>
      </c>
      <c r="C875" s="13" t="str">
        <f>INDEX('Assemble Data'!$O$24:$O$1023,MATCH('Assemble Data'!A876,'Assemble Data'!$N$24:$N$1023,0))</f>
        <v>C2</v>
      </c>
      <c r="D875" s="13">
        <f>SUMIF('Assemble Data'!H:H,'Assemble Data'!A876,'Assemble Data'!I:I)</f>
        <v>11</v>
      </c>
      <c r="E875" s="13">
        <f>IFERROR(IF(AND('Assemble Data'!D876&lt;&gt;"",'Assemble Data'!D876&lt;&gt;B875),1,0),1)</f>
        <v>0</v>
      </c>
      <c r="F875" s="13">
        <f ca="1">IF('Assemble Data'!E876="",0,IF(ISERROR(FIND("INDEX",_xlfn.FORMULATEXT('Assemble Data'!E876),1)),1,0)+IFERROR(IF(AND('Assemble Data'!E876&lt;&gt;C875,'Assemble Data'!E876&lt;&gt;""),1,0),1))</f>
        <v>0</v>
      </c>
      <c r="G875" s="13">
        <f ca="1">IF('Assemble Data'!F876="",0,IF(ISERROR(FIND("VLOOKUP",_xlfn.FORMULATEXT('Assemble Data'!F876),1)),1,0)+IFERROR(IF(AND('Assemble Data'!F876&lt;&gt;D875,'Assemble Data'!F876&lt;&gt;""),1,0),1))</f>
        <v>0</v>
      </c>
      <c r="H875" s="13">
        <f t="shared" si="42"/>
        <v>9</v>
      </c>
      <c r="I875" t="str">
        <f t="shared" si="43"/>
        <v>C2P11</v>
      </c>
    </row>
    <row r="876" spans="1:9">
      <c r="A876" t="str">
        <f>'Assemble Data'!B877</f>
        <v>P16</v>
      </c>
      <c r="B876" s="13">
        <f>IFERROR(SUMIF('Assemble Data'!K:K,'Assemble Data'!A877,'Assemble Data'!L:L),0)</f>
        <v>4680</v>
      </c>
      <c r="C876" s="13" t="str">
        <f>INDEX('Assemble Data'!$O$24:$O$1023,MATCH('Assemble Data'!A877,'Assemble Data'!$N$24:$N$1023,0))</f>
        <v>N2</v>
      </c>
      <c r="D876" s="13">
        <f>SUMIF('Assemble Data'!H:H,'Assemble Data'!A877,'Assemble Data'!I:I)</f>
        <v>4</v>
      </c>
      <c r="E876" s="13">
        <f>IFERROR(IF(AND('Assemble Data'!D877&lt;&gt;"",'Assemble Data'!D877&lt;&gt;B876),1,0),1)</f>
        <v>0</v>
      </c>
      <c r="F876" s="13">
        <f ca="1">IF('Assemble Data'!E877="",0,IF(ISERROR(FIND("INDEX",_xlfn.FORMULATEXT('Assemble Data'!E877),1)),1,0)+IFERROR(IF(AND('Assemble Data'!E877&lt;&gt;C876,'Assemble Data'!E877&lt;&gt;""),1,0),1))</f>
        <v>0</v>
      </c>
      <c r="G876" s="13">
        <f ca="1">IF('Assemble Data'!F877="",0,IF(ISERROR(FIND("VLOOKUP",_xlfn.FORMULATEXT('Assemble Data'!F877),1)),1,0)+IFERROR(IF(AND('Assemble Data'!F877&lt;&gt;D876,'Assemble Data'!F877&lt;&gt;""),1,0),1))</f>
        <v>0</v>
      </c>
      <c r="H876" s="13">
        <f t="shared" si="42"/>
        <v>0</v>
      </c>
      <c r="I876" t="str">
        <f t="shared" si="43"/>
        <v>N2P16</v>
      </c>
    </row>
    <row r="877" spans="1:9">
      <c r="A877" t="str">
        <f>'Assemble Data'!B878</f>
        <v>P17</v>
      </c>
      <c r="B877" s="13">
        <f>IFERROR(SUMIF('Assemble Data'!K:K,'Assemble Data'!A878,'Assemble Data'!L:L),0)</f>
        <v>13200.000000000002</v>
      </c>
      <c r="C877" s="13" t="str">
        <f>INDEX('Assemble Data'!$O$24:$O$1023,MATCH('Assemble Data'!A878,'Assemble Data'!$N$24:$N$1023,0))</f>
        <v>O2</v>
      </c>
      <c r="D877" s="13">
        <f>SUMIF('Assemble Data'!H:H,'Assemble Data'!A878,'Assemble Data'!I:I)</f>
        <v>12</v>
      </c>
      <c r="E877" s="13">
        <f>IFERROR(IF(AND('Assemble Data'!D878&lt;&gt;"",'Assemble Data'!D878&lt;&gt;B877),1,0),1)</f>
        <v>0</v>
      </c>
      <c r="F877" s="13">
        <f ca="1">IF('Assemble Data'!E878="",0,IF(ISERROR(FIND("INDEX",_xlfn.FORMULATEXT('Assemble Data'!E878),1)),1,0)+IFERROR(IF(AND('Assemble Data'!E878&lt;&gt;C877,'Assemble Data'!E878&lt;&gt;""),1,0),1))</f>
        <v>0</v>
      </c>
      <c r="G877" s="13">
        <f ca="1">IF('Assemble Data'!F878="",0,IF(ISERROR(FIND("VLOOKUP",_xlfn.FORMULATEXT('Assemble Data'!F878),1)),1,0)+IFERROR(IF(AND('Assemble Data'!F878&lt;&gt;D877,'Assemble Data'!F878&lt;&gt;""),1,0),1))</f>
        <v>0</v>
      </c>
      <c r="H877" s="13">
        <f t="shared" si="42"/>
        <v>6</v>
      </c>
      <c r="I877" t="str">
        <f t="shared" si="43"/>
        <v>O2P17</v>
      </c>
    </row>
    <row r="878" spans="1:9">
      <c r="A878" t="str">
        <f>'Assemble Data'!B879</f>
        <v>P17</v>
      </c>
      <c r="B878" s="13">
        <f>IFERROR(SUMIF('Assemble Data'!K:K,'Assemble Data'!A879,'Assemble Data'!L:L),0)</f>
        <v>13200.000000000002</v>
      </c>
      <c r="C878" s="13" t="str">
        <f>INDEX('Assemble Data'!$O$24:$O$1023,MATCH('Assemble Data'!A879,'Assemble Data'!$N$24:$N$1023,0))</f>
        <v>O2</v>
      </c>
      <c r="D878" s="13">
        <f>SUMIF('Assemble Data'!H:H,'Assemble Data'!A879,'Assemble Data'!I:I)</f>
        <v>12</v>
      </c>
      <c r="E878" s="13">
        <f>IFERROR(IF(AND('Assemble Data'!D879&lt;&gt;"",'Assemble Data'!D879&lt;&gt;B878),1,0),1)</f>
        <v>0</v>
      </c>
      <c r="F878" s="13">
        <f ca="1">IF('Assemble Data'!E879="",0,IF(ISERROR(FIND("INDEX",_xlfn.FORMULATEXT('Assemble Data'!E879),1)),1,0)+IFERROR(IF(AND('Assemble Data'!E879&lt;&gt;C878,'Assemble Data'!E879&lt;&gt;""),1,0),1))</f>
        <v>0</v>
      </c>
      <c r="G878" s="13">
        <f ca="1">IF('Assemble Data'!F879="",0,IF(ISERROR(FIND("VLOOKUP",_xlfn.FORMULATEXT('Assemble Data'!F879),1)),1,0)+IFERROR(IF(AND('Assemble Data'!F879&lt;&gt;D878,'Assemble Data'!F879&lt;&gt;""),1,0),1))</f>
        <v>0</v>
      </c>
      <c r="H878" s="13">
        <f t="shared" si="42"/>
        <v>6</v>
      </c>
      <c r="I878" t="str">
        <f t="shared" si="43"/>
        <v>O2P17</v>
      </c>
    </row>
    <row r="879" spans="1:9">
      <c r="A879" t="str">
        <f>'Assemble Data'!B880</f>
        <v>P13</v>
      </c>
      <c r="B879" s="13">
        <f>IFERROR(SUMIF('Assemble Data'!K:K,'Assemble Data'!A880,'Assemble Data'!L:L),0)</f>
        <v>4500</v>
      </c>
      <c r="C879" s="13" t="str">
        <f>INDEX('Assemble Data'!$O$24:$O$1023,MATCH('Assemble Data'!A880,'Assemble Data'!$N$24:$N$1023,0))</f>
        <v>C2</v>
      </c>
      <c r="D879" s="13">
        <f>SUMIF('Assemble Data'!H:H,'Assemble Data'!A880,'Assemble Data'!I:I)</f>
        <v>5</v>
      </c>
      <c r="E879" s="13">
        <f>IFERROR(IF(AND('Assemble Data'!D880&lt;&gt;"",'Assemble Data'!D880&lt;&gt;B879),1,0),1)</f>
        <v>0</v>
      </c>
      <c r="F879" s="13">
        <f ca="1">IF('Assemble Data'!E880="",0,IF(ISERROR(FIND("INDEX",_xlfn.FORMULATEXT('Assemble Data'!E880),1)),1,0)+IFERROR(IF(AND('Assemble Data'!E880&lt;&gt;C879,'Assemble Data'!E880&lt;&gt;""),1,0),1))</f>
        <v>0</v>
      </c>
      <c r="G879" s="13">
        <f ca="1">IF('Assemble Data'!F880="",0,IF(ISERROR(FIND("VLOOKUP",_xlfn.FORMULATEXT('Assemble Data'!F880),1)),1,0)+IFERROR(IF(AND('Assemble Data'!F880&lt;&gt;D879,'Assemble Data'!F880&lt;&gt;""),1,0),1))</f>
        <v>0</v>
      </c>
      <c r="H879" s="13">
        <f t="shared" si="42"/>
        <v>3</v>
      </c>
      <c r="I879" t="str">
        <f t="shared" si="43"/>
        <v>C2P13</v>
      </c>
    </row>
    <row r="880" spans="1:9">
      <c r="A880" t="str">
        <f>'Assemble Data'!B881</f>
        <v>P11</v>
      </c>
      <c r="B880" s="13">
        <f>IFERROR(SUMIF('Assemble Data'!K:K,'Assemble Data'!A881,'Assemble Data'!L:L),0)</f>
        <v>11000</v>
      </c>
      <c r="C880" s="13" t="str">
        <f>INDEX('Assemble Data'!$O$24:$O$1023,MATCH('Assemble Data'!A881,'Assemble Data'!$N$24:$N$1023,0))</f>
        <v>C2</v>
      </c>
      <c r="D880" s="13">
        <f>SUMIF('Assemble Data'!H:H,'Assemble Data'!A881,'Assemble Data'!I:I)</f>
        <v>11</v>
      </c>
      <c r="E880" s="13">
        <f>IFERROR(IF(AND('Assemble Data'!D881&lt;&gt;"",'Assemble Data'!D881&lt;&gt;B880),1,0),1)</f>
        <v>0</v>
      </c>
      <c r="F880" s="13">
        <f ca="1">IF('Assemble Data'!E881="",0,IF(ISERROR(FIND("INDEX",_xlfn.FORMULATEXT('Assemble Data'!E881),1)),1,0)+IFERROR(IF(AND('Assemble Data'!E881&lt;&gt;C880,'Assemble Data'!E881&lt;&gt;""),1,0),1))</f>
        <v>0</v>
      </c>
      <c r="G880" s="13">
        <f ca="1">IF('Assemble Data'!F881="",0,IF(ISERROR(FIND("VLOOKUP",_xlfn.FORMULATEXT('Assemble Data'!F881),1)),1,0)+IFERROR(IF(AND('Assemble Data'!F881&lt;&gt;D880,'Assemble Data'!F881&lt;&gt;""),1,0),1))</f>
        <v>0</v>
      </c>
      <c r="H880" s="13">
        <f t="shared" si="42"/>
        <v>9</v>
      </c>
      <c r="I880" t="str">
        <f t="shared" si="43"/>
        <v>C2P11</v>
      </c>
    </row>
    <row r="881" spans="1:9">
      <c r="A881" t="str">
        <f>'Assemble Data'!B882</f>
        <v>P11</v>
      </c>
      <c r="B881" s="13">
        <f>IFERROR(SUMIF('Assemble Data'!K:K,'Assemble Data'!A882,'Assemble Data'!L:L),0)</f>
        <v>11000</v>
      </c>
      <c r="C881" s="13" t="str">
        <f>INDEX('Assemble Data'!$O$24:$O$1023,MATCH('Assemble Data'!A882,'Assemble Data'!$N$24:$N$1023,0))</f>
        <v>C2</v>
      </c>
      <c r="D881" s="13">
        <f>SUMIF('Assemble Data'!H:H,'Assemble Data'!A882,'Assemble Data'!I:I)</f>
        <v>11</v>
      </c>
      <c r="E881" s="13">
        <f>IFERROR(IF(AND('Assemble Data'!D882&lt;&gt;"",'Assemble Data'!D882&lt;&gt;B881),1,0),1)</f>
        <v>0</v>
      </c>
      <c r="F881" s="13">
        <f ca="1">IF('Assemble Data'!E882="",0,IF(ISERROR(FIND("INDEX",_xlfn.FORMULATEXT('Assemble Data'!E882),1)),1,0)+IFERROR(IF(AND('Assemble Data'!E882&lt;&gt;C881,'Assemble Data'!E882&lt;&gt;""),1,0),1))</f>
        <v>0</v>
      </c>
      <c r="G881" s="13">
        <f ca="1">IF('Assemble Data'!F882="",0,IF(ISERROR(FIND("VLOOKUP",_xlfn.FORMULATEXT('Assemble Data'!F882),1)),1,0)+IFERROR(IF(AND('Assemble Data'!F882&lt;&gt;D881,'Assemble Data'!F882&lt;&gt;""),1,0),1))</f>
        <v>0</v>
      </c>
      <c r="H881" s="13">
        <f t="shared" si="42"/>
        <v>9</v>
      </c>
      <c r="I881" t="str">
        <f t="shared" si="43"/>
        <v>C2P11</v>
      </c>
    </row>
    <row r="882" spans="1:9">
      <c r="A882" t="str">
        <f>'Assemble Data'!B883</f>
        <v>P12</v>
      </c>
      <c r="B882" s="13">
        <f>IFERROR(SUMIF('Assemble Data'!K:K,'Assemble Data'!A883,'Assemble Data'!L:L),0)</f>
        <v>6825</v>
      </c>
      <c r="C882" s="13" t="str">
        <f>INDEX('Assemble Data'!$O$24:$O$1023,MATCH('Assemble Data'!A883,'Assemble Data'!$N$24:$N$1023,0))</f>
        <v>C2</v>
      </c>
      <c r="D882" s="13">
        <f>SUMIF('Assemble Data'!H:H,'Assemble Data'!A883,'Assemble Data'!I:I)</f>
        <v>6.5</v>
      </c>
      <c r="E882" s="13">
        <f>IFERROR(IF(AND('Assemble Data'!D883&lt;&gt;"",'Assemble Data'!D883&lt;&gt;B882),1,0),1)</f>
        <v>0</v>
      </c>
      <c r="F882" s="13">
        <f ca="1">IF('Assemble Data'!E883="",0,IF(ISERROR(FIND("INDEX",_xlfn.FORMULATEXT('Assemble Data'!E883),1)),1,0)+IFERROR(IF(AND('Assemble Data'!E883&lt;&gt;C882,'Assemble Data'!E883&lt;&gt;""),1,0),1))</f>
        <v>0</v>
      </c>
      <c r="G882" s="13">
        <f ca="1">IF('Assemble Data'!F883="",0,IF(ISERROR(FIND("VLOOKUP",_xlfn.FORMULATEXT('Assemble Data'!F883),1)),1,0)+IFERROR(IF(AND('Assemble Data'!F883&lt;&gt;D882,'Assemble Data'!F883&lt;&gt;""),1,0),1))</f>
        <v>0</v>
      </c>
      <c r="H882" s="13">
        <f t="shared" si="42"/>
        <v>7</v>
      </c>
      <c r="I882" t="str">
        <f t="shared" si="43"/>
        <v>C2P12</v>
      </c>
    </row>
    <row r="883" spans="1:9">
      <c r="A883" t="str">
        <f>'Assemble Data'!B884</f>
        <v>P10</v>
      </c>
      <c r="B883" s="13">
        <f>IFERROR(SUMIF('Assemble Data'!K:K,'Assemble Data'!A884,'Assemble Data'!L:L),0)</f>
        <v>2400</v>
      </c>
      <c r="C883" s="13" t="str">
        <f>INDEX('Assemble Data'!$O$24:$O$1023,MATCH('Assemble Data'!A884,'Assemble Data'!$N$24:$N$1023,0))</f>
        <v>C2</v>
      </c>
      <c r="D883" s="13">
        <f>SUMIF('Assemble Data'!H:H,'Assemble Data'!A884,'Assemble Data'!I:I)</f>
        <v>3</v>
      </c>
      <c r="E883" s="13">
        <f>IFERROR(IF(AND('Assemble Data'!D884&lt;&gt;"",'Assemble Data'!D884&lt;&gt;B883),1,0),1)</f>
        <v>0</v>
      </c>
      <c r="F883" s="13">
        <f ca="1">IF('Assemble Data'!E884="",0,IF(ISERROR(FIND("INDEX",_xlfn.FORMULATEXT('Assemble Data'!E884),1)),1,0)+IFERROR(IF(AND('Assemble Data'!E884&lt;&gt;C883,'Assemble Data'!E884&lt;&gt;""),1,0),1))</f>
        <v>0</v>
      </c>
      <c r="G883" s="13">
        <f ca="1">IF('Assemble Data'!F884="",0,IF(ISERROR(FIND("VLOOKUP",_xlfn.FORMULATEXT('Assemble Data'!F884),1)),1,0)+IFERROR(IF(AND('Assemble Data'!F884&lt;&gt;D883,'Assemble Data'!F884&lt;&gt;""),1,0),1))</f>
        <v>0</v>
      </c>
      <c r="H883" s="13">
        <f t="shared" si="42"/>
        <v>8</v>
      </c>
      <c r="I883" t="str">
        <f t="shared" si="43"/>
        <v>C2P10</v>
      </c>
    </row>
    <row r="884" spans="1:9">
      <c r="A884" t="str">
        <f>'Assemble Data'!B885</f>
        <v>P10</v>
      </c>
      <c r="B884" s="13">
        <f>IFERROR(SUMIF('Assemble Data'!K:K,'Assemble Data'!A885,'Assemble Data'!L:L),0)</f>
        <v>2400</v>
      </c>
      <c r="C884" s="13" t="str">
        <f>INDEX('Assemble Data'!$O$24:$O$1023,MATCH('Assemble Data'!A885,'Assemble Data'!$N$24:$N$1023,0))</f>
        <v>C2</v>
      </c>
      <c r="D884" s="13">
        <f>SUMIF('Assemble Data'!H:H,'Assemble Data'!A885,'Assemble Data'!I:I)</f>
        <v>3</v>
      </c>
      <c r="E884" s="13">
        <f>IFERROR(IF(AND('Assemble Data'!D885&lt;&gt;"",'Assemble Data'!D885&lt;&gt;B884),1,0),1)</f>
        <v>0</v>
      </c>
      <c r="F884" s="13">
        <f ca="1">IF('Assemble Data'!E885="",0,IF(ISERROR(FIND("INDEX",_xlfn.FORMULATEXT('Assemble Data'!E885),1)),1,0)+IFERROR(IF(AND('Assemble Data'!E885&lt;&gt;C884,'Assemble Data'!E885&lt;&gt;""),1,0),1))</f>
        <v>0</v>
      </c>
      <c r="G884" s="13">
        <f ca="1">IF('Assemble Data'!F885="",0,IF(ISERROR(FIND("VLOOKUP",_xlfn.FORMULATEXT('Assemble Data'!F885),1)),1,0)+IFERROR(IF(AND('Assemble Data'!F885&lt;&gt;D884,'Assemble Data'!F885&lt;&gt;""),1,0),1))</f>
        <v>0</v>
      </c>
      <c r="H884" s="13">
        <f t="shared" si="42"/>
        <v>8</v>
      </c>
      <c r="I884" t="str">
        <f t="shared" si="43"/>
        <v>C2P10</v>
      </c>
    </row>
    <row r="885" spans="1:9">
      <c r="A885" t="str">
        <f>'Assemble Data'!B886</f>
        <v>P11</v>
      </c>
      <c r="B885" s="13">
        <f>IFERROR(SUMIF('Assemble Data'!K:K,'Assemble Data'!A886,'Assemble Data'!L:L),0)</f>
        <v>11000</v>
      </c>
      <c r="C885" s="13" t="str">
        <f>INDEX('Assemble Data'!$O$24:$O$1023,MATCH('Assemble Data'!A886,'Assemble Data'!$N$24:$N$1023,0))</f>
        <v>C2</v>
      </c>
      <c r="D885" s="13">
        <f>SUMIF('Assemble Data'!H:H,'Assemble Data'!A886,'Assemble Data'!I:I)</f>
        <v>11</v>
      </c>
      <c r="E885" s="13">
        <f>IFERROR(IF(AND('Assemble Data'!D886&lt;&gt;"",'Assemble Data'!D886&lt;&gt;B885),1,0),1)</f>
        <v>0</v>
      </c>
      <c r="F885" s="13">
        <f ca="1">IF('Assemble Data'!E886="",0,IF(ISERROR(FIND("INDEX",_xlfn.FORMULATEXT('Assemble Data'!E886),1)),1,0)+IFERROR(IF(AND('Assemble Data'!E886&lt;&gt;C885,'Assemble Data'!E886&lt;&gt;""),1,0),1))</f>
        <v>0</v>
      </c>
      <c r="G885" s="13">
        <f ca="1">IF('Assemble Data'!F886="",0,IF(ISERROR(FIND("VLOOKUP",_xlfn.FORMULATEXT('Assemble Data'!F886),1)),1,0)+IFERROR(IF(AND('Assemble Data'!F886&lt;&gt;D885,'Assemble Data'!F886&lt;&gt;""),1,0),1))</f>
        <v>0</v>
      </c>
      <c r="H885" s="13">
        <f t="shared" si="42"/>
        <v>9</v>
      </c>
      <c r="I885" t="str">
        <f t="shared" si="43"/>
        <v>C2P11</v>
      </c>
    </row>
    <row r="886" spans="1:9">
      <c r="A886" t="str">
        <f>'Assemble Data'!B887</f>
        <v>P18</v>
      </c>
      <c r="B886" s="13">
        <f>IFERROR(SUMIF('Assemble Data'!K:K,'Assemble Data'!A887,'Assemble Data'!L:L),0)</f>
        <v>5940.0000000000009</v>
      </c>
      <c r="C886" s="13" t="str">
        <f>INDEX('Assemble Data'!$O$24:$O$1023,MATCH('Assemble Data'!A887,'Assemble Data'!$N$24:$N$1023,0))</f>
        <v>O2</v>
      </c>
      <c r="D886" s="13">
        <f>SUMIF('Assemble Data'!H:H,'Assemble Data'!A887,'Assemble Data'!I:I)</f>
        <v>6</v>
      </c>
      <c r="E886" s="13">
        <f>IFERROR(IF(AND('Assemble Data'!D887&lt;&gt;"",'Assemble Data'!D887&lt;&gt;B886),1,0),1)</f>
        <v>0</v>
      </c>
      <c r="F886" s="13">
        <f ca="1">IF('Assemble Data'!E887="",0,IF(ISERROR(FIND("INDEX",_xlfn.FORMULATEXT('Assemble Data'!E887),1)),1,0)+IFERROR(IF(AND('Assemble Data'!E887&lt;&gt;C886,'Assemble Data'!E887&lt;&gt;""),1,0),1))</f>
        <v>0</v>
      </c>
      <c r="G886" s="13">
        <f ca="1">IF('Assemble Data'!F887="",0,IF(ISERROR(FIND("VLOOKUP",_xlfn.FORMULATEXT('Assemble Data'!F887),1)),1,0)+IFERROR(IF(AND('Assemble Data'!F887&lt;&gt;D886,'Assemble Data'!F887&lt;&gt;""),1,0),1))</f>
        <v>0</v>
      </c>
      <c r="H886" s="13">
        <f t="shared" si="42"/>
        <v>2</v>
      </c>
      <c r="I886" t="str">
        <f t="shared" si="43"/>
        <v>O2P18</v>
      </c>
    </row>
    <row r="887" spans="1:9">
      <c r="A887" t="str">
        <f>'Assemble Data'!B888</f>
        <v>P14</v>
      </c>
      <c r="B887" s="13">
        <f>IFERROR(SUMIF('Assemble Data'!K:K,'Assemble Data'!A888,'Assemble Data'!L:L),0)</f>
        <v>6480</v>
      </c>
      <c r="C887" s="13" t="str">
        <f>INDEX('Assemble Data'!$O$24:$O$1023,MATCH('Assemble Data'!A888,'Assemble Data'!$N$24:$N$1023,0))</f>
        <v>N2</v>
      </c>
      <c r="D887" s="13">
        <f>SUMIF('Assemble Data'!H:H,'Assemble Data'!A888,'Assemble Data'!I:I)</f>
        <v>8</v>
      </c>
      <c r="E887" s="13">
        <f>IFERROR(IF(AND('Assemble Data'!D888&lt;&gt;"",'Assemble Data'!D888&lt;&gt;B887),1,0),1)</f>
        <v>0</v>
      </c>
      <c r="F887" s="13">
        <f ca="1">IF('Assemble Data'!E888="",0,IF(ISERROR(FIND("INDEX",_xlfn.FORMULATEXT('Assemble Data'!E888),1)),1,0)+IFERROR(IF(AND('Assemble Data'!E888&lt;&gt;C887,'Assemble Data'!E888&lt;&gt;""),1,0),1))</f>
        <v>0</v>
      </c>
      <c r="G887" s="13">
        <f ca="1">IF('Assemble Data'!F888="",0,IF(ISERROR(FIND("VLOOKUP",_xlfn.FORMULATEXT('Assemble Data'!F888),1)),1,0)+IFERROR(IF(AND('Assemble Data'!F888&lt;&gt;D887,'Assemble Data'!F888&lt;&gt;""),1,0),1))</f>
        <v>0</v>
      </c>
      <c r="H887" s="13">
        <f t="shared" si="42"/>
        <v>5</v>
      </c>
      <c r="I887" t="str">
        <f t="shared" si="43"/>
        <v>N2P14</v>
      </c>
    </row>
    <row r="888" spans="1:9">
      <c r="A888" t="str">
        <f>'Assemble Data'!B889</f>
        <v>P10</v>
      </c>
      <c r="B888" s="13">
        <f>IFERROR(SUMIF('Assemble Data'!K:K,'Assemble Data'!A889,'Assemble Data'!L:L),0)</f>
        <v>2400</v>
      </c>
      <c r="C888" s="13" t="str">
        <f>INDEX('Assemble Data'!$O$24:$O$1023,MATCH('Assemble Data'!A889,'Assemble Data'!$N$24:$N$1023,0))</f>
        <v>C2</v>
      </c>
      <c r="D888" s="13">
        <f>SUMIF('Assemble Data'!H:H,'Assemble Data'!A889,'Assemble Data'!I:I)</f>
        <v>3</v>
      </c>
      <c r="E888" s="13">
        <f>IFERROR(IF(AND('Assemble Data'!D889&lt;&gt;"",'Assemble Data'!D889&lt;&gt;B888),1,0),1)</f>
        <v>0</v>
      </c>
      <c r="F888" s="13">
        <f ca="1">IF('Assemble Data'!E889="",0,IF(ISERROR(FIND("INDEX",_xlfn.FORMULATEXT('Assemble Data'!E889),1)),1,0)+IFERROR(IF(AND('Assemble Data'!E889&lt;&gt;C888,'Assemble Data'!E889&lt;&gt;""),1,0),1))</f>
        <v>0</v>
      </c>
      <c r="G888" s="13">
        <f ca="1">IF('Assemble Data'!F889="",0,IF(ISERROR(FIND("VLOOKUP",_xlfn.FORMULATEXT('Assemble Data'!F889),1)),1,0)+IFERROR(IF(AND('Assemble Data'!F889&lt;&gt;D888,'Assemble Data'!F889&lt;&gt;""),1,0),1))</f>
        <v>0</v>
      </c>
      <c r="H888" s="13">
        <f t="shared" si="42"/>
        <v>8</v>
      </c>
      <c r="I888" t="str">
        <f t="shared" si="43"/>
        <v>C2P10</v>
      </c>
    </row>
    <row r="889" spans="1:9">
      <c r="A889" t="str">
        <f>'Assemble Data'!B890</f>
        <v>P13</v>
      </c>
      <c r="B889" s="13">
        <f>IFERROR(SUMIF('Assemble Data'!K:K,'Assemble Data'!A890,'Assemble Data'!L:L),0)</f>
        <v>4500</v>
      </c>
      <c r="C889" s="13" t="str">
        <f>INDEX('Assemble Data'!$O$24:$O$1023,MATCH('Assemble Data'!A890,'Assemble Data'!$N$24:$N$1023,0))</f>
        <v>C2</v>
      </c>
      <c r="D889" s="13">
        <f>SUMIF('Assemble Data'!H:H,'Assemble Data'!A890,'Assemble Data'!I:I)</f>
        <v>5</v>
      </c>
      <c r="E889" s="13">
        <f>IFERROR(IF(AND('Assemble Data'!D890&lt;&gt;"",'Assemble Data'!D890&lt;&gt;B889),1,0),1)</f>
        <v>0</v>
      </c>
      <c r="F889" s="13">
        <f ca="1">IF('Assemble Data'!E890="",0,IF(ISERROR(FIND("INDEX",_xlfn.FORMULATEXT('Assemble Data'!E890),1)),1,0)+IFERROR(IF(AND('Assemble Data'!E890&lt;&gt;C889,'Assemble Data'!E890&lt;&gt;""),1,0),1))</f>
        <v>0</v>
      </c>
      <c r="G889" s="13">
        <f ca="1">IF('Assemble Data'!F890="",0,IF(ISERROR(FIND("VLOOKUP",_xlfn.FORMULATEXT('Assemble Data'!F890),1)),1,0)+IFERROR(IF(AND('Assemble Data'!F890&lt;&gt;D889,'Assemble Data'!F890&lt;&gt;""),1,0),1))</f>
        <v>0</v>
      </c>
      <c r="H889" s="13">
        <f t="shared" si="42"/>
        <v>3</v>
      </c>
      <c r="I889" t="str">
        <f t="shared" si="43"/>
        <v>C2P13</v>
      </c>
    </row>
    <row r="890" spans="1:9">
      <c r="A890" t="str">
        <f>'Assemble Data'!B891</f>
        <v>P13</v>
      </c>
      <c r="B890" s="13">
        <f>IFERROR(SUMIF('Assemble Data'!K:K,'Assemble Data'!A891,'Assemble Data'!L:L),0)</f>
        <v>4500</v>
      </c>
      <c r="C890" s="13" t="str">
        <f>INDEX('Assemble Data'!$O$24:$O$1023,MATCH('Assemble Data'!A891,'Assemble Data'!$N$24:$N$1023,0))</f>
        <v>C2</v>
      </c>
      <c r="D890" s="13">
        <f>SUMIF('Assemble Data'!H:H,'Assemble Data'!A891,'Assemble Data'!I:I)</f>
        <v>5</v>
      </c>
      <c r="E890" s="13">
        <f>IFERROR(IF(AND('Assemble Data'!D891&lt;&gt;"",'Assemble Data'!D891&lt;&gt;B890),1,0),1)</f>
        <v>0</v>
      </c>
      <c r="F890" s="13">
        <f ca="1">IF('Assemble Data'!E891="",0,IF(ISERROR(FIND("INDEX",_xlfn.FORMULATEXT('Assemble Data'!E891),1)),1,0)+IFERROR(IF(AND('Assemble Data'!E891&lt;&gt;C890,'Assemble Data'!E891&lt;&gt;""),1,0),1))</f>
        <v>0</v>
      </c>
      <c r="G890" s="13">
        <f ca="1">IF('Assemble Data'!F891="",0,IF(ISERROR(FIND("VLOOKUP",_xlfn.FORMULATEXT('Assemble Data'!F891),1)),1,0)+IFERROR(IF(AND('Assemble Data'!F891&lt;&gt;D890,'Assemble Data'!F891&lt;&gt;""),1,0),1))</f>
        <v>0</v>
      </c>
      <c r="H890" s="13">
        <f t="shared" si="42"/>
        <v>3</v>
      </c>
      <c r="I890" t="str">
        <f t="shared" si="43"/>
        <v>C2P13</v>
      </c>
    </row>
    <row r="891" spans="1:9">
      <c r="A891" t="str">
        <f>'Assemble Data'!B892</f>
        <v>P10</v>
      </c>
      <c r="B891" s="13">
        <f>IFERROR(SUMIF('Assemble Data'!K:K,'Assemble Data'!A892,'Assemble Data'!L:L),0)</f>
        <v>2400</v>
      </c>
      <c r="C891" s="13" t="str">
        <f>INDEX('Assemble Data'!$O$24:$O$1023,MATCH('Assemble Data'!A892,'Assemble Data'!$N$24:$N$1023,0))</f>
        <v>C2</v>
      </c>
      <c r="D891" s="13">
        <f>SUMIF('Assemble Data'!H:H,'Assemble Data'!A892,'Assemble Data'!I:I)</f>
        <v>3</v>
      </c>
      <c r="E891" s="13">
        <f>IFERROR(IF(AND('Assemble Data'!D892&lt;&gt;"",'Assemble Data'!D892&lt;&gt;B891),1,0),1)</f>
        <v>0</v>
      </c>
      <c r="F891" s="13">
        <f ca="1">IF('Assemble Data'!E892="",0,IF(ISERROR(FIND("INDEX",_xlfn.FORMULATEXT('Assemble Data'!E892),1)),1,0)+IFERROR(IF(AND('Assemble Data'!E892&lt;&gt;C891,'Assemble Data'!E892&lt;&gt;""),1,0),1))</f>
        <v>0</v>
      </c>
      <c r="G891" s="13">
        <f ca="1">IF('Assemble Data'!F892="",0,IF(ISERROR(FIND("VLOOKUP",_xlfn.FORMULATEXT('Assemble Data'!F892),1)),1,0)+IFERROR(IF(AND('Assemble Data'!F892&lt;&gt;D891,'Assemble Data'!F892&lt;&gt;""),1,0),1))</f>
        <v>0</v>
      </c>
      <c r="H891" s="13">
        <f t="shared" ref="H891:H954" si="44">H874</f>
        <v>8</v>
      </c>
      <c r="I891" t="str">
        <f t="shared" si="43"/>
        <v>C2P10</v>
      </c>
    </row>
    <row r="892" spans="1:9">
      <c r="A892" t="str">
        <f>'Assemble Data'!B893</f>
        <v>P11</v>
      </c>
      <c r="B892" s="13">
        <f>IFERROR(SUMIF('Assemble Data'!K:K,'Assemble Data'!A893,'Assemble Data'!L:L),0)</f>
        <v>8800</v>
      </c>
      <c r="C892" s="13" t="str">
        <f>INDEX('Assemble Data'!$O$24:$O$1023,MATCH('Assemble Data'!A893,'Assemble Data'!$N$24:$N$1023,0))</f>
        <v>C3</v>
      </c>
      <c r="D892" s="13">
        <f>SUMIF('Assemble Data'!H:H,'Assemble Data'!A893,'Assemble Data'!I:I)</f>
        <v>11</v>
      </c>
      <c r="E892" s="13">
        <f>IFERROR(IF(AND('Assemble Data'!D893&lt;&gt;"",'Assemble Data'!D893&lt;&gt;B892),1,0),1)</f>
        <v>0</v>
      </c>
      <c r="F892" s="13">
        <f ca="1">IF('Assemble Data'!E893="",0,IF(ISERROR(FIND("INDEX",_xlfn.FORMULATEXT('Assemble Data'!E893),1)),1,0)+IFERROR(IF(AND('Assemble Data'!E893&lt;&gt;C892,'Assemble Data'!E893&lt;&gt;""),1,0),1))</f>
        <v>0</v>
      </c>
      <c r="G892" s="13">
        <f ca="1">IF('Assemble Data'!F893="",0,IF(ISERROR(FIND("VLOOKUP",_xlfn.FORMULATEXT('Assemble Data'!F893),1)),1,0)+IFERROR(IF(AND('Assemble Data'!F893&lt;&gt;D892,'Assemble Data'!F893&lt;&gt;""),1,0),1))</f>
        <v>0</v>
      </c>
      <c r="H892" s="13">
        <f t="shared" si="44"/>
        <v>9</v>
      </c>
      <c r="I892" t="str">
        <f t="shared" si="43"/>
        <v>C3P11</v>
      </c>
    </row>
    <row r="893" spans="1:9">
      <c r="A893" t="str">
        <f>'Assemble Data'!B894</f>
        <v>P16</v>
      </c>
      <c r="B893" s="13">
        <f>IFERROR(SUMIF('Assemble Data'!K:K,'Assemble Data'!A894,'Assemble Data'!L:L),0)</f>
        <v>5200</v>
      </c>
      <c r="C893" s="13" t="str">
        <f>INDEX('Assemble Data'!$O$24:$O$1023,MATCH('Assemble Data'!A894,'Assemble Data'!$N$24:$N$1023,0))</f>
        <v>N3</v>
      </c>
      <c r="D893" s="13">
        <f>SUMIF('Assemble Data'!H:H,'Assemble Data'!A894,'Assemble Data'!I:I)</f>
        <v>4</v>
      </c>
      <c r="E893" s="13">
        <f>IFERROR(IF(AND('Assemble Data'!D894&lt;&gt;"",'Assemble Data'!D894&lt;&gt;B893),1,0),1)</f>
        <v>0</v>
      </c>
      <c r="F893" s="13">
        <f ca="1">IF('Assemble Data'!E894="",0,IF(ISERROR(FIND("INDEX",_xlfn.FORMULATEXT('Assemble Data'!E894),1)),1,0)+IFERROR(IF(AND('Assemble Data'!E894&lt;&gt;C893,'Assemble Data'!E894&lt;&gt;""),1,0),1))</f>
        <v>0</v>
      </c>
      <c r="G893" s="13">
        <f ca="1">IF('Assemble Data'!F894="",0,IF(ISERROR(FIND("VLOOKUP",_xlfn.FORMULATEXT('Assemble Data'!F894),1)),1,0)+IFERROR(IF(AND('Assemble Data'!F894&lt;&gt;D893,'Assemble Data'!F894&lt;&gt;""),1,0),1))</f>
        <v>0</v>
      </c>
      <c r="H893" s="13">
        <f t="shared" si="44"/>
        <v>0</v>
      </c>
      <c r="I893" t="str">
        <f t="shared" si="43"/>
        <v>N3P16</v>
      </c>
    </row>
    <row r="894" spans="1:9">
      <c r="A894" t="str">
        <f>'Assemble Data'!B895</f>
        <v>P17</v>
      </c>
      <c r="B894" s="13">
        <f>IFERROR(SUMIF('Assemble Data'!K:K,'Assemble Data'!A895,'Assemble Data'!L:L),0)</f>
        <v>9600</v>
      </c>
      <c r="C894" s="13" t="str">
        <f>INDEX('Assemble Data'!$O$24:$O$1023,MATCH('Assemble Data'!A895,'Assemble Data'!$N$24:$N$1023,0))</f>
        <v>O3</v>
      </c>
      <c r="D894" s="13">
        <f>SUMIF('Assemble Data'!H:H,'Assemble Data'!A895,'Assemble Data'!I:I)</f>
        <v>12</v>
      </c>
      <c r="E894" s="13">
        <f>IFERROR(IF(AND('Assemble Data'!D895&lt;&gt;"",'Assemble Data'!D895&lt;&gt;B894),1,0),1)</f>
        <v>0</v>
      </c>
      <c r="F894" s="13">
        <f ca="1">IF('Assemble Data'!E895="",0,IF(ISERROR(FIND("INDEX",_xlfn.FORMULATEXT('Assemble Data'!E895),1)),1,0)+IFERROR(IF(AND('Assemble Data'!E895&lt;&gt;C894,'Assemble Data'!E895&lt;&gt;""),1,0),1))</f>
        <v>0</v>
      </c>
      <c r="G894" s="13">
        <f ca="1">IF('Assemble Data'!F895="",0,IF(ISERROR(FIND("VLOOKUP",_xlfn.FORMULATEXT('Assemble Data'!F895),1)),1,0)+IFERROR(IF(AND('Assemble Data'!F895&lt;&gt;D894,'Assemble Data'!F895&lt;&gt;""),1,0),1))</f>
        <v>0</v>
      </c>
      <c r="H894" s="13">
        <f t="shared" si="44"/>
        <v>6</v>
      </c>
      <c r="I894" t="str">
        <f t="shared" si="43"/>
        <v>O3P17</v>
      </c>
    </row>
    <row r="895" spans="1:9">
      <c r="A895" t="str">
        <f>'Assemble Data'!B896</f>
        <v>P17</v>
      </c>
      <c r="B895" s="13">
        <f>IFERROR(SUMIF('Assemble Data'!K:K,'Assemble Data'!A896,'Assemble Data'!L:L),0)</f>
        <v>9600</v>
      </c>
      <c r="C895" s="13" t="str">
        <f>INDEX('Assemble Data'!$O$24:$O$1023,MATCH('Assemble Data'!A896,'Assemble Data'!$N$24:$N$1023,0))</f>
        <v>O3</v>
      </c>
      <c r="D895" s="13">
        <f>SUMIF('Assemble Data'!H:H,'Assemble Data'!A896,'Assemble Data'!I:I)</f>
        <v>12</v>
      </c>
      <c r="E895" s="13">
        <f>IFERROR(IF(AND('Assemble Data'!D896&lt;&gt;"",'Assemble Data'!D896&lt;&gt;B895),1,0),1)</f>
        <v>0</v>
      </c>
      <c r="F895" s="13">
        <f ca="1">IF('Assemble Data'!E896="",0,IF(ISERROR(FIND("INDEX",_xlfn.FORMULATEXT('Assemble Data'!E896),1)),1,0)+IFERROR(IF(AND('Assemble Data'!E896&lt;&gt;C895,'Assemble Data'!E896&lt;&gt;""),1,0),1))</f>
        <v>0</v>
      </c>
      <c r="G895" s="13">
        <f ca="1">IF('Assemble Data'!F896="",0,IF(ISERROR(FIND("VLOOKUP",_xlfn.FORMULATEXT('Assemble Data'!F896),1)),1,0)+IFERROR(IF(AND('Assemble Data'!F896&lt;&gt;D895,'Assemble Data'!F896&lt;&gt;""),1,0),1))</f>
        <v>0</v>
      </c>
      <c r="H895" s="13">
        <f t="shared" si="44"/>
        <v>6</v>
      </c>
      <c r="I895" t="str">
        <f t="shared" si="43"/>
        <v>O3P17</v>
      </c>
    </row>
    <row r="896" spans="1:9">
      <c r="A896" t="str">
        <f>'Assemble Data'!B897</f>
        <v>P13</v>
      </c>
      <c r="B896" s="13">
        <f>IFERROR(SUMIF('Assemble Data'!K:K,'Assemble Data'!A897,'Assemble Data'!L:L),0)</f>
        <v>3600</v>
      </c>
      <c r="C896" s="13" t="str">
        <f>INDEX('Assemble Data'!$O$24:$O$1023,MATCH('Assemble Data'!A897,'Assemble Data'!$N$24:$N$1023,0))</f>
        <v>C3</v>
      </c>
      <c r="D896" s="13">
        <f>SUMIF('Assemble Data'!H:H,'Assemble Data'!A897,'Assemble Data'!I:I)</f>
        <v>5</v>
      </c>
      <c r="E896" s="13">
        <f>IFERROR(IF(AND('Assemble Data'!D897&lt;&gt;"",'Assemble Data'!D897&lt;&gt;B896),1,0),1)</f>
        <v>0</v>
      </c>
      <c r="F896" s="13">
        <f ca="1">IF('Assemble Data'!E897="",0,IF(ISERROR(FIND("INDEX",_xlfn.FORMULATEXT('Assemble Data'!E897),1)),1,0)+IFERROR(IF(AND('Assemble Data'!E897&lt;&gt;C896,'Assemble Data'!E897&lt;&gt;""),1,0),1))</f>
        <v>0</v>
      </c>
      <c r="G896" s="13">
        <f ca="1">IF('Assemble Data'!F897="",0,IF(ISERROR(FIND("VLOOKUP",_xlfn.FORMULATEXT('Assemble Data'!F897),1)),1,0)+IFERROR(IF(AND('Assemble Data'!F897&lt;&gt;D896,'Assemble Data'!F897&lt;&gt;""),1,0),1))</f>
        <v>0</v>
      </c>
      <c r="H896" s="13">
        <f t="shared" si="44"/>
        <v>3</v>
      </c>
      <c r="I896" t="str">
        <f t="shared" si="43"/>
        <v>C3P13</v>
      </c>
    </row>
    <row r="897" spans="1:9">
      <c r="A897" t="str">
        <f>'Assemble Data'!B898</f>
        <v>P11</v>
      </c>
      <c r="B897" s="13">
        <f>IFERROR(SUMIF('Assemble Data'!K:K,'Assemble Data'!A898,'Assemble Data'!L:L),0)</f>
        <v>8800</v>
      </c>
      <c r="C897" s="13" t="str">
        <f>INDEX('Assemble Data'!$O$24:$O$1023,MATCH('Assemble Data'!A898,'Assemble Data'!$N$24:$N$1023,0))</f>
        <v>C3</v>
      </c>
      <c r="D897" s="13">
        <f>SUMIF('Assemble Data'!H:H,'Assemble Data'!A898,'Assemble Data'!I:I)</f>
        <v>11</v>
      </c>
      <c r="E897" s="13">
        <f>IFERROR(IF(AND('Assemble Data'!D898&lt;&gt;"",'Assemble Data'!D898&lt;&gt;B897),1,0),1)</f>
        <v>0</v>
      </c>
      <c r="F897" s="13">
        <f ca="1">IF('Assemble Data'!E898="",0,IF(ISERROR(FIND("INDEX",_xlfn.FORMULATEXT('Assemble Data'!E898),1)),1,0)+IFERROR(IF(AND('Assemble Data'!E898&lt;&gt;C897,'Assemble Data'!E898&lt;&gt;""),1,0),1))</f>
        <v>0</v>
      </c>
      <c r="G897" s="13">
        <f ca="1">IF('Assemble Data'!F898="",0,IF(ISERROR(FIND("VLOOKUP",_xlfn.FORMULATEXT('Assemble Data'!F898),1)),1,0)+IFERROR(IF(AND('Assemble Data'!F898&lt;&gt;D897,'Assemble Data'!F898&lt;&gt;""),1,0),1))</f>
        <v>0</v>
      </c>
      <c r="H897" s="13">
        <f t="shared" si="44"/>
        <v>9</v>
      </c>
      <c r="I897" t="str">
        <f t="shared" si="43"/>
        <v>C3P11</v>
      </c>
    </row>
    <row r="898" spans="1:9">
      <c r="A898" t="str">
        <f>'Assemble Data'!B899</f>
        <v>P11</v>
      </c>
      <c r="B898" s="13">
        <f>IFERROR(SUMIF('Assemble Data'!K:K,'Assemble Data'!A899,'Assemble Data'!L:L),0)</f>
        <v>8800</v>
      </c>
      <c r="C898" s="13" t="str">
        <f>INDEX('Assemble Data'!$O$24:$O$1023,MATCH('Assemble Data'!A899,'Assemble Data'!$N$24:$N$1023,0))</f>
        <v>C3</v>
      </c>
      <c r="D898" s="13">
        <f>SUMIF('Assemble Data'!H:H,'Assemble Data'!A899,'Assemble Data'!I:I)</f>
        <v>11</v>
      </c>
      <c r="E898" s="13">
        <f>IFERROR(IF(AND('Assemble Data'!D899&lt;&gt;"",'Assemble Data'!D899&lt;&gt;B898),1,0),1)</f>
        <v>0</v>
      </c>
      <c r="F898" s="13">
        <f ca="1">IF('Assemble Data'!E899="",0,IF(ISERROR(FIND("INDEX",_xlfn.FORMULATEXT('Assemble Data'!E899),1)),1,0)+IFERROR(IF(AND('Assemble Data'!E899&lt;&gt;C898,'Assemble Data'!E899&lt;&gt;""),1,0),1))</f>
        <v>0</v>
      </c>
      <c r="G898" s="13">
        <f ca="1">IF('Assemble Data'!F899="",0,IF(ISERROR(FIND("VLOOKUP",_xlfn.FORMULATEXT('Assemble Data'!F899),1)),1,0)+IFERROR(IF(AND('Assemble Data'!F899&lt;&gt;D898,'Assemble Data'!F899&lt;&gt;""),1,0),1))</f>
        <v>0</v>
      </c>
      <c r="H898" s="13">
        <f t="shared" si="44"/>
        <v>9</v>
      </c>
      <c r="I898" t="str">
        <f t="shared" si="43"/>
        <v>C3P11</v>
      </c>
    </row>
    <row r="899" spans="1:9">
      <c r="A899" t="str">
        <f>'Assemble Data'!B900</f>
        <v>P12</v>
      </c>
      <c r="B899" s="13">
        <f>IFERROR(SUMIF('Assemble Data'!K:K,'Assemble Data'!A900,'Assemble Data'!L:L),0)</f>
        <v>5460</v>
      </c>
      <c r="C899" s="13" t="str">
        <f>INDEX('Assemble Data'!$O$24:$O$1023,MATCH('Assemble Data'!A900,'Assemble Data'!$N$24:$N$1023,0))</f>
        <v>C3</v>
      </c>
      <c r="D899" s="13">
        <f>SUMIF('Assemble Data'!H:H,'Assemble Data'!A900,'Assemble Data'!I:I)</f>
        <v>6.5</v>
      </c>
      <c r="E899" s="13">
        <f>IFERROR(IF(AND('Assemble Data'!D900&lt;&gt;"",'Assemble Data'!D900&lt;&gt;B899),1,0),1)</f>
        <v>0</v>
      </c>
      <c r="F899" s="13">
        <f ca="1">IF('Assemble Data'!E900="",0,IF(ISERROR(FIND("INDEX",_xlfn.FORMULATEXT('Assemble Data'!E900),1)),1,0)+IFERROR(IF(AND('Assemble Data'!E900&lt;&gt;C899,'Assemble Data'!E900&lt;&gt;""),1,0),1))</f>
        <v>0</v>
      </c>
      <c r="G899" s="13">
        <f ca="1">IF('Assemble Data'!F900="",0,IF(ISERROR(FIND("VLOOKUP",_xlfn.FORMULATEXT('Assemble Data'!F900),1)),1,0)+IFERROR(IF(AND('Assemble Data'!F900&lt;&gt;D899,'Assemble Data'!F900&lt;&gt;""),1,0),1))</f>
        <v>0</v>
      </c>
      <c r="H899" s="13">
        <f t="shared" si="44"/>
        <v>7</v>
      </c>
      <c r="I899" t="str">
        <f t="shared" si="43"/>
        <v>C3P12</v>
      </c>
    </row>
    <row r="900" spans="1:9">
      <c r="A900" t="str">
        <f>'Assemble Data'!B901</f>
        <v>P10</v>
      </c>
      <c r="B900" s="13">
        <f>IFERROR(SUMIF('Assemble Data'!K:K,'Assemble Data'!A901,'Assemble Data'!L:L),0)</f>
        <v>1920</v>
      </c>
      <c r="C900" s="13" t="str">
        <f>INDEX('Assemble Data'!$O$24:$O$1023,MATCH('Assemble Data'!A901,'Assemble Data'!$N$24:$N$1023,0))</f>
        <v>C3</v>
      </c>
      <c r="D900" s="13">
        <f>SUMIF('Assemble Data'!H:H,'Assemble Data'!A901,'Assemble Data'!I:I)</f>
        <v>3</v>
      </c>
      <c r="E900" s="13">
        <f>IFERROR(IF(AND('Assemble Data'!D901&lt;&gt;"",'Assemble Data'!D901&lt;&gt;B900),1,0),1)</f>
        <v>0</v>
      </c>
      <c r="F900" s="13">
        <f ca="1">IF('Assemble Data'!E901="",0,IF(ISERROR(FIND("INDEX",_xlfn.FORMULATEXT('Assemble Data'!E901),1)),1,0)+IFERROR(IF(AND('Assemble Data'!E901&lt;&gt;C900,'Assemble Data'!E901&lt;&gt;""),1,0),1))</f>
        <v>0</v>
      </c>
      <c r="G900" s="13">
        <f ca="1">IF('Assemble Data'!F901="",0,IF(ISERROR(FIND("VLOOKUP",_xlfn.FORMULATEXT('Assemble Data'!F901),1)),1,0)+IFERROR(IF(AND('Assemble Data'!F901&lt;&gt;D900,'Assemble Data'!F901&lt;&gt;""),1,0),1))</f>
        <v>0</v>
      </c>
      <c r="H900" s="13">
        <f t="shared" si="44"/>
        <v>8</v>
      </c>
      <c r="I900" t="str">
        <f t="shared" si="43"/>
        <v>C3P10</v>
      </c>
    </row>
    <row r="901" spans="1:9">
      <c r="A901" t="str">
        <f>'Assemble Data'!B902</f>
        <v>P10</v>
      </c>
      <c r="B901" s="13">
        <f>IFERROR(SUMIF('Assemble Data'!K:K,'Assemble Data'!A902,'Assemble Data'!L:L),0)</f>
        <v>1920</v>
      </c>
      <c r="C901" s="13" t="str">
        <f>INDEX('Assemble Data'!$O$24:$O$1023,MATCH('Assemble Data'!A902,'Assemble Data'!$N$24:$N$1023,0))</f>
        <v>C3</v>
      </c>
      <c r="D901" s="13">
        <f>SUMIF('Assemble Data'!H:H,'Assemble Data'!A902,'Assemble Data'!I:I)</f>
        <v>3</v>
      </c>
      <c r="E901" s="13">
        <f>IFERROR(IF(AND('Assemble Data'!D902&lt;&gt;"",'Assemble Data'!D902&lt;&gt;B901),1,0),1)</f>
        <v>0</v>
      </c>
      <c r="F901" s="13">
        <f ca="1">IF('Assemble Data'!E902="",0,IF(ISERROR(FIND("INDEX",_xlfn.FORMULATEXT('Assemble Data'!E902),1)),1,0)+IFERROR(IF(AND('Assemble Data'!E902&lt;&gt;C901,'Assemble Data'!E902&lt;&gt;""),1,0),1))</f>
        <v>0</v>
      </c>
      <c r="G901" s="13">
        <f ca="1">IF('Assemble Data'!F902="",0,IF(ISERROR(FIND("VLOOKUP",_xlfn.FORMULATEXT('Assemble Data'!F902),1)),1,0)+IFERROR(IF(AND('Assemble Data'!F902&lt;&gt;D901,'Assemble Data'!F902&lt;&gt;""),1,0),1))</f>
        <v>0</v>
      </c>
      <c r="H901" s="13">
        <f t="shared" si="44"/>
        <v>8</v>
      </c>
      <c r="I901" t="str">
        <f t="shared" si="43"/>
        <v>C3P10</v>
      </c>
    </row>
    <row r="902" spans="1:9">
      <c r="A902" t="str">
        <f>'Assemble Data'!B903</f>
        <v>P11</v>
      </c>
      <c r="B902" s="13">
        <f>IFERROR(SUMIF('Assemble Data'!K:K,'Assemble Data'!A903,'Assemble Data'!L:L),0)</f>
        <v>8800</v>
      </c>
      <c r="C902" s="13" t="str">
        <f>INDEX('Assemble Data'!$O$24:$O$1023,MATCH('Assemble Data'!A903,'Assemble Data'!$N$24:$N$1023,0))</f>
        <v>C3</v>
      </c>
      <c r="D902" s="13">
        <f>SUMIF('Assemble Data'!H:H,'Assemble Data'!A903,'Assemble Data'!I:I)</f>
        <v>11</v>
      </c>
      <c r="E902" s="13">
        <f>IFERROR(IF(AND('Assemble Data'!D903&lt;&gt;"",'Assemble Data'!D903&lt;&gt;B902),1,0),1)</f>
        <v>0</v>
      </c>
      <c r="F902" s="13">
        <f ca="1">IF('Assemble Data'!E903="",0,IF(ISERROR(FIND("INDEX",_xlfn.FORMULATEXT('Assemble Data'!E903),1)),1,0)+IFERROR(IF(AND('Assemble Data'!E903&lt;&gt;C902,'Assemble Data'!E903&lt;&gt;""),1,0),1))</f>
        <v>0</v>
      </c>
      <c r="G902" s="13">
        <f ca="1">IF('Assemble Data'!F903="",0,IF(ISERROR(FIND("VLOOKUP",_xlfn.FORMULATEXT('Assemble Data'!F903),1)),1,0)+IFERROR(IF(AND('Assemble Data'!F903&lt;&gt;D902,'Assemble Data'!F903&lt;&gt;""),1,0),1))</f>
        <v>0</v>
      </c>
      <c r="H902" s="13">
        <f t="shared" si="44"/>
        <v>9</v>
      </c>
      <c r="I902" t="str">
        <f t="shared" si="43"/>
        <v>C3P11</v>
      </c>
    </row>
    <row r="903" spans="1:9">
      <c r="A903" t="str">
        <f>'Assemble Data'!B904</f>
        <v>P18</v>
      </c>
      <c r="B903" s="13">
        <f>IFERROR(SUMIF('Assemble Data'!K:K,'Assemble Data'!A904,'Assemble Data'!L:L),0)</f>
        <v>4320</v>
      </c>
      <c r="C903" s="13" t="str">
        <f>INDEX('Assemble Data'!$O$24:$O$1023,MATCH('Assemble Data'!A904,'Assemble Data'!$N$24:$N$1023,0))</f>
        <v>O3</v>
      </c>
      <c r="D903" s="13">
        <f>SUMIF('Assemble Data'!H:H,'Assemble Data'!A904,'Assemble Data'!I:I)</f>
        <v>6</v>
      </c>
      <c r="E903" s="13">
        <f>IFERROR(IF(AND('Assemble Data'!D904&lt;&gt;"",'Assemble Data'!D904&lt;&gt;B903),1,0),1)</f>
        <v>0</v>
      </c>
      <c r="F903" s="13">
        <f ca="1">IF('Assemble Data'!E904="",0,IF(ISERROR(FIND("INDEX",_xlfn.FORMULATEXT('Assemble Data'!E904),1)),1,0)+IFERROR(IF(AND('Assemble Data'!E904&lt;&gt;C903,'Assemble Data'!E904&lt;&gt;""),1,0),1))</f>
        <v>0</v>
      </c>
      <c r="G903" s="13">
        <f ca="1">IF('Assemble Data'!F904="",0,IF(ISERROR(FIND("VLOOKUP",_xlfn.FORMULATEXT('Assemble Data'!F904),1)),1,0)+IFERROR(IF(AND('Assemble Data'!F904&lt;&gt;D903,'Assemble Data'!F904&lt;&gt;""),1,0),1))</f>
        <v>0</v>
      </c>
      <c r="H903" s="13">
        <f t="shared" si="44"/>
        <v>2</v>
      </c>
      <c r="I903" t="str">
        <f t="shared" si="43"/>
        <v>O3P18</v>
      </c>
    </row>
    <row r="904" spans="1:9">
      <c r="A904" t="str">
        <f>'Assemble Data'!B905</f>
        <v>P14</v>
      </c>
      <c r="B904" s="13">
        <f>IFERROR(SUMIF('Assemble Data'!K:K,'Assemble Data'!A905,'Assemble Data'!L:L),0)</f>
        <v>7200</v>
      </c>
      <c r="C904" s="13" t="str">
        <f>INDEX('Assemble Data'!$O$24:$O$1023,MATCH('Assemble Data'!A905,'Assemble Data'!$N$24:$N$1023,0))</f>
        <v>N3</v>
      </c>
      <c r="D904" s="13">
        <f>SUMIF('Assemble Data'!H:H,'Assemble Data'!A905,'Assemble Data'!I:I)</f>
        <v>8</v>
      </c>
      <c r="E904" s="13">
        <f>IFERROR(IF(AND('Assemble Data'!D905&lt;&gt;"",'Assemble Data'!D905&lt;&gt;B904),1,0),1)</f>
        <v>0</v>
      </c>
      <c r="F904" s="13">
        <f ca="1">IF('Assemble Data'!E905="",0,IF(ISERROR(FIND("INDEX",_xlfn.FORMULATEXT('Assemble Data'!E905),1)),1,0)+IFERROR(IF(AND('Assemble Data'!E905&lt;&gt;C904,'Assemble Data'!E905&lt;&gt;""),1,0),1))</f>
        <v>0</v>
      </c>
      <c r="G904" s="13">
        <f ca="1">IF('Assemble Data'!F905="",0,IF(ISERROR(FIND("VLOOKUP",_xlfn.FORMULATEXT('Assemble Data'!F905),1)),1,0)+IFERROR(IF(AND('Assemble Data'!F905&lt;&gt;D904,'Assemble Data'!F905&lt;&gt;""),1,0),1))</f>
        <v>0</v>
      </c>
      <c r="H904" s="13">
        <f t="shared" si="44"/>
        <v>5</v>
      </c>
      <c r="I904" t="str">
        <f t="shared" si="43"/>
        <v>N3P14</v>
      </c>
    </row>
    <row r="905" spans="1:9">
      <c r="A905" t="str">
        <f>'Assemble Data'!B906</f>
        <v>P10</v>
      </c>
      <c r="B905" s="13">
        <f>IFERROR(SUMIF('Assemble Data'!K:K,'Assemble Data'!A906,'Assemble Data'!L:L),0)</f>
        <v>1920</v>
      </c>
      <c r="C905" s="13" t="str">
        <f>INDEX('Assemble Data'!$O$24:$O$1023,MATCH('Assemble Data'!A906,'Assemble Data'!$N$24:$N$1023,0))</f>
        <v>C3</v>
      </c>
      <c r="D905" s="13">
        <f>SUMIF('Assemble Data'!H:H,'Assemble Data'!A906,'Assemble Data'!I:I)</f>
        <v>3</v>
      </c>
      <c r="E905" s="13">
        <f>IFERROR(IF(AND('Assemble Data'!D906&lt;&gt;"",'Assemble Data'!D906&lt;&gt;B905),1,0),1)</f>
        <v>0</v>
      </c>
      <c r="F905" s="13">
        <f ca="1">IF('Assemble Data'!E906="",0,IF(ISERROR(FIND("INDEX",_xlfn.FORMULATEXT('Assemble Data'!E906),1)),1,0)+IFERROR(IF(AND('Assemble Data'!E906&lt;&gt;C905,'Assemble Data'!E906&lt;&gt;""),1,0),1))</f>
        <v>0</v>
      </c>
      <c r="G905" s="13">
        <f ca="1">IF('Assemble Data'!F906="",0,IF(ISERROR(FIND("VLOOKUP",_xlfn.FORMULATEXT('Assemble Data'!F906),1)),1,0)+IFERROR(IF(AND('Assemble Data'!F906&lt;&gt;D905,'Assemble Data'!F906&lt;&gt;""),1,0),1))</f>
        <v>0</v>
      </c>
      <c r="H905" s="13">
        <f t="shared" si="44"/>
        <v>8</v>
      </c>
      <c r="I905" t="str">
        <f t="shared" si="43"/>
        <v>C3P10</v>
      </c>
    </row>
    <row r="906" spans="1:9">
      <c r="A906" t="str">
        <f>'Assemble Data'!B907</f>
        <v>P13</v>
      </c>
      <c r="B906" s="13">
        <f>IFERROR(SUMIF('Assemble Data'!K:K,'Assemble Data'!A907,'Assemble Data'!L:L),0)</f>
        <v>3600</v>
      </c>
      <c r="C906" s="13" t="str">
        <f>INDEX('Assemble Data'!$O$24:$O$1023,MATCH('Assemble Data'!A907,'Assemble Data'!$N$24:$N$1023,0))</f>
        <v>C3</v>
      </c>
      <c r="D906" s="13">
        <f>SUMIF('Assemble Data'!H:H,'Assemble Data'!A907,'Assemble Data'!I:I)</f>
        <v>5</v>
      </c>
      <c r="E906" s="13">
        <f>IFERROR(IF(AND('Assemble Data'!D907&lt;&gt;"",'Assemble Data'!D907&lt;&gt;B906),1,0),1)</f>
        <v>0</v>
      </c>
      <c r="F906" s="13">
        <f ca="1">IF('Assemble Data'!E907="",0,IF(ISERROR(FIND("INDEX",_xlfn.FORMULATEXT('Assemble Data'!E907),1)),1,0)+IFERROR(IF(AND('Assemble Data'!E907&lt;&gt;C906,'Assemble Data'!E907&lt;&gt;""),1,0),1))</f>
        <v>0</v>
      </c>
      <c r="G906" s="13">
        <f ca="1">IF('Assemble Data'!F907="",0,IF(ISERROR(FIND("VLOOKUP",_xlfn.FORMULATEXT('Assemble Data'!F907),1)),1,0)+IFERROR(IF(AND('Assemble Data'!F907&lt;&gt;D906,'Assemble Data'!F907&lt;&gt;""),1,0),1))</f>
        <v>0</v>
      </c>
      <c r="H906" s="13">
        <f t="shared" si="44"/>
        <v>3</v>
      </c>
      <c r="I906" t="str">
        <f t="shared" si="43"/>
        <v>C3P13</v>
      </c>
    </row>
    <row r="907" spans="1:9">
      <c r="A907" t="str">
        <f>'Assemble Data'!B908</f>
        <v>P13</v>
      </c>
      <c r="B907" s="13">
        <f>IFERROR(SUMIF('Assemble Data'!K:K,'Assemble Data'!A908,'Assemble Data'!L:L),0)</f>
        <v>3600</v>
      </c>
      <c r="C907" s="13" t="str">
        <f>INDEX('Assemble Data'!$O$24:$O$1023,MATCH('Assemble Data'!A908,'Assemble Data'!$N$24:$N$1023,0))</f>
        <v>C3</v>
      </c>
      <c r="D907" s="13">
        <f>SUMIF('Assemble Data'!H:H,'Assemble Data'!A908,'Assemble Data'!I:I)</f>
        <v>5</v>
      </c>
      <c r="E907" s="13">
        <f>IFERROR(IF(AND('Assemble Data'!D908&lt;&gt;"",'Assemble Data'!D908&lt;&gt;B907),1,0),1)</f>
        <v>0</v>
      </c>
      <c r="F907" s="13">
        <f ca="1">IF('Assemble Data'!E908="",0,IF(ISERROR(FIND("INDEX",_xlfn.FORMULATEXT('Assemble Data'!E908),1)),1,0)+IFERROR(IF(AND('Assemble Data'!E908&lt;&gt;C907,'Assemble Data'!E908&lt;&gt;""),1,0),1))</f>
        <v>0</v>
      </c>
      <c r="G907" s="13">
        <f ca="1">IF('Assemble Data'!F908="",0,IF(ISERROR(FIND("VLOOKUP",_xlfn.FORMULATEXT('Assemble Data'!F908),1)),1,0)+IFERROR(IF(AND('Assemble Data'!F908&lt;&gt;D907,'Assemble Data'!F908&lt;&gt;""),1,0),1))</f>
        <v>0</v>
      </c>
      <c r="H907" s="13">
        <f t="shared" si="44"/>
        <v>3</v>
      </c>
      <c r="I907" t="str">
        <f t="shared" si="43"/>
        <v>C3P13</v>
      </c>
    </row>
    <row r="908" spans="1:9">
      <c r="A908" t="str">
        <f>'Assemble Data'!B909</f>
        <v>P10</v>
      </c>
      <c r="B908" s="13">
        <f>IFERROR(SUMIF('Assemble Data'!K:K,'Assemble Data'!A909,'Assemble Data'!L:L),0)</f>
        <v>1920</v>
      </c>
      <c r="C908" s="13" t="str">
        <f>INDEX('Assemble Data'!$O$24:$O$1023,MATCH('Assemble Data'!A909,'Assemble Data'!$N$24:$N$1023,0))</f>
        <v>C3</v>
      </c>
      <c r="D908" s="13">
        <f>SUMIF('Assemble Data'!H:H,'Assemble Data'!A909,'Assemble Data'!I:I)</f>
        <v>3</v>
      </c>
      <c r="E908" s="13">
        <f>IFERROR(IF(AND('Assemble Data'!D909&lt;&gt;"",'Assemble Data'!D909&lt;&gt;B908),1,0),1)</f>
        <v>0</v>
      </c>
      <c r="F908" s="13">
        <f ca="1">IF('Assemble Data'!E909="",0,IF(ISERROR(FIND("INDEX",_xlfn.FORMULATEXT('Assemble Data'!E909),1)),1,0)+IFERROR(IF(AND('Assemble Data'!E909&lt;&gt;C908,'Assemble Data'!E909&lt;&gt;""),1,0),1))</f>
        <v>0</v>
      </c>
      <c r="G908" s="13">
        <f ca="1">IF('Assemble Data'!F909="",0,IF(ISERROR(FIND("VLOOKUP",_xlfn.FORMULATEXT('Assemble Data'!F909),1)),1,0)+IFERROR(IF(AND('Assemble Data'!F909&lt;&gt;D908,'Assemble Data'!F909&lt;&gt;""),1,0),1))</f>
        <v>0</v>
      </c>
      <c r="H908" s="13">
        <f t="shared" si="44"/>
        <v>8</v>
      </c>
      <c r="I908" t="str">
        <f t="shared" si="43"/>
        <v>C3P10</v>
      </c>
    </row>
    <row r="909" spans="1:9">
      <c r="A909" t="str">
        <f>'Assemble Data'!B910</f>
        <v>P11</v>
      </c>
      <c r="B909" s="13">
        <f>IFERROR(SUMIF('Assemble Data'!K:K,'Assemble Data'!A910,'Assemble Data'!L:L),0)</f>
        <v>8800</v>
      </c>
      <c r="C909" s="13" t="str">
        <f>INDEX('Assemble Data'!$O$24:$O$1023,MATCH('Assemble Data'!A910,'Assemble Data'!$N$24:$N$1023,0))</f>
        <v>C3</v>
      </c>
      <c r="D909" s="13">
        <f>SUMIF('Assemble Data'!H:H,'Assemble Data'!A910,'Assemble Data'!I:I)</f>
        <v>11</v>
      </c>
      <c r="E909" s="13">
        <f>IFERROR(IF(AND('Assemble Data'!D910&lt;&gt;"",'Assemble Data'!D910&lt;&gt;B909),1,0),1)</f>
        <v>0</v>
      </c>
      <c r="F909" s="13">
        <f ca="1">IF('Assemble Data'!E910="",0,IF(ISERROR(FIND("INDEX",_xlfn.FORMULATEXT('Assemble Data'!E910),1)),1,0)+IFERROR(IF(AND('Assemble Data'!E910&lt;&gt;C909,'Assemble Data'!E910&lt;&gt;""),1,0),1))</f>
        <v>0</v>
      </c>
      <c r="G909" s="13">
        <f ca="1">IF('Assemble Data'!F910="",0,IF(ISERROR(FIND("VLOOKUP",_xlfn.FORMULATEXT('Assemble Data'!F910),1)),1,0)+IFERROR(IF(AND('Assemble Data'!F910&lt;&gt;D909,'Assemble Data'!F910&lt;&gt;""),1,0),1))</f>
        <v>0</v>
      </c>
      <c r="H909" s="13">
        <f t="shared" si="44"/>
        <v>9</v>
      </c>
      <c r="I909" t="str">
        <f t="shared" si="43"/>
        <v>C3P11</v>
      </c>
    </row>
    <row r="910" spans="1:9">
      <c r="A910" t="str">
        <f>'Assemble Data'!B911</f>
        <v>P16</v>
      </c>
      <c r="B910" s="13">
        <f>IFERROR(SUMIF('Assemble Data'!K:K,'Assemble Data'!A911,'Assemble Data'!L:L),0)</f>
        <v>5200</v>
      </c>
      <c r="C910" s="13" t="str">
        <f>INDEX('Assemble Data'!$O$24:$O$1023,MATCH('Assemble Data'!A911,'Assemble Data'!$N$24:$N$1023,0))</f>
        <v>N3</v>
      </c>
      <c r="D910" s="13">
        <f>SUMIF('Assemble Data'!H:H,'Assemble Data'!A911,'Assemble Data'!I:I)</f>
        <v>4</v>
      </c>
      <c r="E910" s="13">
        <f>IFERROR(IF(AND('Assemble Data'!D911&lt;&gt;"",'Assemble Data'!D911&lt;&gt;B910),1,0),1)</f>
        <v>0</v>
      </c>
      <c r="F910" s="13">
        <f ca="1">IF('Assemble Data'!E911="",0,IF(ISERROR(FIND("INDEX",_xlfn.FORMULATEXT('Assemble Data'!E911),1)),1,0)+IFERROR(IF(AND('Assemble Data'!E911&lt;&gt;C910,'Assemble Data'!E911&lt;&gt;""),1,0),1))</f>
        <v>0</v>
      </c>
      <c r="G910" s="13">
        <f ca="1">IF('Assemble Data'!F911="",0,IF(ISERROR(FIND("VLOOKUP",_xlfn.FORMULATEXT('Assemble Data'!F911),1)),1,0)+IFERROR(IF(AND('Assemble Data'!F911&lt;&gt;D910,'Assemble Data'!F911&lt;&gt;""),1,0),1))</f>
        <v>0</v>
      </c>
      <c r="H910" s="13">
        <f t="shared" si="44"/>
        <v>0</v>
      </c>
      <c r="I910" t="str">
        <f t="shared" si="43"/>
        <v>N3P16</v>
      </c>
    </row>
    <row r="911" spans="1:9">
      <c r="A911" t="str">
        <f>'Assemble Data'!B912</f>
        <v>P17</v>
      </c>
      <c r="B911" s="13">
        <f>IFERROR(SUMIF('Assemble Data'!K:K,'Assemble Data'!A912,'Assemble Data'!L:L),0)</f>
        <v>9600</v>
      </c>
      <c r="C911" s="13" t="str">
        <f>INDEX('Assemble Data'!$O$24:$O$1023,MATCH('Assemble Data'!A912,'Assemble Data'!$N$24:$N$1023,0))</f>
        <v>O3</v>
      </c>
      <c r="D911" s="13">
        <f>SUMIF('Assemble Data'!H:H,'Assemble Data'!A912,'Assemble Data'!I:I)</f>
        <v>12</v>
      </c>
      <c r="E911" s="13">
        <f>IFERROR(IF(AND('Assemble Data'!D912&lt;&gt;"",'Assemble Data'!D912&lt;&gt;B911),1,0),1)</f>
        <v>0</v>
      </c>
      <c r="F911" s="13">
        <f ca="1">IF('Assemble Data'!E912="",0,IF(ISERROR(FIND("INDEX",_xlfn.FORMULATEXT('Assemble Data'!E912),1)),1,0)+IFERROR(IF(AND('Assemble Data'!E912&lt;&gt;C911,'Assemble Data'!E912&lt;&gt;""),1,0),1))</f>
        <v>0</v>
      </c>
      <c r="G911" s="13">
        <f ca="1">IF('Assemble Data'!F912="",0,IF(ISERROR(FIND("VLOOKUP",_xlfn.FORMULATEXT('Assemble Data'!F912),1)),1,0)+IFERROR(IF(AND('Assemble Data'!F912&lt;&gt;D911,'Assemble Data'!F912&lt;&gt;""),1,0),1))</f>
        <v>0</v>
      </c>
      <c r="H911" s="13">
        <f t="shared" si="44"/>
        <v>6</v>
      </c>
      <c r="I911" t="str">
        <f t="shared" si="43"/>
        <v>O3P17</v>
      </c>
    </row>
    <row r="912" spans="1:9">
      <c r="A912" t="str">
        <f>'Assemble Data'!B913</f>
        <v>P17</v>
      </c>
      <c r="B912" s="13">
        <f>IFERROR(SUMIF('Assemble Data'!K:K,'Assemble Data'!A913,'Assemble Data'!L:L),0)</f>
        <v>9600</v>
      </c>
      <c r="C912" s="13" t="str">
        <f>INDEX('Assemble Data'!$O$24:$O$1023,MATCH('Assemble Data'!A913,'Assemble Data'!$N$24:$N$1023,0))</f>
        <v>O3</v>
      </c>
      <c r="D912" s="13">
        <f>SUMIF('Assemble Data'!H:H,'Assemble Data'!A913,'Assemble Data'!I:I)</f>
        <v>12</v>
      </c>
      <c r="E912" s="13">
        <f>IFERROR(IF(AND('Assemble Data'!D913&lt;&gt;"",'Assemble Data'!D913&lt;&gt;B912),1,0),1)</f>
        <v>0</v>
      </c>
      <c r="F912" s="13">
        <f ca="1">IF('Assemble Data'!E913="",0,IF(ISERROR(FIND("INDEX",_xlfn.FORMULATEXT('Assemble Data'!E913),1)),1,0)+IFERROR(IF(AND('Assemble Data'!E913&lt;&gt;C912,'Assemble Data'!E913&lt;&gt;""),1,0),1))</f>
        <v>0</v>
      </c>
      <c r="G912" s="13">
        <f ca="1">IF('Assemble Data'!F913="",0,IF(ISERROR(FIND("VLOOKUP",_xlfn.FORMULATEXT('Assemble Data'!F913),1)),1,0)+IFERROR(IF(AND('Assemble Data'!F913&lt;&gt;D912,'Assemble Data'!F913&lt;&gt;""),1,0),1))</f>
        <v>0</v>
      </c>
      <c r="H912" s="13">
        <f t="shared" si="44"/>
        <v>6</v>
      </c>
      <c r="I912" t="str">
        <f t="shared" si="43"/>
        <v>O3P17</v>
      </c>
    </row>
    <row r="913" spans="1:9">
      <c r="A913" t="str">
        <f>'Assemble Data'!B914</f>
        <v>P13</v>
      </c>
      <c r="B913" s="13">
        <f>IFERROR(SUMIF('Assemble Data'!K:K,'Assemble Data'!A914,'Assemble Data'!L:L),0)</f>
        <v>3600</v>
      </c>
      <c r="C913" s="13" t="str">
        <f>INDEX('Assemble Data'!$O$24:$O$1023,MATCH('Assemble Data'!A914,'Assemble Data'!$N$24:$N$1023,0))</f>
        <v>C3</v>
      </c>
      <c r="D913" s="13">
        <f>SUMIF('Assemble Data'!H:H,'Assemble Data'!A914,'Assemble Data'!I:I)</f>
        <v>5</v>
      </c>
      <c r="E913" s="13">
        <f>IFERROR(IF(AND('Assemble Data'!D914&lt;&gt;"",'Assemble Data'!D914&lt;&gt;B913),1,0),1)</f>
        <v>0</v>
      </c>
      <c r="F913" s="13">
        <f ca="1">IF('Assemble Data'!E914="",0,IF(ISERROR(FIND("INDEX",_xlfn.FORMULATEXT('Assemble Data'!E914),1)),1,0)+IFERROR(IF(AND('Assemble Data'!E914&lt;&gt;C913,'Assemble Data'!E914&lt;&gt;""),1,0),1))</f>
        <v>0</v>
      </c>
      <c r="G913" s="13">
        <f ca="1">IF('Assemble Data'!F914="",0,IF(ISERROR(FIND("VLOOKUP",_xlfn.FORMULATEXT('Assemble Data'!F914),1)),1,0)+IFERROR(IF(AND('Assemble Data'!F914&lt;&gt;D913,'Assemble Data'!F914&lt;&gt;""),1,0),1))</f>
        <v>0</v>
      </c>
      <c r="H913" s="13">
        <f t="shared" si="44"/>
        <v>3</v>
      </c>
      <c r="I913" t="str">
        <f t="shared" si="43"/>
        <v>C3P13</v>
      </c>
    </row>
    <row r="914" spans="1:9">
      <c r="A914" t="str">
        <f>'Assemble Data'!B915</f>
        <v>P11</v>
      </c>
      <c r="B914" s="13">
        <f>IFERROR(SUMIF('Assemble Data'!K:K,'Assemble Data'!A915,'Assemble Data'!L:L),0)</f>
        <v>8800</v>
      </c>
      <c r="C914" s="13" t="str">
        <f>INDEX('Assemble Data'!$O$24:$O$1023,MATCH('Assemble Data'!A915,'Assemble Data'!$N$24:$N$1023,0))</f>
        <v>C3</v>
      </c>
      <c r="D914" s="13">
        <f>SUMIF('Assemble Data'!H:H,'Assemble Data'!A915,'Assemble Data'!I:I)</f>
        <v>11</v>
      </c>
      <c r="E914" s="13">
        <f>IFERROR(IF(AND('Assemble Data'!D915&lt;&gt;"",'Assemble Data'!D915&lt;&gt;B914),1,0),1)</f>
        <v>0</v>
      </c>
      <c r="F914" s="13">
        <f ca="1">IF('Assemble Data'!E915="",0,IF(ISERROR(FIND("INDEX",_xlfn.FORMULATEXT('Assemble Data'!E915),1)),1,0)+IFERROR(IF(AND('Assemble Data'!E915&lt;&gt;C914,'Assemble Data'!E915&lt;&gt;""),1,0),1))</f>
        <v>0</v>
      </c>
      <c r="G914" s="13">
        <f ca="1">IF('Assemble Data'!F915="",0,IF(ISERROR(FIND("VLOOKUP",_xlfn.FORMULATEXT('Assemble Data'!F915),1)),1,0)+IFERROR(IF(AND('Assemble Data'!F915&lt;&gt;D914,'Assemble Data'!F915&lt;&gt;""),1,0),1))</f>
        <v>0</v>
      </c>
      <c r="H914" s="13">
        <f t="shared" si="44"/>
        <v>9</v>
      </c>
      <c r="I914" t="str">
        <f t="shared" si="43"/>
        <v>C3P11</v>
      </c>
    </row>
    <row r="915" spans="1:9">
      <c r="A915" t="str">
        <f>'Assemble Data'!B916</f>
        <v>P11</v>
      </c>
      <c r="B915" s="13">
        <f>IFERROR(SUMIF('Assemble Data'!K:K,'Assemble Data'!A916,'Assemble Data'!L:L),0)</f>
        <v>8800</v>
      </c>
      <c r="C915" s="13" t="str">
        <f>INDEX('Assemble Data'!$O$24:$O$1023,MATCH('Assemble Data'!A916,'Assemble Data'!$N$24:$N$1023,0))</f>
        <v>C3</v>
      </c>
      <c r="D915" s="13">
        <f>SUMIF('Assemble Data'!H:H,'Assemble Data'!A916,'Assemble Data'!I:I)</f>
        <v>11</v>
      </c>
      <c r="E915" s="13">
        <f>IFERROR(IF(AND('Assemble Data'!D916&lt;&gt;"",'Assemble Data'!D916&lt;&gt;B915),1,0),1)</f>
        <v>0</v>
      </c>
      <c r="F915" s="13">
        <f ca="1">IF('Assemble Data'!E916="",0,IF(ISERROR(FIND("INDEX",_xlfn.FORMULATEXT('Assemble Data'!E916),1)),1,0)+IFERROR(IF(AND('Assemble Data'!E916&lt;&gt;C915,'Assemble Data'!E916&lt;&gt;""),1,0),1))</f>
        <v>0</v>
      </c>
      <c r="G915" s="13">
        <f ca="1">IF('Assemble Data'!F916="",0,IF(ISERROR(FIND("VLOOKUP",_xlfn.FORMULATEXT('Assemble Data'!F916),1)),1,0)+IFERROR(IF(AND('Assemble Data'!F916&lt;&gt;D915,'Assemble Data'!F916&lt;&gt;""),1,0),1))</f>
        <v>0</v>
      </c>
      <c r="H915" s="13">
        <f t="shared" si="44"/>
        <v>9</v>
      </c>
      <c r="I915" t="str">
        <f t="shared" si="43"/>
        <v>C3P11</v>
      </c>
    </row>
    <row r="916" spans="1:9">
      <c r="A916" t="str">
        <f>'Assemble Data'!B917</f>
        <v>P12</v>
      </c>
      <c r="B916" s="13">
        <f>IFERROR(SUMIF('Assemble Data'!K:K,'Assemble Data'!A917,'Assemble Data'!L:L),0)</f>
        <v>10920</v>
      </c>
      <c r="C916" s="13" t="str">
        <f>INDEX('Assemble Data'!$O$24:$O$1023,MATCH('Assemble Data'!A917,'Assemble Data'!$N$24:$N$1023,0))</f>
        <v>C3</v>
      </c>
      <c r="D916" s="13">
        <f>SUMIF('Assemble Data'!H:H,'Assemble Data'!A917,'Assemble Data'!I:I)</f>
        <v>6.5</v>
      </c>
      <c r="E916" s="13">
        <f>IFERROR(IF(AND('Assemble Data'!D917&lt;&gt;"",'Assemble Data'!D917&lt;&gt;B916),1,0),1)</f>
        <v>0</v>
      </c>
      <c r="F916" s="13">
        <f ca="1">IF('Assemble Data'!E917="",0,IF(ISERROR(FIND("INDEX",_xlfn.FORMULATEXT('Assemble Data'!E917),1)),1,0)+IFERROR(IF(AND('Assemble Data'!E917&lt;&gt;C916,'Assemble Data'!E917&lt;&gt;""),1,0),1))</f>
        <v>0</v>
      </c>
      <c r="G916" s="13">
        <f ca="1">IF('Assemble Data'!F917="",0,IF(ISERROR(FIND("VLOOKUP",_xlfn.FORMULATEXT('Assemble Data'!F917),1)),1,0)+IFERROR(IF(AND('Assemble Data'!F917&lt;&gt;D916,'Assemble Data'!F917&lt;&gt;""),1,0),1))</f>
        <v>0</v>
      </c>
      <c r="H916" s="13">
        <f t="shared" si="44"/>
        <v>7</v>
      </c>
      <c r="I916" t="str">
        <f t="shared" si="43"/>
        <v>C3P12</v>
      </c>
    </row>
    <row r="917" spans="1:9">
      <c r="A917" t="str">
        <f>'Assemble Data'!B918</f>
        <v>P10</v>
      </c>
      <c r="B917" s="13">
        <f>IFERROR(SUMIF('Assemble Data'!K:K,'Assemble Data'!A918,'Assemble Data'!L:L),0)</f>
        <v>1920</v>
      </c>
      <c r="C917" s="13" t="str">
        <f>INDEX('Assemble Data'!$O$24:$O$1023,MATCH('Assemble Data'!A918,'Assemble Data'!$N$24:$N$1023,0))</f>
        <v>C3</v>
      </c>
      <c r="D917" s="13">
        <f>SUMIF('Assemble Data'!H:H,'Assemble Data'!A918,'Assemble Data'!I:I)</f>
        <v>3</v>
      </c>
      <c r="E917" s="13">
        <f>IFERROR(IF(AND('Assemble Data'!D918&lt;&gt;"",'Assemble Data'!D918&lt;&gt;B917),1,0),1)</f>
        <v>0</v>
      </c>
      <c r="F917" s="13">
        <f ca="1">IF('Assemble Data'!E918="",0,IF(ISERROR(FIND("INDEX",_xlfn.FORMULATEXT('Assemble Data'!E918),1)),1,0)+IFERROR(IF(AND('Assemble Data'!E918&lt;&gt;C917,'Assemble Data'!E918&lt;&gt;""),1,0),1))</f>
        <v>0</v>
      </c>
      <c r="G917" s="13">
        <f ca="1">IF('Assemble Data'!F918="",0,IF(ISERROR(FIND("VLOOKUP",_xlfn.FORMULATEXT('Assemble Data'!F918),1)),1,0)+IFERROR(IF(AND('Assemble Data'!F918&lt;&gt;D917,'Assemble Data'!F918&lt;&gt;""),1,0),1))</f>
        <v>0</v>
      </c>
      <c r="H917" s="13">
        <f t="shared" si="44"/>
        <v>8</v>
      </c>
      <c r="I917" t="str">
        <f t="shared" si="43"/>
        <v>C3P10</v>
      </c>
    </row>
    <row r="918" spans="1:9">
      <c r="A918" t="str">
        <f>'Assemble Data'!B919</f>
        <v>P10</v>
      </c>
      <c r="B918" s="13">
        <f>IFERROR(SUMIF('Assemble Data'!K:K,'Assemble Data'!A919,'Assemble Data'!L:L),0)</f>
        <v>1920</v>
      </c>
      <c r="C918" s="13" t="str">
        <f>INDEX('Assemble Data'!$O$24:$O$1023,MATCH('Assemble Data'!A919,'Assemble Data'!$N$24:$N$1023,0))</f>
        <v>C3</v>
      </c>
      <c r="D918" s="13">
        <f>SUMIF('Assemble Data'!H:H,'Assemble Data'!A919,'Assemble Data'!I:I)</f>
        <v>3</v>
      </c>
      <c r="E918" s="13">
        <f>IFERROR(IF(AND('Assemble Data'!D919&lt;&gt;"",'Assemble Data'!D919&lt;&gt;B918),1,0),1)</f>
        <v>0</v>
      </c>
      <c r="F918" s="13">
        <f ca="1">IF('Assemble Data'!E919="",0,IF(ISERROR(FIND("INDEX",_xlfn.FORMULATEXT('Assemble Data'!E919),1)),1,0)+IFERROR(IF(AND('Assemble Data'!E919&lt;&gt;C918,'Assemble Data'!E919&lt;&gt;""),1,0),1))</f>
        <v>0</v>
      </c>
      <c r="G918" s="13">
        <f ca="1">IF('Assemble Data'!F919="",0,IF(ISERROR(FIND("VLOOKUP",_xlfn.FORMULATEXT('Assemble Data'!F919),1)),1,0)+IFERROR(IF(AND('Assemble Data'!F919&lt;&gt;D918,'Assemble Data'!F919&lt;&gt;""),1,0),1))</f>
        <v>0</v>
      </c>
      <c r="H918" s="13">
        <f t="shared" si="44"/>
        <v>8</v>
      </c>
      <c r="I918" t="str">
        <f t="shared" si="43"/>
        <v>C3P10</v>
      </c>
    </row>
    <row r="919" spans="1:9">
      <c r="A919" t="str">
        <f>'Assemble Data'!B920</f>
        <v>P11</v>
      </c>
      <c r="B919" s="13">
        <f>IFERROR(SUMIF('Assemble Data'!K:K,'Assemble Data'!A920,'Assemble Data'!L:L),0)</f>
        <v>8800</v>
      </c>
      <c r="C919" s="13" t="str">
        <f>INDEX('Assemble Data'!$O$24:$O$1023,MATCH('Assemble Data'!A920,'Assemble Data'!$N$24:$N$1023,0))</f>
        <v>C3</v>
      </c>
      <c r="D919" s="13">
        <f>SUMIF('Assemble Data'!H:H,'Assemble Data'!A920,'Assemble Data'!I:I)</f>
        <v>11</v>
      </c>
      <c r="E919" s="13">
        <f>IFERROR(IF(AND('Assemble Data'!D920&lt;&gt;"",'Assemble Data'!D920&lt;&gt;B919),1,0),1)</f>
        <v>0</v>
      </c>
      <c r="F919" s="13">
        <f ca="1">IF('Assemble Data'!E920="",0,IF(ISERROR(FIND("INDEX",_xlfn.FORMULATEXT('Assemble Data'!E920),1)),1,0)+IFERROR(IF(AND('Assemble Data'!E920&lt;&gt;C919,'Assemble Data'!E920&lt;&gt;""),1,0),1))</f>
        <v>0</v>
      </c>
      <c r="G919" s="13">
        <f ca="1">IF('Assemble Data'!F920="",0,IF(ISERROR(FIND("VLOOKUP",_xlfn.FORMULATEXT('Assemble Data'!F920),1)),1,0)+IFERROR(IF(AND('Assemble Data'!F920&lt;&gt;D919,'Assemble Data'!F920&lt;&gt;""),1,0),1))</f>
        <v>0</v>
      </c>
      <c r="H919" s="13">
        <f t="shared" si="44"/>
        <v>9</v>
      </c>
      <c r="I919" t="str">
        <f t="shared" si="43"/>
        <v>C3P11</v>
      </c>
    </row>
    <row r="920" spans="1:9">
      <c r="A920" t="str">
        <f>'Assemble Data'!B921</f>
        <v>P18</v>
      </c>
      <c r="B920" s="13">
        <f>IFERROR(SUMIF('Assemble Data'!K:K,'Assemble Data'!A921,'Assemble Data'!L:L),0)</f>
        <v>4320</v>
      </c>
      <c r="C920" s="13" t="str">
        <f>INDEX('Assemble Data'!$O$24:$O$1023,MATCH('Assemble Data'!A921,'Assemble Data'!$N$24:$N$1023,0))</f>
        <v>O3</v>
      </c>
      <c r="D920" s="13">
        <f>SUMIF('Assemble Data'!H:H,'Assemble Data'!A921,'Assemble Data'!I:I)</f>
        <v>6</v>
      </c>
      <c r="E920" s="13">
        <f>IFERROR(IF(AND('Assemble Data'!D921&lt;&gt;"",'Assemble Data'!D921&lt;&gt;B920),1,0),1)</f>
        <v>0</v>
      </c>
      <c r="F920" s="13">
        <f ca="1">IF('Assemble Data'!E921="",0,IF(ISERROR(FIND("INDEX",_xlfn.FORMULATEXT('Assemble Data'!E921),1)),1,0)+IFERROR(IF(AND('Assemble Data'!E921&lt;&gt;C920,'Assemble Data'!E921&lt;&gt;""),1,0),1))</f>
        <v>0</v>
      </c>
      <c r="G920" s="13">
        <f ca="1">IF('Assemble Data'!F921="",0,IF(ISERROR(FIND("VLOOKUP",_xlfn.FORMULATEXT('Assemble Data'!F921),1)),1,0)+IFERROR(IF(AND('Assemble Data'!F921&lt;&gt;D920,'Assemble Data'!F921&lt;&gt;""),1,0),1))</f>
        <v>0</v>
      </c>
      <c r="H920" s="13">
        <f t="shared" si="44"/>
        <v>2</v>
      </c>
      <c r="I920" t="str">
        <f t="shared" ref="I920:I983" si="45">C920&amp;A920</f>
        <v>O3P18</v>
      </c>
    </row>
    <row r="921" spans="1:9">
      <c r="A921" t="str">
        <f>'Assemble Data'!B922</f>
        <v>P14</v>
      </c>
      <c r="B921" s="13">
        <f>IFERROR(SUMIF('Assemble Data'!K:K,'Assemble Data'!A922,'Assemble Data'!L:L),0)</f>
        <v>7200</v>
      </c>
      <c r="C921" s="13" t="str">
        <f>INDEX('Assemble Data'!$O$24:$O$1023,MATCH('Assemble Data'!A922,'Assemble Data'!$N$24:$N$1023,0))</f>
        <v>N3</v>
      </c>
      <c r="D921" s="13">
        <f>SUMIF('Assemble Data'!H:H,'Assemble Data'!A922,'Assemble Data'!I:I)</f>
        <v>8</v>
      </c>
      <c r="E921" s="13">
        <f>IFERROR(IF(AND('Assemble Data'!D922&lt;&gt;"",'Assemble Data'!D922&lt;&gt;B921),1,0),1)</f>
        <v>0</v>
      </c>
      <c r="F921" s="13">
        <f ca="1">IF('Assemble Data'!E922="",0,IF(ISERROR(FIND("INDEX",_xlfn.FORMULATEXT('Assemble Data'!E922),1)),1,0)+IFERROR(IF(AND('Assemble Data'!E922&lt;&gt;C921,'Assemble Data'!E922&lt;&gt;""),1,0),1))</f>
        <v>0</v>
      </c>
      <c r="G921" s="13">
        <f ca="1">IF('Assemble Data'!F922="",0,IF(ISERROR(FIND("VLOOKUP",_xlfn.FORMULATEXT('Assemble Data'!F922),1)),1,0)+IFERROR(IF(AND('Assemble Data'!F922&lt;&gt;D921,'Assemble Data'!F922&lt;&gt;""),1,0),1))</f>
        <v>0</v>
      </c>
      <c r="H921" s="13">
        <f t="shared" si="44"/>
        <v>5</v>
      </c>
      <c r="I921" t="str">
        <f t="shared" si="45"/>
        <v>N3P14</v>
      </c>
    </row>
    <row r="922" spans="1:9">
      <c r="A922" t="str">
        <f>'Assemble Data'!B923</f>
        <v>P10</v>
      </c>
      <c r="B922" s="13">
        <f>IFERROR(SUMIF('Assemble Data'!K:K,'Assemble Data'!A923,'Assemble Data'!L:L),0)</f>
        <v>2880</v>
      </c>
      <c r="C922" s="13" t="str">
        <f>INDEX('Assemble Data'!$O$24:$O$1023,MATCH('Assemble Data'!A923,'Assemble Data'!$N$24:$N$1023,0))</f>
        <v>C1</v>
      </c>
      <c r="D922" s="13">
        <f>SUMIF('Assemble Data'!H:H,'Assemble Data'!A923,'Assemble Data'!I:I)</f>
        <v>3</v>
      </c>
      <c r="E922" s="13">
        <f>IFERROR(IF(AND('Assemble Data'!D923&lt;&gt;"",'Assemble Data'!D923&lt;&gt;B922),1,0),1)</f>
        <v>0</v>
      </c>
      <c r="F922" s="13">
        <f ca="1">IF('Assemble Data'!E923="",0,IF(ISERROR(FIND("INDEX",_xlfn.FORMULATEXT('Assemble Data'!E923),1)),1,0)+IFERROR(IF(AND('Assemble Data'!E923&lt;&gt;C922,'Assemble Data'!E923&lt;&gt;""),1,0),1))</f>
        <v>0</v>
      </c>
      <c r="G922" s="13">
        <f ca="1">IF('Assemble Data'!F923="",0,IF(ISERROR(FIND("VLOOKUP",_xlfn.FORMULATEXT('Assemble Data'!F923),1)),1,0)+IFERROR(IF(AND('Assemble Data'!F923&lt;&gt;D922,'Assemble Data'!F923&lt;&gt;""),1,0),1))</f>
        <v>0</v>
      </c>
      <c r="H922" s="13">
        <f t="shared" si="44"/>
        <v>8</v>
      </c>
      <c r="I922" t="str">
        <f t="shared" si="45"/>
        <v>C1P10</v>
      </c>
    </row>
    <row r="923" spans="1:9">
      <c r="A923" t="str">
        <f>'Assemble Data'!B924</f>
        <v>P13</v>
      </c>
      <c r="B923" s="13">
        <f>IFERROR(SUMIF('Assemble Data'!K:K,'Assemble Data'!A924,'Assemble Data'!L:L),0)</f>
        <v>5400</v>
      </c>
      <c r="C923" s="13" t="str">
        <f>INDEX('Assemble Data'!$O$24:$O$1023,MATCH('Assemble Data'!A924,'Assemble Data'!$N$24:$N$1023,0))</f>
        <v>C1</v>
      </c>
      <c r="D923" s="13">
        <f>SUMIF('Assemble Data'!H:H,'Assemble Data'!A924,'Assemble Data'!I:I)</f>
        <v>5</v>
      </c>
      <c r="E923" s="13">
        <f>IFERROR(IF(AND('Assemble Data'!D924&lt;&gt;"",'Assemble Data'!D924&lt;&gt;B923),1,0),1)</f>
        <v>0</v>
      </c>
      <c r="F923" s="13">
        <f ca="1">IF('Assemble Data'!E924="",0,IF(ISERROR(FIND("INDEX",_xlfn.FORMULATEXT('Assemble Data'!E924),1)),1,0)+IFERROR(IF(AND('Assemble Data'!E924&lt;&gt;C923,'Assemble Data'!E924&lt;&gt;""),1,0),1))</f>
        <v>0</v>
      </c>
      <c r="G923" s="13">
        <f ca="1">IF('Assemble Data'!F924="",0,IF(ISERROR(FIND("VLOOKUP",_xlfn.FORMULATEXT('Assemble Data'!F924),1)),1,0)+IFERROR(IF(AND('Assemble Data'!F924&lt;&gt;D923,'Assemble Data'!F924&lt;&gt;""),1,0),1))</f>
        <v>0</v>
      </c>
      <c r="H923" s="13">
        <f t="shared" si="44"/>
        <v>3</v>
      </c>
      <c r="I923" t="str">
        <f t="shared" si="45"/>
        <v>C1P13</v>
      </c>
    </row>
    <row r="924" spans="1:9">
      <c r="A924" t="str">
        <f>'Assemble Data'!B925</f>
        <v>P13</v>
      </c>
      <c r="B924" s="13">
        <f>IFERROR(SUMIF('Assemble Data'!K:K,'Assemble Data'!A925,'Assemble Data'!L:L),0)</f>
        <v>5400</v>
      </c>
      <c r="C924" s="13" t="str">
        <f>INDEX('Assemble Data'!$O$24:$O$1023,MATCH('Assemble Data'!A925,'Assemble Data'!$N$24:$N$1023,0))</f>
        <v>C1</v>
      </c>
      <c r="D924" s="13">
        <f>SUMIF('Assemble Data'!H:H,'Assemble Data'!A925,'Assemble Data'!I:I)</f>
        <v>5</v>
      </c>
      <c r="E924" s="13">
        <f>IFERROR(IF(AND('Assemble Data'!D925&lt;&gt;"",'Assemble Data'!D925&lt;&gt;B924),1,0),1)</f>
        <v>0</v>
      </c>
      <c r="F924" s="13">
        <f ca="1">IF('Assemble Data'!E925="",0,IF(ISERROR(FIND("INDEX",_xlfn.FORMULATEXT('Assemble Data'!E925),1)),1,0)+IFERROR(IF(AND('Assemble Data'!E925&lt;&gt;C924,'Assemble Data'!E925&lt;&gt;""),1,0),1))</f>
        <v>0</v>
      </c>
      <c r="G924" s="13">
        <f ca="1">IF('Assemble Data'!F925="",0,IF(ISERROR(FIND("VLOOKUP",_xlfn.FORMULATEXT('Assemble Data'!F925),1)),1,0)+IFERROR(IF(AND('Assemble Data'!F925&lt;&gt;D924,'Assemble Data'!F925&lt;&gt;""),1,0),1))</f>
        <v>0</v>
      </c>
      <c r="H924" s="13">
        <f t="shared" si="44"/>
        <v>3</v>
      </c>
      <c r="I924" t="str">
        <f t="shared" si="45"/>
        <v>C1P13</v>
      </c>
    </row>
    <row r="925" spans="1:9">
      <c r="A925" t="str">
        <f>'Assemble Data'!B926</f>
        <v>P10</v>
      </c>
      <c r="B925" s="13">
        <f>IFERROR(SUMIF('Assemble Data'!K:K,'Assemble Data'!A926,'Assemble Data'!L:L),0)</f>
        <v>2880</v>
      </c>
      <c r="C925" s="13" t="str">
        <f>INDEX('Assemble Data'!$O$24:$O$1023,MATCH('Assemble Data'!A926,'Assemble Data'!$N$24:$N$1023,0))</f>
        <v>C1</v>
      </c>
      <c r="D925" s="13">
        <f>SUMIF('Assemble Data'!H:H,'Assemble Data'!A926,'Assemble Data'!I:I)</f>
        <v>3</v>
      </c>
      <c r="E925" s="13">
        <f>IFERROR(IF(AND('Assemble Data'!D926&lt;&gt;"",'Assemble Data'!D926&lt;&gt;B925),1,0),1)</f>
        <v>0</v>
      </c>
      <c r="F925" s="13">
        <f ca="1">IF('Assemble Data'!E926="",0,IF(ISERROR(FIND("INDEX",_xlfn.FORMULATEXT('Assemble Data'!E926),1)),1,0)+IFERROR(IF(AND('Assemble Data'!E926&lt;&gt;C925,'Assemble Data'!E926&lt;&gt;""),1,0),1))</f>
        <v>0</v>
      </c>
      <c r="G925" s="13">
        <f ca="1">IF('Assemble Data'!F926="",0,IF(ISERROR(FIND("VLOOKUP",_xlfn.FORMULATEXT('Assemble Data'!F926),1)),1,0)+IFERROR(IF(AND('Assemble Data'!F926&lt;&gt;D925,'Assemble Data'!F926&lt;&gt;""),1,0),1))</f>
        <v>0</v>
      </c>
      <c r="H925" s="13">
        <f t="shared" si="44"/>
        <v>8</v>
      </c>
      <c r="I925" t="str">
        <f t="shared" si="45"/>
        <v>C1P10</v>
      </c>
    </row>
    <row r="926" spans="1:9">
      <c r="A926" t="str">
        <f>'Assemble Data'!B927</f>
        <v>P11</v>
      </c>
      <c r="B926" s="13">
        <f>IFERROR(SUMIF('Assemble Data'!K:K,'Assemble Data'!A927,'Assemble Data'!L:L),0)</f>
        <v>13200</v>
      </c>
      <c r="C926" s="13" t="str">
        <f>INDEX('Assemble Data'!$O$24:$O$1023,MATCH('Assemble Data'!A927,'Assemble Data'!$N$24:$N$1023,0))</f>
        <v>C1</v>
      </c>
      <c r="D926" s="13">
        <f>SUMIF('Assemble Data'!H:H,'Assemble Data'!A927,'Assemble Data'!I:I)</f>
        <v>11</v>
      </c>
      <c r="E926" s="13">
        <f>IFERROR(IF(AND('Assemble Data'!D927&lt;&gt;"",'Assemble Data'!D927&lt;&gt;B926),1,0),1)</f>
        <v>0</v>
      </c>
      <c r="F926" s="13">
        <f ca="1">IF('Assemble Data'!E927="",0,IF(ISERROR(FIND("INDEX",_xlfn.FORMULATEXT('Assemble Data'!E927),1)),1,0)+IFERROR(IF(AND('Assemble Data'!E927&lt;&gt;C926,'Assemble Data'!E927&lt;&gt;""),1,0),1))</f>
        <v>0</v>
      </c>
      <c r="G926" s="13">
        <f ca="1">IF('Assemble Data'!F927="",0,IF(ISERROR(FIND("VLOOKUP",_xlfn.FORMULATEXT('Assemble Data'!F927),1)),1,0)+IFERROR(IF(AND('Assemble Data'!F927&lt;&gt;D926,'Assemble Data'!F927&lt;&gt;""),1,0),1))</f>
        <v>0</v>
      </c>
      <c r="H926" s="13">
        <f t="shared" si="44"/>
        <v>9</v>
      </c>
      <c r="I926" t="str">
        <f t="shared" si="45"/>
        <v>C1P11</v>
      </c>
    </row>
    <row r="927" spans="1:9">
      <c r="A927" t="str">
        <f>'Assemble Data'!B928</f>
        <v>P16</v>
      </c>
      <c r="B927" s="13">
        <f>IFERROR(SUMIF('Assemble Data'!K:K,'Assemble Data'!A928,'Assemble Data'!L:L),0)</f>
        <v>7279.9999999999991</v>
      </c>
      <c r="C927" s="13" t="str">
        <f>INDEX('Assemble Data'!$O$24:$O$1023,MATCH('Assemble Data'!A928,'Assemble Data'!$N$24:$N$1023,0))</f>
        <v>N1</v>
      </c>
      <c r="D927" s="13">
        <f>SUMIF('Assemble Data'!H:H,'Assemble Data'!A928,'Assemble Data'!I:I)</f>
        <v>4</v>
      </c>
      <c r="E927" s="13">
        <f>IFERROR(IF(AND('Assemble Data'!D928&lt;&gt;"",'Assemble Data'!D928&lt;&gt;B927),1,0),1)</f>
        <v>0</v>
      </c>
      <c r="F927" s="13">
        <f ca="1">IF('Assemble Data'!E928="",0,IF(ISERROR(FIND("INDEX",_xlfn.FORMULATEXT('Assemble Data'!E928),1)),1,0)+IFERROR(IF(AND('Assemble Data'!E928&lt;&gt;C927,'Assemble Data'!E928&lt;&gt;""),1,0),1))</f>
        <v>0</v>
      </c>
      <c r="G927" s="13">
        <f ca="1">IF('Assemble Data'!F928="",0,IF(ISERROR(FIND("VLOOKUP",_xlfn.FORMULATEXT('Assemble Data'!F928),1)),1,0)+IFERROR(IF(AND('Assemble Data'!F928&lt;&gt;D927,'Assemble Data'!F928&lt;&gt;""),1,0),1))</f>
        <v>0</v>
      </c>
      <c r="H927" s="13">
        <f t="shared" si="44"/>
        <v>0</v>
      </c>
      <c r="I927" t="str">
        <f t="shared" si="45"/>
        <v>N1P16</v>
      </c>
    </row>
    <row r="928" spans="1:9">
      <c r="A928" t="str">
        <f>'Assemble Data'!B929</f>
        <v>P17</v>
      </c>
      <c r="B928" s="13">
        <f>IFERROR(SUMIF('Assemble Data'!K:K,'Assemble Data'!A929,'Assemble Data'!L:L),0)</f>
        <v>10800</v>
      </c>
      <c r="C928" s="13" t="str">
        <f>INDEX('Assemble Data'!$O$24:$O$1023,MATCH('Assemble Data'!A929,'Assemble Data'!$N$24:$N$1023,0))</f>
        <v>O1</v>
      </c>
      <c r="D928" s="13">
        <f>SUMIF('Assemble Data'!H:H,'Assemble Data'!A929,'Assemble Data'!I:I)</f>
        <v>12</v>
      </c>
      <c r="E928" s="13">
        <f>IFERROR(IF(AND('Assemble Data'!D929&lt;&gt;"",'Assemble Data'!D929&lt;&gt;B928),1,0),1)</f>
        <v>0</v>
      </c>
      <c r="F928" s="13">
        <f ca="1">IF('Assemble Data'!E929="",0,IF(ISERROR(FIND("INDEX",_xlfn.FORMULATEXT('Assemble Data'!E929),1)),1,0)+IFERROR(IF(AND('Assemble Data'!E929&lt;&gt;C928,'Assemble Data'!E929&lt;&gt;""),1,0),1))</f>
        <v>0</v>
      </c>
      <c r="G928" s="13">
        <f ca="1">IF('Assemble Data'!F929="",0,IF(ISERROR(FIND("VLOOKUP",_xlfn.FORMULATEXT('Assemble Data'!F929),1)),1,0)+IFERROR(IF(AND('Assemble Data'!F929&lt;&gt;D928,'Assemble Data'!F929&lt;&gt;""),1,0),1))</f>
        <v>0</v>
      </c>
      <c r="H928" s="13">
        <f t="shared" si="44"/>
        <v>6</v>
      </c>
      <c r="I928" t="str">
        <f t="shared" si="45"/>
        <v>O1P17</v>
      </c>
    </row>
    <row r="929" spans="1:9">
      <c r="A929" t="str">
        <f>'Assemble Data'!B930</f>
        <v>P17</v>
      </c>
      <c r="B929" s="13">
        <f>IFERROR(SUMIF('Assemble Data'!K:K,'Assemble Data'!A930,'Assemble Data'!L:L),0)</f>
        <v>10800</v>
      </c>
      <c r="C929" s="13" t="str">
        <f>INDEX('Assemble Data'!$O$24:$O$1023,MATCH('Assemble Data'!A930,'Assemble Data'!$N$24:$N$1023,0))</f>
        <v>O1</v>
      </c>
      <c r="D929" s="13">
        <f>SUMIF('Assemble Data'!H:H,'Assemble Data'!A930,'Assemble Data'!I:I)</f>
        <v>12</v>
      </c>
      <c r="E929" s="13">
        <f>IFERROR(IF(AND('Assemble Data'!D930&lt;&gt;"",'Assemble Data'!D930&lt;&gt;B929),1,0),1)</f>
        <v>0</v>
      </c>
      <c r="F929" s="13">
        <f ca="1">IF('Assemble Data'!E930="",0,IF(ISERROR(FIND("INDEX",_xlfn.FORMULATEXT('Assemble Data'!E930),1)),1,0)+IFERROR(IF(AND('Assemble Data'!E930&lt;&gt;C929,'Assemble Data'!E930&lt;&gt;""),1,0),1))</f>
        <v>0</v>
      </c>
      <c r="G929" s="13">
        <f ca="1">IF('Assemble Data'!F930="",0,IF(ISERROR(FIND("VLOOKUP",_xlfn.FORMULATEXT('Assemble Data'!F930),1)),1,0)+IFERROR(IF(AND('Assemble Data'!F930&lt;&gt;D929,'Assemble Data'!F930&lt;&gt;""),1,0),1))</f>
        <v>0</v>
      </c>
      <c r="H929" s="13">
        <f t="shared" si="44"/>
        <v>6</v>
      </c>
      <c r="I929" t="str">
        <f t="shared" si="45"/>
        <v>O1P17</v>
      </c>
    </row>
    <row r="930" spans="1:9">
      <c r="A930" t="str">
        <f>'Assemble Data'!B931</f>
        <v>P13</v>
      </c>
      <c r="B930" s="13">
        <f>IFERROR(SUMIF('Assemble Data'!K:K,'Assemble Data'!A931,'Assemble Data'!L:L),0)</f>
        <v>5400</v>
      </c>
      <c r="C930" s="13" t="str">
        <f>INDEX('Assemble Data'!$O$24:$O$1023,MATCH('Assemble Data'!A931,'Assemble Data'!$N$24:$N$1023,0))</f>
        <v>C1</v>
      </c>
      <c r="D930" s="13">
        <f>SUMIF('Assemble Data'!H:H,'Assemble Data'!A931,'Assemble Data'!I:I)</f>
        <v>5</v>
      </c>
      <c r="E930" s="13">
        <f>IFERROR(IF(AND('Assemble Data'!D931&lt;&gt;"",'Assemble Data'!D931&lt;&gt;B930),1,0),1)</f>
        <v>0</v>
      </c>
      <c r="F930" s="13">
        <f ca="1">IF('Assemble Data'!E931="",0,IF(ISERROR(FIND("INDEX",_xlfn.FORMULATEXT('Assemble Data'!E931),1)),1,0)+IFERROR(IF(AND('Assemble Data'!E931&lt;&gt;C930,'Assemble Data'!E931&lt;&gt;""),1,0),1))</f>
        <v>0</v>
      </c>
      <c r="G930" s="13">
        <f ca="1">IF('Assemble Data'!F931="",0,IF(ISERROR(FIND("VLOOKUP",_xlfn.FORMULATEXT('Assemble Data'!F931),1)),1,0)+IFERROR(IF(AND('Assemble Data'!F931&lt;&gt;D930,'Assemble Data'!F931&lt;&gt;""),1,0),1))</f>
        <v>0</v>
      </c>
      <c r="H930" s="13">
        <f t="shared" si="44"/>
        <v>3</v>
      </c>
      <c r="I930" t="str">
        <f t="shared" si="45"/>
        <v>C1P13</v>
      </c>
    </row>
    <row r="931" spans="1:9">
      <c r="A931" t="str">
        <f>'Assemble Data'!B932</f>
        <v>P11</v>
      </c>
      <c r="B931" s="13">
        <f>IFERROR(SUMIF('Assemble Data'!K:K,'Assemble Data'!A932,'Assemble Data'!L:L),0)</f>
        <v>13200</v>
      </c>
      <c r="C931" s="13" t="str">
        <f>INDEX('Assemble Data'!$O$24:$O$1023,MATCH('Assemble Data'!A932,'Assemble Data'!$N$24:$N$1023,0))</f>
        <v>C1</v>
      </c>
      <c r="D931" s="13">
        <f>SUMIF('Assemble Data'!H:H,'Assemble Data'!A932,'Assemble Data'!I:I)</f>
        <v>11</v>
      </c>
      <c r="E931" s="13">
        <f>IFERROR(IF(AND('Assemble Data'!D932&lt;&gt;"",'Assemble Data'!D932&lt;&gt;B931),1,0),1)</f>
        <v>0</v>
      </c>
      <c r="F931" s="13">
        <f ca="1">IF('Assemble Data'!E932="",0,IF(ISERROR(FIND("INDEX",_xlfn.FORMULATEXT('Assemble Data'!E932),1)),1,0)+IFERROR(IF(AND('Assemble Data'!E932&lt;&gt;C931,'Assemble Data'!E932&lt;&gt;""),1,0),1))</f>
        <v>0</v>
      </c>
      <c r="G931" s="13">
        <f ca="1">IF('Assemble Data'!F932="",0,IF(ISERROR(FIND("VLOOKUP",_xlfn.FORMULATEXT('Assemble Data'!F932),1)),1,0)+IFERROR(IF(AND('Assemble Data'!F932&lt;&gt;D931,'Assemble Data'!F932&lt;&gt;""),1,0),1))</f>
        <v>0</v>
      </c>
      <c r="H931" s="13">
        <f t="shared" si="44"/>
        <v>9</v>
      </c>
      <c r="I931" t="str">
        <f t="shared" si="45"/>
        <v>C1P11</v>
      </c>
    </row>
    <row r="932" spans="1:9">
      <c r="A932" t="str">
        <f>'Assemble Data'!B933</f>
        <v>P11</v>
      </c>
      <c r="B932" s="13">
        <f>IFERROR(SUMIF('Assemble Data'!K:K,'Assemble Data'!A933,'Assemble Data'!L:L),0)</f>
        <v>13200</v>
      </c>
      <c r="C932" s="13" t="str">
        <f>INDEX('Assemble Data'!$O$24:$O$1023,MATCH('Assemble Data'!A933,'Assemble Data'!$N$24:$N$1023,0))</f>
        <v>C1</v>
      </c>
      <c r="D932" s="13">
        <f>SUMIF('Assemble Data'!H:H,'Assemble Data'!A933,'Assemble Data'!I:I)</f>
        <v>11</v>
      </c>
      <c r="E932" s="13">
        <f>IFERROR(IF(AND('Assemble Data'!D933&lt;&gt;"",'Assemble Data'!D933&lt;&gt;B932),1,0),1)</f>
        <v>0</v>
      </c>
      <c r="F932" s="13">
        <f ca="1">IF('Assemble Data'!E933="",0,IF(ISERROR(FIND("INDEX",_xlfn.FORMULATEXT('Assemble Data'!E933),1)),1,0)+IFERROR(IF(AND('Assemble Data'!E933&lt;&gt;C932,'Assemble Data'!E933&lt;&gt;""),1,0),1))</f>
        <v>0</v>
      </c>
      <c r="G932" s="13">
        <f ca="1">IF('Assemble Data'!F933="",0,IF(ISERROR(FIND("VLOOKUP",_xlfn.FORMULATEXT('Assemble Data'!F933),1)),1,0)+IFERROR(IF(AND('Assemble Data'!F933&lt;&gt;D932,'Assemble Data'!F933&lt;&gt;""),1,0),1))</f>
        <v>0</v>
      </c>
      <c r="H932" s="13">
        <f t="shared" si="44"/>
        <v>9</v>
      </c>
      <c r="I932" t="str">
        <f t="shared" si="45"/>
        <v>C1P11</v>
      </c>
    </row>
    <row r="933" spans="1:9">
      <c r="A933" t="str">
        <f>'Assemble Data'!B934</f>
        <v>P12</v>
      </c>
      <c r="B933" s="13">
        <f>IFERROR(SUMIF('Assemble Data'!K:K,'Assemble Data'!A934,'Assemble Data'!L:L),0)</f>
        <v>8190</v>
      </c>
      <c r="C933" s="13" t="str">
        <f>INDEX('Assemble Data'!$O$24:$O$1023,MATCH('Assemble Data'!A934,'Assemble Data'!$N$24:$N$1023,0))</f>
        <v>C1</v>
      </c>
      <c r="D933" s="13">
        <f>SUMIF('Assemble Data'!H:H,'Assemble Data'!A934,'Assemble Data'!I:I)</f>
        <v>6.5</v>
      </c>
      <c r="E933" s="13">
        <f>IFERROR(IF(AND('Assemble Data'!D934&lt;&gt;"",'Assemble Data'!D934&lt;&gt;B933),1,0),1)</f>
        <v>0</v>
      </c>
      <c r="F933" s="13">
        <f ca="1">IF('Assemble Data'!E934="",0,IF(ISERROR(FIND("INDEX",_xlfn.FORMULATEXT('Assemble Data'!E934),1)),1,0)+IFERROR(IF(AND('Assemble Data'!E934&lt;&gt;C933,'Assemble Data'!E934&lt;&gt;""),1,0),1))</f>
        <v>0</v>
      </c>
      <c r="G933" s="13">
        <f ca="1">IF('Assemble Data'!F934="",0,IF(ISERROR(FIND("VLOOKUP",_xlfn.FORMULATEXT('Assemble Data'!F934),1)),1,0)+IFERROR(IF(AND('Assemble Data'!F934&lt;&gt;D933,'Assemble Data'!F934&lt;&gt;""),1,0),1))</f>
        <v>0</v>
      </c>
      <c r="H933" s="13">
        <f t="shared" si="44"/>
        <v>7</v>
      </c>
      <c r="I933" t="str">
        <f t="shared" si="45"/>
        <v>C1P12</v>
      </c>
    </row>
    <row r="934" spans="1:9">
      <c r="A934" t="str">
        <f>'Assemble Data'!B935</f>
        <v>P10</v>
      </c>
      <c r="B934" s="13">
        <f>IFERROR(SUMIF('Assemble Data'!K:K,'Assemble Data'!A935,'Assemble Data'!L:L),0)</f>
        <v>2880</v>
      </c>
      <c r="C934" s="13" t="str">
        <f>INDEX('Assemble Data'!$O$24:$O$1023,MATCH('Assemble Data'!A935,'Assemble Data'!$N$24:$N$1023,0))</f>
        <v>C1</v>
      </c>
      <c r="D934" s="13">
        <f>SUMIF('Assemble Data'!H:H,'Assemble Data'!A935,'Assemble Data'!I:I)</f>
        <v>3</v>
      </c>
      <c r="E934" s="13">
        <f>IFERROR(IF(AND('Assemble Data'!D935&lt;&gt;"",'Assemble Data'!D935&lt;&gt;B934),1,0),1)</f>
        <v>0</v>
      </c>
      <c r="F934" s="13">
        <f ca="1">IF('Assemble Data'!E935="",0,IF(ISERROR(FIND("INDEX",_xlfn.FORMULATEXT('Assemble Data'!E935),1)),1,0)+IFERROR(IF(AND('Assemble Data'!E935&lt;&gt;C934,'Assemble Data'!E935&lt;&gt;""),1,0),1))</f>
        <v>0</v>
      </c>
      <c r="G934" s="13">
        <f ca="1">IF('Assemble Data'!F935="",0,IF(ISERROR(FIND("VLOOKUP",_xlfn.FORMULATEXT('Assemble Data'!F935),1)),1,0)+IFERROR(IF(AND('Assemble Data'!F935&lt;&gt;D934,'Assemble Data'!F935&lt;&gt;""),1,0),1))</f>
        <v>0</v>
      </c>
      <c r="H934" s="13">
        <f t="shared" si="44"/>
        <v>8</v>
      </c>
      <c r="I934" t="str">
        <f t="shared" si="45"/>
        <v>C1P10</v>
      </c>
    </row>
    <row r="935" spans="1:9">
      <c r="A935" t="str">
        <f>'Assemble Data'!B936</f>
        <v>P10</v>
      </c>
      <c r="B935" s="13">
        <f>IFERROR(SUMIF('Assemble Data'!K:K,'Assemble Data'!A936,'Assemble Data'!L:L),0)</f>
        <v>2880</v>
      </c>
      <c r="C935" s="13" t="str">
        <f>INDEX('Assemble Data'!$O$24:$O$1023,MATCH('Assemble Data'!A936,'Assemble Data'!$N$24:$N$1023,0))</f>
        <v>C1</v>
      </c>
      <c r="D935" s="13">
        <f>SUMIF('Assemble Data'!H:H,'Assemble Data'!A936,'Assemble Data'!I:I)</f>
        <v>3</v>
      </c>
      <c r="E935" s="13">
        <f>IFERROR(IF(AND('Assemble Data'!D936&lt;&gt;"",'Assemble Data'!D936&lt;&gt;B935),1,0),1)</f>
        <v>0</v>
      </c>
      <c r="F935" s="13">
        <f ca="1">IF('Assemble Data'!E936="",0,IF(ISERROR(FIND("INDEX",_xlfn.FORMULATEXT('Assemble Data'!E936),1)),1,0)+IFERROR(IF(AND('Assemble Data'!E936&lt;&gt;C935,'Assemble Data'!E936&lt;&gt;""),1,0),1))</f>
        <v>0</v>
      </c>
      <c r="G935" s="13">
        <f ca="1">IF('Assemble Data'!F936="",0,IF(ISERROR(FIND("VLOOKUP",_xlfn.FORMULATEXT('Assemble Data'!F936),1)),1,0)+IFERROR(IF(AND('Assemble Data'!F936&lt;&gt;D935,'Assemble Data'!F936&lt;&gt;""),1,0),1))</f>
        <v>0</v>
      </c>
      <c r="H935" s="13">
        <f t="shared" si="44"/>
        <v>8</v>
      </c>
      <c r="I935" t="str">
        <f t="shared" si="45"/>
        <v>C1P10</v>
      </c>
    </row>
    <row r="936" spans="1:9">
      <c r="A936" t="str">
        <f>'Assemble Data'!B937</f>
        <v>P11</v>
      </c>
      <c r="B936" s="13">
        <f>IFERROR(SUMIF('Assemble Data'!K:K,'Assemble Data'!A937,'Assemble Data'!L:L),0)</f>
        <v>13200</v>
      </c>
      <c r="C936" s="13" t="str">
        <f>INDEX('Assemble Data'!$O$24:$O$1023,MATCH('Assemble Data'!A937,'Assemble Data'!$N$24:$N$1023,0))</f>
        <v>C1</v>
      </c>
      <c r="D936" s="13">
        <f>SUMIF('Assemble Data'!H:H,'Assemble Data'!A937,'Assemble Data'!I:I)</f>
        <v>11</v>
      </c>
      <c r="E936" s="13">
        <f>IFERROR(IF(AND('Assemble Data'!D937&lt;&gt;"",'Assemble Data'!D937&lt;&gt;B936),1,0),1)</f>
        <v>0</v>
      </c>
      <c r="F936" s="13">
        <f ca="1">IF('Assemble Data'!E937="",0,IF(ISERROR(FIND("INDEX",_xlfn.FORMULATEXT('Assemble Data'!E937),1)),1,0)+IFERROR(IF(AND('Assemble Data'!E937&lt;&gt;C936,'Assemble Data'!E937&lt;&gt;""),1,0),1))</f>
        <v>0</v>
      </c>
      <c r="G936" s="13">
        <f ca="1">IF('Assemble Data'!F937="",0,IF(ISERROR(FIND("VLOOKUP",_xlfn.FORMULATEXT('Assemble Data'!F937),1)),1,0)+IFERROR(IF(AND('Assemble Data'!F937&lt;&gt;D936,'Assemble Data'!F937&lt;&gt;""),1,0),1))</f>
        <v>0</v>
      </c>
      <c r="H936" s="13">
        <f t="shared" si="44"/>
        <v>9</v>
      </c>
      <c r="I936" t="str">
        <f t="shared" si="45"/>
        <v>C1P11</v>
      </c>
    </row>
    <row r="937" spans="1:9">
      <c r="A937" t="str">
        <f>'Assemble Data'!B938</f>
        <v>P18</v>
      </c>
      <c r="B937" s="13">
        <f>IFERROR(SUMIF('Assemble Data'!K:K,'Assemble Data'!A938,'Assemble Data'!L:L),0)</f>
        <v>4860</v>
      </c>
      <c r="C937" s="13" t="str">
        <f>INDEX('Assemble Data'!$O$24:$O$1023,MATCH('Assemble Data'!A938,'Assemble Data'!$N$24:$N$1023,0))</f>
        <v>O1</v>
      </c>
      <c r="D937" s="13">
        <f>SUMIF('Assemble Data'!H:H,'Assemble Data'!A938,'Assemble Data'!I:I)</f>
        <v>6</v>
      </c>
      <c r="E937" s="13">
        <f>IFERROR(IF(AND('Assemble Data'!D938&lt;&gt;"",'Assemble Data'!D938&lt;&gt;B937),1,0),1)</f>
        <v>0</v>
      </c>
      <c r="F937" s="13">
        <f ca="1">IF('Assemble Data'!E938="",0,IF(ISERROR(FIND("INDEX",_xlfn.FORMULATEXT('Assemble Data'!E938),1)),1,0)+IFERROR(IF(AND('Assemble Data'!E938&lt;&gt;C937,'Assemble Data'!E938&lt;&gt;""),1,0),1))</f>
        <v>0</v>
      </c>
      <c r="G937" s="13">
        <f ca="1">IF('Assemble Data'!F938="",0,IF(ISERROR(FIND("VLOOKUP",_xlfn.FORMULATEXT('Assemble Data'!F938),1)),1,0)+IFERROR(IF(AND('Assemble Data'!F938&lt;&gt;D937,'Assemble Data'!F938&lt;&gt;""),1,0),1))</f>
        <v>0</v>
      </c>
      <c r="H937" s="13">
        <f t="shared" si="44"/>
        <v>2</v>
      </c>
      <c r="I937" t="str">
        <f t="shared" si="45"/>
        <v>O1P18</v>
      </c>
    </row>
    <row r="938" spans="1:9">
      <c r="A938" t="str">
        <f>'Assemble Data'!B939</f>
        <v>P14</v>
      </c>
      <c r="B938" s="13">
        <f>IFERROR(SUMIF('Assemble Data'!K:K,'Assemble Data'!A939,'Assemble Data'!L:L),0)</f>
        <v>10080</v>
      </c>
      <c r="C938" s="13" t="str">
        <f>INDEX('Assemble Data'!$O$24:$O$1023,MATCH('Assemble Data'!A939,'Assemble Data'!$N$24:$N$1023,0))</f>
        <v>N1</v>
      </c>
      <c r="D938" s="13">
        <f>SUMIF('Assemble Data'!H:H,'Assemble Data'!A939,'Assemble Data'!I:I)</f>
        <v>8</v>
      </c>
      <c r="E938" s="13">
        <f>IFERROR(IF(AND('Assemble Data'!D939&lt;&gt;"",'Assemble Data'!D939&lt;&gt;B938),1,0),1)</f>
        <v>0</v>
      </c>
      <c r="F938" s="13">
        <f ca="1">IF('Assemble Data'!E939="",0,IF(ISERROR(FIND("INDEX",_xlfn.FORMULATEXT('Assemble Data'!E939),1)),1,0)+IFERROR(IF(AND('Assemble Data'!E939&lt;&gt;C938,'Assemble Data'!E939&lt;&gt;""),1,0),1))</f>
        <v>0</v>
      </c>
      <c r="G938" s="13">
        <f ca="1">IF('Assemble Data'!F939="",0,IF(ISERROR(FIND("VLOOKUP",_xlfn.FORMULATEXT('Assemble Data'!F939),1)),1,0)+IFERROR(IF(AND('Assemble Data'!F939&lt;&gt;D938,'Assemble Data'!F939&lt;&gt;""),1,0),1))</f>
        <v>0</v>
      </c>
      <c r="H938" s="13">
        <f t="shared" si="44"/>
        <v>5</v>
      </c>
      <c r="I938" t="str">
        <f t="shared" si="45"/>
        <v>N1P14</v>
      </c>
    </row>
    <row r="939" spans="1:9">
      <c r="A939" t="str">
        <f>'Assemble Data'!B940</f>
        <v>P10</v>
      </c>
      <c r="B939" s="13">
        <f>IFERROR(SUMIF('Assemble Data'!K:K,'Assemble Data'!A940,'Assemble Data'!L:L),0)</f>
        <v>2880</v>
      </c>
      <c r="C939" s="13" t="str">
        <f>INDEX('Assemble Data'!$O$24:$O$1023,MATCH('Assemble Data'!A940,'Assemble Data'!$N$24:$N$1023,0))</f>
        <v>C1</v>
      </c>
      <c r="D939" s="13">
        <f>SUMIF('Assemble Data'!H:H,'Assemble Data'!A940,'Assemble Data'!I:I)</f>
        <v>3</v>
      </c>
      <c r="E939" s="13">
        <f>IFERROR(IF(AND('Assemble Data'!D940&lt;&gt;"",'Assemble Data'!D940&lt;&gt;B939),1,0),1)</f>
        <v>0</v>
      </c>
      <c r="F939" s="13">
        <f ca="1">IF('Assemble Data'!E940="",0,IF(ISERROR(FIND("INDEX",_xlfn.FORMULATEXT('Assemble Data'!E940),1)),1,0)+IFERROR(IF(AND('Assemble Data'!E940&lt;&gt;C939,'Assemble Data'!E940&lt;&gt;""),1,0),1))</f>
        <v>0</v>
      </c>
      <c r="G939" s="13">
        <f ca="1">IF('Assemble Data'!F940="",0,IF(ISERROR(FIND("VLOOKUP",_xlfn.FORMULATEXT('Assemble Data'!F940),1)),1,0)+IFERROR(IF(AND('Assemble Data'!F940&lt;&gt;D939,'Assemble Data'!F940&lt;&gt;""),1,0),1))</f>
        <v>0</v>
      </c>
      <c r="H939" s="13">
        <f t="shared" si="44"/>
        <v>8</v>
      </c>
      <c r="I939" t="str">
        <f t="shared" si="45"/>
        <v>C1P10</v>
      </c>
    </row>
    <row r="940" spans="1:9">
      <c r="A940" t="str">
        <f>'Assemble Data'!B941</f>
        <v>P13</v>
      </c>
      <c r="B940" s="13">
        <f>IFERROR(SUMIF('Assemble Data'!K:K,'Assemble Data'!A941,'Assemble Data'!L:L),0)</f>
        <v>5400</v>
      </c>
      <c r="C940" s="13" t="str">
        <f>INDEX('Assemble Data'!$O$24:$O$1023,MATCH('Assemble Data'!A941,'Assemble Data'!$N$24:$N$1023,0))</f>
        <v>C1</v>
      </c>
      <c r="D940" s="13">
        <f>SUMIF('Assemble Data'!H:H,'Assemble Data'!A941,'Assemble Data'!I:I)</f>
        <v>5</v>
      </c>
      <c r="E940" s="13">
        <f>IFERROR(IF(AND('Assemble Data'!D941&lt;&gt;"",'Assemble Data'!D941&lt;&gt;B940),1,0),1)</f>
        <v>0</v>
      </c>
      <c r="F940" s="13">
        <f ca="1">IF('Assemble Data'!E941="",0,IF(ISERROR(FIND("INDEX",_xlfn.FORMULATEXT('Assemble Data'!E941),1)),1,0)+IFERROR(IF(AND('Assemble Data'!E941&lt;&gt;C940,'Assemble Data'!E941&lt;&gt;""),1,0),1))</f>
        <v>0</v>
      </c>
      <c r="G940" s="13">
        <f ca="1">IF('Assemble Data'!F941="",0,IF(ISERROR(FIND("VLOOKUP",_xlfn.FORMULATEXT('Assemble Data'!F941),1)),1,0)+IFERROR(IF(AND('Assemble Data'!F941&lt;&gt;D940,'Assemble Data'!F941&lt;&gt;""),1,0),1))</f>
        <v>0</v>
      </c>
      <c r="H940" s="13">
        <f t="shared" si="44"/>
        <v>3</v>
      </c>
      <c r="I940" t="str">
        <f t="shared" si="45"/>
        <v>C1P13</v>
      </c>
    </row>
    <row r="941" spans="1:9">
      <c r="A941" t="str">
        <f>'Assemble Data'!B942</f>
        <v>P13</v>
      </c>
      <c r="B941" s="13">
        <f>IFERROR(SUMIF('Assemble Data'!K:K,'Assemble Data'!A942,'Assemble Data'!L:L),0)</f>
        <v>5400</v>
      </c>
      <c r="C941" s="13" t="str">
        <f>INDEX('Assemble Data'!$O$24:$O$1023,MATCH('Assemble Data'!A942,'Assemble Data'!$N$24:$N$1023,0))</f>
        <v>C1</v>
      </c>
      <c r="D941" s="13">
        <f>SUMIF('Assemble Data'!H:H,'Assemble Data'!A942,'Assemble Data'!I:I)</f>
        <v>5</v>
      </c>
      <c r="E941" s="13">
        <f>IFERROR(IF(AND('Assemble Data'!D942&lt;&gt;"",'Assemble Data'!D942&lt;&gt;B941),1,0),1)</f>
        <v>0</v>
      </c>
      <c r="F941" s="13">
        <f ca="1">IF('Assemble Data'!E942="",0,IF(ISERROR(FIND("INDEX",_xlfn.FORMULATEXT('Assemble Data'!E942),1)),1,0)+IFERROR(IF(AND('Assemble Data'!E942&lt;&gt;C941,'Assemble Data'!E942&lt;&gt;""),1,0),1))</f>
        <v>0</v>
      </c>
      <c r="G941" s="13">
        <f ca="1">IF('Assemble Data'!F942="",0,IF(ISERROR(FIND("VLOOKUP",_xlfn.FORMULATEXT('Assemble Data'!F942),1)),1,0)+IFERROR(IF(AND('Assemble Data'!F942&lt;&gt;D941,'Assemble Data'!F942&lt;&gt;""),1,0),1))</f>
        <v>0</v>
      </c>
      <c r="H941" s="13">
        <f t="shared" si="44"/>
        <v>3</v>
      </c>
      <c r="I941" t="str">
        <f t="shared" si="45"/>
        <v>C1P13</v>
      </c>
    </row>
    <row r="942" spans="1:9">
      <c r="A942" t="str">
        <f>'Assemble Data'!B943</f>
        <v>P10</v>
      </c>
      <c r="B942" s="13">
        <f>IFERROR(SUMIF('Assemble Data'!K:K,'Assemble Data'!A943,'Assemble Data'!L:L),0)</f>
        <v>2400</v>
      </c>
      <c r="C942" s="13" t="str">
        <f>INDEX('Assemble Data'!$O$24:$O$1023,MATCH('Assemble Data'!A943,'Assemble Data'!$N$24:$N$1023,0))</f>
        <v>C2</v>
      </c>
      <c r="D942" s="13">
        <f>SUMIF('Assemble Data'!H:H,'Assemble Data'!A943,'Assemble Data'!I:I)</f>
        <v>3</v>
      </c>
      <c r="E942" s="13">
        <f>IFERROR(IF(AND('Assemble Data'!D943&lt;&gt;"",'Assemble Data'!D943&lt;&gt;B942),1,0),1)</f>
        <v>0</v>
      </c>
      <c r="F942" s="13">
        <f ca="1">IF('Assemble Data'!E943="",0,IF(ISERROR(FIND("INDEX",_xlfn.FORMULATEXT('Assemble Data'!E943),1)),1,0)+IFERROR(IF(AND('Assemble Data'!E943&lt;&gt;C942,'Assemble Data'!E943&lt;&gt;""),1,0),1))</f>
        <v>0</v>
      </c>
      <c r="G942" s="13">
        <f ca="1">IF('Assemble Data'!F943="",0,IF(ISERROR(FIND("VLOOKUP",_xlfn.FORMULATEXT('Assemble Data'!F943),1)),1,0)+IFERROR(IF(AND('Assemble Data'!F943&lt;&gt;D942,'Assemble Data'!F943&lt;&gt;""),1,0),1))</f>
        <v>0</v>
      </c>
      <c r="H942" s="13">
        <f t="shared" si="44"/>
        <v>8</v>
      </c>
      <c r="I942" t="str">
        <f t="shared" si="45"/>
        <v>C2P10</v>
      </c>
    </row>
    <row r="943" spans="1:9">
      <c r="A943" t="str">
        <f>'Assemble Data'!B944</f>
        <v>P11</v>
      </c>
      <c r="B943" s="13">
        <f>IFERROR(SUMIF('Assemble Data'!K:K,'Assemble Data'!A944,'Assemble Data'!L:L),0)</f>
        <v>11000</v>
      </c>
      <c r="C943" s="13" t="str">
        <f>INDEX('Assemble Data'!$O$24:$O$1023,MATCH('Assemble Data'!A944,'Assemble Data'!$N$24:$N$1023,0))</f>
        <v>C2</v>
      </c>
      <c r="D943" s="13">
        <f>SUMIF('Assemble Data'!H:H,'Assemble Data'!A944,'Assemble Data'!I:I)</f>
        <v>11</v>
      </c>
      <c r="E943" s="13">
        <f>IFERROR(IF(AND('Assemble Data'!D944&lt;&gt;"",'Assemble Data'!D944&lt;&gt;B943),1,0),1)</f>
        <v>0</v>
      </c>
      <c r="F943" s="13">
        <f ca="1">IF('Assemble Data'!E944="",0,IF(ISERROR(FIND("INDEX",_xlfn.FORMULATEXT('Assemble Data'!E944),1)),1,0)+IFERROR(IF(AND('Assemble Data'!E944&lt;&gt;C943,'Assemble Data'!E944&lt;&gt;""),1,0),1))</f>
        <v>0</v>
      </c>
      <c r="G943" s="13">
        <f ca="1">IF('Assemble Data'!F944="",0,IF(ISERROR(FIND("VLOOKUP",_xlfn.FORMULATEXT('Assemble Data'!F944),1)),1,0)+IFERROR(IF(AND('Assemble Data'!F944&lt;&gt;D943,'Assemble Data'!F944&lt;&gt;""),1,0),1))</f>
        <v>0</v>
      </c>
      <c r="H943" s="13">
        <f t="shared" si="44"/>
        <v>9</v>
      </c>
      <c r="I943" t="str">
        <f t="shared" si="45"/>
        <v>C2P11</v>
      </c>
    </row>
    <row r="944" spans="1:9">
      <c r="A944" t="str">
        <f>'Assemble Data'!B945</f>
        <v>P16</v>
      </c>
      <c r="B944" s="13">
        <f>IFERROR(SUMIF('Assemble Data'!K:K,'Assemble Data'!A945,'Assemble Data'!L:L),0)</f>
        <v>4680</v>
      </c>
      <c r="C944" s="13" t="str">
        <f>INDEX('Assemble Data'!$O$24:$O$1023,MATCH('Assemble Data'!A945,'Assemble Data'!$N$24:$N$1023,0))</f>
        <v>N2</v>
      </c>
      <c r="D944" s="13">
        <f>SUMIF('Assemble Data'!H:H,'Assemble Data'!A945,'Assemble Data'!I:I)</f>
        <v>4</v>
      </c>
      <c r="E944" s="13">
        <f>IFERROR(IF(AND('Assemble Data'!D945&lt;&gt;"",'Assemble Data'!D945&lt;&gt;B944),1,0),1)</f>
        <v>0</v>
      </c>
      <c r="F944" s="13">
        <f ca="1">IF('Assemble Data'!E945="",0,IF(ISERROR(FIND("INDEX",_xlfn.FORMULATEXT('Assemble Data'!E945),1)),1,0)+IFERROR(IF(AND('Assemble Data'!E945&lt;&gt;C944,'Assemble Data'!E945&lt;&gt;""),1,0),1))</f>
        <v>0</v>
      </c>
      <c r="G944" s="13">
        <f ca="1">IF('Assemble Data'!F945="",0,IF(ISERROR(FIND("VLOOKUP",_xlfn.FORMULATEXT('Assemble Data'!F945),1)),1,0)+IFERROR(IF(AND('Assemble Data'!F945&lt;&gt;D944,'Assemble Data'!F945&lt;&gt;""),1,0),1))</f>
        <v>0</v>
      </c>
      <c r="H944" s="13">
        <f t="shared" si="44"/>
        <v>0</v>
      </c>
      <c r="I944" t="str">
        <f t="shared" si="45"/>
        <v>N2P16</v>
      </c>
    </row>
    <row r="945" spans="1:9">
      <c r="A945" t="str">
        <f>'Assemble Data'!B946</f>
        <v>P17</v>
      </c>
      <c r="B945" s="13">
        <f>IFERROR(SUMIF('Assemble Data'!K:K,'Assemble Data'!A946,'Assemble Data'!L:L),0)</f>
        <v>13200.000000000002</v>
      </c>
      <c r="C945" s="13" t="str">
        <f>INDEX('Assemble Data'!$O$24:$O$1023,MATCH('Assemble Data'!A946,'Assemble Data'!$N$24:$N$1023,0))</f>
        <v>O2</v>
      </c>
      <c r="D945" s="13">
        <f>SUMIF('Assemble Data'!H:H,'Assemble Data'!A946,'Assemble Data'!I:I)</f>
        <v>12</v>
      </c>
      <c r="E945" s="13">
        <f>IFERROR(IF(AND('Assemble Data'!D946&lt;&gt;"",'Assemble Data'!D946&lt;&gt;B945),1,0),1)</f>
        <v>0</v>
      </c>
      <c r="F945" s="13">
        <f ca="1">IF('Assemble Data'!E946="",0,IF(ISERROR(FIND("INDEX",_xlfn.FORMULATEXT('Assemble Data'!E946),1)),1,0)+IFERROR(IF(AND('Assemble Data'!E946&lt;&gt;C945,'Assemble Data'!E946&lt;&gt;""),1,0),1))</f>
        <v>0</v>
      </c>
      <c r="G945" s="13">
        <f ca="1">IF('Assemble Data'!F946="",0,IF(ISERROR(FIND("VLOOKUP",_xlfn.FORMULATEXT('Assemble Data'!F946),1)),1,0)+IFERROR(IF(AND('Assemble Data'!F946&lt;&gt;D945,'Assemble Data'!F946&lt;&gt;""),1,0),1))</f>
        <v>0</v>
      </c>
      <c r="H945" s="13">
        <f t="shared" si="44"/>
        <v>6</v>
      </c>
      <c r="I945" t="str">
        <f t="shared" si="45"/>
        <v>O2P17</v>
      </c>
    </row>
    <row r="946" spans="1:9">
      <c r="A946" t="str">
        <f>'Assemble Data'!B947</f>
        <v>P17</v>
      </c>
      <c r="B946" s="13">
        <f>IFERROR(SUMIF('Assemble Data'!K:K,'Assemble Data'!A947,'Assemble Data'!L:L),0)</f>
        <v>13200.000000000002</v>
      </c>
      <c r="C946" s="13" t="str">
        <f>INDEX('Assemble Data'!$O$24:$O$1023,MATCH('Assemble Data'!A947,'Assemble Data'!$N$24:$N$1023,0))</f>
        <v>O2</v>
      </c>
      <c r="D946" s="13">
        <f>SUMIF('Assemble Data'!H:H,'Assemble Data'!A947,'Assemble Data'!I:I)</f>
        <v>12</v>
      </c>
      <c r="E946" s="13">
        <f>IFERROR(IF(AND('Assemble Data'!D947&lt;&gt;"",'Assemble Data'!D947&lt;&gt;B946),1,0),1)</f>
        <v>0</v>
      </c>
      <c r="F946" s="13">
        <f ca="1">IF('Assemble Data'!E947="",0,IF(ISERROR(FIND("INDEX",_xlfn.FORMULATEXT('Assemble Data'!E947),1)),1,0)+IFERROR(IF(AND('Assemble Data'!E947&lt;&gt;C946,'Assemble Data'!E947&lt;&gt;""),1,0),1))</f>
        <v>0</v>
      </c>
      <c r="G946" s="13">
        <f ca="1">IF('Assemble Data'!F947="",0,IF(ISERROR(FIND("VLOOKUP",_xlfn.FORMULATEXT('Assemble Data'!F947),1)),1,0)+IFERROR(IF(AND('Assemble Data'!F947&lt;&gt;D946,'Assemble Data'!F947&lt;&gt;""),1,0),1))</f>
        <v>0</v>
      </c>
      <c r="H946" s="13">
        <f t="shared" si="44"/>
        <v>6</v>
      </c>
      <c r="I946" t="str">
        <f t="shared" si="45"/>
        <v>O2P17</v>
      </c>
    </row>
    <row r="947" spans="1:9">
      <c r="A947" t="str">
        <f>'Assemble Data'!B948</f>
        <v>P13</v>
      </c>
      <c r="B947" s="13">
        <f>IFERROR(SUMIF('Assemble Data'!K:K,'Assemble Data'!A948,'Assemble Data'!L:L),0)</f>
        <v>4500</v>
      </c>
      <c r="C947" s="13" t="str">
        <f>INDEX('Assemble Data'!$O$24:$O$1023,MATCH('Assemble Data'!A948,'Assemble Data'!$N$24:$N$1023,0))</f>
        <v>C2</v>
      </c>
      <c r="D947" s="13">
        <f>SUMIF('Assemble Data'!H:H,'Assemble Data'!A948,'Assemble Data'!I:I)</f>
        <v>5</v>
      </c>
      <c r="E947" s="13">
        <f>IFERROR(IF(AND('Assemble Data'!D948&lt;&gt;"",'Assemble Data'!D948&lt;&gt;B947),1,0),1)</f>
        <v>0</v>
      </c>
      <c r="F947" s="13">
        <f ca="1">IF('Assemble Data'!E948="",0,IF(ISERROR(FIND("INDEX",_xlfn.FORMULATEXT('Assemble Data'!E948),1)),1,0)+IFERROR(IF(AND('Assemble Data'!E948&lt;&gt;C947,'Assemble Data'!E948&lt;&gt;""),1,0),1))</f>
        <v>0</v>
      </c>
      <c r="G947" s="13">
        <f ca="1">IF('Assemble Data'!F948="",0,IF(ISERROR(FIND("VLOOKUP",_xlfn.FORMULATEXT('Assemble Data'!F948),1)),1,0)+IFERROR(IF(AND('Assemble Data'!F948&lt;&gt;D947,'Assemble Data'!F948&lt;&gt;""),1,0),1))</f>
        <v>0</v>
      </c>
      <c r="H947" s="13">
        <f t="shared" si="44"/>
        <v>3</v>
      </c>
      <c r="I947" t="str">
        <f t="shared" si="45"/>
        <v>C2P13</v>
      </c>
    </row>
    <row r="948" spans="1:9">
      <c r="A948" t="str">
        <f>'Assemble Data'!B949</f>
        <v>P11</v>
      </c>
      <c r="B948" s="13">
        <f>IFERROR(SUMIF('Assemble Data'!K:K,'Assemble Data'!A949,'Assemble Data'!L:L),0)</f>
        <v>11000</v>
      </c>
      <c r="C948" s="13" t="str">
        <f>INDEX('Assemble Data'!$O$24:$O$1023,MATCH('Assemble Data'!A949,'Assemble Data'!$N$24:$N$1023,0))</f>
        <v>C2</v>
      </c>
      <c r="D948" s="13">
        <f>SUMIF('Assemble Data'!H:H,'Assemble Data'!A949,'Assemble Data'!I:I)</f>
        <v>11</v>
      </c>
      <c r="E948" s="13">
        <f>IFERROR(IF(AND('Assemble Data'!D949&lt;&gt;"",'Assemble Data'!D949&lt;&gt;B948),1,0),1)</f>
        <v>0</v>
      </c>
      <c r="F948" s="13">
        <f ca="1">IF('Assemble Data'!E949="",0,IF(ISERROR(FIND("INDEX",_xlfn.FORMULATEXT('Assemble Data'!E949),1)),1,0)+IFERROR(IF(AND('Assemble Data'!E949&lt;&gt;C948,'Assemble Data'!E949&lt;&gt;""),1,0),1))</f>
        <v>0</v>
      </c>
      <c r="G948" s="13">
        <f ca="1">IF('Assemble Data'!F949="",0,IF(ISERROR(FIND("VLOOKUP",_xlfn.FORMULATEXT('Assemble Data'!F949),1)),1,0)+IFERROR(IF(AND('Assemble Data'!F949&lt;&gt;D948,'Assemble Data'!F949&lt;&gt;""),1,0),1))</f>
        <v>0</v>
      </c>
      <c r="H948" s="13">
        <f t="shared" si="44"/>
        <v>9</v>
      </c>
      <c r="I948" t="str">
        <f t="shared" si="45"/>
        <v>C2P11</v>
      </c>
    </row>
    <row r="949" spans="1:9">
      <c r="A949" t="str">
        <f>'Assemble Data'!B950</f>
        <v>P11</v>
      </c>
      <c r="B949" s="13">
        <f>IFERROR(SUMIF('Assemble Data'!K:K,'Assemble Data'!A950,'Assemble Data'!L:L),0)</f>
        <v>11000</v>
      </c>
      <c r="C949" s="13" t="str">
        <f>INDEX('Assemble Data'!$O$24:$O$1023,MATCH('Assemble Data'!A950,'Assemble Data'!$N$24:$N$1023,0))</f>
        <v>C2</v>
      </c>
      <c r="D949" s="13">
        <f>SUMIF('Assemble Data'!H:H,'Assemble Data'!A950,'Assemble Data'!I:I)</f>
        <v>11</v>
      </c>
      <c r="E949" s="13">
        <f>IFERROR(IF(AND('Assemble Data'!D950&lt;&gt;"",'Assemble Data'!D950&lt;&gt;B949),1,0),1)</f>
        <v>0</v>
      </c>
      <c r="F949" s="13">
        <f ca="1">IF('Assemble Data'!E950="",0,IF(ISERROR(FIND("INDEX",_xlfn.FORMULATEXT('Assemble Data'!E950),1)),1,0)+IFERROR(IF(AND('Assemble Data'!E950&lt;&gt;C949,'Assemble Data'!E950&lt;&gt;""),1,0),1))</f>
        <v>0</v>
      </c>
      <c r="G949" s="13">
        <f ca="1">IF('Assemble Data'!F950="",0,IF(ISERROR(FIND("VLOOKUP",_xlfn.FORMULATEXT('Assemble Data'!F950),1)),1,0)+IFERROR(IF(AND('Assemble Data'!F950&lt;&gt;D949,'Assemble Data'!F950&lt;&gt;""),1,0),1))</f>
        <v>0</v>
      </c>
      <c r="H949" s="13">
        <f t="shared" si="44"/>
        <v>9</v>
      </c>
      <c r="I949" t="str">
        <f t="shared" si="45"/>
        <v>C2P11</v>
      </c>
    </row>
    <row r="950" spans="1:9">
      <c r="A950" t="str">
        <f>'Assemble Data'!B951</f>
        <v>P12</v>
      </c>
      <c r="B950" s="13">
        <f>IFERROR(SUMIF('Assemble Data'!K:K,'Assemble Data'!A951,'Assemble Data'!L:L),0)</f>
        <v>6825</v>
      </c>
      <c r="C950" s="13" t="str">
        <f>INDEX('Assemble Data'!$O$24:$O$1023,MATCH('Assemble Data'!A951,'Assemble Data'!$N$24:$N$1023,0))</f>
        <v>C2</v>
      </c>
      <c r="D950" s="13">
        <f>SUMIF('Assemble Data'!H:H,'Assemble Data'!A951,'Assemble Data'!I:I)</f>
        <v>6.5</v>
      </c>
      <c r="E950" s="13">
        <f>IFERROR(IF(AND('Assemble Data'!D951&lt;&gt;"",'Assemble Data'!D951&lt;&gt;B950),1,0),1)</f>
        <v>0</v>
      </c>
      <c r="F950" s="13">
        <f ca="1">IF('Assemble Data'!E951="",0,IF(ISERROR(FIND("INDEX",_xlfn.FORMULATEXT('Assemble Data'!E951),1)),1,0)+IFERROR(IF(AND('Assemble Data'!E951&lt;&gt;C950,'Assemble Data'!E951&lt;&gt;""),1,0),1))</f>
        <v>0</v>
      </c>
      <c r="G950" s="13">
        <f ca="1">IF('Assemble Data'!F951="",0,IF(ISERROR(FIND("VLOOKUP",_xlfn.FORMULATEXT('Assemble Data'!F951),1)),1,0)+IFERROR(IF(AND('Assemble Data'!F951&lt;&gt;D950,'Assemble Data'!F951&lt;&gt;""),1,0),1))</f>
        <v>0</v>
      </c>
      <c r="H950" s="13">
        <f t="shared" si="44"/>
        <v>7</v>
      </c>
      <c r="I950" t="str">
        <f t="shared" si="45"/>
        <v>C2P12</v>
      </c>
    </row>
    <row r="951" spans="1:9">
      <c r="A951" t="str">
        <f>'Assemble Data'!B952</f>
        <v>P10</v>
      </c>
      <c r="B951" s="13">
        <f>IFERROR(SUMIF('Assemble Data'!K:K,'Assemble Data'!A952,'Assemble Data'!L:L),0)</f>
        <v>2400</v>
      </c>
      <c r="C951" s="13" t="str">
        <f>INDEX('Assemble Data'!$O$24:$O$1023,MATCH('Assemble Data'!A952,'Assemble Data'!$N$24:$N$1023,0))</f>
        <v>C2</v>
      </c>
      <c r="D951" s="13">
        <f>SUMIF('Assemble Data'!H:H,'Assemble Data'!A952,'Assemble Data'!I:I)</f>
        <v>3</v>
      </c>
      <c r="E951" s="13">
        <f>IFERROR(IF(AND('Assemble Data'!D952&lt;&gt;"",'Assemble Data'!D952&lt;&gt;B951),1,0),1)</f>
        <v>0</v>
      </c>
      <c r="F951" s="13">
        <f ca="1">IF('Assemble Data'!E952="",0,IF(ISERROR(FIND("INDEX",_xlfn.FORMULATEXT('Assemble Data'!E952),1)),1,0)+IFERROR(IF(AND('Assemble Data'!E952&lt;&gt;C951,'Assemble Data'!E952&lt;&gt;""),1,0),1))</f>
        <v>0</v>
      </c>
      <c r="G951" s="13">
        <f ca="1">IF('Assemble Data'!F952="",0,IF(ISERROR(FIND("VLOOKUP",_xlfn.FORMULATEXT('Assemble Data'!F952),1)),1,0)+IFERROR(IF(AND('Assemble Data'!F952&lt;&gt;D951,'Assemble Data'!F952&lt;&gt;""),1,0),1))</f>
        <v>0</v>
      </c>
      <c r="H951" s="13">
        <f t="shared" si="44"/>
        <v>8</v>
      </c>
      <c r="I951" t="str">
        <f t="shared" si="45"/>
        <v>C2P10</v>
      </c>
    </row>
    <row r="952" spans="1:9">
      <c r="A952" t="str">
        <f>'Assemble Data'!B953</f>
        <v>P10</v>
      </c>
      <c r="B952" s="13">
        <f>IFERROR(SUMIF('Assemble Data'!K:K,'Assemble Data'!A953,'Assemble Data'!L:L),0)</f>
        <v>2400</v>
      </c>
      <c r="C952" s="13" t="str">
        <f>INDEX('Assemble Data'!$O$24:$O$1023,MATCH('Assemble Data'!A953,'Assemble Data'!$N$24:$N$1023,0))</f>
        <v>C2</v>
      </c>
      <c r="D952" s="13">
        <f>SUMIF('Assemble Data'!H:H,'Assemble Data'!A953,'Assemble Data'!I:I)</f>
        <v>3</v>
      </c>
      <c r="E952" s="13">
        <f>IFERROR(IF(AND('Assemble Data'!D953&lt;&gt;"",'Assemble Data'!D953&lt;&gt;B952),1,0),1)</f>
        <v>0</v>
      </c>
      <c r="F952" s="13">
        <f ca="1">IF('Assemble Data'!E953="",0,IF(ISERROR(FIND("INDEX",_xlfn.FORMULATEXT('Assemble Data'!E953),1)),1,0)+IFERROR(IF(AND('Assemble Data'!E953&lt;&gt;C952,'Assemble Data'!E953&lt;&gt;""),1,0),1))</f>
        <v>0</v>
      </c>
      <c r="G952" s="13">
        <f ca="1">IF('Assemble Data'!F953="",0,IF(ISERROR(FIND("VLOOKUP",_xlfn.FORMULATEXT('Assemble Data'!F953),1)),1,0)+IFERROR(IF(AND('Assemble Data'!F953&lt;&gt;D952,'Assemble Data'!F953&lt;&gt;""),1,0),1))</f>
        <v>0</v>
      </c>
      <c r="H952" s="13">
        <f t="shared" si="44"/>
        <v>8</v>
      </c>
      <c r="I952" t="str">
        <f t="shared" si="45"/>
        <v>C2P10</v>
      </c>
    </row>
    <row r="953" spans="1:9">
      <c r="A953" t="str">
        <f>'Assemble Data'!B954</f>
        <v>P11</v>
      </c>
      <c r="B953" s="13">
        <f>IFERROR(SUMIF('Assemble Data'!K:K,'Assemble Data'!A954,'Assemble Data'!L:L),0)</f>
        <v>11000</v>
      </c>
      <c r="C953" s="13" t="str">
        <f>INDEX('Assemble Data'!$O$24:$O$1023,MATCH('Assemble Data'!A954,'Assemble Data'!$N$24:$N$1023,0))</f>
        <v>C2</v>
      </c>
      <c r="D953" s="13">
        <f>SUMIF('Assemble Data'!H:H,'Assemble Data'!A954,'Assemble Data'!I:I)</f>
        <v>11</v>
      </c>
      <c r="E953" s="13">
        <f>IFERROR(IF(AND('Assemble Data'!D954&lt;&gt;"",'Assemble Data'!D954&lt;&gt;B953),1,0),1)</f>
        <v>0</v>
      </c>
      <c r="F953" s="13">
        <f ca="1">IF('Assemble Data'!E954="",0,IF(ISERROR(FIND("INDEX",_xlfn.FORMULATEXT('Assemble Data'!E954),1)),1,0)+IFERROR(IF(AND('Assemble Data'!E954&lt;&gt;C953,'Assemble Data'!E954&lt;&gt;""),1,0),1))</f>
        <v>0</v>
      </c>
      <c r="G953" s="13">
        <f ca="1">IF('Assemble Data'!F954="",0,IF(ISERROR(FIND("VLOOKUP",_xlfn.FORMULATEXT('Assemble Data'!F954),1)),1,0)+IFERROR(IF(AND('Assemble Data'!F954&lt;&gt;D953,'Assemble Data'!F954&lt;&gt;""),1,0),1))</f>
        <v>0</v>
      </c>
      <c r="H953" s="13">
        <f t="shared" si="44"/>
        <v>9</v>
      </c>
      <c r="I953" t="str">
        <f t="shared" si="45"/>
        <v>C2P11</v>
      </c>
    </row>
    <row r="954" spans="1:9">
      <c r="A954" t="str">
        <f>'Assemble Data'!B955</f>
        <v>P18</v>
      </c>
      <c r="B954" s="13">
        <f>IFERROR(SUMIF('Assemble Data'!K:K,'Assemble Data'!A955,'Assemble Data'!L:L),0)</f>
        <v>5940.0000000000009</v>
      </c>
      <c r="C954" s="13" t="str">
        <f>INDEX('Assemble Data'!$O$24:$O$1023,MATCH('Assemble Data'!A955,'Assemble Data'!$N$24:$N$1023,0))</f>
        <v>O2</v>
      </c>
      <c r="D954" s="13">
        <f>SUMIF('Assemble Data'!H:H,'Assemble Data'!A955,'Assemble Data'!I:I)</f>
        <v>6</v>
      </c>
      <c r="E954" s="13">
        <f>IFERROR(IF(AND('Assemble Data'!D955&lt;&gt;"",'Assemble Data'!D955&lt;&gt;B954),1,0),1)</f>
        <v>0</v>
      </c>
      <c r="F954" s="13">
        <f ca="1">IF('Assemble Data'!E955="",0,IF(ISERROR(FIND("INDEX",_xlfn.FORMULATEXT('Assemble Data'!E955),1)),1,0)+IFERROR(IF(AND('Assemble Data'!E955&lt;&gt;C954,'Assemble Data'!E955&lt;&gt;""),1,0),1))</f>
        <v>0</v>
      </c>
      <c r="G954" s="13">
        <f ca="1">IF('Assemble Data'!F955="",0,IF(ISERROR(FIND("VLOOKUP",_xlfn.FORMULATEXT('Assemble Data'!F955),1)),1,0)+IFERROR(IF(AND('Assemble Data'!F955&lt;&gt;D954,'Assemble Data'!F955&lt;&gt;""),1,0),1))</f>
        <v>0</v>
      </c>
      <c r="H954" s="13">
        <f t="shared" si="44"/>
        <v>2</v>
      </c>
      <c r="I954" t="str">
        <f t="shared" si="45"/>
        <v>O2P18</v>
      </c>
    </row>
    <row r="955" spans="1:9">
      <c r="A955" t="str">
        <f>'Assemble Data'!B956</f>
        <v>P14</v>
      </c>
      <c r="B955" s="13">
        <f>IFERROR(SUMIF('Assemble Data'!K:K,'Assemble Data'!A956,'Assemble Data'!L:L),0)</f>
        <v>6480</v>
      </c>
      <c r="C955" s="13" t="str">
        <f>INDEX('Assemble Data'!$O$24:$O$1023,MATCH('Assemble Data'!A956,'Assemble Data'!$N$24:$N$1023,0))</f>
        <v>N2</v>
      </c>
      <c r="D955" s="13">
        <f>SUMIF('Assemble Data'!H:H,'Assemble Data'!A956,'Assemble Data'!I:I)</f>
        <v>8</v>
      </c>
      <c r="E955" s="13">
        <f>IFERROR(IF(AND('Assemble Data'!D956&lt;&gt;"",'Assemble Data'!D956&lt;&gt;B955),1,0),1)</f>
        <v>0</v>
      </c>
      <c r="F955" s="13">
        <f ca="1">IF('Assemble Data'!E956="",0,IF(ISERROR(FIND("INDEX",_xlfn.FORMULATEXT('Assemble Data'!E956),1)),1,0)+IFERROR(IF(AND('Assemble Data'!E956&lt;&gt;C955,'Assemble Data'!E956&lt;&gt;""),1,0),1))</f>
        <v>0</v>
      </c>
      <c r="G955" s="13">
        <f ca="1">IF('Assemble Data'!F956="",0,IF(ISERROR(FIND("VLOOKUP",_xlfn.FORMULATEXT('Assemble Data'!F956),1)),1,0)+IFERROR(IF(AND('Assemble Data'!F956&lt;&gt;D955,'Assemble Data'!F956&lt;&gt;""),1,0),1))</f>
        <v>0</v>
      </c>
      <c r="H955" s="13">
        <f t="shared" ref="H955:H1018" si="46">H938</f>
        <v>5</v>
      </c>
      <c r="I955" t="str">
        <f t="shared" si="45"/>
        <v>N2P14</v>
      </c>
    </row>
    <row r="956" spans="1:9">
      <c r="A956" t="str">
        <f>'Assemble Data'!B957</f>
        <v>P10</v>
      </c>
      <c r="B956" s="13">
        <f>IFERROR(SUMIF('Assemble Data'!K:K,'Assemble Data'!A957,'Assemble Data'!L:L),0)</f>
        <v>2400</v>
      </c>
      <c r="C956" s="13" t="str">
        <f>INDEX('Assemble Data'!$O$24:$O$1023,MATCH('Assemble Data'!A957,'Assemble Data'!$N$24:$N$1023,0))</f>
        <v>C2</v>
      </c>
      <c r="D956" s="13">
        <f>SUMIF('Assemble Data'!H:H,'Assemble Data'!A957,'Assemble Data'!I:I)</f>
        <v>3</v>
      </c>
      <c r="E956" s="13">
        <f>IFERROR(IF(AND('Assemble Data'!D957&lt;&gt;"",'Assemble Data'!D957&lt;&gt;B956),1,0),1)</f>
        <v>0</v>
      </c>
      <c r="F956" s="13">
        <f ca="1">IF('Assemble Data'!E957="",0,IF(ISERROR(FIND("INDEX",_xlfn.FORMULATEXT('Assemble Data'!E957),1)),1,0)+IFERROR(IF(AND('Assemble Data'!E957&lt;&gt;C956,'Assemble Data'!E957&lt;&gt;""),1,0),1))</f>
        <v>0</v>
      </c>
      <c r="G956" s="13">
        <f ca="1">IF('Assemble Data'!F957="",0,IF(ISERROR(FIND("VLOOKUP",_xlfn.FORMULATEXT('Assemble Data'!F957),1)),1,0)+IFERROR(IF(AND('Assemble Data'!F957&lt;&gt;D956,'Assemble Data'!F957&lt;&gt;""),1,0),1))</f>
        <v>0</v>
      </c>
      <c r="H956" s="13">
        <f t="shared" si="46"/>
        <v>8</v>
      </c>
      <c r="I956" t="str">
        <f t="shared" si="45"/>
        <v>C2P10</v>
      </c>
    </row>
    <row r="957" spans="1:9">
      <c r="A957" t="str">
        <f>'Assemble Data'!B958</f>
        <v>P13</v>
      </c>
      <c r="B957" s="13">
        <f>IFERROR(SUMIF('Assemble Data'!K:K,'Assemble Data'!A958,'Assemble Data'!L:L),0)</f>
        <v>4500</v>
      </c>
      <c r="C957" s="13" t="str">
        <f>INDEX('Assemble Data'!$O$24:$O$1023,MATCH('Assemble Data'!A958,'Assemble Data'!$N$24:$N$1023,0))</f>
        <v>C2</v>
      </c>
      <c r="D957" s="13">
        <f>SUMIF('Assemble Data'!H:H,'Assemble Data'!A958,'Assemble Data'!I:I)</f>
        <v>5</v>
      </c>
      <c r="E957" s="13">
        <f>IFERROR(IF(AND('Assemble Data'!D958&lt;&gt;"",'Assemble Data'!D958&lt;&gt;B957),1,0),1)</f>
        <v>0</v>
      </c>
      <c r="F957" s="13">
        <f ca="1">IF('Assemble Data'!E958="",0,IF(ISERROR(FIND("INDEX",_xlfn.FORMULATEXT('Assemble Data'!E958),1)),1,0)+IFERROR(IF(AND('Assemble Data'!E958&lt;&gt;C957,'Assemble Data'!E958&lt;&gt;""),1,0),1))</f>
        <v>0</v>
      </c>
      <c r="G957" s="13">
        <f ca="1">IF('Assemble Data'!F958="",0,IF(ISERROR(FIND("VLOOKUP",_xlfn.FORMULATEXT('Assemble Data'!F958),1)),1,0)+IFERROR(IF(AND('Assemble Data'!F958&lt;&gt;D957,'Assemble Data'!F958&lt;&gt;""),1,0),1))</f>
        <v>0</v>
      </c>
      <c r="H957" s="13">
        <f t="shared" si="46"/>
        <v>3</v>
      </c>
      <c r="I957" t="str">
        <f t="shared" si="45"/>
        <v>C2P13</v>
      </c>
    </row>
    <row r="958" spans="1:9">
      <c r="A958" t="str">
        <f>'Assemble Data'!B959</f>
        <v>P13</v>
      </c>
      <c r="B958" s="13">
        <f>IFERROR(SUMIF('Assemble Data'!K:K,'Assemble Data'!A959,'Assemble Data'!L:L),0)</f>
        <v>4500</v>
      </c>
      <c r="C958" s="13" t="str">
        <f>INDEX('Assemble Data'!$O$24:$O$1023,MATCH('Assemble Data'!A959,'Assemble Data'!$N$24:$N$1023,0))</f>
        <v>C2</v>
      </c>
      <c r="D958" s="13">
        <f>SUMIF('Assemble Data'!H:H,'Assemble Data'!A959,'Assemble Data'!I:I)</f>
        <v>5</v>
      </c>
      <c r="E958" s="13">
        <f>IFERROR(IF(AND('Assemble Data'!D959&lt;&gt;"",'Assemble Data'!D959&lt;&gt;B958),1,0),1)</f>
        <v>0</v>
      </c>
      <c r="F958" s="13">
        <f ca="1">IF('Assemble Data'!E959="",0,IF(ISERROR(FIND("INDEX",_xlfn.FORMULATEXT('Assemble Data'!E959),1)),1,0)+IFERROR(IF(AND('Assemble Data'!E959&lt;&gt;C958,'Assemble Data'!E959&lt;&gt;""),1,0),1))</f>
        <v>0</v>
      </c>
      <c r="G958" s="13">
        <f ca="1">IF('Assemble Data'!F959="",0,IF(ISERROR(FIND("VLOOKUP",_xlfn.FORMULATEXT('Assemble Data'!F959),1)),1,0)+IFERROR(IF(AND('Assemble Data'!F959&lt;&gt;D958,'Assemble Data'!F959&lt;&gt;""),1,0),1))</f>
        <v>0</v>
      </c>
      <c r="H958" s="13">
        <f t="shared" si="46"/>
        <v>3</v>
      </c>
      <c r="I958" t="str">
        <f t="shared" si="45"/>
        <v>C2P13</v>
      </c>
    </row>
    <row r="959" spans="1:9">
      <c r="A959" t="str">
        <f>'Assemble Data'!B960</f>
        <v>P10</v>
      </c>
      <c r="B959" s="13">
        <f>IFERROR(SUMIF('Assemble Data'!K:K,'Assemble Data'!A960,'Assemble Data'!L:L),0)</f>
        <v>2400</v>
      </c>
      <c r="C959" s="13" t="str">
        <f>INDEX('Assemble Data'!$O$24:$O$1023,MATCH('Assemble Data'!A960,'Assemble Data'!$N$24:$N$1023,0))</f>
        <v>C2</v>
      </c>
      <c r="D959" s="13">
        <f>SUMIF('Assemble Data'!H:H,'Assemble Data'!A960,'Assemble Data'!I:I)</f>
        <v>3</v>
      </c>
      <c r="E959" s="13">
        <f>IFERROR(IF(AND('Assemble Data'!D960&lt;&gt;"",'Assemble Data'!D960&lt;&gt;B959),1,0),1)</f>
        <v>0</v>
      </c>
      <c r="F959" s="13">
        <f ca="1">IF('Assemble Data'!E960="",0,IF(ISERROR(FIND("INDEX",_xlfn.FORMULATEXT('Assemble Data'!E960),1)),1,0)+IFERROR(IF(AND('Assemble Data'!E960&lt;&gt;C959,'Assemble Data'!E960&lt;&gt;""),1,0),1))</f>
        <v>0</v>
      </c>
      <c r="G959" s="13">
        <f ca="1">IF('Assemble Data'!F960="",0,IF(ISERROR(FIND("VLOOKUP",_xlfn.FORMULATEXT('Assemble Data'!F960),1)),1,0)+IFERROR(IF(AND('Assemble Data'!F960&lt;&gt;D959,'Assemble Data'!F960&lt;&gt;""),1,0),1))</f>
        <v>0</v>
      </c>
      <c r="H959" s="13">
        <f t="shared" si="46"/>
        <v>8</v>
      </c>
      <c r="I959" t="str">
        <f t="shared" si="45"/>
        <v>C2P10</v>
      </c>
    </row>
    <row r="960" spans="1:9">
      <c r="A960" t="str">
        <f>'Assemble Data'!B961</f>
        <v>P11</v>
      </c>
      <c r="B960" s="13">
        <f>IFERROR(SUMIF('Assemble Data'!K:K,'Assemble Data'!A961,'Assemble Data'!L:L),0)</f>
        <v>22000</v>
      </c>
      <c r="C960" s="13" t="str">
        <f>INDEX('Assemble Data'!$O$24:$O$1023,MATCH('Assemble Data'!A961,'Assemble Data'!$N$24:$N$1023,0))</f>
        <v>C2</v>
      </c>
      <c r="D960" s="13">
        <f>SUMIF('Assemble Data'!H:H,'Assemble Data'!A961,'Assemble Data'!I:I)</f>
        <v>11</v>
      </c>
      <c r="E960" s="13">
        <f>IFERROR(IF(AND('Assemble Data'!D961&lt;&gt;"",'Assemble Data'!D961&lt;&gt;B960),1,0),1)</f>
        <v>0</v>
      </c>
      <c r="F960" s="13">
        <f ca="1">IF('Assemble Data'!E961="",0,IF(ISERROR(FIND("INDEX",_xlfn.FORMULATEXT('Assemble Data'!E961),1)),1,0)+IFERROR(IF(AND('Assemble Data'!E961&lt;&gt;C960,'Assemble Data'!E961&lt;&gt;""),1,0),1))</f>
        <v>0</v>
      </c>
      <c r="G960" s="13">
        <f ca="1">IF('Assemble Data'!F961="",0,IF(ISERROR(FIND("VLOOKUP",_xlfn.FORMULATEXT('Assemble Data'!F961),1)),1,0)+IFERROR(IF(AND('Assemble Data'!F961&lt;&gt;D960,'Assemble Data'!F961&lt;&gt;""),1,0),1))</f>
        <v>0</v>
      </c>
      <c r="H960" s="13">
        <f t="shared" si="46"/>
        <v>9</v>
      </c>
      <c r="I960" t="str">
        <f t="shared" si="45"/>
        <v>C2P11</v>
      </c>
    </row>
    <row r="961" spans="1:9">
      <c r="A961" t="str">
        <f>'Assemble Data'!B962</f>
        <v>P16</v>
      </c>
      <c r="B961" s="13">
        <f>IFERROR(SUMIF('Assemble Data'!K:K,'Assemble Data'!A962,'Assemble Data'!L:L),0)</f>
        <v>4680</v>
      </c>
      <c r="C961" s="13" t="str">
        <f>INDEX('Assemble Data'!$O$24:$O$1023,MATCH('Assemble Data'!A962,'Assemble Data'!$N$24:$N$1023,0))</f>
        <v>N2</v>
      </c>
      <c r="D961" s="13">
        <f>SUMIF('Assemble Data'!H:H,'Assemble Data'!A962,'Assemble Data'!I:I)</f>
        <v>4</v>
      </c>
      <c r="E961" s="13">
        <f>IFERROR(IF(AND('Assemble Data'!D962&lt;&gt;"",'Assemble Data'!D962&lt;&gt;B961),1,0),1)</f>
        <v>0</v>
      </c>
      <c r="F961" s="13">
        <f ca="1">IF('Assemble Data'!E962="",0,IF(ISERROR(FIND("INDEX",_xlfn.FORMULATEXT('Assemble Data'!E962),1)),1,0)+IFERROR(IF(AND('Assemble Data'!E962&lt;&gt;C961,'Assemble Data'!E962&lt;&gt;""),1,0),1))</f>
        <v>0</v>
      </c>
      <c r="G961" s="13">
        <f ca="1">IF('Assemble Data'!F962="",0,IF(ISERROR(FIND("VLOOKUP",_xlfn.FORMULATEXT('Assemble Data'!F962),1)),1,0)+IFERROR(IF(AND('Assemble Data'!F962&lt;&gt;D961,'Assemble Data'!F962&lt;&gt;""),1,0),1))</f>
        <v>0</v>
      </c>
      <c r="H961" s="13">
        <f t="shared" si="46"/>
        <v>0</v>
      </c>
      <c r="I961" t="str">
        <f t="shared" si="45"/>
        <v>N2P16</v>
      </c>
    </row>
    <row r="962" spans="1:9">
      <c r="A962" t="str">
        <f>'Assemble Data'!B963</f>
        <v>P17</v>
      </c>
      <c r="B962" s="13">
        <f>IFERROR(SUMIF('Assemble Data'!K:K,'Assemble Data'!A963,'Assemble Data'!L:L),0)</f>
        <v>13200.000000000002</v>
      </c>
      <c r="C962" s="13" t="str">
        <f>INDEX('Assemble Data'!$O$24:$O$1023,MATCH('Assemble Data'!A963,'Assemble Data'!$N$24:$N$1023,0))</f>
        <v>O2</v>
      </c>
      <c r="D962" s="13">
        <f>SUMIF('Assemble Data'!H:H,'Assemble Data'!A963,'Assemble Data'!I:I)</f>
        <v>12</v>
      </c>
      <c r="E962" s="13">
        <f>IFERROR(IF(AND('Assemble Data'!D963&lt;&gt;"",'Assemble Data'!D963&lt;&gt;B962),1,0),1)</f>
        <v>0</v>
      </c>
      <c r="F962" s="13">
        <f ca="1">IF('Assemble Data'!E963="",0,IF(ISERROR(FIND("INDEX",_xlfn.FORMULATEXT('Assemble Data'!E963),1)),1,0)+IFERROR(IF(AND('Assemble Data'!E963&lt;&gt;C962,'Assemble Data'!E963&lt;&gt;""),1,0),1))</f>
        <v>0</v>
      </c>
      <c r="G962" s="13">
        <f ca="1">IF('Assemble Data'!F963="",0,IF(ISERROR(FIND("VLOOKUP",_xlfn.FORMULATEXT('Assemble Data'!F963),1)),1,0)+IFERROR(IF(AND('Assemble Data'!F963&lt;&gt;D962,'Assemble Data'!F963&lt;&gt;""),1,0),1))</f>
        <v>0</v>
      </c>
      <c r="H962" s="13">
        <f t="shared" si="46"/>
        <v>6</v>
      </c>
      <c r="I962" t="str">
        <f t="shared" si="45"/>
        <v>O2P17</v>
      </c>
    </row>
    <row r="963" spans="1:9">
      <c r="A963" t="str">
        <f>'Assemble Data'!B964</f>
        <v>P17</v>
      </c>
      <c r="B963" s="13">
        <f>IFERROR(SUMIF('Assemble Data'!K:K,'Assemble Data'!A964,'Assemble Data'!L:L),0)</f>
        <v>13200.000000000002</v>
      </c>
      <c r="C963" s="13" t="str">
        <f>INDEX('Assemble Data'!$O$24:$O$1023,MATCH('Assemble Data'!A964,'Assemble Data'!$N$24:$N$1023,0))</f>
        <v>O2</v>
      </c>
      <c r="D963" s="13">
        <f>SUMIF('Assemble Data'!H:H,'Assemble Data'!A964,'Assemble Data'!I:I)</f>
        <v>12</v>
      </c>
      <c r="E963" s="13">
        <f>IFERROR(IF(AND('Assemble Data'!D964&lt;&gt;"",'Assemble Data'!D964&lt;&gt;B963),1,0),1)</f>
        <v>0</v>
      </c>
      <c r="F963" s="13">
        <f ca="1">IF('Assemble Data'!E964="",0,IF(ISERROR(FIND("INDEX",_xlfn.FORMULATEXT('Assemble Data'!E964),1)),1,0)+IFERROR(IF(AND('Assemble Data'!E964&lt;&gt;C963,'Assemble Data'!E964&lt;&gt;""),1,0),1))</f>
        <v>0</v>
      </c>
      <c r="G963" s="13">
        <f ca="1">IF('Assemble Data'!F964="",0,IF(ISERROR(FIND("VLOOKUP",_xlfn.FORMULATEXT('Assemble Data'!F964),1)),1,0)+IFERROR(IF(AND('Assemble Data'!F964&lt;&gt;D963,'Assemble Data'!F964&lt;&gt;""),1,0),1))</f>
        <v>0</v>
      </c>
      <c r="H963" s="13">
        <f t="shared" si="46"/>
        <v>6</v>
      </c>
      <c r="I963" t="str">
        <f t="shared" si="45"/>
        <v>O2P17</v>
      </c>
    </row>
    <row r="964" spans="1:9">
      <c r="A964" t="str">
        <f>'Assemble Data'!B965</f>
        <v>P13</v>
      </c>
      <c r="B964" s="13">
        <f>IFERROR(SUMIF('Assemble Data'!K:K,'Assemble Data'!A965,'Assemble Data'!L:L),0)</f>
        <v>4500</v>
      </c>
      <c r="C964" s="13" t="str">
        <f>INDEX('Assemble Data'!$O$24:$O$1023,MATCH('Assemble Data'!A965,'Assemble Data'!$N$24:$N$1023,0))</f>
        <v>C2</v>
      </c>
      <c r="D964" s="13">
        <f>SUMIF('Assemble Data'!H:H,'Assemble Data'!A965,'Assemble Data'!I:I)</f>
        <v>5</v>
      </c>
      <c r="E964" s="13">
        <f>IFERROR(IF(AND('Assemble Data'!D965&lt;&gt;"",'Assemble Data'!D965&lt;&gt;B964),1,0),1)</f>
        <v>0</v>
      </c>
      <c r="F964" s="13">
        <f ca="1">IF('Assemble Data'!E965="",0,IF(ISERROR(FIND("INDEX",_xlfn.FORMULATEXT('Assemble Data'!E965),1)),1,0)+IFERROR(IF(AND('Assemble Data'!E965&lt;&gt;C964,'Assemble Data'!E965&lt;&gt;""),1,0),1))</f>
        <v>0</v>
      </c>
      <c r="G964" s="13">
        <f ca="1">IF('Assemble Data'!F965="",0,IF(ISERROR(FIND("VLOOKUP",_xlfn.FORMULATEXT('Assemble Data'!F965),1)),1,0)+IFERROR(IF(AND('Assemble Data'!F965&lt;&gt;D964,'Assemble Data'!F965&lt;&gt;""),1,0),1))</f>
        <v>0</v>
      </c>
      <c r="H964" s="13">
        <f t="shared" si="46"/>
        <v>3</v>
      </c>
      <c r="I964" t="str">
        <f t="shared" si="45"/>
        <v>C2P13</v>
      </c>
    </row>
    <row r="965" spans="1:9">
      <c r="A965" t="str">
        <f>'Assemble Data'!B966</f>
        <v>P11</v>
      </c>
      <c r="B965" s="13">
        <f>IFERROR(SUMIF('Assemble Data'!K:K,'Assemble Data'!A966,'Assemble Data'!L:L),0)</f>
        <v>11000</v>
      </c>
      <c r="C965" s="13" t="str">
        <f>INDEX('Assemble Data'!$O$24:$O$1023,MATCH('Assemble Data'!A966,'Assemble Data'!$N$24:$N$1023,0))</f>
        <v>C2</v>
      </c>
      <c r="D965" s="13">
        <f>SUMIF('Assemble Data'!H:H,'Assemble Data'!A966,'Assemble Data'!I:I)</f>
        <v>11</v>
      </c>
      <c r="E965" s="13">
        <f>IFERROR(IF(AND('Assemble Data'!D966&lt;&gt;"",'Assemble Data'!D966&lt;&gt;B965),1,0),1)</f>
        <v>0</v>
      </c>
      <c r="F965" s="13">
        <f ca="1">IF('Assemble Data'!E966="",0,IF(ISERROR(FIND("INDEX",_xlfn.FORMULATEXT('Assemble Data'!E966),1)),1,0)+IFERROR(IF(AND('Assemble Data'!E966&lt;&gt;C965,'Assemble Data'!E966&lt;&gt;""),1,0),1))</f>
        <v>0</v>
      </c>
      <c r="G965" s="13">
        <f ca="1">IF('Assemble Data'!F966="",0,IF(ISERROR(FIND("VLOOKUP",_xlfn.FORMULATEXT('Assemble Data'!F966),1)),1,0)+IFERROR(IF(AND('Assemble Data'!F966&lt;&gt;D965,'Assemble Data'!F966&lt;&gt;""),1,0),1))</f>
        <v>0</v>
      </c>
      <c r="H965" s="13">
        <f t="shared" si="46"/>
        <v>9</v>
      </c>
      <c r="I965" t="str">
        <f t="shared" si="45"/>
        <v>C2P11</v>
      </c>
    </row>
    <row r="966" spans="1:9">
      <c r="A966" t="str">
        <f>'Assemble Data'!B967</f>
        <v>P11</v>
      </c>
      <c r="B966" s="13">
        <f>IFERROR(SUMIF('Assemble Data'!K:K,'Assemble Data'!A967,'Assemble Data'!L:L),0)</f>
        <v>11000</v>
      </c>
      <c r="C966" s="13" t="str">
        <f>INDEX('Assemble Data'!$O$24:$O$1023,MATCH('Assemble Data'!A967,'Assemble Data'!$N$24:$N$1023,0))</f>
        <v>C2</v>
      </c>
      <c r="D966" s="13">
        <f>SUMIF('Assemble Data'!H:H,'Assemble Data'!A967,'Assemble Data'!I:I)</f>
        <v>11</v>
      </c>
      <c r="E966" s="13">
        <f>IFERROR(IF(AND('Assemble Data'!D967&lt;&gt;"",'Assemble Data'!D967&lt;&gt;B966),1,0),1)</f>
        <v>0</v>
      </c>
      <c r="F966" s="13">
        <f ca="1">IF('Assemble Data'!E967="",0,IF(ISERROR(FIND("INDEX",_xlfn.FORMULATEXT('Assemble Data'!E967),1)),1,0)+IFERROR(IF(AND('Assemble Data'!E967&lt;&gt;C966,'Assemble Data'!E967&lt;&gt;""),1,0),1))</f>
        <v>0</v>
      </c>
      <c r="G966" s="13">
        <f ca="1">IF('Assemble Data'!F967="",0,IF(ISERROR(FIND("VLOOKUP",_xlfn.FORMULATEXT('Assemble Data'!F967),1)),1,0)+IFERROR(IF(AND('Assemble Data'!F967&lt;&gt;D966,'Assemble Data'!F967&lt;&gt;""),1,0),1))</f>
        <v>0</v>
      </c>
      <c r="H966" s="13">
        <f t="shared" si="46"/>
        <v>9</v>
      </c>
      <c r="I966" t="str">
        <f t="shared" si="45"/>
        <v>C2P11</v>
      </c>
    </row>
    <row r="967" spans="1:9">
      <c r="A967" t="str">
        <f>'Assemble Data'!B968</f>
        <v>P12</v>
      </c>
      <c r="B967" s="13">
        <f>IFERROR(SUMIF('Assemble Data'!K:K,'Assemble Data'!A968,'Assemble Data'!L:L),0)</f>
        <v>6825</v>
      </c>
      <c r="C967" s="13" t="str">
        <f>INDEX('Assemble Data'!$O$24:$O$1023,MATCH('Assemble Data'!A968,'Assemble Data'!$N$24:$N$1023,0))</f>
        <v>C2</v>
      </c>
      <c r="D967" s="13">
        <f>SUMIF('Assemble Data'!H:H,'Assemble Data'!A968,'Assemble Data'!I:I)</f>
        <v>6.5</v>
      </c>
      <c r="E967" s="13">
        <f>IFERROR(IF(AND('Assemble Data'!D968&lt;&gt;"",'Assemble Data'!D968&lt;&gt;B967),1,0),1)</f>
        <v>0</v>
      </c>
      <c r="F967" s="13">
        <f ca="1">IF('Assemble Data'!E968="",0,IF(ISERROR(FIND("INDEX",_xlfn.FORMULATEXT('Assemble Data'!E968),1)),1,0)+IFERROR(IF(AND('Assemble Data'!E968&lt;&gt;C967,'Assemble Data'!E968&lt;&gt;""),1,0),1))</f>
        <v>0</v>
      </c>
      <c r="G967" s="13">
        <f ca="1">IF('Assemble Data'!F968="",0,IF(ISERROR(FIND("VLOOKUP",_xlfn.FORMULATEXT('Assemble Data'!F968),1)),1,0)+IFERROR(IF(AND('Assemble Data'!F968&lt;&gt;D967,'Assemble Data'!F968&lt;&gt;""),1,0),1))</f>
        <v>0</v>
      </c>
      <c r="H967" s="13">
        <f t="shared" si="46"/>
        <v>7</v>
      </c>
      <c r="I967" t="str">
        <f t="shared" si="45"/>
        <v>C2P12</v>
      </c>
    </row>
    <row r="968" spans="1:9">
      <c r="A968" t="str">
        <f>'Assemble Data'!B969</f>
        <v>P10</v>
      </c>
      <c r="B968" s="13">
        <f>IFERROR(SUMIF('Assemble Data'!K:K,'Assemble Data'!A969,'Assemble Data'!L:L),0)</f>
        <v>2400</v>
      </c>
      <c r="C968" s="13" t="str">
        <f>INDEX('Assemble Data'!$O$24:$O$1023,MATCH('Assemble Data'!A969,'Assemble Data'!$N$24:$N$1023,0))</f>
        <v>C2</v>
      </c>
      <c r="D968" s="13">
        <f>SUMIF('Assemble Data'!H:H,'Assemble Data'!A969,'Assemble Data'!I:I)</f>
        <v>3</v>
      </c>
      <c r="E968" s="13">
        <f>IFERROR(IF(AND('Assemble Data'!D969&lt;&gt;"",'Assemble Data'!D969&lt;&gt;B968),1,0),1)</f>
        <v>0</v>
      </c>
      <c r="F968" s="13">
        <f ca="1">IF('Assemble Data'!E969="",0,IF(ISERROR(FIND("INDEX",_xlfn.FORMULATEXT('Assemble Data'!E969),1)),1,0)+IFERROR(IF(AND('Assemble Data'!E969&lt;&gt;C968,'Assemble Data'!E969&lt;&gt;""),1,0),1))</f>
        <v>0</v>
      </c>
      <c r="G968" s="13">
        <f ca="1">IF('Assemble Data'!F969="",0,IF(ISERROR(FIND("VLOOKUP",_xlfn.FORMULATEXT('Assemble Data'!F969),1)),1,0)+IFERROR(IF(AND('Assemble Data'!F969&lt;&gt;D968,'Assemble Data'!F969&lt;&gt;""),1,0),1))</f>
        <v>0</v>
      </c>
      <c r="H968" s="13">
        <f t="shared" si="46"/>
        <v>8</v>
      </c>
      <c r="I968" t="str">
        <f t="shared" si="45"/>
        <v>C2P10</v>
      </c>
    </row>
    <row r="969" spans="1:9">
      <c r="A969" t="str">
        <f>'Assemble Data'!B970</f>
        <v>P10</v>
      </c>
      <c r="B969" s="13">
        <f>IFERROR(SUMIF('Assemble Data'!K:K,'Assemble Data'!A970,'Assemble Data'!L:L),0)</f>
        <v>2400</v>
      </c>
      <c r="C969" s="13" t="str">
        <f>INDEX('Assemble Data'!$O$24:$O$1023,MATCH('Assemble Data'!A970,'Assemble Data'!$N$24:$N$1023,0))</f>
        <v>C2</v>
      </c>
      <c r="D969" s="13">
        <f>SUMIF('Assemble Data'!H:H,'Assemble Data'!A970,'Assemble Data'!I:I)</f>
        <v>3</v>
      </c>
      <c r="E969" s="13">
        <f>IFERROR(IF(AND('Assemble Data'!D970&lt;&gt;"",'Assemble Data'!D970&lt;&gt;B969),1,0),1)</f>
        <v>0</v>
      </c>
      <c r="F969" s="13">
        <f ca="1">IF('Assemble Data'!E970="",0,IF(ISERROR(FIND("INDEX",_xlfn.FORMULATEXT('Assemble Data'!E970),1)),1,0)+IFERROR(IF(AND('Assemble Data'!E970&lt;&gt;C969,'Assemble Data'!E970&lt;&gt;""),1,0),1))</f>
        <v>0</v>
      </c>
      <c r="G969" s="13">
        <f ca="1">IF('Assemble Data'!F970="",0,IF(ISERROR(FIND("VLOOKUP",_xlfn.FORMULATEXT('Assemble Data'!F970),1)),1,0)+IFERROR(IF(AND('Assemble Data'!F970&lt;&gt;D969,'Assemble Data'!F970&lt;&gt;""),1,0),1))</f>
        <v>0</v>
      </c>
      <c r="H969" s="13">
        <f t="shared" si="46"/>
        <v>8</v>
      </c>
      <c r="I969" t="str">
        <f t="shared" si="45"/>
        <v>C2P10</v>
      </c>
    </row>
    <row r="970" spans="1:9">
      <c r="A970" t="str">
        <f>'Assemble Data'!B971</f>
        <v>P11</v>
      </c>
      <c r="B970" s="13">
        <f>IFERROR(SUMIF('Assemble Data'!K:K,'Assemble Data'!A971,'Assemble Data'!L:L),0)</f>
        <v>11000</v>
      </c>
      <c r="C970" s="13" t="str">
        <f>INDEX('Assemble Data'!$O$24:$O$1023,MATCH('Assemble Data'!A971,'Assemble Data'!$N$24:$N$1023,0))</f>
        <v>C2</v>
      </c>
      <c r="D970" s="13">
        <f>SUMIF('Assemble Data'!H:H,'Assemble Data'!A971,'Assemble Data'!I:I)</f>
        <v>11</v>
      </c>
      <c r="E970" s="13">
        <f>IFERROR(IF(AND('Assemble Data'!D971&lt;&gt;"",'Assemble Data'!D971&lt;&gt;B970),1,0),1)</f>
        <v>0</v>
      </c>
      <c r="F970" s="13">
        <f ca="1">IF('Assemble Data'!E971="",0,IF(ISERROR(FIND("INDEX",_xlfn.FORMULATEXT('Assemble Data'!E971),1)),1,0)+IFERROR(IF(AND('Assemble Data'!E971&lt;&gt;C970,'Assemble Data'!E971&lt;&gt;""),1,0),1))</f>
        <v>0</v>
      </c>
      <c r="G970" s="13">
        <f ca="1">IF('Assemble Data'!F971="",0,IF(ISERROR(FIND("VLOOKUP",_xlfn.FORMULATEXT('Assemble Data'!F971),1)),1,0)+IFERROR(IF(AND('Assemble Data'!F971&lt;&gt;D970,'Assemble Data'!F971&lt;&gt;""),1,0),1))</f>
        <v>0</v>
      </c>
      <c r="H970" s="13">
        <f t="shared" si="46"/>
        <v>9</v>
      </c>
      <c r="I970" t="str">
        <f t="shared" si="45"/>
        <v>C2P11</v>
      </c>
    </row>
    <row r="971" spans="1:9">
      <c r="A971" t="str">
        <f>'Assemble Data'!B972</f>
        <v>P18</v>
      </c>
      <c r="B971" s="13">
        <f>IFERROR(SUMIF('Assemble Data'!K:K,'Assemble Data'!A972,'Assemble Data'!L:L),0)</f>
        <v>5940.0000000000009</v>
      </c>
      <c r="C971" s="13" t="str">
        <f>INDEX('Assemble Data'!$O$24:$O$1023,MATCH('Assemble Data'!A972,'Assemble Data'!$N$24:$N$1023,0))</f>
        <v>O2</v>
      </c>
      <c r="D971" s="13">
        <f>SUMIF('Assemble Data'!H:H,'Assemble Data'!A972,'Assemble Data'!I:I)</f>
        <v>6</v>
      </c>
      <c r="E971" s="13">
        <f>IFERROR(IF(AND('Assemble Data'!D972&lt;&gt;"",'Assemble Data'!D972&lt;&gt;B971),1,0),1)</f>
        <v>0</v>
      </c>
      <c r="F971" s="13">
        <f ca="1">IF('Assemble Data'!E972="",0,IF(ISERROR(FIND("INDEX",_xlfn.FORMULATEXT('Assemble Data'!E972),1)),1,0)+IFERROR(IF(AND('Assemble Data'!E972&lt;&gt;C971,'Assemble Data'!E972&lt;&gt;""),1,0),1))</f>
        <v>0</v>
      </c>
      <c r="G971" s="13">
        <f ca="1">IF('Assemble Data'!F972="",0,IF(ISERROR(FIND("VLOOKUP",_xlfn.FORMULATEXT('Assemble Data'!F972),1)),1,0)+IFERROR(IF(AND('Assemble Data'!F972&lt;&gt;D971,'Assemble Data'!F972&lt;&gt;""),1,0),1))</f>
        <v>0</v>
      </c>
      <c r="H971" s="13">
        <f t="shared" si="46"/>
        <v>2</v>
      </c>
      <c r="I971" t="str">
        <f t="shared" si="45"/>
        <v>O2P18</v>
      </c>
    </row>
    <row r="972" spans="1:9">
      <c r="A972" t="str">
        <f>'Assemble Data'!B973</f>
        <v>P14</v>
      </c>
      <c r="B972" s="13">
        <f>IFERROR(SUMIF('Assemble Data'!K:K,'Assemble Data'!A973,'Assemble Data'!L:L),0)</f>
        <v>6480</v>
      </c>
      <c r="C972" s="13" t="str">
        <f>INDEX('Assemble Data'!$O$24:$O$1023,MATCH('Assemble Data'!A973,'Assemble Data'!$N$24:$N$1023,0))</f>
        <v>N2</v>
      </c>
      <c r="D972" s="13">
        <f>SUMIF('Assemble Data'!H:H,'Assemble Data'!A973,'Assemble Data'!I:I)</f>
        <v>8</v>
      </c>
      <c r="E972" s="13">
        <f>IFERROR(IF(AND('Assemble Data'!D973&lt;&gt;"",'Assemble Data'!D973&lt;&gt;B972),1,0),1)</f>
        <v>0</v>
      </c>
      <c r="F972" s="13">
        <f ca="1">IF('Assemble Data'!E973="",0,IF(ISERROR(FIND("INDEX",_xlfn.FORMULATEXT('Assemble Data'!E973),1)),1,0)+IFERROR(IF(AND('Assemble Data'!E973&lt;&gt;C972,'Assemble Data'!E973&lt;&gt;""),1,0),1))</f>
        <v>0</v>
      </c>
      <c r="G972" s="13">
        <f ca="1">IF('Assemble Data'!F973="",0,IF(ISERROR(FIND("VLOOKUP",_xlfn.FORMULATEXT('Assemble Data'!F973),1)),1,0)+IFERROR(IF(AND('Assemble Data'!F973&lt;&gt;D972,'Assemble Data'!F973&lt;&gt;""),1,0),1))</f>
        <v>0</v>
      </c>
      <c r="H972" s="13">
        <f t="shared" si="46"/>
        <v>5</v>
      </c>
      <c r="I972" t="str">
        <f t="shared" si="45"/>
        <v>N2P14</v>
      </c>
    </row>
    <row r="973" spans="1:9">
      <c r="A973" t="str">
        <f>'Assemble Data'!B974</f>
        <v>P10</v>
      </c>
      <c r="B973" s="13">
        <f>IFERROR(SUMIF('Assemble Data'!K:K,'Assemble Data'!A974,'Assemble Data'!L:L),0)</f>
        <v>2400</v>
      </c>
      <c r="C973" s="13" t="str">
        <f>INDEX('Assemble Data'!$O$24:$O$1023,MATCH('Assemble Data'!A974,'Assemble Data'!$N$24:$N$1023,0))</f>
        <v>C2</v>
      </c>
      <c r="D973" s="13">
        <f>SUMIF('Assemble Data'!H:H,'Assemble Data'!A974,'Assemble Data'!I:I)</f>
        <v>3</v>
      </c>
      <c r="E973" s="13">
        <f>IFERROR(IF(AND('Assemble Data'!D974&lt;&gt;"",'Assemble Data'!D974&lt;&gt;B973),1,0),1)</f>
        <v>0</v>
      </c>
      <c r="F973" s="13">
        <f ca="1">IF('Assemble Data'!E974="",0,IF(ISERROR(FIND("INDEX",_xlfn.FORMULATEXT('Assemble Data'!E974),1)),1,0)+IFERROR(IF(AND('Assemble Data'!E974&lt;&gt;C973,'Assemble Data'!E974&lt;&gt;""),1,0),1))</f>
        <v>0</v>
      </c>
      <c r="G973" s="13">
        <f ca="1">IF('Assemble Data'!F974="",0,IF(ISERROR(FIND("VLOOKUP",_xlfn.FORMULATEXT('Assemble Data'!F974),1)),1,0)+IFERROR(IF(AND('Assemble Data'!F974&lt;&gt;D973,'Assemble Data'!F974&lt;&gt;""),1,0),1))</f>
        <v>0</v>
      </c>
      <c r="H973" s="13">
        <f t="shared" si="46"/>
        <v>8</v>
      </c>
      <c r="I973" t="str">
        <f t="shared" si="45"/>
        <v>C2P10</v>
      </c>
    </row>
    <row r="974" spans="1:9">
      <c r="A974" t="str">
        <f>'Assemble Data'!B975</f>
        <v>P13</v>
      </c>
      <c r="B974" s="13">
        <f>IFERROR(SUMIF('Assemble Data'!K:K,'Assemble Data'!A975,'Assemble Data'!L:L),0)</f>
        <v>4500</v>
      </c>
      <c r="C974" s="13" t="str">
        <f>INDEX('Assemble Data'!$O$24:$O$1023,MATCH('Assemble Data'!A975,'Assemble Data'!$N$24:$N$1023,0))</f>
        <v>C2</v>
      </c>
      <c r="D974" s="13">
        <f>SUMIF('Assemble Data'!H:H,'Assemble Data'!A975,'Assemble Data'!I:I)</f>
        <v>5</v>
      </c>
      <c r="E974" s="13">
        <f>IFERROR(IF(AND('Assemble Data'!D975&lt;&gt;"",'Assemble Data'!D975&lt;&gt;B974),1,0),1)</f>
        <v>0</v>
      </c>
      <c r="F974" s="13">
        <f ca="1">IF('Assemble Data'!E975="",0,IF(ISERROR(FIND("INDEX",_xlfn.FORMULATEXT('Assemble Data'!E975),1)),1,0)+IFERROR(IF(AND('Assemble Data'!E975&lt;&gt;C974,'Assemble Data'!E975&lt;&gt;""),1,0),1))</f>
        <v>0</v>
      </c>
      <c r="G974" s="13">
        <f ca="1">IF('Assemble Data'!F975="",0,IF(ISERROR(FIND("VLOOKUP",_xlfn.FORMULATEXT('Assemble Data'!F975),1)),1,0)+IFERROR(IF(AND('Assemble Data'!F975&lt;&gt;D974,'Assemble Data'!F975&lt;&gt;""),1,0),1))</f>
        <v>0</v>
      </c>
      <c r="H974" s="13">
        <f t="shared" si="46"/>
        <v>3</v>
      </c>
      <c r="I974" t="str">
        <f t="shared" si="45"/>
        <v>C2P13</v>
      </c>
    </row>
    <row r="975" spans="1:9">
      <c r="A975" t="str">
        <f>'Assemble Data'!B976</f>
        <v>P13</v>
      </c>
      <c r="B975" s="13">
        <f>IFERROR(SUMIF('Assemble Data'!K:K,'Assemble Data'!A976,'Assemble Data'!L:L),0)</f>
        <v>9000</v>
      </c>
      <c r="C975" s="13" t="str">
        <f>INDEX('Assemble Data'!$O$24:$O$1023,MATCH('Assemble Data'!A976,'Assemble Data'!$N$24:$N$1023,0))</f>
        <v>C2</v>
      </c>
      <c r="D975" s="13">
        <f>SUMIF('Assemble Data'!H:H,'Assemble Data'!A976,'Assemble Data'!I:I)</f>
        <v>5</v>
      </c>
      <c r="E975" s="13">
        <f>IFERROR(IF(AND('Assemble Data'!D976&lt;&gt;"",'Assemble Data'!D976&lt;&gt;B975),1,0),1)</f>
        <v>0</v>
      </c>
      <c r="F975" s="13">
        <f ca="1">IF('Assemble Data'!E976="",0,IF(ISERROR(FIND("INDEX",_xlfn.FORMULATEXT('Assemble Data'!E976),1)),1,0)+IFERROR(IF(AND('Assemble Data'!E976&lt;&gt;C975,'Assemble Data'!E976&lt;&gt;""),1,0),1))</f>
        <v>0</v>
      </c>
      <c r="G975" s="13">
        <f ca="1">IF('Assemble Data'!F976="",0,IF(ISERROR(FIND("VLOOKUP",_xlfn.FORMULATEXT('Assemble Data'!F976),1)),1,0)+IFERROR(IF(AND('Assemble Data'!F976&lt;&gt;D975,'Assemble Data'!F976&lt;&gt;""),1,0),1))</f>
        <v>0</v>
      </c>
      <c r="H975" s="13">
        <f t="shared" si="46"/>
        <v>3</v>
      </c>
      <c r="I975" t="str">
        <f t="shared" si="45"/>
        <v>C2P13</v>
      </c>
    </row>
    <row r="976" spans="1:9">
      <c r="A976" t="str">
        <f>'Assemble Data'!B977</f>
        <v>P10</v>
      </c>
      <c r="B976" s="13">
        <f>IFERROR(SUMIF('Assemble Data'!K:K,'Assemble Data'!A977,'Assemble Data'!L:L),0)</f>
        <v>2400</v>
      </c>
      <c r="C976" s="13" t="str">
        <f>INDEX('Assemble Data'!$O$24:$O$1023,MATCH('Assemble Data'!A977,'Assemble Data'!$N$24:$N$1023,0))</f>
        <v>C2</v>
      </c>
      <c r="D976" s="13">
        <f>SUMIF('Assemble Data'!H:H,'Assemble Data'!A977,'Assemble Data'!I:I)</f>
        <v>3</v>
      </c>
      <c r="E976" s="13">
        <f>IFERROR(IF(AND('Assemble Data'!D977&lt;&gt;"",'Assemble Data'!D977&lt;&gt;B976),1,0),1)</f>
        <v>0</v>
      </c>
      <c r="F976" s="13">
        <f ca="1">IF('Assemble Data'!E977="",0,IF(ISERROR(FIND("INDEX",_xlfn.FORMULATEXT('Assemble Data'!E977),1)),1,0)+IFERROR(IF(AND('Assemble Data'!E977&lt;&gt;C976,'Assemble Data'!E977&lt;&gt;""),1,0),1))</f>
        <v>0</v>
      </c>
      <c r="G976" s="13">
        <f ca="1">IF('Assemble Data'!F977="",0,IF(ISERROR(FIND("VLOOKUP",_xlfn.FORMULATEXT('Assemble Data'!F977),1)),1,0)+IFERROR(IF(AND('Assemble Data'!F977&lt;&gt;D976,'Assemble Data'!F977&lt;&gt;""),1,0),1))</f>
        <v>0</v>
      </c>
      <c r="H976" s="13">
        <f t="shared" si="46"/>
        <v>8</v>
      </c>
      <c r="I976" t="str">
        <f t="shared" si="45"/>
        <v>C2P10</v>
      </c>
    </row>
    <row r="977" spans="1:9">
      <c r="A977" t="str">
        <f>'Assemble Data'!B978</f>
        <v>P11</v>
      </c>
      <c r="B977" s="13">
        <f>IFERROR(SUMIF('Assemble Data'!K:K,'Assemble Data'!A978,'Assemble Data'!L:L),0)</f>
        <v>11000</v>
      </c>
      <c r="C977" s="13" t="str">
        <f>INDEX('Assemble Data'!$O$24:$O$1023,MATCH('Assemble Data'!A978,'Assemble Data'!$N$24:$N$1023,0))</f>
        <v>C2</v>
      </c>
      <c r="D977" s="13">
        <f>SUMIF('Assemble Data'!H:H,'Assemble Data'!A978,'Assemble Data'!I:I)</f>
        <v>11</v>
      </c>
      <c r="E977" s="13">
        <f>IFERROR(IF(AND('Assemble Data'!D978&lt;&gt;"",'Assemble Data'!D978&lt;&gt;B977),1,0),1)</f>
        <v>0</v>
      </c>
      <c r="F977" s="13">
        <f ca="1">IF('Assemble Data'!E978="",0,IF(ISERROR(FIND("INDEX",_xlfn.FORMULATEXT('Assemble Data'!E978),1)),1,0)+IFERROR(IF(AND('Assemble Data'!E978&lt;&gt;C977,'Assemble Data'!E978&lt;&gt;""),1,0),1))</f>
        <v>0</v>
      </c>
      <c r="G977" s="13">
        <f ca="1">IF('Assemble Data'!F978="",0,IF(ISERROR(FIND("VLOOKUP",_xlfn.FORMULATEXT('Assemble Data'!F978),1)),1,0)+IFERROR(IF(AND('Assemble Data'!F978&lt;&gt;D977,'Assemble Data'!F978&lt;&gt;""),1,0),1))</f>
        <v>0</v>
      </c>
      <c r="H977" s="13">
        <f t="shared" si="46"/>
        <v>9</v>
      </c>
      <c r="I977" t="str">
        <f t="shared" si="45"/>
        <v>C2P11</v>
      </c>
    </row>
    <row r="978" spans="1:9">
      <c r="A978" t="str">
        <f>'Assemble Data'!B979</f>
        <v>P16</v>
      </c>
      <c r="B978" s="13">
        <f>IFERROR(SUMIF('Assemble Data'!K:K,'Assemble Data'!A979,'Assemble Data'!L:L),0)</f>
        <v>4680</v>
      </c>
      <c r="C978" s="13" t="str">
        <f>INDEX('Assemble Data'!$O$24:$O$1023,MATCH('Assemble Data'!A979,'Assemble Data'!$N$24:$N$1023,0))</f>
        <v>N2</v>
      </c>
      <c r="D978" s="13">
        <f>SUMIF('Assemble Data'!H:H,'Assemble Data'!A979,'Assemble Data'!I:I)</f>
        <v>4</v>
      </c>
      <c r="E978" s="13">
        <f>IFERROR(IF(AND('Assemble Data'!D979&lt;&gt;"",'Assemble Data'!D979&lt;&gt;B978),1,0),1)</f>
        <v>0</v>
      </c>
      <c r="F978" s="13">
        <f ca="1">IF('Assemble Data'!E979="",0,IF(ISERROR(FIND("INDEX",_xlfn.FORMULATEXT('Assemble Data'!E979),1)),1,0)+IFERROR(IF(AND('Assemble Data'!E979&lt;&gt;C978,'Assemble Data'!E979&lt;&gt;""),1,0),1))</f>
        <v>0</v>
      </c>
      <c r="G978" s="13">
        <f ca="1">IF('Assemble Data'!F979="",0,IF(ISERROR(FIND("VLOOKUP",_xlfn.FORMULATEXT('Assemble Data'!F979),1)),1,0)+IFERROR(IF(AND('Assemble Data'!F979&lt;&gt;D978,'Assemble Data'!F979&lt;&gt;""),1,0),1))</f>
        <v>0</v>
      </c>
      <c r="H978" s="13">
        <f t="shared" si="46"/>
        <v>0</v>
      </c>
      <c r="I978" t="str">
        <f t="shared" si="45"/>
        <v>N2P16</v>
      </c>
    </row>
    <row r="979" spans="1:9">
      <c r="A979" t="str">
        <f>'Assemble Data'!B980</f>
        <v>P17</v>
      </c>
      <c r="B979" s="13">
        <f>IFERROR(SUMIF('Assemble Data'!K:K,'Assemble Data'!A980,'Assemble Data'!L:L),0)</f>
        <v>13200.000000000002</v>
      </c>
      <c r="C979" s="13" t="str">
        <f>INDEX('Assemble Data'!$O$24:$O$1023,MATCH('Assemble Data'!A980,'Assemble Data'!$N$24:$N$1023,0))</f>
        <v>O2</v>
      </c>
      <c r="D979" s="13">
        <f>SUMIF('Assemble Data'!H:H,'Assemble Data'!A980,'Assemble Data'!I:I)</f>
        <v>12</v>
      </c>
      <c r="E979" s="13">
        <f>IFERROR(IF(AND('Assemble Data'!D980&lt;&gt;"",'Assemble Data'!D980&lt;&gt;B979),1,0),1)</f>
        <v>0</v>
      </c>
      <c r="F979" s="13">
        <f ca="1">IF('Assemble Data'!E980="",0,IF(ISERROR(FIND("INDEX",_xlfn.FORMULATEXT('Assemble Data'!E980),1)),1,0)+IFERROR(IF(AND('Assemble Data'!E980&lt;&gt;C979,'Assemble Data'!E980&lt;&gt;""),1,0),1))</f>
        <v>0</v>
      </c>
      <c r="G979" s="13">
        <f ca="1">IF('Assemble Data'!F980="",0,IF(ISERROR(FIND("VLOOKUP",_xlfn.FORMULATEXT('Assemble Data'!F980),1)),1,0)+IFERROR(IF(AND('Assemble Data'!F980&lt;&gt;D979,'Assemble Data'!F980&lt;&gt;""),1,0),1))</f>
        <v>0</v>
      </c>
      <c r="H979" s="13">
        <f t="shared" si="46"/>
        <v>6</v>
      </c>
      <c r="I979" t="str">
        <f t="shared" si="45"/>
        <v>O2P17</v>
      </c>
    </row>
    <row r="980" spans="1:9">
      <c r="A980" t="str">
        <f>'Assemble Data'!B981</f>
        <v>P17</v>
      </c>
      <c r="B980" s="13">
        <f>IFERROR(SUMIF('Assemble Data'!K:K,'Assemble Data'!A981,'Assemble Data'!L:L),0)</f>
        <v>13200.000000000002</v>
      </c>
      <c r="C980" s="13" t="str">
        <f>INDEX('Assemble Data'!$O$24:$O$1023,MATCH('Assemble Data'!A981,'Assemble Data'!$N$24:$N$1023,0))</f>
        <v>O2</v>
      </c>
      <c r="D980" s="13">
        <f>SUMIF('Assemble Data'!H:H,'Assemble Data'!A981,'Assemble Data'!I:I)</f>
        <v>12</v>
      </c>
      <c r="E980" s="13">
        <f>IFERROR(IF(AND('Assemble Data'!D981&lt;&gt;"",'Assemble Data'!D981&lt;&gt;B980),1,0),1)</f>
        <v>0</v>
      </c>
      <c r="F980" s="13">
        <f ca="1">IF('Assemble Data'!E981="",0,IF(ISERROR(FIND("INDEX",_xlfn.FORMULATEXT('Assemble Data'!E981),1)),1,0)+IFERROR(IF(AND('Assemble Data'!E981&lt;&gt;C980,'Assemble Data'!E981&lt;&gt;""),1,0),1))</f>
        <v>0</v>
      </c>
      <c r="G980" s="13">
        <f ca="1">IF('Assemble Data'!F981="",0,IF(ISERROR(FIND("VLOOKUP",_xlfn.FORMULATEXT('Assemble Data'!F981),1)),1,0)+IFERROR(IF(AND('Assemble Data'!F981&lt;&gt;D980,'Assemble Data'!F981&lt;&gt;""),1,0),1))</f>
        <v>0</v>
      </c>
      <c r="H980" s="13">
        <f t="shared" si="46"/>
        <v>6</v>
      </c>
      <c r="I980" t="str">
        <f t="shared" si="45"/>
        <v>O2P17</v>
      </c>
    </row>
    <row r="981" spans="1:9">
      <c r="A981" t="str">
        <f>'Assemble Data'!B982</f>
        <v>P13</v>
      </c>
      <c r="B981" s="13">
        <f>IFERROR(SUMIF('Assemble Data'!K:K,'Assemble Data'!A982,'Assemble Data'!L:L),0)</f>
        <v>4500</v>
      </c>
      <c r="C981" s="13" t="str">
        <f>INDEX('Assemble Data'!$O$24:$O$1023,MATCH('Assemble Data'!A982,'Assemble Data'!$N$24:$N$1023,0))</f>
        <v>C2</v>
      </c>
      <c r="D981" s="13">
        <f>SUMIF('Assemble Data'!H:H,'Assemble Data'!A982,'Assemble Data'!I:I)</f>
        <v>5</v>
      </c>
      <c r="E981" s="13">
        <f>IFERROR(IF(AND('Assemble Data'!D982&lt;&gt;"",'Assemble Data'!D982&lt;&gt;B981),1,0),1)</f>
        <v>0</v>
      </c>
      <c r="F981" s="13">
        <f ca="1">IF('Assemble Data'!E982="",0,IF(ISERROR(FIND("INDEX",_xlfn.FORMULATEXT('Assemble Data'!E982),1)),1,0)+IFERROR(IF(AND('Assemble Data'!E982&lt;&gt;C981,'Assemble Data'!E982&lt;&gt;""),1,0),1))</f>
        <v>0</v>
      </c>
      <c r="G981" s="13">
        <f ca="1">IF('Assemble Data'!F982="",0,IF(ISERROR(FIND("VLOOKUP",_xlfn.FORMULATEXT('Assemble Data'!F982),1)),1,0)+IFERROR(IF(AND('Assemble Data'!F982&lt;&gt;D981,'Assemble Data'!F982&lt;&gt;""),1,0),1))</f>
        <v>0</v>
      </c>
      <c r="H981" s="13">
        <f t="shared" si="46"/>
        <v>3</v>
      </c>
      <c r="I981" t="str">
        <f t="shared" si="45"/>
        <v>C2P13</v>
      </c>
    </row>
    <row r="982" spans="1:9">
      <c r="A982" t="str">
        <f>'Assemble Data'!B983</f>
        <v>P11</v>
      </c>
      <c r="B982" s="13">
        <f>IFERROR(SUMIF('Assemble Data'!K:K,'Assemble Data'!A983,'Assemble Data'!L:L),0)</f>
        <v>11000</v>
      </c>
      <c r="C982" s="13" t="str">
        <f>INDEX('Assemble Data'!$O$24:$O$1023,MATCH('Assemble Data'!A983,'Assemble Data'!$N$24:$N$1023,0))</f>
        <v>C2</v>
      </c>
      <c r="D982" s="13">
        <f>SUMIF('Assemble Data'!H:H,'Assemble Data'!A983,'Assemble Data'!I:I)</f>
        <v>11</v>
      </c>
      <c r="E982" s="13">
        <f>IFERROR(IF(AND('Assemble Data'!D983&lt;&gt;"",'Assemble Data'!D983&lt;&gt;B982),1,0),1)</f>
        <v>0</v>
      </c>
      <c r="F982" s="13">
        <f ca="1">IF('Assemble Data'!E983="",0,IF(ISERROR(FIND("INDEX",_xlfn.FORMULATEXT('Assemble Data'!E983),1)),1,0)+IFERROR(IF(AND('Assemble Data'!E983&lt;&gt;C982,'Assemble Data'!E983&lt;&gt;""),1,0),1))</f>
        <v>0</v>
      </c>
      <c r="G982" s="13">
        <f ca="1">IF('Assemble Data'!F983="",0,IF(ISERROR(FIND("VLOOKUP",_xlfn.FORMULATEXT('Assemble Data'!F983),1)),1,0)+IFERROR(IF(AND('Assemble Data'!F983&lt;&gt;D982,'Assemble Data'!F983&lt;&gt;""),1,0),1))</f>
        <v>0</v>
      </c>
      <c r="H982" s="13">
        <f t="shared" si="46"/>
        <v>9</v>
      </c>
      <c r="I982" t="str">
        <f t="shared" si="45"/>
        <v>C2P11</v>
      </c>
    </row>
    <row r="983" spans="1:9">
      <c r="A983" t="str">
        <f>'Assemble Data'!B984</f>
        <v>P11</v>
      </c>
      <c r="B983" s="13">
        <f>IFERROR(SUMIF('Assemble Data'!K:K,'Assemble Data'!A984,'Assemble Data'!L:L),0)</f>
        <v>11000</v>
      </c>
      <c r="C983" s="13" t="str">
        <f>INDEX('Assemble Data'!$O$24:$O$1023,MATCH('Assemble Data'!A984,'Assemble Data'!$N$24:$N$1023,0))</f>
        <v>C2</v>
      </c>
      <c r="D983" s="13">
        <f>SUMIF('Assemble Data'!H:H,'Assemble Data'!A984,'Assemble Data'!I:I)</f>
        <v>11</v>
      </c>
      <c r="E983" s="13">
        <f>IFERROR(IF(AND('Assemble Data'!D984&lt;&gt;"",'Assemble Data'!D984&lt;&gt;B983),1,0),1)</f>
        <v>0</v>
      </c>
      <c r="F983" s="13">
        <f ca="1">IF('Assemble Data'!E984="",0,IF(ISERROR(FIND("INDEX",_xlfn.FORMULATEXT('Assemble Data'!E984),1)),1,0)+IFERROR(IF(AND('Assemble Data'!E984&lt;&gt;C983,'Assemble Data'!E984&lt;&gt;""),1,0),1))</f>
        <v>0</v>
      </c>
      <c r="G983" s="13">
        <f ca="1">IF('Assemble Data'!F984="",0,IF(ISERROR(FIND("VLOOKUP",_xlfn.FORMULATEXT('Assemble Data'!F984),1)),1,0)+IFERROR(IF(AND('Assemble Data'!F984&lt;&gt;D983,'Assemble Data'!F984&lt;&gt;""),1,0),1))</f>
        <v>0</v>
      </c>
      <c r="H983" s="13">
        <f t="shared" si="46"/>
        <v>9</v>
      </c>
      <c r="I983" t="str">
        <f t="shared" si="45"/>
        <v>C2P11</v>
      </c>
    </row>
    <row r="984" spans="1:9">
      <c r="A984" t="str">
        <f>'Assemble Data'!B985</f>
        <v>P12</v>
      </c>
      <c r="B984" s="13">
        <f>IFERROR(SUMIF('Assemble Data'!K:K,'Assemble Data'!A985,'Assemble Data'!L:L),0)</f>
        <v>6825</v>
      </c>
      <c r="C984" s="13" t="str">
        <f>INDEX('Assemble Data'!$O$24:$O$1023,MATCH('Assemble Data'!A985,'Assemble Data'!$N$24:$N$1023,0))</f>
        <v>C2</v>
      </c>
      <c r="D984" s="13">
        <f>SUMIF('Assemble Data'!H:H,'Assemble Data'!A985,'Assemble Data'!I:I)</f>
        <v>6.5</v>
      </c>
      <c r="E984" s="13">
        <f>IFERROR(IF(AND('Assemble Data'!D985&lt;&gt;"",'Assemble Data'!D985&lt;&gt;B984),1,0),1)</f>
        <v>0</v>
      </c>
      <c r="F984" s="13">
        <f ca="1">IF('Assemble Data'!E985="",0,IF(ISERROR(FIND("INDEX",_xlfn.FORMULATEXT('Assemble Data'!E985),1)),1,0)+IFERROR(IF(AND('Assemble Data'!E985&lt;&gt;C984,'Assemble Data'!E985&lt;&gt;""),1,0),1))</f>
        <v>0</v>
      </c>
      <c r="G984" s="13">
        <f ca="1">IF('Assemble Data'!F985="",0,IF(ISERROR(FIND("VLOOKUP",_xlfn.FORMULATEXT('Assemble Data'!F985),1)),1,0)+IFERROR(IF(AND('Assemble Data'!F985&lt;&gt;D984,'Assemble Data'!F985&lt;&gt;""),1,0),1))</f>
        <v>0</v>
      </c>
      <c r="H984" s="13">
        <f t="shared" si="46"/>
        <v>7</v>
      </c>
      <c r="I984" t="str">
        <f t="shared" ref="I984:I1022" si="47">C984&amp;A984</f>
        <v>C2P12</v>
      </c>
    </row>
    <row r="985" spans="1:9">
      <c r="A985" t="str">
        <f>'Assemble Data'!B986</f>
        <v>P10</v>
      </c>
      <c r="B985" s="13">
        <f>IFERROR(SUMIF('Assemble Data'!K:K,'Assemble Data'!A986,'Assemble Data'!L:L),0)</f>
        <v>2400</v>
      </c>
      <c r="C985" s="13" t="str">
        <f>INDEX('Assemble Data'!$O$24:$O$1023,MATCH('Assemble Data'!A986,'Assemble Data'!$N$24:$N$1023,0))</f>
        <v>C2</v>
      </c>
      <c r="D985" s="13">
        <f>SUMIF('Assemble Data'!H:H,'Assemble Data'!A986,'Assemble Data'!I:I)</f>
        <v>3</v>
      </c>
      <c r="E985" s="13">
        <f>IFERROR(IF(AND('Assemble Data'!D986&lt;&gt;"",'Assemble Data'!D986&lt;&gt;B985),1,0),1)</f>
        <v>0</v>
      </c>
      <c r="F985" s="13">
        <f ca="1">IF('Assemble Data'!E986="",0,IF(ISERROR(FIND("INDEX",_xlfn.FORMULATEXT('Assemble Data'!E986),1)),1,0)+IFERROR(IF(AND('Assemble Data'!E986&lt;&gt;C985,'Assemble Data'!E986&lt;&gt;""),1,0),1))</f>
        <v>0</v>
      </c>
      <c r="G985" s="13">
        <f ca="1">IF('Assemble Data'!F986="",0,IF(ISERROR(FIND("VLOOKUP",_xlfn.FORMULATEXT('Assemble Data'!F986),1)),1,0)+IFERROR(IF(AND('Assemble Data'!F986&lt;&gt;D985,'Assemble Data'!F986&lt;&gt;""),1,0),1))</f>
        <v>0</v>
      </c>
      <c r="H985" s="13">
        <f t="shared" si="46"/>
        <v>8</v>
      </c>
      <c r="I985" t="str">
        <f t="shared" si="47"/>
        <v>C2P10</v>
      </c>
    </row>
    <row r="986" spans="1:9">
      <c r="A986" t="str">
        <f>'Assemble Data'!B987</f>
        <v>P10</v>
      </c>
      <c r="B986" s="13">
        <f>IFERROR(SUMIF('Assemble Data'!K:K,'Assemble Data'!A987,'Assemble Data'!L:L),0)</f>
        <v>2400</v>
      </c>
      <c r="C986" s="13" t="str">
        <f>INDEX('Assemble Data'!$O$24:$O$1023,MATCH('Assemble Data'!A987,'Assemble Data'!$N$24:$N$1023,0))</f>
        <v>C2</v>
      </c>
      <c r="D986" s="13">
        <f>SUMIF('Assemble Data'!H:H,'Assemble Data'!A987,'Assemble Data'!I:I)</f>
        <v>3</v>
      </c>
      <c r="E986" s="13">
        <f>IFERROR(IF(AND('Assemble Data'!D987&lt;&gt;"",'Assemble Data'!D987&lt;&gt;B986),1,0),1)</f>
        <v>0</v>
      </c>
      <c r="F986" s="13">
        <f ca="1">IF('Assemble Data'!E987="",0,IF(ISERROR(FIND("INDEX",_xlfn.FORMULATEXT('Assemble Data'!E987),1)),1,0)+IFERROR(IF(AND('Assemble Data'!E987&lt;&gt;C986,'Assemble Data'!E987&lt;&gt;""),1,0),1))</f>
        <v>0</v>
      </c>
      <c r="G986" s="13">
        <f ca="1">IF('Assemble Data'!F987="",0,IF(ISERROR(FIND("VLOOKUP",_xlfn.FORMULATEXT('Assemble Data'!F987),1)),1,0)+IFERROR(IF(AND('Assemble Data'!F987&lt;&gt;D986,'Assemble Data'!F987&lt;&gt;""),1,0),1))</f>
        <v>0</v>
      </c>
      <c r="H986" s="13">
        <f t="shared" si="46"/>
        <v>8</v>
      </c>
      <c r="I986" t="str">
        <f t="shared" si="47"/>
        <v>C2P10</v>
      </c>
    </row>
    <row r="987" spans="1:9">
      <c r="A987" t="str">
        <f>'Assemble Data'!B988</f>
        <v>P11</v>
      </c>
      <c r="B987" s="13">
        <f>IFERROR(SUMIF('Assemble Data'!K:K,'Assemble Data'!A988,'Assemble Data'!L:L),0)</f>
        <v>11000</v>
      </c>
      <c r="C987" s="13" t="str">
        <f>INDEX('Assemble Data'!$O$24:$O$1023,MATCH('Assemble Data'!A988,'Assemble Data'!$N$24:$N$1023,0))</f>
        <v>C2</v>
      </c>
      <c r="D987" s="13">
        <f>SUMIF('Assemble Data'!H:H,'Assemble Data'!A988,'Assemble Data'!I:I)</f>
        <v>11</v>
      </c>
      <c r="E987" s="13">
        <f>IFERROR(IF(AND('Assemble Data'!D988&lt;&gt;"",'Assemble Data'!D988&lt;&gt;B987),1,0),1)</f>
        <v>0</v>
      </c>
      <c r="F987" s="13">
        <f ca="1">IF('Assemble Data'!E988="",0,IF(ISERROR(FIND("INDEX",_xlfn.FORMULATEXT('Assemble Data'!E988),1)),1,0)+IFERROR(IF(AND('Assemble Data'!E988&lt;&gt;C987,'Assemble Data'!E988&lt;&gt;""),1,0),1))</f>
        <v>0</v>
      </c>
      <c r="G987" s="13">
        <f ca="1">IF('Assemble Data'!F988="",0,IF(ISERROR(FIND("VLOOKUP",_xlfn.FORMULATEXT('Assemble Data'!F988),1)),1,0)+IFERROR(IF(AND('Assemble Data'!F988&lt;&gt;D987,'Assemble Data'!F988&lt;&gt;""),1,0),1))</f>
        <v>0</v>
      </c>
      <c r="H987" s="13">
        <f t="shared" si="46"/>
        <v>9</v>
      </c>
      <c r="I987" t="str">
        <f t="shared" si="47"/>
        <v>C2P11</v>
      </c>
    </row>
    <row r="988" spans="1:9">
      <c r="A988" t="str">
        <f>'Assemble Data'!B989</f>
        <v>P18</v>
      </c>
      <c r="B988" s="13">
        <f>IFERROR(SUMIF('Assemble Data'!K:K,'Assemble Data'!A989,'Assemble Data'!L:L),0)</f>
        <v>5940.0000000000009</v>
      </c>
      <c r="C988" s="13" t="str">
        <f>INDEX('Assemble Data'!$O$24:$O$1023,MATCH('Assemble Data'!A989,'Assemble Data'!$N$24:$N$1023,0))</f>
        <v>O2</v>
      </c>
      <c r="D988" s="13">
        <f>SUMIF('Assemble Data'!H:H,'Assemble Data'!A989,'Assemble Data'!I:I)</f>
        <v>6</v>
      </c>
      <c r="E988" s="13">
        <f>IFERROR(IF(AND('Assemble Data'!D989&lt;&gt;"",'Assemble Data'!D989&lt;&gt;B988),1,0),1)</f>
        <v>0</v>
      </c>
      <c r="F988" s="13">
        <f ca="1">IF('Assemble Data'!E989="",0,IF(ISERROR(FIND("INDEX",_xlfn.FORMULATEXT('Assemble Data'!E989),1)),1,0)+IFERROR(IF(AND('Assemble Data'!E989&lt;&gt;C988,'Assemble Data'!E989&lt;&gt;""),1,0),1))</f>
        <v>0</v>
      </c>
      <c r="G988" s="13">
        <f ca="1">IF('Assemble Data'!F989="",0,IF(ISERROR(FIND("VLOOKUP",_xlfn.FORMULATEXT('Assemble Data'!F989),1)),1,0)+IFERROR(IF(AND('Assemble Data'!F989&lt;&gt;D988,'Assemble Data'!F989&lt;&gt;""),1,0),1))</f>
        <v>0</v>
      </c>
      <c r="H988" s="13">
        <f t="shared" si="46"/>
        <v>2</v>
      </c>
      <c r="I988" t="str">
        <f t="shared" si="47"/>
        <v>O2P18</v>
      </c>
    </row>
    <row r="989" spans="1:9">
      <c r="A989" t="str">
        <f>'Assemble Data'!B990</f>
        <v>P14</v>
      </c>
      <c r="B989" s="13">
        <f>IFERROR(SUMIF('Assemble Data'!K:K,'Assemble Data'!A990,'Assemble Data'!L:L),0)</f>
        <v>6480</v>
      </c>
      <c r="C989" s="13" t="str">
        <f>INDEX('Assemble Data'!$O$24:$O$1023,MATCH('Assemble Data'!A990,'Assemble Data'!$N$24:$N$1023,0))</f>
        <v>N2</v>
      </c>
      <c r="D989" s="13">
        <f>SUMIF('Assemble Data'!H:H,'Assemble Data'!A990,'Assemble Data'!I:I)</f>
        <v>8</v>
      </c>
      <c r="E989" s="13">
        <f>IFERROR(IF(AND('Assemble Data'!D990&lt;&gt;"",'Assemble Data'!D990&lt;&gt;B989),1,0),1)</f>
        <v>0</v>
      </c>
      <c r="F989" s="13">
        <f ca="1">IF('Assemble Data'!E990="",0,IF(ISERROR(FIND("INDEX",_xlfn.FORMULATEXT('Assemble Data'!E990),1)),1,0)+IFERROR(IF(AND('Assemble Data'!E990&lt;&gt;C989,'Assemble Data'!E990&lt;&gt;""),1,0),1))</f>
        <v>0</v>
      </c>
      <c r="G989" s="13">
        <f ca="1">IF('Assemble Data'!F990="",0,IF(ISERROR(FIND("VLOOKUP",_xlfn.FORMULATEXT('Assemble Data'!F990),1)),1,0)+IFERROR(IF(AND('Assemble Data'!F990&lt;&gt;D989,'Assemble Data'!F990&lt;&gt;""),1,0),1))</f>
        <v>0</v>
      </c>
      <c r="H989" s="13">
        <f t="shared" si="46"/>
        <v>5</v>
      </c>
      <c r="I989" t="str">
        <f t="shared" si="47"/>
        <v>N2P14</v>
      </c>
    </row>
    <row r="990" spans="1:9">
      <c r="A990" t="str">
        <f>'Assemble Data'!B991</f>
        <v>P10</v>
      </c>
      <c r="B990" s="13">
        <f>IFERROR(SUMIF('Assemble Data'!K:K,'Assemble Data'!A991,'Assemble Data'!L:L),0)</f>
        <v>2400</v>
      </c>
      <c r="C990" s="13" t="str">
        <f>INDEX('Assemble Data'!$O$24:$O$1023,MATCH('Assemble Data'!A991,'Assemble Data'!$N$24:$N$1023,0))</f>
        <v>C2</v>
      </c>
      <c r="D990" s="13">
        <f>SUMIF('Assemble Data'!H:H,'Assemble Data'!A991,'Assemble Data'!I:I)</f>
        <v>3</v>
      </c>
      <c r="E990" s="13">
        <f>IFERROR(IF(AND('Assemble Data'!D991&lt;&gt;"",'Assemble Data'!D991&lt;&gt;B990),1,0),1)</f>
        <v>0</v>
      </c>
      <c r="F990" s="13">
        <f ca="1">IF('Assemble Data'!E991="",0,IF(ISERROR(FIND("INDEX",_xlfn.FORMULATEXT('Assemble Data'!E991),1)),1,0)+IFERROR(IF(AND('Assemble Data'!E991&lt;&gt;C990,'Assemble Data'!E991&lt;&gt;""),1,0),1))</f>
        <v>0</v>
      </c>
      <c r="G990" s="13">
        <f ca="1">IF('Assemble Data'!F991="",0,IF(ISERROR(FIND("VLOOKUP",_xlfn.FORMULATEXT('Assemble Data'!F991),1)),1,0)+IFERROR(IF(AND('Assemble Data'!F991&lt;&gt;D990,'Assemble Data'!F991&lt;&gt;""),1,0),1))</f>
        <v>0</v>
      </c>
      <c r="H990" s="13">
        <f t="shared" si="46"/>
        <v>8</v>
      </c>
      <c r="I990" t="str">
        <f t="shared" si="47"/>
        <v>C2P10</v>
      </c>
    </row>
    <row r="991" spans="1:9">
      <c r="A991" t="str">
        <f>'Assemble Data'!B992</f>
        <v>P13</v>
      </c>
      <c r="B991" s="13">
        <f>IFERROR(SUMIF('Assemble Data'!K:K,'Assemble Data'!A992,'Assemble Data'!L:L),0)</f>
        <v>4500</v>
      </c>
      <c r="C991" s="13" t="str">
        <f>INDEX('Assemble Data'!$O$24:$O$1023,MATCH('Assemble Data'!A992,'Assemble Data'!$N$24:$N$1023,0))</f>
        <v>C2</v>
      </c>
      <c r="D991" s="13">
        <f>SUMIF('Assemble Data'!H:H,'Assemble Data'!A992,'Assemble Data'!I:I)</f>
        <v>5</v>
      </c>
      <c r="E991" s="13">
        <f>IFERROR(IF(AND('Assemble Data'!D992&lt;&gt;"",'Assemble Data'!D992&lt;&gt;B991),1,0),1)</f>
        <v>0</v>
      </c>
      <c r="F991" s="13">
        <f ca="1">IF('Assemble Data'!E992="",0,IF(ISERROR(FIND("INDEX",_xlfn.FORMULATEXT('Assemble Data'!E992),1)),1,0)+IFERROR(IF(AND('Assemble Data'!E992&lt;&gt;C991,'Assemble Data'!E992&lt;&gt;""),1,0),1))</f>
        <v>0</v>
      </c>
      <c r="G991" s="13">
        <f ca="1">IF('Assemble Data'!F992="",0,IF(ISERROR(FIND("VLOOKUP",_xlfn.FORMULATEXT('Assemble Data'!F992),1)),1,0)+IFERROR(IF(AND('Assemble Data'!F992&lt;&gt;D991,'Assemble Data'!F992&lt;&gt;""),1,0),1))</f>
        <v>0</v>
      </c>
      <c r="H991" s="13">
        <f t="shared" si="46"/>
        <v>3</v>
      </c>
      <c r="I991" t="str">
        <f t="shared" si="47"/>
        <v>C2P13</v>
      </c>
    </row>
    <row r="992" spans="1:9">
      <c r="A992" t="str">
        <f>'Assemble Data'!B993</f>
        <v>P13</v>
      </c>
      <c r="B992" s="13">
        <f>IFERROR(SUMIF('Assemble Data'!K:K,'Assemble Data'!A993,'Assemble Data'!L:L),0)</f>
        <v>3600</v>
      </c>
      <c r="C992" s="13" t="str">
        <f>INDEX('Assemble Data'!$O$24:$O$1023,MATCH('Assemble Data'!A993,'Assemble Data'!$N$24:$N$1023,0))</f>
        <v>C3</v>
      </c>
      <c r="D992" s="13">
        <f>SUMIF('Assemble Data'!H:H,'Assemble Data'!A993,'Assemble Data'!I:I)</f>
        <v>5</v>
      </c>
      <c r="E992" s="13">
        <f>IFERROR(IF(AND('Assemble Data'!D993&lt;&gt;"",'Assemble Data'!D993&lt;&gt;B992),1,0),1)</f>
        <v>0</v>
      </c>
      <c r="F992" s="13">
        <f ca="1">IF('Assemble Data'!E993="",0,IF(ISERROR(FIND("INDEX",_xlfn.FORMULATEXT('Assemble Data'!E993),1)),1,0)+IFERROR(IF(AND('Assemble Data'!E993&lt;&gt;C992,'Assemble Data'!E993&lt;&gt;""),1,0),1))</f>
        <v>0</v>
      </c>
      <c r="G992" s="13">
        <f ca="1">IF('Assemble Data'!F993="",0,IF(ISERROR(FIND("VLOOKUP",_xlfn.FORMULATEXT('Assemble Data'!F993),1)),1,0)+IFERROR(IF(AND('Assemble Data'!F993&lt;&gt;D992,'Assemble Data'!F993&lt;&gt;""),1,0),1))</f>
        <v>0</v>
      </c>
      <c r="H992" s="13">
        <f t="shared" si="46"/>
        <v>3</v>
      </c>
      <c r="I992" t="str">
        <f t="shared" si="47"/>
        <v>C3P13</v>
      </c>
    </row>
    <row r="993" spans="1:9">
      <c r="A993" t="str">
        <f>'Assemble Data'!B994</f>
        <v>P10</v>
      </c>
      <c r="B993" s="13">
        <f>IFERROR(SUMIF('Assemble Data'!K:K,'Assemble Data'!A994,'Assemble Data'!L:L),0)</f>
        <v>1920</v>
      </c>
      <c r="C993" s="13" t="str">
        <f>INDEX('Assemble Data'!$O$24:$O$1023,MATCH('Assemble Data'!A994,'Assemble Data'!$N$24:$N$1023,0))</f>
        <v>C3</v>
      </c>
      <c r="D993" s="13">
        <f>SUMIF('Assemble Data'!H:H,'Assemble Data'!A994,'Assemble Data'!I:I)</f>
        <v>3</v>
      </c>
      <c r="E993" s="13">
        <f>IFERROR(IF(AND('Assemble Data'!D994&lt;&gt;"",'Assemble Data'!D994&lt;&gt;B993),1,0),1)</f>
        <v>0</v>
      </c>
      <c r="F993" s="13">
        <f ca="1">IF('Assemble Data'!E994="",0,IF(ISERROR(FIND("INDEX",_xlfn.FORMULATEXT('Assemble Data'!E994),1)),1,0)+IFERROR(IF(AND('Assemble Data'!E994&lt;&gt;C993,'Assemble Data'!E994&lt;&gt;""),1,0),1))</f>
        <v>0</v>
      </c>
      <c r="G993" s="13">
        <f ca="1">IF('Assemble Data'!F994="",0,IF(ISERROR(FIND("VLOOKUP",_xlfn.FORMULATEXT('Assemble Data'!F994),1)),1,0)+IFERROR(IF(AND('Assemble Data'!F994&lt;&gt;D993,'Assemble Data'!F994&lt;&gt;""),1,0),1))</f>
        <v>0</v>
      </c>
      <c r="H993" s="13">
        <f t="shared" si="46"/>
        <v>8</v>
      </c>
      <c r="I993" t="str">
        <f t="shared" si="47"/>
        <v>C3P10</v>
      </c>
    </row>
    <row r="994" spans="1:9">
      <c r="A994" t="str">
        <f>'Assemble Data'!B995</f>
        <v>P11</v>
      </c>
      <c r="B994" s="13">
        <f>IFERROR(SUMIF('Assemble Data'!K:K,'Assemble Data'!A995,'Assemble Data'!L:L),0)</f>
        <v>8800</v>
      </c>
      <c r="C994" s="13" t="str">
        <f>INDEX('Assemble Data'!$O$24:$O$1023,MATCH('Assemble Data'!A995,'Assemble Data'!$N$24:$N$1023,0))</f>
        <v>C3</v>
      </c>
      <c r="D994" s="13">
        <f>SUMIF('Assemble Data'!H:H,'Assemble Data'!A995,'Assemble Data'!I:I)</f>
        <v>11</v>
      </c>
      <c r="E994" s="13">
        <f>IFERROR(IF(AND('Assemble Data'!D995&lt;&gt;"",'Assemble Data'!D995&lt;&gt;B994),1,0),1)</f>
        <v>0</v>
      </c>
      <c r="F994" s="13">
        <f ca="1">IF('Assemble Data'!E995="",0,IF(ISERROR(FIND("INDEX",_xlfn.FORMULATEXT('Assemble Data'!E995),1)),1,0)+IFERROR(IF(AND('Assemble Data'!E995&lt;&gt;C994,'Assemble Data'!E995&lt;&gt;""),1,0),1))</f>
        <v>0</v>
      </c>
      <c r="G994" s="13">
        <f ca="1">IF('Assemble Data'!F995="",0,IF(ISERROR(FIND("VLOOKUP",_xlfn.FORMULATEXT('Assemble Data'!F995),1)),1,0)+IFERROR(IF(AND('Assemble Data'!F995&lt;&gt;D994,'Assemble Data'!F995&lt;&gt;""),1,0),1))</f>
        <v>0</v>
      </c>
      <c r="H994" s="13">
        <f t="shared" si="46"/>
        <v>9</v>
      </c>
      <c r="I994" t="str">
        <f t="shared" si="47"/>
        <v>C3P11</v>
      </c>
    </row>
    <row r="995" spans="1:9">
      <c r="A995" t="str">
        <f>'Assemble Data'!B996</f>
        <v>P16</v>
      </c>
      <c r="B995" s="13">
        <f>IFERROR(SUMIF('Assemble Data'!K:K,'Assemble Data'!A996,'Assemble Data'!L:L),0)</f>
        <v>5200</v>
      </c>
      <c r="C995" s="13" t="str">
        <f>INDEX('Assemble Data'!$O$24:$O$1023,MATCH('Assemble Data'!A996,'Assemble Data'!$N$24:$N$1023,0))</f>
        <v>N3</v>
      </c>
      <c r="D995" s="13">
        <f>SUMIF('Assemble Data'!H:H,'Assemble Data'!A996,'Assemble Data'!I:I)</f>
        <v>4</v>
      </c>
      <c r="E995" s="13">
        <f>IFERROR(IF(AND('Assemble Data'!D996&lt;&gt;"",'Assemble Data'!D996&lt;&gt;B995),1,0),1)</f>
        <v>0</v>
      </c>
      <c r="F995" s="13">
        <f ca="1">IF('Assemble Data'!E996="",0,IF(ISERROR(FIND("INDEX",_xlfn.FORMULATEXT('Assemble Data'!E996),1)),1,0)+IFERROR(IF(AND('Assemble Data'!E996&lt;&gt;C995,'Assemble Data'!E996&lt;&gt;""),1,0),1))</f>
        <v>0</v>
      </c>
      <c r="G995" s="13">
        <f ca="1">IF('Assemble Data'!F996="",0,IF(ISERROR(FIND("VLOOKUP",_xlfn.FORMULATEXT('Assemble Data'!F996),1)),1,0)+IFERROR(IF(AND('Assemble Data'!F996&lt;&gt;D995,'Assemble Data'!F996&lt;&gt;""),1,0),1))</f>
        <v>0</v>
      </c>
      <c r="H995" s="13">
        <f t="shared" si="46"/>
        <v>0</v>
      </c>
      <c r="I995" t="str">
        <f t="shared" si="47"/>
        <v>N3P16</v>
      </c>
    </row>
    <row r="996" spans="1:9">
      <c r="A996" t="str">
        <f>'Assemble Data'!B997</f>
        <v>P17</v>
      </c>
      <c r="B996" s="13">
        <f>IFERROR(SUMIF('Assemble Data'!K:K,'Assemble Data'!A997,'Assemble Data'!L:L),0)</f>
        <v>9600</v>
      </c>
      <c r="C996" s="13" t="str">
        <f>INDEX('Assemble Data'!$O$24:$O$1023,MATCH('Assemble Data'!A997,'Assemble Data'!$N$24:$N$1023,0))</f>
        <v>O3</v>
      </c>
      <c r="D996" s="13">
        <f>SUMIF('Assemble Data'!H:H,'Assemble Data'!A997,'Assemble Data'!I:I)</f>
        <v>12</v>
      </c>
      <c r="E996" s="13">
        <f>IFERROR(IF(AND('Assemble Data'!D997&lt;&gt;"",'Assemble Data'!D997&lt;&gt;B996),1,0),1)</f>
        <v>0</v>
      </c>
      <c r="F996" s="13">
        <f ca="1">IF('Assemble Data'!E997="",0,IF(ISERROR(FIND("INDEX",_xlfn.FORMULATEXT('Assemble Data'!E997),1)),1,0)+IFERROR(IF(AND('Assemble Data'!E997&lt;&gt;C996,'Assemble Data'!E997&lt;&gt;""),1,0),1))</f>
        <v>0</v>
      </c>
      <c r="G996" s="13">
        <f ca="1">IF('Assemble Data'!F997="",0,IF(ISERROR(FIND("VLOOKUP",_xlfn.FORMULATEXT('Assemble Data'!F997),1)),1,0)+IFERROR(IF(AND('Assemble Data'!F997&lt;&gt;D996,'Assemble Data'!F997&lt;&gt;""),1,0),1))</f>
        <v>0</v>
      </c>
      <c r="H996" s="13">
        <f t="shared" si="46"/>
        <v>6</v>
      </c>
      <c r="I996" t="str">
        <f t="shared" si="47"/>
        <v>O3P17</v>
      </c>
    </row>
    <row r="997" spans="1:9">
      <c r="A997" t="str">
        <f>'Assemble Data'!B998</f>
        <v>P17</v>
      </c>
      <c r="B997" s="13">
        <f>IFERROR(SUMIF('Assemble Data'!K:K,'Assemble Data'!A998,'Assemble Data'!L:L),0)</f>
        <v>9600</v>
      </c>
      <c r="C997" s="13" t="str">
        <f>INDEX('Assemble Data'!$O$24:$O$1023,MATCH('Assemble Data'!A998,'Assemble Data'!$N$24:$N$1023,0))</f>
        <v>O3</v>
      </c>
      <c r="D997" s="13">
        <f>SUMIF('Assemble Data'!H:H,'Assemble Data'!A998,'Assemble Data'!I:I)</f>
        <v>12</v>
      </c>
      <c r="E997" s="13">
        <f>IFERROR(IF(AND('Assemble Data'!D998&lt;&gt;"",'Assemble Data'!D998&lt;&gt;B997),1,0),1)</f>
        <v>0</v>
      </c>
      <c r="F997" s="13">
        <f ca="1">IF('Assemble Data'!E998="",0,IF(ISERROR(FIND("INDEX",_xlfn.FORMULATEXT('Assemble Data'!E998),1)),1,0)+IFERROR(IF(AND('Assemble Data'!E998&lt;&gt;C997,'Assemble Data'!E998&lt;&gt;""),1,0),1))</f>
        <v>0</v>
      </c>
      <c r="G997" s="13">
        <f ca="1">IF('Assemble Data'!F998="",0,IF(ISERROR(FIND("VLOOKUP",_xlfn.FORMULATEXT('Assemble Data'!F998),1)),1,0)+IFERROR(IF(AND('Assemble Data'!F998&lt;&gt;D997,'Assemble Data'!F998&lt;&gt;""),1,0),1))</f>
        <v>0</v>
      </c>
      <c r="H997" s="13">
        <f t="shared" si="46"/>
        <v>6</v>
      </c>
      <c r="I997" t="str">
        <f t="shared" si="47"/>
        <v>O3P17</v>
      </c>
    </row>
    <row r="998" spans="1:9">
      <c r="A998" t="str">
        <f>'Assemble Data'!B999</f>
        <v>P13</v>
      </c>
      <c r="B998" s="13">
        <f>IFERROR(SUMIF('Assemble Data'!K:K,'Assemble Data'!A999,'Assemble Data'!L:L),0)</f>
        <v>3600</v>
      </c>
      <c r="C998" s="13" t="str">
        <f>INDEX('Assemble Data'!$O$24:$O$1023,MATCH('Assemble Data'!A999,'Assemble Data'!$N$24:$N$1023,0))</f>
        <v>C3</v>
      </c>
      <c r="D998" s="13">
        <f>SUMIF('Assemble Data'!H:H,'Assemble Data'!A999,'Assemble Data'!I:I)</f>
        <v>5</v>
      </c>
      <c r="E998" s="13">
        <f>IFERROR(IF(AND('Assemble Data'!D999&lt;&gt;"",'Assemble Data'!D999&lt;&gt;B998),1,0),1)</f>
        <v>0</v>
      </c>
      <c r="F998" s="13">
        <f ca="1">IF('Assemble Data'!E999="",0,IF(ISERROR(FIND("INDEX",_xlfn.FORMULATEXT('Assemble Data'!E999),1)),1,0)+IFERROR(IF(AND('Assemble Data'!E999&lt;&gt;C998,'Assemble Data'!E999&lt;&gt;""),1,0),1))</f>
        <v>0</v>
      </c>
      <c r="G998" s="13">
        <f ca="1">IF('Assemble Data'!F999="",0,IF(ISERROR(FIND("VLOOKUP",_xlfn.FORMULATEXT('Assemble Data'!F999),1)),1,0)+IFERROR(IF(AND('Assemble Data'!F999&lt;&gt;D998,'Assemble Data'!F999&lt;&gt;""),1,0),1))</f>
        <v>0</v>
      </c>
      <c r="H998" s="13">
        <f t="shared" si="46"/>
        <v>3</v>
      </c>
      <c r="I998" t="str">
        <f t="shared" si="47"/>
        <v>C3P13</v>
      </c>
    </row>
    <row r="999" spans="1:9">
      <c r="A999" t="str">
        <f>'Assemble Data'!B1000</f>
        <v>P11</v>
      </c>
      <c r="B999" s="13">
        <f>IFERROR(SUMIF('Assemble Data'!K:K,'Assemble Data'!A1000,'Assemble Data'!L:L),0)</f>
        <v>8800</v>
      </c>
      <c r="C999" s="13" t="str">
        <f>INDEX('Assemble Data'!$O$24:$O$1023,MATCH('Assemble Data'!A1000,'Assemble Data'!$N$24:$N$1023,0))</f>
        <v>C3</v>
      </c>
      <c r="D999" s="13">
        <f>SUMIF('Assemble Data'!H:H,'Assemble Data'!A1000,'Assemble Data'!I:I)</f>
        <v>11</v>
      </c>
      <c r="E999" s="13">
        <f>IFERROR(IF(AND('Assemble Data'!D1000&lt;&gt;"",'Assemble Data'!D1000&lt;&gt;B999),1,0),1)</f>
        <v>0</v>
      </c>
      <c r="F999" s="13">
        <f ca="1">IF('Assemble Data'!E1000="",0,IF(ISERROR(FIND("INDEX",_xlfn.FORMULATEXT('Assemble Data'!E1000),1)),1,0)+IFERROR(IF(AND('Assemble Data'!E1000&lt;&gt;C999,'Assemble Data'!E1000&lt;&gt;""),1,0),1))</f>
        <v>0</v>
      </c>
      <c r="G999" s="13">
        <f ca="1">IF('Assemble Data'!F1000="",0,IF(ISERROR(FIND("VLOOKUP",_xlfn.FORMULATEXT('Assemble Data'!F1000),1)),1,0)+IFERROR(IF(AND('Assemble Data'!F1000&lt;&gt;D999,'Assemble Data'!F1000&lt;&gt;""),1,0),1))</f>
        <v>0</v>
      </c>
      <c r="H999" s="13">
        <f t="shared" si="46"/>
        <v>9</v>
      </c>
      <c r="I999" t="str">
        <f t="shared" si="47"/>
        <v>C3P11</v>
      </c>
    </row>
    <row r="1000" spans="1:9">
      <c r="A1000" t="str">
        <f>'Assemble Data'!B1001</f>
        <v>P11</v>
      </c>
      <c r="B1000" s="13">
        <f>IFERROR(SUMIF('Assemble Data'!K:K,'Assemble Data'!A1001,'Assemble Data'!L:L),0)</f>
        <v>8800</v>
      </c>
      <c r="C1000" s="13" t="str">
        <f>INDEX('Assemble Data'!$O$24:$O$1023,MATCH('Assemble Data'!A1001,'Assemble Data'!$N$24:$N$1023,0))</f>
        <v>C3</v>
      </c>
      <c r="D1000" s="13">
        <f>SUMIF('Assemble Data'!H:H,'Assemble Data'!A1001,'Assemble Data'!I:I)</f>
        <v>11</v>
      </c>
      <c r="E1000" s="13">
        <f>IFERROR(IF(AND('Assemble Data'!D1001&lt;&gt;"",'Assemble Data'!D1001&lt;&gt;B1000),1,0),1)</f>
        <v>0</v>
      </c>
      <c r="F1000" s="13">
        <f ca="1">IF('Assemble Data'!E1001="",0,IF(ISERROR(FIND("INDEX",_xlfn.FORMULATEXT('Assemble Data'!E1001),1)),1,0)+IFERROR(IF(AND('Assemble Data'!E1001&lt;&gt;C1000,'Assemble Data'!E1001&lt;&gt;""),1,0),1))</f>
        <v>0</v>
      </c>
      <c r="G1000" s="13">
        <f ca="1">IF('Assemble Data'!F1001="",0,IF(ISERROR(FIND("VLOOKUP",_xlfn.FORMULATEXT('Assemble Data'!F1001),1)),1,0)+IFERROR(IF(AND('Assemble Data'!F1001&lt;&gt;D1000,'Assemble Data'!F1001&lt;&gt;""),1,0),1))</f>
        <v>0</v>
      </c>
      <c r="H1000" s="13">
        <f t="shared" si="46"/>
        <v>9</v>
      </c>
      <c r="I1000" t="str">
        <f t="shared" si="47"/>
        <v>C3P11</v>
      </c>
    </row>
    <row r="1001" spans="1:9">
      <c r="A1001" t="str">
        <f>'Assemble Data'!B1002</f>
        <v>P12</v>
      </c>
      <c r="B1001" s="13">
        <f>IFERROR(SUMIF('Assemble Data'!K:K,'Assemble Data'!A1002,'Assemble Data'!L:L),0)</f>
        <v>5460</v>
      </c>
      <c r="C1001" s="13" t="str">
        <f>INDEX('Assemble Data'!$O$24:$O$1023,MATCH('Assemble Data'!A1002,'Assemble Data'!$N$24:$N$1023,0))</f>
        <v>C3</v>
      </c>
      <c r="D1001" s="13">
        <f>SUMIF('Assemble Data'!H:H,'Assemble Data'!A1002,'Assemble Data'!I:I)</f>
        <v>6.5</v>
      </c>
      <c r="E1001" s="13">
        <f>IFERROR(IF(AND('Assemble Data'!D1002&lt;&gt;"",'Assemble Data'!D1002&lt;&gt;B1001),1,0),1)</f>
        <v>0</v>
      </c>
      <c r="F1001" s="13">
        <f ca="1">IF('Assemble Data'!E1002="",0,IF(ISERROR(FIND("INDEX",_xlfn.FORMULATEXT('Assemble Data'!E1002),1)),1,0)+IFERROR(IF(AND('Assemble Data'!E1002&lt;&gt;C1001,'Assemble Data'!E1002&lt;&gt;""),1,0),1))</f>
        <v>0</v>
      </c>
      <c r="G1001" s="13">
        <f ca="1">IF('Assemble Data'!F1002="",0,IF(ISERROR(FIND("VLOOKUP",_xlfn.FORMULATEXT('Assemble Data'!F1002),1)),1,0)+IFERROR(IF(AND('Assemble Data'!F1002&lt;&gt;D1001,'Assemble Data'!F1002&lt;&gt;""),1,0),1))</f>
        <v>0</v>
      </c>
      <c r="H1001" s="13">
        <f t="shared" si="46"/>
        <v>7</v>
      </c>
      <c r="I1001" t="str">
        <f t="shared" si="47"/>
        <v>C3P12</v>
      </c>
    </row>
    <row r="1002" spans="1:9">
      <c r="A1002" t="str">
        <f>'Assemble Data'!B1003</f>
        <v>P10</v>
      </c>
      <c r="B1002" s="13">
        <f>IFERROR(SUMIF('Assemble Data'!K:K,'Assemble Data'!A1003,'Assemble Data'!L:L),0)</f>
        <v>1920</v>
      </c>
      <c r="C1002" s="13" t="str">
        <f>INDEX('Assemble Data'!$O$24:$O$1023,MATCH('Assemble Data'!A1003,'Assemble Data'!$N$24:$N$1023,0))</f>
        <v>C3</v>
      </c>
      <c r="D1002" s="13">
        <f>SUMIF('Assemble Data'!H:H,'Assemble Data'!A1003,'Assemble Data'!I:I)</f>
        <v>3</v>
      </c>
      <c r="E1002" s="13">
        <f>IFERROR(IF(AND('Assemble Data'!D1003&lt;&gt;"",'Assemble Data'!D1003&lt;&gt;B1002),1,0),1)</f>
        <v>0</v>
      </c>
      <c r="F1002" s="13">
        <f ca="1">IF('Assemble Data'!E1003="",0,IF(ISERROR(FIND("INDEX",_xlfn.FORMULATEXT('Assemble Data'!E1003),1)),1,0)+IFERROR(IF(AND('Assemble Data'!E1003&lt;&gt;C1002,'Assemble Data'!E1003&lt;&gt;""),1,0),1))</f>
        <v>0</v>
      </c>
      <c r="G1002" s="13">
        <f ca="1">IF('Assemble Data'!F1003="",0,IF(ISERROR(FIND("VLOOKUP",_xlfn.FORMULATEXT('Assemble Data'!F1003),1)),1,0)+IFERROR(IF(AND('Assemble Data'!F1003&lt;&gt;D1002,'Assemble Data'!F1003&lt;&gt;""),1,0),1))</f>
        <v>0</v>
      </c>
      <c r="H1002" s="13">
        <f t="shared" si="46"/>
        <v>8</v>
      </c>
      <c r="I1002" t="str">
        <f t="shared" si="47"/>
        <v>C3P10</v>
      </c>
    </row>
    <row r="1003" spans="1:9">
      <c r="A1003" t="str">
        <f>'Assemble Data'!B1004</f>
        <v>P10</v>
      </c>
      <c r="B1003" s="13">
        <f>IFERROR(SUMIF('Assemble Data'!K:K,'Assemble Data'!A1004,'Assemble Data'!L:L),0)</f>
        <v>1920</v>
      </c>
      <c r="C1003" s="13" t="str">
        <f>INDEX('Assemble Data'!$O$24:$O$1023,MATCH('Assemble Data'!A1004,'Assemble Data'!$N$24:$N$1023,0))</f>
        <v>C3</v>
      </c>
      <c r="D1003" s="13">
        <f>SUMIF('Assemble Data'!H:H,'Assemble Data'!A1004,'Assemble Data'!I:I)</f>
        <v>3</v>
      </c>
      <c r="E1003" s="13">
        <f>IFERROR(IF(AND('Assemble Data'!D1004&lt;&gt;"",'Assemble Data'!D1004&lt;&gt;B1003),1,0),1)</f>
        <v>0</v>
      </c>
      <c r="F1003" s="13">
        <f ca="1">IF('Assemble Data'!E1004="",0,IF(ISERROR(FIND("INDEX",_xlfn.FORMULATEXT('Assemble Data'!E1004),1)),1,0)+IFERROR(IF(AND('Assemble Data'!E1004&lt;&gt;C1003,'Assemble Data'!E1004&lt;&gt;""),1,0),1))</f>
        <v>0</v>
      </c>
      <c r="G1003" s="13">
        <f ca="1">IF('Assemble Data'!F1004="",0,IF(ISERROR(FIND("VLOOKUP",_xlfn.FORMULATEXT('Assemble Data'!F1004),1)),1,0)+IFERROR(IF(AND('Assemble Data'!F1004&lt;&gt;D1003,'Assemble Data'!F1004&lt;&gt;""),1,0),1))</f>
        <v>0</v>
      </c>
      <c r="H1003" s="13">
        <f t="shared" si="46"/>
        <v>8</v>
      </c>
      <c r="I1003" t="str">
        <f t="shared" si="47"/>
        <v>C3P10</v>
      </c>
    </row>
    <row r="1004" spans="1:9">
      <c r="A1004" t="str">
        <f>'Assemble Data'!B1005</f>
        <v>P11</v>
      </c>
      <c r="B1004" s="13">
        <f>IFERROR(SUMIF('Assemble Data'!K:K,'Assemble Data'!A1005,'Assemble Data'!L:L),0)</f>
        <v>8800</v>
      </c>
      <c r="C1004" s="13" t="str">
        <f>INDEX('Assemble Data'!$O$24:$O$1023,MATCH('Assemble Data'!A1005,'Assemble Data'!$N$24:$N$1023,0))</f>
        <v>C3</v>
      </c>
      <c r="D1004" s="13">
        <f>SUMIF('Assemble Data'!H:H,'Assemble Data'!A1005,'Assemble Data'!I:I)</f>
        <v>11</v>
      </c>
      <c r="E1004" s="13">
        <f>IFERROR(IF(AND('Assemble Data'!D1005&lt;&gt;"",'Assemble Data'!D1005&lt;&gt;B1004),1,0),1)</f>
        <v>0</v>
      </c>
      <c r="F1004" s="13">
        <f ca="1">IF('Assemble Data'!E1005="",0,IF(ISERROR(FIND("INDEX",_xlfn.FORMULATEXT('Assemble Data'!E1005),1)),1,0)+IFERROR(IF(AND('Assemble Data'!E1005&lt;&gt;C1004,'Assemble Data'!E1005&lt;&gt;""),1,0),1))</f>
        <v>0</v>
      </c>
      <c r="G1004" s="13">
        <f ca="1">IF('Assemble Data'!F1005="",0,IF(ISERROR(FIND("VLOOKUP",_xlfn.FORMULATEXT('Assemble Data'!F1005),1)),1,0)+IFERROR(IF(AND('Assemble Data'!F1005&lt;&gt;D1004,'Assemble Data'!F1005&lt;&gt;""),1,0),1))</f>
        <v>0</v>
      </c>
      <c r="H1004" s="13">
        <f t="shared" si="46"/>
        <v>9</v>
      </c>
      <c r="I1004" t="str">
        <f t="shared" si="47"/>
        <v>C3P11</v>
      </c>
    </row>
    <row r="1005" spans="1:9">
      <c r="A1005" t="str">
        <f>'Assemble Data'!B1006</f>
        <v>P18</v>
      </c>
      <c r="B1005" s="13">
        <f>IFERROR(SUMIF('Assemble Data'!K:K,'Assemble Data'!A1006,'Assemble Data'!L:L),0)</f>
        <v>4320</v>
      </c>
      <c r="C1005" s="13" t="str">
        <f>INDEX('Assemble Data'!$O$24:$O$1023,MATCH('Assemble Data'!A1006,'Assemble Data'!$N$24:$N$1023,0))</f>
        <v>O3</v>
      </c>
      <c r="D1005" s="13">
        <f>SUMIF('Assemble Data'!H:H,'Assemble Data'!A1006,'Assemble Data'!I:I)</f>
        <v>6</v>
      </c>
      <c r="E1005" s="13">
        <f>IFERROR(IF(AND('Assemble Data'!D1006&lt;&gt;"",'Assemble Data'!D1006&lt;&gt;B1005),1,0),1)</f>
        <v>0</v>
      </c>
      <c r="F1005" s="13">
        <f ca="1">IF('Assemble Data'!E1006="",0,IF(ISERROR(FIND("INDEX",_xlfn.FORMULATEXT('Assemble Data'!E1006),1)),1,0)+IFERROR(IF(AND('Assemble Data'!E1006&lt;&gt;C1005,'Assemble Data'!E1006&lt;&gt;""),1,0),1))</f>
        <v>0</v>
      </c>
      <c r="G1005" s="13">
        <f ca="1">IF('Assemble Data'!F1006="",0,IF(ISERROR(FIND("VLOOKUP",_xlfn.FORMULATEXT('Assemble Data'!F1006),1)),1,0)+IFERROR(IF(AND('Assemble Data'!F1006&lt;&gt;D1005,'Assemble Data'!F1006&lt;&gt;""),1,0),1))</f>
        <v>0</v>
      </c>
      <c r="H1005" s="13">
        <f t="shared" si="46"/>
        <v>2</v>
      </c>
      <c r="I1005" t="str">
        <f t="shared" si="47"/>
        <v>O3P18</v>
      </c>
    </row>
    <row r="1006" spans="1:9">
      <c r="A1006" t="str">
        <f>'Assemble Data'!B1007</f>
        <v>P14</v>
      </c>
      <c r="B1006" s="13">
        <f>IFERROR(SUMIF('Assemble Data'!K:K,'Assemble Data'!A1007,'Assemble Data'!L:L),0)</f>
        <v>7200</v>
      </c>
      <c r="C1006" s="13" t="str">
        <f>INDEX('Assemble Data'!$O$24:$O$1023,MATCH('Assemble Data'!A1007,'Assemble Data'!$N$24:$N$1023,0))</f>
        <v>N3</v>
      </c>
      <c r="D1006" s="13">
        <f>SUMIF('Assemble Data'!H:H,'Assemble Data'!A1007,'Assemble Data'!I:I)</f>
        <v>8</v>
      </c>
      <c r="E1006" s="13">
        <f>IFERROR(IF(AND('Assemble Data'!D1007&lt;&gt;"",'Assemble Data'!D1007&lt;&gt;B1006),1,0),1)</f>
        <v>0</v>
      </c>
      <c r="F1006" s="13">
        <f ca="1">IF('Assemble Data'!E1007="",0,IF(ISERROR(FIND("INDEX",_xlfn.FORMULATEXT('Assemble Data'!E1007),1)),1,0)+IFERROR(IF(AND('Assemble Data'!E1007&lt;&gt;C1006,'Assemble Data'!E1007&lt;&gt;""),1,0),1))</f>
        <v>0</v>
      </c>
      <c r="G1006" s="13">
        <f ca="1">IF('Assemble Data'!F1007="",0,IF(ISERROR(FIND("VLOOKUP",_xlfn.FORMULATEXT('Assemble Data'!F1007),1)),1,0)+IFERROR(IF(AND('Assemble Data'!F1007&lt;&gt;D1006,'Assemble Data'!F1007&lt;&gt;""),1,0),1))</f>
        <v>0</v>
      </c>
      <c r="H1006" s="13">
        <f t="shared" si="46"/>
        <v>5</v>
      </c>
      <c r="I1006" t="str">
        <f t="shared" si="47"/>
        <v>N3P14</v>
      </c>
    </row>
    <row r="1007" spans="1:9">
      <c r="A1007" t="str">
        <f>'Assemble Data'!B1008</f>
        <v>P10</v>
      </c>
      <c r="B1007" s="13">
        <f>IFERROR(SUMIF('Assemble Data'!K:K,'Assemble Data'!A1008,'Assemble Data'!L:L),0)</f>
        <v>1920</v>
      </c>
      <c r="C1007" s="13" t="str">
        <f>INDEX('Assemble Data'!$O$24:$O$1023,MATCH('Assemble Data'!A1008,'Assemble Data'!$N$24:$N$1023,0))</f>
        <v>C3</v>
      </c>
      <c r="D1007" s="13">
        <f>SUMIF('Assemble Data'!H:H,'Assemble Data'!A1008,'Assemble Data'!I:I)</f>
        <v>3</v>
      </c>
      <c r="E1007" s="13">
        <f>IFERROR(IF(AND('Assemble Data'!D1008&lt;&gt;"",'Assemble Data'!D1008&lt;&gt;B1007),1,0),1)</f>
        <v>0</v>
      </c>
      <c r="F1007" s="13">
        <f ca="1">IF('Assemble Data'!E1008="",0,IF(ISERROR(FIND("INDEX",_xlfn.FORMULATEXT('Assemble Data'!E1008),1)),1,0)+IFERROR(IF(AND('Assemble Data'!E1008&lt;&gt;C1007,'Assemble Data'!E1008&lt;&gt;""),1,0),1))</f>
        <v>0</v>
      </c>
      <c r="G1007" s="13">
        <f ca="1">IF('Assemble Data'!F1008="",0,IF(ISERROR(FIND("VLOOKUP",_xlfn.FORMULATEXT('Assemble Data'!F1008),1)),1,0)+IFERROR(IF(AND('Assemble Data'!F1008&lt;&gt;D1007,'Assemble Data'!F1008&lt;&gt;""),1,0),1))</f>
        <v>0</v>
      </c>
      <c r="H1007" s="13">
        <f t="shared" si="46"/>
        <v>8</v>
      </c>
      <c r="I1007" t="str">
        <f t="shared" si="47"/>
        <v>C3P10</v>
      </c>
    </row>
    <row r="1008" spans="1:9">
      <c r="A1008" t="str">
        <f>'Assemble Data'!B1009</f>
        <v>P13</v>
      </c>
      <c r="B1008" s="13">
        <f>IFERROR(SUMIF('Assemble Data'!K:K,'Assemble Data'!A1009,'Assemble Data'!L:L),0)</f>
        <v>3600</v>
      </c>
      <c r="C1008" s="13" t="str">
        <f>INDEX('Assemble Data'!$O$24:$O$1023,MATCH('Assemble Data'!A1009,'Assemble Data'!$N$24:$N$1023,0))</f>
        <v>C3</v>
      </c>
      <c r="D1008" s="13">
        <f>SUMIF('Assemble Data'!H:H,'Assemble Data'!A1009,'Assemble Data'!I:I)</f>
        <v>5</v>
      </c>
      <c r="E1008" s="13">
        <f>IFERROR(IF(AND('Assemble Data'!D1009&lt;&gt;"",'Assemble Data'!D1009&lt;&gt;B1008),1,0),1)</f>
        <v>0</v>
      </c>
      <c r="F1008" s="13">
        <f ca="1">IF('Assemble Data'!E1009="",0,IF(ISERROR(FIND("INDEX",_xlfn.FORMULATEXT('Assemble Data'!E1009),1)),1,0)+IFERROR(IF(AND('Assemble Data'!E1009&lt;&gt;C1008,'Assemble Data'!E1009&lt;&gt;""),1,0),1))</f>
        <v>0</v>
      </c>
      <c r="G1008" s="13">
        <f ca="1">IF('Assemble Data'!F1009="",0,IF(ISERROR(FIND("VLOOKUP",_xlfn.FORMULATEXT('Assemble Data'!F1009),1)),1,0)+IFERROR(IF(AND('Assemble Data'!F1009&lt;&gt;D1008,'Assemble Data'!F1009&lt;&gt;""),1,0),1))</f>
        <v>0</v>
      </c>
      <c r="H1008" s="13">
        <f t="shared" si="46"/>
        <v>3</v>
      </c>
      <c r="I1008" t="str">
        <f t="shared" si="47"/>
        <v>C3P13</v>
      </c>
    </row>
    <row r="1009" spans="1:9">
      <c r="A1009" t="str">
        <f>'Assemble Data'!B1010</f>
        <v>P13</v>
      </c>
      <c r="B1009" s="13">
        <f>IFERROR(SUMIF('Assemble Data'!K:K,'Assemble Data'!A1010,'Assemble Data'!L:L),0)</f>
        <v>3600</v>
      </c>
      <c r="C1009" s="13" t="str">
        <f>INDEX('Assemble Data'!$O$24:$O$1023,MATCH('Assemble Data'!A1010,'Assemble Data'!$N$24:$N$1023,0))</f>
        <v>C3</v>
      </c>
      <c r="D1009" s="13">
        <f>SUMIF('Assemble Data'!H:H,'Assemble Data'!A1010,'Assemble Data'!I:I)</f>
        <v>5</v>
      </c>
      <c r="E1009" s="13">
        <f>IFERROR(IF(AND('Assemble Data'!D1010&lt;&gt;"",'Assemble Data'!D1010&lt;&gt;B1009),1,0),1)</f>
        <v>0</v>
      </c>
      <c r="F1009" s="13">
        <f ca="1">IF('Assemble Data'!E1010="",0,IF(ISERROR(FIND("INDEX",_xlfn.FORMULATEXT('Assemble Data'!E1010),1)),1,0)+IFERROR(IF(AND('Assemble Data'!E1010&lt;&gt;C1009,'Assemble Data'!E1010&lt;&gt;""),1,0),1))</f>
        <v>0</v>
      </c>
      <c r="G1009" s="13">
        <f ca="1">IF('Assemble Data'!F1010="",0,IF(ISERROR(FIND("VLOOKUP",_xlfn.FORMULATEXT('Assemble Data'!F1010),1)),1,0)+IFERROR(IF(AND('Assemble Data'!F1010&lt;&gt;D1009,'Assemble Data'!F1010&lt;&gt;""),1,0),1))</f>
        <v>0</v>
      </c>
      <c r="H1009" s="13">
        <f t="shared" si="46"/>
        <v>3</v>
      </c>
      <c r="I1009" t="str">
        <f t="shared" si="47"/>
        <v>C3P13</v>
      </c>
    </row>
    <row r="1010" spans="1:9">
      <c r="A1010" t="str">
        <f>'Assemble Data'!B1011</f>
        <v>P10</v>
      </c>
      <c r="B1010" s="13">
        <f>IFERROR(SUMIF('Assemble Data'!K:K,'Assemble Data'!A1011,'Assemble Data'!L:L),0)</f>
        <v>1920</v>
      </c>
      <c r="C1010" s="13" t="str">
        <f>INDEX('Assemble Data'!$O$24:$O$1023,MATCH('Assemble Data'!A1011,'Assemble Data'!$N$24:$N$1023,0))</f>
        <v>C3</v>
      </c>
      <c r="D1010" s="13">
        <f>SUMIF('Assemble Data'!H:H,'Assemble Data'!A1011,'Assemble Data'!I:I)</f>
        <v>3</v>
      </c>
      <c r="E1010" s="13">
        <f>IFERROR(IF(AND('Assemble Data'!D1011&lt;&gt;"",'Assemble Data'!D1011&lt;&gt;B1010),1,0),1)</f>
        <v>0</v>
      </c>
      <c r="F1010" s="13">
        <f ca="1">IF('Assemble Data'!E1011="",0,IF(ISERROR(FIND("INDEX",_xlfn.FORMULATEXT('Assemble Data'!E1011),1)),1,0)+IFERROR(IF(AND('Assemble Data'!E1011&lt;&gt;C1010,'Assemble Data'!E1011&lt;&gt;""),1,0),1))</f>
        <v>0</v>
      </c>
      <c r="G1010" s="13">
        <f ca="1">IF('Assemble Data'!F1011="",0,IF(ISERROR(FIND("VLOOKUP",_xlfn.FORMULATEXT('Assemble Data'!F1011),1)),1,0)+IFERROR(IF(AND('Assemble Data'!F1011&lt;&gt;D1010,'Assemble Data'!F1011&lt;&gt;""),1,0),1))</f>
        <v>0</v>
      </c>
      <c r="H1010" s="13">
        <f t="shared" si="46"/>
        <v>8</v>
      </c>
      <c r="I1010" t="str">
        <f t="shared" si="47"/>
        <v>C3P10</v>
      </c>
    </row>
    <row r="1011" spans="1:9">
      <c r="A1011" t="str">
        <f>'Assemble Data'!B1012</f>
        <v>P11</v>
      </c>
      <c r="B1011" s="13">
        <f>IFERROR(SUMIF('Assemble Data'!K:K,'Assemble Data'!A1012,'Assemble Data'!L:L),0)</f>
        <v>8800</v>
      </c>
      <c r="C1011" s="13" t="str">
        <f>INDEX('Assemble Data'!$O$24:$O$1023,MATCH('Assemble Data'!A1012,'Assemble Data'!$N$24:$N$1023,0))</f>
        <v>C3</v>
      </c>
      <c r="D1011" s="13">
        <f>SUMIF('Assemble Data'!H:H,'Assemble Data'!A1012,'Assemble Data'!I:I)</f>
        <v>11</v>
      </c>
      <c r="E1011" s="13">
        <f>IFERROR(IF(AND('Assemble Data'!D1012&lt;&gt;"",'Assemble Data'!D1012&lt;&gt;B1011),1,0),1)</f>
        <v>0</v>
      </c>
      <c r="F1011" s="13">
        <f ca="1">IF('Assemble Data'!E1012="",0,IF(ISERROR(FIND("INDEX",_xlfn.FORMULATEXT('Assemble Data'!E1012),1)),1,0)+IFERROR(IF(AND('Assemble Data'!E1012&lt;&gt;C1011,'Assemble Data'!E1012&lt;&gt;""),1,0),1))</f>
        <v>0</v>
      </c>
      <c r="G1011" s="13">
        <f ca="1">IF('Assemble Data'!F1012="",0,IF(ISERROR(FIND("VLOOKUP",_xlfn.FORMULATEXT('Assemble Data'!F1012),1)),1,0)+IFERROR(IF(AND('Assemble Data'!F1012&lt;&gt;D1011,'Assemble Data'!F1012&lt;&gt;""),1,0),1))</f>
        <v>0</v>
      </c>
      <c r="H1011" s="13">
        <f t="shared" si="46"/>
        <v>9</v>
      </c>
      <c r="I1011" t="str">
        <f t="shared" si="47"/>
        <v>C3P11</v>
      </c>
    </row>
    <row r="1012" spans="1:9">
      <c r="A1012" t="str">
        <f>'Assemble Data'!B1013</f>
        <v>P16</v>
      </c>
      <c r="B1012" s="13">
        <f>IFERROR(SUMIF('Assemble Data'!K:K,'Assemble Data'!A1013,'Assemble Data'!L:L),0)</f>
        <v>5200</v>
      </c>
      <c r="C1012" s="13" t="str">
        <f>INDEX('Assemble Data'!$O$24:$O$1023,MATCH('Assemble Data'!A1013,'Assemble Data'!$N$24:$N$1023,0))</f>
        <v>N3</v>
      </c>
      <c r="D1012" s="13">
        <f>SUMIF('Assemble Data'!H:H,'Assemble Data'!A1013,'Assemble Data'!I:I)</f>
        <v>4</v>
      </c>
      <c r="E1012" s="13">
        <f>IFERROR(IF(AND('Assemble Data'!D1013&lt;&gt;"",'Assemble Data'!D1013&lt;&gt;B1012),1,0),1)</f>
        <v>0</v>
      </c>
      <c r="F1012" s="13">
        <f ca="1">IF('Assemble Data'!E1013="",0,IF(ISERROR(FIND("INDEX",_xlfn.FORMULATEXT('Assemble Data'!E1013),1)),1,0)+IFERROR(IF(AND('Assemble Data'!E1013&lt;&gt;C1012,'Assemble Data'!E1013&lt;&gt;""),1,0),1))</f>
        <v>0</v>
      </c>
      <c r="G1012" s="13">
        <f ca="1">IF('Assemble Data'!F1013="",0,IF(ISERROR(FIND("VLOOKUP",_xlfn.FORMULATEXT('Assemble Data'!F1013),1)),1,0)+IFERROR(IF(AND('Assemble Data'!F1013&lt;&gt;D1012,'Assemble Data'!F1013&lt;&gt;""),1,0),1))</f>
        <v>0</v>
      </c>
      <c r="H1012" s="13">
        <f t="shared" si="46"/>
        <v>0</v>
      </c>
      <c r="I1012" t="str">
        <f t="shared" si="47"/>
        <v>N3P16</v>
      </c>
    </row>
    <row r="1013" spans="1:9">
      <c r="A1013" t="str">
        <f>'Assemble Data'!B1014</f>
        <v>P17</v>
      </c>
      <c r="B1013" s="13">
        <f>IFERROR(SUMIF('Assemble Data'!K:K,'Assemble Data'!A1014,'Assemble Data'!L:L),0)</f>
        <v>9600</v>
      </c>
      <c r="C1013" s="13" t="str">
        <f>INDEX('Assemble Data'!$O$24:$O$1023,MATCH('Assemble Data'!A1014,'Assemble Data'!$N$24:$N$1023,0))</f>
        <v>O3</v>
      </c>
      <c r="D1013" s="13">
        <f>SUMIF('Assemble Data'!H:H,'Assemble Data'!A1014,'Assemble Data'!I:I)</f>
        <v>12</v>
      </c>
      <c r="E1013" s="13">
        <f>IFERROR(IF(AND('Assemble Data'!D1014&lt;&gt;"",'Assemble Data'!D1014&lt;&gt;B1013),1,0),1)</f>
        <v>0</v>
      </c>
      <c r="F1013" s="13">
        <f ca="1">IF('Assemble Data'!E1014="",0,IF(ISERROR(FIND("INDEX",_xlfn.FORMULATEXT('Assemble Data'!E1014),1)),1,0)+IFERROR(IF(AND('Assemble Data'!E1014&lt;&gt;C1013,'Assemble Data'!E1014&lt;&gt;""),1,0),1))</f>
        <v>0</v>
      </c>
      <c r="G1013" s="13">
        <f ca="1">IF('Assemble Data'!F1014="",0,IF(ISERROR(FIND("VLOOKUP",_xlfn.FORMULATEXT('Assemble Data'!F1014),1)),1,0)+IFERROR(IF(AND('Assemble Data'!F1014&lt;&gt;D1013,'Assemble Data'!F1014&lt;&gt;""),1,0),1))</f>
        <v>0</v>
      </c>
      <c r="H1013" s="13">
        <f t="shared" si="46"/>
        <v>6</v>
      </c>
      <c r="I1013" t="str">
        <f t="shared" si="47"/>
        <v>O3P17</v>
      </c>
    </row>
    <row r="1014" spans="1:9">
      <c r="A1014" t="str">
        <f>'Assemble Data'!B1015</f>
        <v>P17</v>
      </c>
      <c r="B1014" s="13">
        <f>IFERROR(SUMIF('Assemble Data'!K:K,'Assemble Data'!A1015,'Assemble Data'!L:L),0)</f>
        <v>9600</v>
      </c>
      <c r="C1014" s="13" t="str">
        <f>INDEX('Assemble Data'!$O$24:$O$1023,MATCH('Assemble Data'!A1015,'Assemble Data'!$N$24:$N$1023,0))</f>
        <v>O3</v>
      </c>
      <c r="D1014" s="13">
        <f>SUMIF('Assemble Data'!H:H,'Assemble Data'!A1015,'Assemble Data'!I:I)</f>
        <v>12</v>
      </c>
      <c r="E1014" s="13">
        <f>IFERROR(IF(AND('Assemble Data'!D1015&lt;&gt;"",'Assemble Data'!D1015&lt;&gt;B1014),1,0),1)</f>
        <v>0</v>
      </c>
      <c r="F1014" s="13">
        <f ca="1">IF('Assemble Data'!E1015="",0,IF(ISERROR(FIND("INDEX",_xlfn.FORMULATEXT('Assemble Data'!E1015),1)),1,0)+IFERROR(IF(AND('Assemble Data'!E1015&lt;&gt;C1014,'Assemble Data'!E1015&lt;&gt;""),1,0),1))</f>
        <v>0</v>
      </c>
      <c r="G1014" s="13">
        <f ca="1">IF('Assemble Data'!F1015="",0,IF(ISERROR(FIND("VLOOKUP",_xlfn.FORMULATEXT('Assemble Data'!F1015),1)),1,0)+IFERROR(IF(AND('Assemble Data'!F1015&lt;&gt;D1014,'Assemble Data'!F1015&lt;&gt;""),1,0),1))</f>
        <v>0</v>
      </c>
      <c r="H1014" s="13">
        <f t="shared" si="46"/>
        <v>6</v>
      </c>
      <c r="I1014" t="str">
        <f t="shared" si="47"/>
        <v>O3P17</v>
      </c>
    </row>
    <row r="1015" spans="1:9">
      <c r="A1015" t="str">
        <f>'Assemble Data'!B1016</f>
        <v>P13</v>
      </c>
      <c r="B1015" s="13">
        <f>IFERROR(SUMIF('Assemble Data'!K:K,'Assemble Data'!A1016,'Assemble Data'!L:L),0)</f>
        <v>3600</v>
      </c>
      <c r="C1015" s="13" t="str">
        <f>INDEX('Assemble Data'!$O$24:$O$1023,MATCH('Assemble Data'!A1016,'Assemble Data'!$N$24:$N$1023,0))</f>
        <v>C3</v>
      </c>
      <c r="D1015" s="13">
        <f>SUMIF('Assemble Data'!H:H,'Assemble Data'!A1016,'Assemble Data'!I:I)</f>
        <v>5</v>
      </c>
      <c r="E1015" s="13">
        <f>IFERROR(IF(AND('Assemble Data'!D1016&lt;&gt;"",'Assemble Data'!D1016&lt;&gt;B1015),1,0),1)</f>
        <v>0</v>
      </c>
      <c r="F1015" s="13">
        <f ca="1">IF('Assemble Data'!E1016="",0,IF(ISERROR(FIND("INDEX",_xlfn.FORMULATEXT('Assemble Data'!E1016),1)),1,0)+IFERROR(IF(AND('Assemble Data'!E1016&lt;&gt;C1015,'Assemble Data'!E1016&lt;&gt;""),1,0),1))</f>
        <v>0</v>
      </c>
      <c r="G1015" s="13">
        <f ca="1">IF('Assemble Data'!F1016="",0,IF(ISERROR(FIND("VLOOKUP",_xlfn.FORMULATEXT('Assemble Data'!F1016),1)),1,0)+IFERROR(IF(AND('Assemble Data'!F1016&lt;&gt;D1015,'Assemble Data'!F1016&lt;&gt;""),1,0),1))</f>
        <v>0</v>
      </c>
      <c r="H1015" s="13">
        <f t="shared" si="46"/>
        <v>3</v>
      </c>
      <c r="I1015" t="str">
        <f t="shared" si="47"/>
        <v>C3P13</v>
      </c>
    </row>
    <row r="1016" spans="1:9">
      <c r="A1016" t="str">
        <f>'Assemble Data'!B1017</f>
        <v>P11</v>
      </c>
      <c r="B1016" s="13">
        <f>IFERROR(SUMIF('Assemble Data'!K:K,'Assemble Data'!A1017,'Assemble Data'!L:L),0)</f>
        <v>17600</v>
      </c>
      <c r="C1016" s="13" t="str">
        <f>INDEX('Assemble Data'!$O$24:$O$1023,MATCH('Assemble Data'!A1017,'Assemble Data'!$N$24:$N$1023,0))</f>
        <v>C3</v>
      </c>
      <c r="D1016" s="13">
        <f>SUMIF('Assemble Data'!H:H,'Assemble Data'!A1017,'Assemble Data'!I:I)</f>
        <v>11</v>
      </c>
      <c r="E1016" s="13">
        <f>IFERROR(IF(AND('Assemble Data'!D1017&lt;&gt;"",'Assemble Data'!D1017&lt;&gt;B1016),1,0),1)</f>
        <v>0</v>
      </c>
      <c r="F1016" s="13">
        <f ca="1">IF('Assemble Data'!E1017="",0,IF(ISERROR(FIND("INDEX",_xlfn.FORMULATEXT('Assemble Data'!E1017),1)),1,0)+IFERROR(IF(AND('Assemble Data'!E1017&lt;&gt;C1016,'Assemble Data'!E1017&lt;&gt;""),1,0),1))</f>
        <v>0</v>
      </c>
      <c r="G1016" s="13">
        <f ca="1">IF('Assemble Data'!F1017="",0,IF(ISERROR(FIND("VLOOKUP",_xlfn.FORMULATEXT('Assemble Data'!F1017),1)),1,0)+IFERROR(IF(AND('Assemble Data'!F1017&lt;&gt;D1016,'Assemble Data'!F1017&lt;&gt;""),1,0),1))</f>
        <v>0</v>
      </c>
      <c r="H1016" s="13">
        <f t="shared" si="46"/>
        <v>9</v>
      </c>
      <c r="I1016" t="str">
        <f t="shared" si="47"/>
        <v>C3P11</v>
      </c>
    </row>
    <row r="1017" spans="1:9">
      <c r="A1017" t="str">
        <f>'Assemble Data'!B1018</f>
        <v>P11</v>
      </c>
      <c r="B1017" s="13">
        <f>IFERROR(SUMIF('Assemble Data'!K:K,'Assemble Data'!A1018,'Assemble Data'!L:L),0)</f>
        <v>8800</v>
      </c>
      <c r="C1017" s="13" t="str">
        <f>INDEX('Assemble Data'!$O$24:$O$1023,MATCH('Assemble Data'!A1018,'Assemble Data'!$N$24:$N$1023,0))</f>
        <v>C3</v>
      </c>
      <c r="D1017" s="13">
        <f>SUMIF('Assemble Data'!H:H,'Assemble Data'!A1018,'Assemble Data'!I:I)</f>
        <v>11</v>
      </c>
      <c r="E1017" s="13">
        <f>IFERROR(IF(AND('Assemble Data'!D1018&lt;&gt;"",'Assemble Data'!D1018&lt;&gt;B1017),1,0),1)</f>
        <v>0</v>
      </c>
      <c r="F1017" s="13">
        <f ca="1">IF('Assemble Data'!E1018="",0,IF(ISERROR(FIND("INDEX",_xlfn.FORMULATEXT('Assemble Data'!E1018),1)),1,0)+IFERROR(IF(AND('Assemble Data'!E1018&lt;&gt;C1017,'Assemble Data'!E1018&lt;&gt;""),1,0),1))</f>
        <v>0</v>
      </c>
      <c r="G1017" s="13">
        <f ca="1">IF('Assemble Data'!F1018="",0,IF(ISERROR(FIND("VLOOKUP",_xlfn.FORMULATEXT('Assemble Data'!F1018),1)),1,0)+IFERROR(IF(AND('Assemble Data'!F1018&lt;&gt;D1017,'Assemble Data'!F1018&lt;&gt;""),1,0),1))</f>
        <v>0</v>
      </c>
      <c r="H1017" s="13">
        <f t="shared" si="46"/>
        <v>9</v>
      </c>
      <c r="I1017" t="str">
        <f t="shared" si="47"/>
        <v>C3P11</v>
      </c>
    </row>
    <row r="1018" spans="1:9">
      <c r="A1018" t="str">
        <f>'Assemble Data'!B1019</f>
        <v>P12</v>
      </c>
      <c r="B1018" s="13">
        <f>IFERROR(SUMIF('Assemble Data'!K:K,'Assemble Data'!A1019,'Assemble Data'!L:L),0)</f>
        <v>5460</v>
      </c>
      <c r="C1018" s="13" t="str">
        <f>INDEX('Assemble Data'!$O$24:$O$1023,MATCH('Assemble Data'!A1019,'Assemble Data'!$N$24:$N$1023,0))</f>
        <v>C3</v>
      </c>
      <c r="D1018" s="13">
        <f>SUMIF('Assemble Data'!H:H,'Assemble Data'!A1019,'Assemble Data'!I:I)</f>
        <v>6.5</v>
      </c>
      <c r="E1018" s="13">
        <f>IFERROR(IF(AND('Assemble Data'!D1019&lt;&gt;"",'Assemble Data'!D1019&lt;&gt;B1018),1,0),1)</f>
        <v>0</v>
      </c>
      <c r="F1018" s="13">
        <f ca="1">IF('Assemble Data'!E1019="",0,IF(ISERROR(FIND("INDEX",_xlfn.FORMULATEXT('Assemble Data'!E1019),1)),1,0)+IFERROR(IF(AND('Assemble Data'!E1019&lt;&gt;C1018,'Assemble Data'!E1019&lt;&gt;""),1,0),1))</f>
        <v>0</v>
      </c>
      <c r="G1018" s="13">
        <f ca="1">IF('Assemble Data'!F1019="",0,IF(ISERROR(FIND("VLOOKUP",_xlfn.FORMULATEXT('Assemble Data'!F1019),1)),1,0)+IFERROR(IF(AND('Assemble Data'!F1019&lt;&gt;D1018,'Assemble Data'!F1019&lt;&gt;""),1,0),1))</f>
        <v>0</v>
      </c>
      <c r="H1018" s="13">
        <f t="shared" si="46"/>
        <v>7</v>
      </c>
      <c r="I1018" t="str">
        <f t="shared" si="47"/>
        <v>C3P12</v>
      </c>
    </row>
    <row r="1019" spans="1:9">
      <c r="A1019" t="str">
        <f>'Assemble Data'!B1020</f>
        <v>P10</v>
      </c>
      <c r="B1019" s="13">
        <f>IFERROR(SUMIF('Assemble Data'!K:K,'Assemble Data'!A1020,'Assemble Data'!L:L),0)</f>
        <v>1920</v>
      </c>
      <c r="C1019" s="13" t="str">
        <f>INDEX('Assemble Data'!$O$24:$O$1023,MATCH('Assemble Data'!A1020,'Assemble Data'!$N$24:$N$1023,0))</f>
        <v>C3</v>
      </c>
      <c r="D1019" s="13">
        <f>SUMIF('Assemble Data'!H:H,'Assemble Data'!A1020,'Assemble Data'!I:I)</f>
        <v>3</v>
      </c>
      <c r="E1019" s="13">
        <f>IFERROR(IF(AND('Assemble Data'!D1020&lt;&gt;"",'Assemble Data'!D1020&lt;&gt;B1019),1,0),1)</f>
        <v>0</v>
      </c>
      <c r="F1019" s="13">
        <f ca="1">IF('Assemble Data'!E1020="",0,IF(ISERROR(FIND("INDEX",_xlfn.FORMULATEXT('Assemble Data'!E1020),1)),1,0)+IFERROR(IF(AND('Assemble Data'!E1020&lt;&gt;C1019,'Assemble Data'!E1020&lt;&gt;""),1,0),1))</f>
        <v>0</v>
      </c>
      <c r="G1019" s="13">
        <f ca="1">IF('Assemble Data'!F1020="",0,IF(ISERROR(FIND("VLOOKUP",_xlfn.FORMULATEXT('Assemble Data'!F1020),1)),1,0)+IFERROR(IF(AND('Assemble Data'!F1020&lt;&gt;D1019,'Assemble Data'!F1020&lt;&gt;""),1,0),1))</f>
        <v>0</v>
      </c>
      <c r="H1019" s="13">
        <f t="shared" ref="H1019:H1022" si="48">H1002</f>
        <v>8</v>
      </c>
      <c r="I1019" t="str">
        <f t="shared" si="47"/>
        <v>C3P10</v>
      </c>
    </row>
    <row r="1020" spans="1:9">
      <c r="A1020" t="str">
        <f>'Assemble Data'!B1021</f>
        <v>P10</v>
      </c>
      <c r="B1020" s="13">
        <f>IFERROR(SUMIF('Assemble Data'!K:K,'Assemble Data'!A1021,'Assemble Data'!L:L),0)</f>
        <v>1920</v>
      </c>
      <c r="C1020" s="13" t="str">
        <f>INDEX('Assemble Data'!$O$24:$O$1023,MATCH('Assemble Data'!A1021,'Assemble Data'!$N$24:$N$1023,0))</f>
        <v>C3</v>
      </c>
      <c r="D1020" s="13">
        <f>SUMIF('Assemble Data'!H:H,'Assemble Data'!A1021,'Assemble Data'!I:I)</f>
        <v>3</v>
      </c>
      <c r="E1020" s="13">
        <f>IFERROR(IF(AND('Assemble Data'!D1021&lt;&gt;"",'Assemble Data'!D1021&lt;&gt;B1020),1,0),1)</f>
        <v>0</v>
      </c>
      <c r="F1020" s="13">
        <f ca="1">IF('Assemble Data'!E1021="",0,IF(ISERROR(FIND("INDEX",_xlfn.FORMULATEXT('Assemble Data'!E1021),1)),1,0)+IFERROR(IF(AND('Assemble Data'!E1021&lt;&gt;C1020,'Assemble Data'!E1021&lt;&gt;""),1,0),1))</f>
        <v>0</v>
      </c>
      <c r="G1020" s="13">
        <f ca="1">IF('Assemble Data'!F1021="",0,IF(ISERROR(FIND("VLOOKUP",_xlfn.FORMULATEXT('Assemble Data'!F1021),1)),1,0)+IFERROR(IF(AND('Assemble Data'!F1021&lt;&gt;D1020,'Assemble Data'!F1021&lt;&gt;""),1,0),1))</f>
        <v>0</v>
      </c>
      <c r="H1020" s="13">
        <f t="shared" si="48"/>
        <v>8</v>
      </c>
      <c r="I1020" t="str">
        <f t="shared" si="47"/>
        <v>C3P10</v>
      </c>
    </row>
    <row r="1021" spans="1:9">
      <c r="A1021" t="str">
        <f>'Assemble Data'!B1022</f>
        <v>P11</v>
      </c>
      <c r="B1021" s="13">
        <f>IFERROR(SUMIF('Assemble Data'!K:K,'Assemble Data'!A1022,'Assemble Data'!L:L),0)</f>
        <v>8800</v>
      </c>
      <c r="C1021" s="13" t="str">
        <f>INDEX('Assemble Data'!$O$24:$O$1023,MATCH('Assemble Data'!A1022,'Assemble Data'!$N$24:$N$1023,0))</f>
        <v>C3</v>
      </c>
      <c r="D1021" s="13">
        <f>SUMIF('Assemble Data'!H:H,'Assemble Data'!A1022,'Assemble Data'!I:I)</f>
        <v>11</v>
      </c>
      <c r="E1021" s="13">
        <f>IFERROR(IF(AND('Assemble Data'!D1022&lt;&gt;"",'Assemble Data'!D1022&lt;&gt;B1021),1,0),1)</f>
        <v>0</v>
      </c>
      <c r="F1021" s="13">
        <f ca="1">IF('Assemble Data'!E1022="",0,IF(ISERROR(FIND("INDEX",_xlfn.FORMULATEXT('Assemble Data'!E1022),1)),1,0)+IFERROR(IF(AND('Assemble Data'!E1022&lt;&gt;C1021,'Assemble Data'!E1022&lt;&gt;""),1,0),1))</f>
        <v>0</v>
      </c>
      <c r="G1021" s="13">
        <f ca="1">IF('Assemble Data'!F1022="",0,IF(ISERROR(FIND("VLOOKUP",_xlfn.FORMULATEXT('Assemble Data'!F1022),1)),1,0)+IFERROR(IF(AND('Assemble Data'!F1022&lt;&gt;D1021,'Assemble Data'!F1022&lt;&gt;""),1,0),1))</f>
        <v>0</v>
      </c>
      <c r="H1021" s="13">
        <f t="shared" si="48"/>
        <v>9</v>
      </c>
      <c r="I1021" t="str">
        <f t="shared" si="47"/>
        <v>C3P11</v>
      </c>
    </row>
    <row r="1022" spans="1:9">
      <c r="A1022" t="str">
        <f>'Assemble Data'!B1023</f>
        <v>P18</v>
      </c>
      <c r="B1022" s="13">
        <f>IFERROR(SUMIF('Assemble Data'!K:K,'Assemble Data'!A1023,'Assemble Data'!L:L),0)</f>
        <v>4860</v>
      </c>
      <c r="C1022" s="13" t="str">
        <f>INDEX('Assemble Data'!$O$24:$O$1023,MATCH('Assemble Data'!A1023,'Assemble Data'!$N$24:$N$1023,0))</f>
        <v>O1</v>
      </c>
      <c r="D1022" s="13">
        <f>SUMIF('Assemble Data'!H:H,'Assemble Data'!A1023,'Assemble Data'!I:I)</f>
        <v>6</v>
      </c>
      <c r="E1022" s="13">
        <f>IFERROR(IF(AND('Assemble Data'!D1023&lt;&gt;"",'Assemble Data'!D1023&lt;&gt;B1022),1,0),1)</f>
        <v>0</v>
      </c>
      <c r="F1022" s="13">
        <f ca="1">IF('Assemble Data'!E1023="",0,IF(ISERROR(FIND("INDEX",_xlfn.FORMULATEXT('Assemble Data'!E1023),1)),1,0)+IFERROR(IF(AND('Assemble Data'!E1023&lt;&gt;C1022,'Assemble Data'!E1023&lt;&gt;""),1,0),1))</f>
        <v>0</v>
      </c>
      <c r="G1022" s="13">
        <f ca="1">IF('Assemble Data'!F1023="",0,IF(ISERROR(FIND("VLOOKUP",_xlfn.FORMULATEXT('Assemble Data'!F1023),1)),1,0)+IFERROR(IF(AND('Assemble Data'!F1023&lt;&gt;D1022,'Assemble Data'!F1023&lt;&gt;""),1,0),1))</f>
        <v>0</v>
      </c>
      <c r="H1022" s="13">
        <f t="shared" si="48"/>
        <v>2</v>
      </c>
      <c r="I1022" t="str">
        <f t="shared" si="47"/>
        <v>O1P18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D736-E42B-FF43-B2F4-46957683A2AA}">
  <dimension ref="A1:EC138"/>
  <sheetViews>
    <sheetView zoomScaleNormal="100" workbookViewId="0">
      <selection activeCell="B15" sqref="B15"/>
    </sheetView>
  </sheetViews>
  <sheetFormatPr defaultColWidth="10.875" defaultRowHeight="12.75"/>
  <cols>
    <col min="1" max="1" width="11.125" style="577" customWidth="1"/>
    <col min="2" max="2" width="10.375" style="577" customWidth="1"/>
    <col min="3" max="3" width="13.125" style="577" customWidth="1"/>
    <col min="4" max="4" width="10" style="577" customWidth="1"/>
    <col min="5" max="6" width="9.5" style="577"/>
    <col min="7" max="7" width="10.625" style="577" customWidth="1"/>
    <col min="8" max="8" width="10.875" style="577"/>
    <col min="9" max="80" width="10.875" style="580"/>
    <col min="81" max="81" width="14.375" style="580" customWidth="1"/>
    <col min="82" max="82" width="10.625" style="580" customWidth="1"/>
    <col min="83" max="16384" width="10.875" style="580"/>
  </cols>
  <sheetData>
    <row r="1" spans="1:133" s="624" customFormat="1" ht="15.75">
      <c r="A1" s="577"/>
      <c r="B1" s="577"/>
      <c r="C1" s="622"/>
      <c r="D1" s="602"/>
      <c r="E1" s="577"/>
      <c r="F1" s="577"/>
      <c r="G1" s="577"/>
      <c r="H1" s="577"/>
      <c r="CA1" s="624">
        <v>4</v>
      </c>
      <c r="CB1" s="624">
        <f>'ENTER SFAM ID'!C8</f>
        <v>23472093</v>
      </c>
      <c r="CC1" s="624" t="b">
        <f ca="1">TODAY()&gt;45078</f>
        <v>0</v>
      </c>
      <c r="CD1" s="624">
        <v>2</v>
      </c>
      <c r="CE1" s="624">
        <v>3</v>
      </c>
      <c r="CF1" s="624">
        <v>4</v>
      </c>
      <c r="CG1" s="624">
        <v>5</v>
      </c>
      <c r="CH1" s="624">
        <v>6</v>
      </c>
      <c r="CI1" s="624">
        <v>7</v>
      </c>
      <c r="CJ1" s="624">
        <v>8</v>
      </c>
      <c r="CK1" s="624">
        <v>9</v>
      </c>
      <c r="CL1" s="624">
        <v>10</v>
      </c>
      <c r="CM1" s="624">
        <v>11</v>
      </c>
      <c r="CN1" s="624">
        <v>12</v>
      </c>
      <c r="CO1" s="624">
        <v>13</v>
      </c>
      <c r="CP1" s="623">
        <v>14</v>
      </c>
      <c r="CW1" s="642">
        <v>1</v>
      </c>
      <c r="CX1" s="642" t="s">
        <v>250</v>
      </c>
      <c r="CY1" s="577"/>
      <c r="DD1" s="625">
        <v>1</v>
      </c>
      <c r="DE1" s="625">
        <v>2</v>
      </c>
      <c r="DF1" s="625">
        <v>3</v>
      </c>
      <c r="DG1" s="625">
        <v>4</v>
      </c>
      <c r="DH1" s="625">
        <v>5</v>
      </c>
      <c r="DI1" s="625">
        <v>6</v>
      </c>
      <c r="DJ1" s="625">
        <v>7</v>
      </c>
      <c r="DK1" s="625">
        <v>8</v>
      </c>
      <c r="DL1" s="625">
        <v>9</v>
      </c>
      <c r="DM1" s="625">
        <v>10</v>
      </c>
      <c r="DN1" s="625">
        <v>11</v>
      </c>
      <c r="DO1" s="625">
        <v>12</v>
      </c>
      <c r="DP1" s="625">
        <v>13</v>
      </c>
      <c r="DQ1" s="625">
        <v>14</v>
      </c>
      <c r="DR1" s="625">
        <v>15</v>
      </c>
      <c r="DS1" s="625">
        <v>16</v>
      </c>
      <c r="DT1" s="625">
        <v>17</v>
      </c>
      <c r="DU1" s="625">
        <v>18</v>
      </c>
      <c r="DV1" s="625">
        <v>19</v>
      </c>
      <c r="DW1" s="625">
        <v>20</v>
      </c>
      <c r="DX1" s="625">
        <v>21</v>
      </c>
      <c r="DY1" s="625">
        <v>22</v>
      </c>
      <c r="DZ1" s="625">
        <v>23</v>
      </c>
      <c r="EA1" s="625">
        <v>24</v>
      </c>
      <c r="EB1" s="625">
        <v>25</v>
      </c>
      <c r="EC1" s="625">
        <v>26</v>
      </c>
    </row>
    <row r="2" spans="1:133" s="10" customFormat="1">
      <c r="CA2" s="582">
        <v>16</v>
      </c>
      <c r="CB2" s="583">
        <f>MOD($CB$1,CA2)+1</f>
        <v>14</v>
      </c>
      <c r="CC2" s="578">
        <f>CB2</f>
        <v>14</v>
      </c>
      <c r="CD2" s="10">
        <f>RANK($CC2,$CC$2:$CC$3)</f>
        <v>1</v>
      </c>
      <c r="CE2" s="10">
        <f>RANK($CC2,$CC$2:$CC$4)</f>
        <v>1</v>
      </c>
      <c r="CF2" s="10">
        <f>RANK($CC2,$CC$2:$CC$5)</f>
        <v>2</v>
      </c>
      <c r="CG2" s="10">
        <f>RANK($CC2,$CC$2:$CC$6)</f>
        <v>3</v>
      </c>
      <c r="CH2" s="10">
        <f>RANK($CC2,$CC$2:$CC$7)</f>
        <v>4</v>
      </c>
      <c r="CI2" s="10">
        <f>RANK($CC2,$CC$2:$CC$8)</f>
        <v>4</v>
      </c>
      <c r="CJ2" s="10">
        <f>RANK($CC2,$CC$2:$CC$9)</f>
        <v>5</v>
      </c>
      <c r="CK2" s="10">
        <f>RANK($CC2,$CC$2:$CC$10)</f>
        <v>6</v>
      </c>
      <c r="CL2" s="10">
        <f>RANK($CC2,$CC$2:$CC$11)</f>
        <v>7</v>
      </c>
      <c r="CM2" s="10">
        <f>RANK($CC2,$CC$2:$CC$12)</f>
        <v>8</v>
      </c>
      <c r="CN2" s="10">
        <f>RANK($CC2,$CC$2:$CC$13)</f>
        <v>9</v>
      </c>
      <c r="CO2" s="10">
        <f t="shared" ref="CO2:CO14" si="0">RANK($CC2,$CC$2:$CC$14)</f>
        <v>9</v>
      </c>
      <c r="CP2" s="616">
        <f t="shared" ref="CP2:CP15" si="1">RANK($CC2,$CC$2:$CC$15)</f>
        <v>10</v>
      </c>
      <c r="CT2" s="579"/>
      <c r="CW2" s="642">
        <v>2</v>
      </c>
      <c r="CX2" s="642" t="s">
        <v>133</v>
      </c>
      <c r="CY2" s="577"/>
      <c r="DD2" s="626" t="s">
        <v>114</v>
      </c>
      <c r="DE2" s="627" t="s">
        <v>227</v>
      </c>
      <c r="DF2" s="626" t="s">
        <v>228</v>
      </c>
      <c r="DG2" s="627" t="s">
        <v>115</v>
      </c>
      <c r="DH2" s="637" t="s">
        <v>249</v>
      </c>
      <c r="DI2" s="627" t="s">
        <v>113</v>
      </c>
      <c r="DJ2" s="626" t="s">
        <v>229</v>
      </c>
      <c r="DK2" s="627" t="s">
        <v>230</v>
      </c>
      <c r="DL2" s="627" t="s">
        <v>231</v>
      </c>
      <c r="DM2" s="627" t="s">
        <v>232</v>
      </c>
      <c r="DN2" s="627" t="s">
        <v>116</v>
      </c>
      <c r="DO2" s="627" t="s">
        <v>233</v>
      </c>
      <c r="DP2" s="627" t="s">
        <v>117</v>
      </c>
      <c r="DQ2" s="627" t="s">
        <v>234</v>
      </c>
      <c r="DR2" s="627" t="s">
        <v>235</v>
      </c>
      <c r="DS2" s="627" t="s">
        <v>236</v>
      </c>
      <c r="DT2" s="627" t="s">
        <v>237</v>
      </c>
      <c r="DU2" s="627" t="s">
        <v>238</v>
      </c>
      <c r="DV2" s="627" t="s">
        <v>239</v>
      </c>
      <c r="DW2" s="627" t="s">
        <v>118</v>
      </c>
      <c r="DX2" s="627" t="s">
        <v>240</v>
      </c>
      <c r="DY2" s="627" t="s">
        <v>119</v>
      </c>
      <c r="DZ2" s="627" t="s">
        <v>241</v>
      </c>
      <c r="EA2" s="627" t="s">
        <v>122</v>
      </c>
      <c r="EB2" s="627" t="s">
        <v>242</v>
      </c>
      <c r="EC2" s="627" t="s">
        <v>243</v>
      </c>
    </row>
    <row r="3" spans="1:133">
      <c r="CA3" s="582">
        <v>17</v>
      </c>
      <c r="CB3" s="583">
        <f t="shared" ref="CB3:CB15" si="2">MOD($CB$1,CA3)+1</f>
        <v>7</v>
      </c>
      <c r="CC3" s="578">
        <f>IF(COUNTIF(CC$2:CC2,CB3)&gt;0,CB3+0.1*COUNTIF(CB$2:CB2,CB3),CB3)</f>
        <v>7</v>
      </c>
      <c r="CD3" s="580">
        <f>RANK(CC3,CC$2:CC$3)</f>
        <v>2</v>
      </c>
      <c r="CE3" s="580">
        <f t="shared" ref="CE3:CE4" si="3">RANK($CC3,$CC$2:$CC$4)</f>
        <v>3</v>
      </c>
      <c r="CF3" s="580">
        <f t="shared" ref="CF3:CF5" si="4">RANK($CC3,$CC$2:$CC$5)</f>
        <v>4</v>
      </c>
      <c r="CG3" s="580">
        <f t="shared" ref="CG3:CG6" si="5">RANK($CC3,$CC$2:$CC$6)</f>
        <v>5</v>
      </c>
      <c r="CH3" s="580">
        <f t="shared" ref="CH3:CH7" si="6">RANK($CC3,$CC$2:$CC$7)</f>
        <v>6</v>
      </c>
      <c r="CI3" s="580">
        <f t="shared" ref="CI3:CI8" si="7">RANK($CC3,$CC$2:$CC$8)</f>
        <v>7</v>
      </c>
      <c r="CJ3" s="580">
        <f t="shared" ref="CJ3:CJ9" si="8">RANK($CC3,$CC$2:$CC$9)</f>
        <v>8</v>
      </c>
      <c r="CK3" s="580">
        <f t="shared" ref="CK3:CK10" si="9">RANK($CC3,$CC$2:$CC$10)</f>
        <v>9</v>
      </c>
      <c r="CL3" s="580">
        <f t="shared" ref="CL3:CL11" si="10">RANK($CC3,$CC$2:$CC$11)</f>
        <v>10</v>
      </c>
      <c r="CM3" s="10">
        <f t="shared" ref="CM3:CM12" si="11">RANK($CC3,$CC$2:$CC$12)</f>
        <v>11</v>
      </c>
      <c r="CN3" s="10">
        <f t="shared" ref="CN3:CN13" si="12">RANK($CC3,$CC$2:$CC$13)</f>
        <v>12</v>
      </c>
      <c r="CO3" s="10">
        <f t="shared" si="0"/>
        <v>12</v>
      </c>
      <c r="CP3" s="616">
        <f t="shared" si="1"/>
        <v>13</v>
      </c>
      <c r="CT3" s="579"/>
      <c r="CW3" s="642">
        <v>3</v>
      </c>
      <c r="CX3" s="642" t="s">
        <v>124</v>
      </c>
      <c r="CY3" s="577"/>
    </row>
    <row r="4" spans="1:133">
      <c r="C4" s="621"/>
      <c r="D4" s="602"/>
      <c r="E4" s="581"/>
      <c r="F4" s="581"/>
      <c r="G4" s="581"/>
      <c r="H4" s="581"/>
      <c r="CA4" s="582">
        <v>19</v>
      </c>
      <c r="CB4" s="583">
        <f t="shared" si="2"/>
        <v>7</v>
      </c>
      <c r="CC4" s="578">
        <f>IF(COUNTIF(CC$2:CC3,CB4)&gt;0,CB4+0.1*COUNTIF(CB$2:CB3,CB4),CB4)</f>
        <v>7.1</v>
      </c>
      <c r="CE4" s="580">
        <f t="shared" si="3"/>
        <v>2</v>
      </c>
      <c r="CF4" s="580">
        <f t="shared" si="4"/>
        <v>3</v>
      </c>
      <c r="CG4" s="580">
        <f t="shared" si="5"/>
        <v>4</v>
      </c>
      <c r="CH4" s="580">
        <f t="shared" si="6"/>
        <v>5</v>
      </c>
      <c r="CI4" s="580">
        <f t="shared" si="7"/>
        <v>6</v>
      </c>
      <c r="CJ4" s="580">
        <f t="shared" si="8"/>
        <v>7</v>
      </c>
      <c r="CK4" s="580">
        <f t="shared" si="9"/>
        <v>8</v>
      </c>
      <c r="CL4" s="580">
        <f t="shared" si="10"/>
        <v>9</v>
      </c>
      <c r="CM4" s="10">
        <f t="shared" si="11"/>
        <v>10</v>
      </c>
      <c r="CN4" s="10">
        <f t="shared" si="12"/>
        <v>11</v>
      </c>
      <c r="CO4" s="10">
        <f t="shared" si="0"/>
        <v>11</v>
      </c>
      <c r="CP4" s="616">
        <f t="shared" si="1"/>
        <v>12</v>
      </c>
      <c r="CT4" s="579"/>
      <c r="CW4" s="642">
        <v>4</v>
      </c>
      <c r="CX4" s="642" t="s">
        <v>127</v>
      </c>
      <c r="CY4" s="577"/>
    </row>
    <row r="5" spans="1:133">
      <c r="BZ5" s="578"/>
      <c r="CA5" s="582">
        <v>23</v>
      </c>
      <c r="CB5" s="583">
        <f t="shared" si="2"/>
        <v>19</v>
      </c>
      <c r="CC5" s="578">
        <f>IF(COUNTIF(CC$2:CC4,CB5)&gt;0,CB5+0.1*COUNTIF(CB$2:CB4,CB5),CB5)</f>
        <v>19</v>
      </c>
      <c r="CF5" s="580">
        <f t="shared" si="4"/>
        <v>1</v>
      </c>
      <c r="CG5" s="580">
        <f t="shared" si="5"/>
        <v>1</v>
      </c>
      <c r="CH5" s="580">
        <f t="shared" si="6"/>
        <v>1</v>
      </c>
      <c r="CI5" s="580">
        <f t="shared" si="7"/>
        <v>1</v>
      </c>
      <c r="CJ5" s="580">
        <f t="shared" si="8"/>
        <v>2</v>
      </c>
      <c r="CK5" s="580">
        <f t="shared" si="9"/>
        <v>3</v>
      </c>
      <c r="CL5" s="580">
        <f t="shared" si="10"/>
        <v>4</v>
      </c>
      <c r="CM5" s="10">
        <f t="shared" si="11"/>
        <v>5</v>
      </c>
      <c r="CN5" s="10">
        <f t="shared" si="12"/>
        <v>6</v>
      </c>
      <c r="CO5" s="10">
        <f t="shared" si="0"/>
        <v>6</v>
      </c>
      <c r="CP5" s="616">
        <f t="shared" si="1"/>
        <v>6</v>
      </c>
      <c r="CT5" s="579"/>
      <c r="CW5" s="642">
        <v>5</v>
      </c>
      <c r="CX5" s="642" t="s">
        <v>126</v>
      </c>
      <c r="CY5" s="577"/>
    </row>
    <row r="6" spans="1:133">
      <c r="B6" s="606"/>
      <c r="CA6" s="582">
        <v>20</v>
      </c>
      <c r="CB6" s="583">
        <f t="shared" si="2"/>
        <v>14</v>
      </c>
      <c r="CC6" s="578">
        <f>IF(COUNTIF(CC$2:CC5,CB6)&gt;0,CB6+0.1*COUNTIF(CB$2:CB5,CB6),CB6)</f>
        <v>14.1</v>
      </c>
      <c r="CG6" s="580">
        <f t="shared" si="5"/>
        <v>2</v>
      </c>
      <c r="CH6" s="580">
        <f t="shared" si="6"/>
        <v>3</v>
      </c>
      <c r="CI6" s="580">
        <f t="shared" si="7"/>
        <v>3</v>
      </c>
      <c r="CJ6" s="580">
        <f t="shared" si="8"/>
        <v>4</v>
      </c>
      <c r="CK6" s="580">
        <f t="shared" si="9"/>
        <v>5</v>
      </c>
      <c r="CL6" s="580">
        <f t="shared" si="10"/>
        <v>6</v>
      </c>
      <c r="CM6" s="10">
        <f t="shared" si="11"/>
        <v>7</v>
      </c>
      <c r="CN6" s="10">
        <f t="shared" si="12"/>
        <v>8</v>
      </c>
      <c r="CO6" s="10">
        <f t="shared" si="0"/>
        <v>8</v>
      </c>
      <c r="CP6" s="616">
        <f t="shared" si="1"/>
        <v>9</v>
      </c>
      <c r="CT6" s="579"/>
      <c r="CW6" s="642">
        <v>6</v>
      </c>
      <c r="CX6" s="643" t="s">
        <v>125</v>
      </c>
      <c r="CY6" s="581"/>
    </row>
    <row r="7" spans="1:133">
      <c r="B7" s="607"/>
      <c r="C7" s="584"/>
      <c r="D7" s="608"/>
      <c r="E7" s="584"/>
      <c r="F7" s="609"/>
      <c r="CA7" s="582">
        <v>21</v>
      </c>
      <c r="CB7" s="583">
        <f t="shared" si="2"/>
        <v>16</v>
      </c>
      <c r="CC7" s="578">
        <f>IF(COUNTIF(CC$2:CC6,CB7)&gt;0,CB7+0.1*COUNTIF(CB$2:CB6,CB7),CB7)</f>
        <v>16</v>
      </c>
      <c r="CH7" s="580">
        <f t="shared" si="6"/>
        <v>2</v>
      </c>
      <c r="CI7" s="580">
        <f t="shared" si="7"/>
        <v>2</v>
      </c>
      <c r="CJ7" s="580">
        <f t="shared" si="8"/>
        <v>3</v>
      </c>
      <c r="CK7" s="580">
        <f t="shared" si="9"/>
        <v>4</v>
      </c>
      <c r="CL7" s="580">
        <f t="shared" si="10"/>
        <v>5</v>
      </c>
      <c r="CM7" s="10">
        <f t="shared" si="11"/>
        <v>6</v>
      </c>
      <c r="CN7" s="10">
        <f t="shared" si="12"/>
        <v>7</v>
      </c>
      <c r="CO7" s="10">
        <f t="shared" si="0"/>
        <v>7</v>
      </c>
      <c r="CP7" s="616">
        <f t="shared" si="1"/>
        <v>8</v>
      </c>
      <c r="CT7" s="579"/>
      <c r="CW7" s="642">
        <v>7</v>
      </c>
      <c r="CX7" s="643" t="s">
        <v>130</v>
      </c>
      <c r="CY7" s="581"/>
    </row>
    <row r="8" spans="1:133">
      <c r="CA8" s="582">
        <v>22</v>
      </c>
      <c r="CB8" s="583">
        <f t="shared" si="2"/>
        <v>8</v>
      </c>
      <c r="CC8" s="578">
        <f>IF(COUNTIF(CC$2:CC7,CB8)&gt;0,CB8+0.1*COUNTIF(CB$2:CB7,CB8),CB8)</f>
        <v>8</v>
      </c>
      <c r="CI8" s="580">
        <f t="shared" si="7"/>
        <v>5</v>
      </c>
      <c r="CJ8" s="580">
        <f t="shared" si="8"/>
        <v>6</v>
      </c>
      <c r="CK8" s="580">
        <f t="shared" si="9"/>
        <v>7</v>
      </c>
      <c r="CL8" s="580">
        <f t="shared" si="10"/>
        <v>8</v>
      </c>
      <c r="CM8" s="10">
        <f t="shared" si="11"/>
        <v>9</v>
      </c>
      <c r="CN8" s="10">
        <f t="shared" si="12"/>
        <v>10</v>
      </c>
      <c r="CO8" s="10">
        <f t="shared" si="0"/>
        <v>10</v>
      </c>
      <c r="CP8" s="616">
        <f t="shared" si="1"/>
        <v>11</v>
      </c>
      <c r="CT8" s="579"/>
      <c r="CW8" s="642">
        <v>8</v>
      </c>
      <c r="CX8" s="643" t="s">
        <v>251</v>
      </c>
      <c r="CY8" s="581"/>
    </row>
    <row r="9" spans="1:133">
      <c r="B9" s="581"/>
      <c r="CA9" s="582">
        <v>23</v>
      </c>
      <c r="CB9" s="583">
        <f t="shared" si="2"/>
        <v>19</v>
      </c>
      <c r="CC9" s="578">
        <f>IF(COUNTIF(CC$2:CC8,CB9)&gt;0,CB9+0.1*COUNTIF(CB$2:CB8,CB9),CB9)</f>
        <v>19.100000000000001</v>
      </c>
      <c r="CJ9" s="580">
        <f t="shared" si="8"/>
        <v>1</v>
      </c>
      <c r="CK9" s="580">
        <f t="shared" si="9"/>
        <v>2</v>
      </c>
      <c r="CL9" s="580">
        <f t="shared" si="10"/>
        <v>3</v>
      </c>
      <c r="CM9" s="10">
        <f t="shared" si="11"/>
        <v>4</v>
      </c>
      <c r="CN9" s="10">
        <f t="shared" si="12"/>
        <v>5</v>
      </c>
      <c r="CO9" s="10">
        <f t="shared" si="0"/>
        <v>5</v>
      </c>
      <c r="CP9" s="616">
        <f t="shared" si="1"/>
        <v>5</v>
      </c>
      <c r="CT9" s="579"/>
      <c r="CW9" s="642">
        <v>9</v>
      </c>
      <c r="CX9" s="643" t="s">
        <v>131</v>
      </c>
      <c r="CY9" s="581"/>
    </row>
    <row r="10" spans="1:133">
      <c r="A10" s="581"/>
      <c r="B10" s="581"/>
      <c r="C10" s="581"/>
      <c r="D10" s="581"/>
      <c r="E10" s="581"/>
      <c r="F10" s="581"/>
      <c r="G10" s="581"/>
      <c r="H10" s="581"/>
      <c r="CA10" s="582">
        <v>24</v>
      </c>
      <c r="CB10" s="583">
        <f t="shared" si="2"/>
        <v>22</v>
      </c>
      <c r="CC10" s="578">
        <f>IF(COUNTIF(CC$2:CC9,CB10)&gt;0,CB10+0.1*COUNTIF(CB$2:CB9,CB10),CB10)</f>
        <v>22</v>
      </c>
      <c r="CK10" s="580">
        <f t="shared" si="9"/>
        <v>1</v>
      </c>
      <c r="CL10" s="580">
        <f t="shared" si="10"/>
        <v>1</v>
      </c>
      <c r="CM10" s="10">
        <f t="shared" si="11"/>
        <v>2</v>
      </c>
      <c r="CN10" s="10">
        <f t="shared" si="12"/>
        <v>3</v>
      </c>
      <c r="CO10" s="10">
        <f t="shared" si="0"/>
        <v>3</v>
      </c>
      <c r="CP10" s="616">
        <f t="shared" si="1"/>
        <v>3</v>
      </c>
      <c r="CT10" s="579"/>
      <c r="CW10" s="642">
        <v>10</v>
      </c>
      <c r="CX10" s="643" t="s">
        <v>132</v>
      </c>
      <c r="CY10" s="581"/>
    </row>
    <row r="11" spans="1:133">
      <c r="A11" s="581"/>
      <c r="B11" s="581"/>
      <c r="C11" s="581"/>
      <c r="D11" s="581"/>
      <c r="E11" s="581"/>
      <c r="F11" s="581"/>
      <c r="G11" s="581"/>
      <c r="H11" s="581"/>
      <c r="CA11" s="582">
        <v>25</v>
      </c>
      <c r="CB11" s="583">
        <f t="shared" si="2"/>
        <v>19</v>
      </c>
      <c r="CC11" s="578">
        <f>IF(COUNTIF(CC$2:CC10,CB11)&gt;0,CB11+0.1*COUNTIF(CB$2:CB10,CB11),CB11)</f>
        <v>19.2</v>
      </c>
      <c r="CL11" s="580">
        <f t="shared" si="10"/>
        <v>2</v>
      </c>
      <c r="CM11" s="10">
        <f t="shared" si="11"/>
        <v>3</v>
      </c>
      <c r="CN11" s="10">
        <f t="shared" si="12"/>
        <v>4</v>
      </c>
      <c r="CO11" s="10">
        <f t="shared" si="0"/>
        <v>4</v>
      </c>
      <c r="CP11" s="616">
        <f t="shared" si="1"/>
        <v>4</v>
      </c>
      <c r="CT11" s="579"/>
      <c r="CW11" s="642">
        <v>11</v>
      </c>
      <c r="CX11" s="643" t="s">
        <v>252</v>
      </c>
      <c r="CY11" s="581"/>
    </row>
    <row r="12" spans="1:133">
      <c r="A12" s="581"/>
      <c r="B12" s="581"/>
      <c r="C12" s="581"/>
      <c r="D12" s="581"/>
      <c r="E12" s="581"/>
      <c r="F12" s="581"/>
      <c r="G12" s="581"/>
      <c r="H12" s="581"/>
      <c r="CA12" s="582">
        <v>26</v>
      </c>
      <c r="CB12" s="583">
        <f t="shared" si="2"/>
        <v>22</v>
      </c>
      <c r="CC12" s="578">
        <f>IF(COUNTIF(CC$2:CC11,CB12)&gt;0,CB12+0.1*COUNTIF(CB$2:CB11,CB12),CB12)</f>
        <v>22.1</v>
      </c>
      <c r="CM12" s="10">
        <f t="shared" si="11"/>
        <v>1</v>
      </c>
      <c r="CN12" s="10">
        <f t="shared" si="12"/>
        <v>2</v>
      </c>
      <c r="CO12" s="10">
        <f t="shared" si="0"/>
        <v>2</v>
      </c>
      <c r="CP12" s="616">
        <f t="shared" si="1"/>
        <v>2</v>
      </c>
      <c r="CT12" s="579"/>
      <c r="CW12" s="642">
        <v>12</v>
      </c>
      <c r="CX12" s="643" t="s">
        <v>253</v>
      </c>
      <c r="CY12" s="581"/>
    </row>
    <row r="13" spans="1:133">
      <c r="A13" s="619" t="s">
        <v>120</v>
      </c>
      <c r="B13" s="605" t="str">
        <f>TEXT(B15,"0000000")&amp;TEXT(B14,"00")</f>
        <v>2347209303</v>
      </c>
      <c r="C13" s="581"/>
      <c r="D13" s="581"/>
      <c r="E13" s="581"/>
      <c r="F13" s="581"/>
      <c r="G13" s="581"/>
      <c r="H13" s="581"/>
      <c r="CA13" s="582">
        <v>27</v>
      </c>
      <c r="CB13" s="583">
        <f t="shared" si="2"/>
        <v>22</v>
      </c>
      <c r="CC13" s="578">
        <f>IF(COUNTIF(CC$2:CC12,CB13)&gt;0,CB13+0.1*COUNTIF(CB$2:CB12,CB13),CB13)</f>
        <v>22.2</v>
      </c>
      <c r="CN13" s="10">
        <f t="shared" si="12"/>
        <v>1</v>
      </c>
      <c r="CO13" s="10">
        <f t="shared" si="0"/>
        <v>1</v>
      </c>
      <c r="CP13" s="616">
        <f t="shared" si="1"/>
        <v>1</v>
      </c>
      <c r="CT13" s="579"/>
      <c r="CW13" s="642">
        <v>13</v>
      </c>
      <c r="CX13" s="643" t="s">
        <v>254</v>
      </c>
      <c r="CY13" s="581"/>
    </row>
    <row r="14" spans="1:133">
      <c r="A14" s="577" t="s">
        <v>121</v>
      </c>
      <c r="B14" s="581">
        <v>3</v>
      </c>
      <c r="C14" s="581"/>
      <c r="D14" s="581"/>
      <c r="E14" s="581"/>
      <c r="F14" s="581"/>
      <c r="G14" s="581"/>
      <c r="H14" s="581"/>
      <c r="CA14" s="582">
        <v>28</v>
      </c>
      <c r="CB14" s="583">
        <f t="shared" si="2"/>
        <v>2</v>
      </c>
      <c r="CC14" s="578">
        <f>IF(COUNTIF(CC$2:CC13,CB14)&gt;0,CB14+0.1*COUNTIF(CB$2:CB13,CB14),CB14)</f>
        <v>2</v>
      </c>
      <c r="CO14" s="10">
        <f t="shared" si="0"/>
        <v>13</v>
      </c>
      <c r="CP14" s="616">
        <f t="shared" si="1"/>
        <v>14</v>
      </c>
      <c r="CT14" s="579"/>
      <c r="CW14" s="642">
        <v>14</v>
      </c>
      <c r="CX14" s="643" t="s">
        <v>255</v>
      </c>
      <c r="CY14" s="581"/>
    </row>
    <row r="15" spans="1:133">
      <c r="A15" s="620" t="s">
        <v>226</v>
      </c>
      <c r="B15" s="581">
        <f>CB1</f>
        <v>23472093</v>
      </c>
      <c r="C15" s="581"/>
      <c r="D15" s="581"/>
      <c r="E15" s="581"/>
      <c r="F15" s="581"/>
      <c r="G15" s="581"/>
      <c r="H15" s="581"/>
      <c r="CA15" s="616">
        <v>29</v>
      </c>
      <c r="CB15" s="617">
        <f t="shared" si="2"/>
        <v>16</v>
      </c>
      <c r="CC15" s="618">
        <f>IF(COUNTIF(CC$2:CC14,CB15)&gt;0,CB15+0.1*COUNTIF(CB$2:CB14,CB15),CB15)</f>
        <v>16.100000000000001</v>
      </c>
      <c r="CO15" s="10"/>
      <c r="CP15" s="616">
        <f t="shared" si="1"/>
        <v>7</v>
      </c>
      <c r="CW15" s="642">
        <v>15</v>
      </c>
      <c r="CX15" s="642" t="s">
        <v>256</v>
      </c>
      <c r="CY15" s="577"/>
    </row>
    <row r="16" spans="1:133">
      <c r="A16" s="602" t="s">
        <v>123</v>
      </c>
      <c r="B16" s="581">
        <v>2</v>
      </c>
      <c r="C16" s="581"/>
      <c r="D16" s="581"/>
      <c r="E16" s="581"/>
      <c r="F16" s="581"/>
      <c r="G16" s="581"/>
      <c r="H16" s="581"/>
      <c r="CB16" s="582"/>
      <c r="CW16" s="642">
        <v>16</v>
      </c>
      <c r="CX16" s="642"/>
      <c r="CY16" s="577"/>
    </row>
    <row r="17" spans="1:103">
      <c r="A17" s="619" t="s">
        <v>222</v>
      </c>
      <c r="B17" s="581">
        <f ca="1">SUM(E23:E134)</f>
        <v>90</v>
      </c>
      <c r="C17" s="581"/>
      <c r="D17" s="581"/>
      <c r="E17" s="581"/>
      <c r="F17" s="581"/>
      <c r="G17" s="581"/>
      <c r="H17" s="581"/>
      <c r="CB17" s="582"/>
      <c r="CW17" s="642">
        <v>17</v>
      </c>
      <c r="CX17" s="642"/>
      <c r="CY17" s="577"/>
    </row>
    <row r="18" spans="1:103">
      <c r="A18" s="619" t="s">
        <v>223</v>
      </c>
      <c r="B18" s="581">
        <f>SUM(F23:F134)</f>
        <v>96</v>
      </c>
      <c r="C18" s="581"/>
      <c r="D18" s="581"/>
      <c r="E18" s="581"/>
      <c r="F18" s="581"/>
      <c r="G18" s="581"/>
      <c r="H18" s="581"/>
      <c r="CW18" s="642">
        <v>18</v>
      </c>
      <c r="CX18" s="643" t="s">
        <v>128</v>
      </c>
      <c r="CY18" s="577"/>
    </row>
    <row r="19" spans="1:103">
      <c r="A19" s="620" t="s">
        <v>224</v>
      </c>
      <c r="B19" s="581">
        <f>SUM(G23:G134)</f>
        <v>12</v>
      </c>
      <c r="E19" s="581"/>
      <c r="F19" s="581"/>
      <c r="G19" s="581"/>
      <c r="H19" s="581"/>
      <c r="CW19" s="642">
        <v>19</v>
      </c>
      <c r="CX19" s="642" t="s">
        <v>129</v>
      </c>
      <c r="CY19" s="577"/>
    </row>
    <row r="20" spans="1:103">
      <c r="A20" s="620" t="s">
        <v>225</v>
      </c>
      <c r="B20" s="581">
        <f>SUM(H23:H134)</f>
        <v>15</v>
      </c>
      <c r="E20" s="580"/>
      <c r="F20" s="580"/>
      <c r="G20" s="580"/>
      <c r="H20" s="580"/>
      <c r="CW20" s="642">
        <v>20</v>
      </c>
      <c r="CX20" s="642" t="s">
        <v>257</v>
      </c>
      <c r="CY20" s="577"/>
    </row>
    <row r="21" spans="1:103">
      <c r="A21" s="634" t="s">
        <v>247</v>
      </c>
      <c r="B21" s="581"/>
      <c r="E21" s="581"/>
      <c r="F21" s="581"/>
      <c r="G21" s="581"/>
      <c r="H21" s="581"/>
      <c r="CW21" s="577"/>
      <c r="CX21" s="577"/>
      <c r="CY21" s="577"/>
    </row>
    <row r="22" spans="1:103" ht="15.75">
      <c r="A22" s="634" t="s">
        <v>248</v>
      </c>
      <c r="B22" s="581"/>
      <c r="E22" s="581"/>
      <c r="F22" s="581"/>
      <c r="G22" s="581"/>
      <c r="H22" s="581"/>
      <c r="CF22"/>
      <c r="CW22" s="577"/>
      <c r="CX22" s="577"/>
      <c r="CY22" s="577"/>
    </row>
    <row r="23" spans="1:103" ht="15.75">
      <c r="A23" s="577">
        <v>1</v>
      </c>
      <c r="B23" s="10" t="b">
        <f t="shared" ref="B23:B47" si="13">IF(E23+G23=F23+H23,TRUE,FALSE)</f>
        <v>1</v>
      </c>
      <c r="C23" s="657" t="s">
        <v>339</v>
      </c>
      <c r="D23" s="580" t="s">
        <v>340</v>
      </c>
      <c r="E23" s="5">
        <f>IFERROR(IF(CE23&gt;0,0,IF(CD23&gt;0,0,F23)),0)</f>
        <v>15</v>
      </c>
      <c r="F23" s="585">
        <v>15</v>
      </c>
      <c r="CA23" s="10">
        <v>1</v>
      </c>
      <c r="CB23" s="581"/>
      <c r="CC23" s="584"/>
      <c r="CD23" s="601">
        <f>'Scratch Sheet'!E20</f>
        <v>0</v>
      </c>
      <c r="CE23" s="601">
        <f>'Scratch Sheet'!E19</f>
        <v>0</v>
      </c>
      <c r="CF23"/>
      <c r="CI23" s="585"/>
      <c r="CJ23" s="585"/>
      <c r="CK23" s="585"/>
      <c r="CL23" s="585"/>
    </row>
    <row r="24" spans="1:103">
      <c r="A24" s="577">
        <v>2</v>
      </c>
      <c r="B24" s="10" t="b">
        <f t="shared" ca="1" si="13"/>
        <v>1</v>
      </c>
      <c r="C24" s="657" t="s">
        <v>339</v>
      </c>
      <c r="D24" s="580" t="s">
        <v>341</v>
      </c>
      <c r="E24" s="5">
        <f t="shared" ref="E24:E25" ca="1" si="14">IFERROR(IF(CE24&gt;0,0,IF(CD24&gt;0,0,F24)),0)</f>
        <v>15</v>
      </c>
      <c r="F24" s="585">
        <v>15</v>
      </c>
      <c r="CA24" s="10">
        <v>2</v>
      </c>
      <c r="CB24" s="584"/>
      <c r="CC24" s="584"/>
      <c r="CD24" s="601">
        <f ca="1">'Scratch Sheet'!F20</f>
        <v>0</v>
      </c>
      <c r="CE24" s="601">
        <f>'Scratch Sheet'!F19</f>
        <v>0</v>
      </c>
      <c r="CH24" s="585"/>
      <c r="CI24" s="585"/>
      <c r="CJ24" s="585"/>
      <c r="CK24" s="585"/>
      <c r="CL24" s="585"/>
    </row>
    <row r="25" spans="1:103">
      <c r="A25" s="577">
        <v>3</v>
      </c>
      <c r="B25" s="10" t="b">
        <f t="shared" ca="1" si="13"/>
        <v>1</v>
      </c>
      <c r="C25" s="657" t="s">
        <v>339</v>
      </c>
      <c r="D25" s="580" t="s">
        <v>342</v>
      </c>
      <c r="E25" s="5">
        <f t="shared" ca="1" si="14"/>
        <v>15</v>
      </c>
      <c r="F25" s="585">
        <v>15</v>
      </c>
      <c r="CA25" s="10">
        <v>3</v>
      </c>
      <c r="CB25" s="581"/>
      <c r="CC25" s="584"/>
      <c r="CD25" s="601">
        <f ca="1">'Scratch Sheet'!G20</f>
        <v>0</v>
      </c>
      <c r="CE25" s="601">
        <f>'Scratch Sheet'!G19</f>
        <v>0</v>
      </c>
      <c r="CH25" s="586"/>
      <c r="CI25" s="586"/>
      <c r="CJ25" s="586"/>
      <c r="CK25" s="587"/>
      <c r="CL25" s="587"/>
    </row>
    <row r="26" spans="1:103" ht="15.75">
      <c r="A26" s="577">
        <v>4</v>
      </c>
      <c r="B26" s="10" t="b">
        <f t="shared" si="13"/>
        <v>1</v>
      </c>
      <c r="C26" s="657" t="s">
        <v>343</v>
      </c>
      <c r="D26" s="580">
        <f>ROW(Analyze!B20)</f>
        <v>20</v>
      </c>
      <c r="E26" s="5">
        <f>IFERROR(IF(CD26=CH26,F26,0),0)</f>
        <v>3</v>
      </c>
      <c r="F26" s="585">
        <v>3</v>
      </c>
      <c r="CA26" s="10">
        <v>4</v>
      </c>
      <c r="CB26" s="581"/>
      <c r="CC26" s="584"/>
      <c r="CD26" s="601" t="str">
        <f>Analyze!B20</f>
        <v>C3</v>
      </c>
      <c r="CH26" t="str">
        <f>INDEX('Scratch Sheet'!L22:L30,MATCH(MIN('Scratch Sheet'!P22:P30),'Scratch Sheet'!P22:P30,0))</f>
        <v>C3</v>
      </c>
      <c r="CI26" s="586"/>
      <c r="CJ26" s="586"/>
      <c r="CK26" s="588"/>
      <c r="CL26" s="588"/>
    </row>
    <row r="27" spans="1:103" ht="15.75">
      <c r="A27" s="577">
        <v>5</v>
      </c>
      <c r="B27" s="10" t="b">
        <f t="shared" si="13"/>
        <v>1</v>
      </c>
      <c r="C27" s="657" t="s">
        <v>343</v>
      </c>
      <c r="D27" s="580">
        <f>ROW(Analyze!B22)</f>
        <v>22</v>
      </c>
      <c r="E27" s="5">
        <f>IFERROR(IF(AND(CD27&gt;0,CD27-CH27&lt;10),F27,0),0)</f>
        <v>3</v>
      </c>
      <c r="F27" s="585">
        <v>3</v>
      </c>
      <c r="CA27" s="10">
        <v>5</v>
      </c>
      <c r="CB27" s="581"/>
      <c r="CC27" s="584"/>
      <c r="CD27" s="601">
        <f>Analyze!B22</f>
        <v>796</v>
      </c>
      <c r="CH27">
        <f>VLOOKUP(CH26,'Scratch Sheet'!L22:P30,5,FALSE)</f>
        <v>796.21680611131319</v>
      </c>
      <c r="CI27" s="586"/>
      <c r="CJ27" s="586"/>
      <c r="CK27" s="588"/>
      <c r="CL27" s="588"/>
    </row>
    <row r="28" spans="1:103" ht="15.75">
      <c r="A28" s="577">
        <v>6</v>
      </c>
      <c r="B28" s="10" t="b">
        <f t="shared" si="13"/>
        <v>1</v>
      </c>
      <c r="C28" s="657" t="s">
        <v>343</v>
      </c>
      <c r="D28" s="580">
        <f>ROW(Analyze!B24)</f>
        <v>24</v>
      </c>
      <c r="E28" s="5">
        <f>IFERROR(IF(CD28=CH28,F28,0),0)</f>
        <v>3</v>
      </c>
      <c r="F28" s="585">
        <v>3</v>
      </c>
      <c r="CA28" s="10">
        <v>6</v>
      </c>
      <c r="CB28" s="581"/>
      <c r="CC28" s="584"/>
      <c r="CD28" s="601" t="str">
        <f>Analyze!B24</f>
        <v>N1</v>
      </c>
      <c r="CH28" t="str">
        <f>INDEX('Scratch Sheet'!L22:L30,MATCH(MAX('Scratch Sheet'!P22:P30),'Scratch Sheet'!P22:P30,0))</f>
        <v>N1</v>
      </c>
      <c r="CI28" s="586"/>
      <c r="CJ28" s="586"/>
      <c r="CK28" s="588"/>
      <c r="CL28" s="588"/>
    </row>
    <row r="29" spans="1:103" ht="15.75">
      <c r="A29" s="577">
        <v>7</v>
      </c>
      <c r="B29" s="10" t="b">
        <f t="shared" si="13"/>
        <v>1</v>
      </c>
      <c r="C29" s="657" t="s">
        <v>343</v>
      </c>
      <c r="D29" s="580">
        <f>ROW(Analyze!B26)</f>
        <v>26</v>
      </c>
      <c r="E29" s="5">
        <f>IFERROR(IF(AND(CD29&gt;0,CD29-CH29&lt;10),F29,0),0)</f>
        <v>3</v>
      </c>
      <c r="F29" s="585">
        <v>3</v>
      </c>
      <c r="CA29" s="10">
        <v>7</v>
      </c>
      <c r="CB29" s="581"/>
      <c r="CC29" s="584"/>
      <c r="CD29" s="601">
        <f>Analyze!B26</f>
        <v>1482</v>
      </c>
      <c r="CH29">
        <f>VLOOKUP(CH28,'Scratch Sheet'!L22:P30,5,FALSE)</f>
        <v>1482.1333333333334</v>
      </c>
      <c r="CI29" s="586"/>
      <c r="CJ29" s="586"/>
      <c r="CK29" s="588"/>
      <c r="CL29" s="588"/>
    </row>
    <row r="30" spans="1:103" ht="15.75">
      <c r="A30" s="577">
        <v>8</v>
      </c>
      <c r="B30" s="10" t="b">
        <f t="shared" si="13"/>
        <v>1</v>
      </c>
      <c r="C30" s="657" t="s">
        <v>343</v>
      </c>
      <c r="D30" s="580">
        <f>ROW(Analyze!B45)</f>
        <v>45</v>
      </c>
      <c r="E30" s="5">
        <f>IFERROR(IF(CD30=CH30,F30,0),0)</f>
        <v>3</v>
      </c>
      <c r="F30" s="585">
        <v>3</v>
      </c>
      <c r="CA30" s="10">
        <v>8</v>
      </c>
      <c r="CB30" s="581"/>
      <c r="CC30" s="584"/>
      <c r="CD30" s="601" t="str">
        <f>Analyze!B45</f>
        <v>Group 2 (N!, N2 and N3)</v>
      </c>
      <c r="CH30" t="str">
        <f>INDEX('Scratch Sheet'!M35:M37,MATCH(CH31,'Scratch Sheet'!N35:N37))</f>
        <v>Group 2 (N!, N2 and N3)</v>
      </c>
      <c r="CI30" s="586"/>
      <c r="CJ30" s="586"/>
      <c r="CK30" s="586"/>
      <c r="CL30" s="586"/>
    </row>
    <row r="31" spans="1:103" ht="15.75">
      <c r="A31" s="577">
        <v>9</v>
      </c>
      <c r="B31" s="10" t="b">
        <f t="shared" si="13"/>
        <v>0</v>
      </c>
      <c r="C31" s="657" t="s">
        <v>343</v>
      </c>
      <c r="D31" s="580">
        <f>ROW(Analyze!B47)</f>
        <v>47</v>
      </c>
      <c r="E31" s="5">
        <f>IFERROR(IF(AND(CD31&gt;0,CD31-CH31&lt;10),F31,0),0)</f>
        <v>0</v>
      </c>
      <c r="F31" s="585">
        <v>3</v>
      </c>
      <c r="CA31" s="10">
        <v>9</v>
      </c>
      <c r="CB31" s="581"/>
      <c r="CC31" s="584"/>
      <c r="CD31" s="601">
        <f>Analyze!B47</f>
        <v>1482</v>
      </c>
      <c r="CH31" s="667">
        <f>MAX('Scratch Sheet'!N35:N37)</f>
        <v>1096.4047936085219</v>
      </c>
      <c r="CI31" s="586"/>
      <c r="CJ31" s="586"/>
      <c r="CK31" s="650"/>
      <c r="CL31" s="650"/>
    </row>
    <row r="32" spans="1:103">
      <c r="A32" s="577">
        <v>10</v>
      </c>
      <c r="B32" s="10" t="b">
        <f t="shared" si="13"/>
        <v>1</v>
      </c>
      <c r="C32" s="657" t="s">
        <v>343</v>
      </c>
      <c r="D32" s="580">
        <f>ROW(Analyze!B100)</f>
        <v>100</v>
      </c>
      <c r="E32" s="5">
        <f>IFERROR(IF(CD32=CH32,F32,0),0)</f>
        <v>3</v>
      </c>
      <c r="F32" s="585">
        <v>3</v>
      </c>
      <c r="CA32" s="10">
        <v>10</v>
      </c>
      <c r="CB32" s="581"/>
      <c r="CC32" s="584"/>
      <c r="CD32" s="601" t="str">
        <f>Analyze!B100</f>
        <v>P11</v>
      </c>
      <c r="CH32" s="580" t="str">
        <f>'Scratch Sheet'!U37</f>
        <v>P11</v>
      </c>
      <c r="CI32" s="586"/>
      <c r="CJ32" s="586"/>
      <c r="CK32" s="586"/>
      <c r="CL32" s="586"/>
    </row>
    <row r="33" spans="1:95">
      <c r="A33" s="577">
        <v>11</v>
      </c>
      <c r="B33" s="10" t="b">
        <f t="shared" si="13"/>
        <v>1</v>
      </c>
      <c r="C33" s="657" t="s">
        <v>343</v>
      </c>
      <c r="D33" s="580">
        <f>ROW(Analyze!B102)</f>
        <v>102</v>
      </c>
      <c r="E33" s="5">
        <f>IFERROR(IF(CD33=CH33,F33,0),0)</f>
        <v>3</v>
      </c>
      <c r="F33" s="585">
        <v>3</v>
      </c>
      <c r="CA33" s="10">
        <v>11</v>
      </c>
      <c r="CB33" s="581"/>
      <c r="CC33" s="584"/>
      <c r="CD33" s="601">
        <f>Analyze!B102</f>
        <v>227</v>
      </c>
      <c r="CH33" s="586">
        <f>'Scratch Sheet'!U35</f>
        <v>227</v>
      </c>
      <c r="CI33" s="586"/>
      <c r="CJ33" s="586"/>
      <c r="CK33" s="586"/>
      <c r="CL33" s="586"/>
    </row>
    <row r="34" spans="1:95">
      <c r="A34" s="577">
        <v>12</v>
      </c>
      <c r="B34" s="10" t="b">
        <f t="shared" si="13"/>
        <v>1</v>
      </c>
      <c r="C34" s="657" t="s">
        <v>343</v>
      </c>
      <c r="D34" s="580">
        <f>ROW(Analyze!B104)</f>
        <v>104</v>
      </c>
      <c r="E34" s="5">
        <f>IFERROR(IF(CD34=CH34,F34,0),0)</f>
        <v>3</v>
      </c>
      <c r="F34" s="585">
        <v>3</v>
      </c>
      <c r="CA34" s="10">
        <v>12</v>
      </c>
      <c r="CB34" s="581"/>
      <c r="CC34" s="584"/>
      <c r="CD34" s="601" t="str">
        <f>Analyze!B104</f>
        <v>C3</v>
      </c>
      <c r="CH34" s="586" t="str">
        <f>'Scratch Sheet'!U41</f>
        <v>C3</v>
      </c>
      <c r="CI34" s="586"/>
      <c r="CJ34" s="586"/>
      <c r="CK34" s="586"/>
      <c r="CL34" s="586"/>
    </row>
    <row r="35" spans="1:95" ht="15.75">
      <c r="A35" s="577">
        <v>13</v>
      </c>
      <c r="B35" s="10" t="b">
        <f>IF(E35+G35=F35+H35,TRUE,FALSE)</f>
        <v>1</v>
      </c>
      <c r="C35" s="657" t="s">
        <v>343</v>
      </c>
      <c r="D35" s="580">
        <f>ROW(Analyze!B106)</f>
        <v>106</v>
      </c>
      <c r="E35" s="5">
        <f>IFERROR(IF(CH35=0,0,IF(AND(CD35&gt;0,ABS(CD35-CH35)&lt;10000),F35,0)),0)</f>
        <v>3</v>
      </c>
      <c r="F35" s="585">
        <v>3</v>
      </c>
      <c r="CA35" s="10">
        <v>13</v>
      </c>
      <c r="CB35" s="581"/>
      <c r="CC35" s="584"/>
      <c r="CD35" s="601">
        <f>Analyze!B106</f>
        <v>1199</v>
      </c>
      <c r="CH35">
        <f>'Scratch Sheet'!U40</f>
        <v>1374.5</v>
      </c>
      <c r="CI35" s="586"/>
      <c r="CJ35" s="586"/>
      <c r="CK35" s="588"/>
      <c r="CL35" s="588"/>
    </row>
    <row r="36" spans="1:95" ht="15" customHeight="1">
      <c r="A36" s="577">
        <v>14</v>
      </c>
      <c r="B36" s="10" t="b">
        <f t="shared" si="13"/>
        <v>0</v>
      </c>
      <c r="C36" s="657" t="s">
        <v>343</v>
      </c>
      <c r="D36" s="580">
        <f>ROW(Analyze!B108)</f>
        <v>108</v>
      </c>
      <c r="E36" s="5">
        <f>IFERROR(IF(CH36=0,0,IF(ABS(CD36-CH36)&lt;10,F36,0)),0)</f>
        <v>0</v>
      </c>
      <c r="F36" s="585">
        <v>3</v>
      </c>
      <c r="CA36" s="10">
        <v>14</v>
      </c>
      <c r="CB36" s="581"/>
      <c r="CC36" s="584"/>
      <c r="CD36" s="601">
        <f>Analyze!B108</f>
        <v>11605.504000000001</v>
      </c>
      <c r="CE36" s="601"/>
      <c r="CF36" s="601"/>
      <c r="CG36" s="601"/>
      <c r="CH36" s="601">
        <f>'Scratch Sheet'!U38</f>
        <v>9166.6666666666661</v>
      </c>
      <c r="CI36" s="586"/>
      <c r="CJ36" s="586"/>
      <c r="CK36" s="641"/>
      <c r="CL36" s="641"/>
      <c r="CM36" s="641"/>
      <c r="CN36" s="641"/>
      <c r="CO36" s="641"/>
      <c r="CP36" s="641"/>
      <c r="CQ36" s="641"/>
    </row>
    <row r="37" spans="1:95" ht="15.75">
      <c r="A37" s="577">
        <v>15</v>
      </c>
      <c r="B37" s="10" t="b">
        <f t="shared" si="13"/>
        <v>1</v>
      </c>
      <c r="C37" s="657" t="s">
        <v>343</v>
      </c>
      <c r="D37" s="580">
        <f>ROW(Analyze!B114)</f>
        <v>114</v>
      </c>
      <c r="E37" s="5">
        <f>IFERROR(IF(CD37=CH37,F37,0),0)</f>
        <v>3</v>
      </c>
      <c r="F37" s="585">
        <v>3</v>
      </c>
      <c r="CA37" s="10">
        <v>15</v>
      </c>
      <c r="CB37" s="581"/>
      <c r="CC37" s="584"/>
      <c r="CD37" s="601" t="str">
        <f>Analyze!B114</f>
        <v>O2</v>
      </c>
      <c r="CE37" s="601"/>
      <c r="CF37" s="601"/>
      <c r="CG37" s="601"/>
      <c r="CH37" s="601" t="str">
        <f>'Scratch Sheet'!U48</f>
        <v>O2</v>
      </c>
      <c r="CI37" s="586"/>
      <c r="CJ37" s="586"/>
      <c r="CK37" s="641"/>
      <c r="CL37" s="641"/>
      <c r="CM37" s="641"/>
      <c r="CN37" s="641"/>
      <c r="CO37" s="641"/>
    </row>
    <row r="38" spans="1:95" ht="15.75">
      <c r="A38" s="577">
        <v>16</v>
      </c>
      <c r="B38" s="10" t="b">
        <f>IF(E38+G38=F38+H38,TRUE,FALSE)</f>
        <v>1</v>
      </c>
      <c r="C38" s="657" t="s">
        <v>343</v>
      </c>
      <c r="D38" s="580">
        <f>ROW(Analyze!B116)</f>
        <v>116</v>
      </c>
      <c r="E38" s="5">
        <f>IFERROR(IF(ABS(CD38-CH38)&lt;1,F38,0),0)</f>
        <v>3</v>
      </c>
      <c r="F38" s="585">
        <v>3</v>
      </c>
      <c r="G38" s="653"/>
      <c r="I38" s="653"/>
      <c r="CA38" s="10">
        <v>16</v>
      </c>
      <c r="CB38" s="581"/>
      <c r="CC38" s="584"/>
      <c r="CD38" s="750">
        <f>Analyze!B116</f>
        <v>1106</v>
      </c>
      <c r="CE38" s="601"/>
      <c r="CF38" s="601"/>
      <c r="CG38" s="601"/>
      <c r="CH38" s="601">
        <f>'Scratch Sheet'!U51</f>
        <v>1105.7328990228013</v>
      </c>
      <c r="CI38" s="586"/>
      <c r="CJ38" s="586"/>
      <c r="CK38" s="641"/>
      <c r="CL38" s="641"/>
      <c r="CM38" s="641"/>
      <c r="CN38" s="641"/>
      <c r="CO38" s="641"/>
    </row>
    <row r="39" spans="1:95" ht="15.75">
      <c r="A39" s="577">
        <v>17</v>
      </c>
      <c r="B39" s="10" t="b">
        <f t="shared" si="13"/>
        <v>1</v>
      </c>
      <c r="C39" s="657" t="s">
        <v>343</v>
      </c>
      <c r="D39" s="580">
        <f>ROW(Analyze!B118)</f>
        <v>118</v>
      </c>
      <c r="E39" s="5">
        <f>IFERROR(IF(ABS(CD39-CH39)&lt;10,F39,0),0)</f>
        <v>3</v>
      </c>
      <c r="F39" s="585">
        <v>3</v>
      </c>
      <c r="G39" s="653"/>
      <c r="I39" s="653"/>
      <c r="CA39" s="10">
        <v>17</v>
      </c>
      <c r="CB39" s="581"/>
      <c r="CC39" s="584"/>
      <c r="CD39" s="601">
        <f>Analyze!B118</f>
        <v>921</v>
      </c>
      <c r="CE39" s="601"/>
      <c r="CF39" s="601"/>
      <c r="CG39" s="601"/>
      <c r="CH39" s="601">
        <f>'Scratch Sheet'!U50</f>
        <v>921</v>
      </c>
      <c r="CI39" s="586"/>
      <c r="CJ39" s="586"/>
      <c r="CK39" s="641"/>
      <c r="CL39" s="641"/>
      <c r="CM39" s="641"/>
      <c r="CN39" s="641"/>
      <c r="CO39" s="641"/>
    </row>
    <row r="40" spans="1:95" ht="15.75">
      <c r="A40" s="577">
        <v>18</v>
      </c>
      <c r="B40" s="10" t="b">
        <f>IF(E40+G40=F40+H40,TRUE,FALSE)</f>
        <v>1</v>
      </c>
      <c r="C40" s="657" t="s">
        <v>343</v>
      </c>
      <c r="D40" s="580">
        <f>ROW(Analyze!B121)</f>
        <v>121</v>
      </c>
      <c r="E40" s="5">
        <f>IFERROR(IF(CD40=CH40,F40,0),0)</f>
        <v>3</v>
      </c>
      <c r="F40" s="585">
        <v>3</v>
      </c>
      <c r="I40" s="577"/>
      <c r="CA40" s="10">
        <v>18</v>
      </c>
      <c r="CB40" s="581"/>
      <c r="CC40" s="584"/>
      <c r="CD40" s="720" t="str">
        <f>Analyze!B121</f>
        <v>N1</v>
      </c>
      <c r="CE40" s="601"/>
      <c r="CF40" s="601"/>
      <c r="CG40" s="601"/>
      <c r="CH40" s="601" t="str">
        <f>'Scratch Sheet'!U55</f>
        <v>N1</v>
      </c>
      <c r="CI40" s="586"/>
      <c r="CJ40" s="586"/>
      <c r="CK40" s="641"/>
      <c r="CL40" s="641"/>
      <c r="CM40" s="641"/>
      <c r="CN40" s="641"/>
      <c r="CO40" s="641"/>
    </row>
    <row r="41" spans="1:95" ht="15.75">
      <c r="A41" s="577">
        <v>19</v>
      </c>
      <c r="B41" s="10" t="b">
        <f>IF(E41+G41=F41+H41,TRUE,FALSE)</f>
        <v>1</v>
      </c>
      <c r="C41" s="657" t="s">
        <v>343</v>
      </c>
      <c r="D41" s="580">
        <f>ROW(Analyze!B123)</f>
        <v>123</v>
      </c>
      <c r="E41" s="5">
        <f>IFERROR(IF(ABS(CD41-CH41)&lt;10,F41,0),0)</f>
        <v>3</v>
      </c>
      <c r="F41" s="585">
        <v>3</v>
      </c>
      <c r="I41" s="577"/>
      <c r="CA41" s="10">
        <v>19</v>
      </c>
      <c r="CB41" s="581"/>
      <c r="CC41" s="584"/>
      <c r="CD41" s="720">
        <f>Analyze!B123</f>
        <v>1482</v>
      </c>
      <c r="CE41" s="601"/>
      <c r="CF41" s="601"/>
      <c r="CG41" s="601"/>
      <c r="CH41" s="601">
        <f>'Scratch Sheet'!U58</f>
        <v>1482.1333333333334</v>
      </c>
      <c r="CI41" s="586"/>
      <c r="CJ41" s="586"/>
      <c r="CK41" s="641"/>
      <c r="CL41" s="641"/>
      <c r="CM41" s="641"/>
      <c r="CN41" s="641"/>
      <c r="CO41" s="641"/>
    </row>
    <row r="42" spans="1:95" ht="15.75">
      <c r="A42" s="577">
        <v>20</v>
      </c>
      <c r="B42" s="10" t="b">
        <f t="shared" si="13"/>
        <v>1</v>
      </c>
      <c r="C42" s="657" t="s">
        <v>343</v>
      </c>
      <c r="D42" s="580">
        <f>ROW(Analyze!B125)</f>
        <v>125</v>
      </c>
      <c r="E42" s="5">
        <f>IFERROR(IF(AND(CD42&gt;0,ABS(CD42=CH42)&lt;10),F42,0),0)</f>
        <v>3</v>
      </c>
      <c r="F42" s="585">
        <v>3</v>
      </c>
      <c r="I42" s="577"/>
      <c r="CA42" s="10">
        <v>20</v>
      </c>
      <c r="CB42" s="581"/>
      <c r="CC42" s="584"/>
      <c r="CD42" s="720">
        <f>Analyze!B125</f>
        <v>150</v>
      </c>
      <c r="CE42" s="601"/>
      <c r="CF42" s="601"/>
      <c r="CG42" s="601"/>
      <c r="CH42" s="601">
        <f>'Scratch Sheet'!U57</f>
        <v>150</v>
      </c>
      <c r="CI42" s="586"/>
      <c r="CJ42" s="586"/>
      <c r="CK42" s="641"/>
      <c r="CL42" s="641"/>
      <c r="CM42" s="641"/>
      <c r="CN42" s="641"/>
      <c r="CO42" s="641"/>
    </row>
    <row r="43" spans="1:95">
      <c r="A43" s="577">
        <v>21</v>
      </c>
      <c r="B43" s="10" t="b">
        <f t="shared" si="13"/>
        <v>1</v>
      </c>
      <c r="C43" s="657" t="s">
        <v>343</v>
      </c>
      <c r="D43" s="580">
        <f>ROW(Analyze!B139)</f>
        <v>139</v>
      </c>
      <c r="G43" s="5">
        <f>IFERROR(IF(CD43=CH43,H43,0),0)</f>
        <v>3</v>
      </c>
      <c r="H43" s="585">
        <v>3</v>
      </c>
      <c r="CA43" s="10">
        <v>21</v>
      </c>
      <c r="CD43" s="720" t="str">
        <f>Analyze!B139</f>
        <v>O2</v>
      </c>
      <c r="CH43" s="580" t="str">
        <f>'Scratch Sheet'!R61</f>
        <v>O2</v>
      </c>
    </row>
    <row r="44" spans="1:95" ht="15.75">
      <c r="A44" s="577">
        <v>22</v>
      </c>
      <c r="B44" s="10" t="b">
        <f t="shared" si="13"/>
        <v>1</v>
      </c>
      <c r="C44" s="657" t="s">
        <v>343</v>
      </c>
      <c r="D44" s="580">
        <f>ROW(Analyze!B141)</f>
        <v>141</v>
      </c>
      <c r="G44" s="5">
        <f>IFERROR(IF(CD44=CH44,H44,0),0)</f>
        <v>3</v>
      </c>
      <c r="H44" s="585">
        <v>3</v>
      </c>
      <c r="I44" s="577"/>
      <c r="CA44" s="10">
        <v>22</v>
      </c>
      <c r="CB44" s="581"/>
      <c r="CC44" s="584"/>
      <c r="CD44" s="720" t="str">
        <f>Analyze!B141</f>
        <v>N3</v>
      </c>
      <c r="CE44" s="601"/>
      <c r="CF44" s="601"/>
      <c r="CG44" s="601"/>
      <c r="CH44" s="601" t="str">
        <f>'Scratch Sheet'!R62</f>
        <v>N3</v>
      </c>
      <c r="CI44" s="586"/>
      <c r="CJ44" s="586"/>
      <c r="CK44" s="641"/>
      <c r="CL44" s="641"/>
      <c r="CM44" s="641"/>
      <c r="CN44" s="641"/>
      <c r="CO44" s="641"/>
    </row>
    <row r="45" spans="1:95" ht="15.75">
      <c r="A45" s="577">
        <v>23</v>
      </c>
      <c r="B45" s="10" t="b">
        <f t="shared" si="13"/>
        <v>0</v>
      </c>
      <c r="C45" s="657" t="s">
        <v>343</v>
      </c>
      <c r="D45" s="580">
        <f>ROW(Analyze!B143)</f>
        <v>143</v>
      </c>
      <c r="G45" s="5">
        <f>IFERROR(IF(CH45=0,0,IF(ABS(CD45-CH45)&lt;10,H45,0)),0)</f>
        <v>0</v>
      </c>
      <c r="H45" s="585">
        <v>3</v>
      </c>
      <c r="I45" s="577"/>
      <c r="CA45" s="10">
        <v>23</v>
      </c>
      <c r="CB45" s="581"/>
      <c r="CC45" s="584"/>
      <c r="CD45" s="720">
        <f>Analyze!B143</f>
        <v>100</v>
      </c>
      <c r="CE45" s="601"/>
      <c r="CF45" s="601"/>
      <c r="CG45" s="601"/>
      <c r="CH45" s="601">
        <f>'Scratch Sheet'!R42</f>
        <v>1126</v>
      </c>
      <c r="CI45" s="586"/>
      <c r="CJ45" s="586"/>
      <c r="CK45" s="641"/>
      <c r="CL45" s="641"/>
      <c r="CM45" s="641"/>
      <c r="CN45" s="641"/>
      <c r="CO45" s="641"/>
    </row>
    <row r="46" spans="1:95" ht="15.75">
      <c r="A46" s="577">
        <v>24</v>
      </c>
      <c r="B46" s="10" t="b">
        <f t="shared" si="13"/>
        <v>1</v>
      </c>
      <c r="C46" s="657" t="s">
        <v>343</v>
      </c>
      <c r="D46" s="580">
        <f>ROW(Analyze!B145)</f>
        <v>145</v>
      </c>
      <c r="G46" s="5">
        <f>IFERROR(IF(CH46=0,0,IF(ABS(CD46-CH46)&lt;10000,H46,0)),0)</f>
        <v>3</v>
      </c>
      <c r="H46" s="585">
        <v>3</v>
      </c>
      <c r="I46" s="577"/>
      <c r="CA46" s="10">
        <v>24</v>
      </c>
      <c r="CB46" s="581"/>
      <c r="CC46" s="584"/>
      <c r="CD46" s="720">
        <f>Analyze!B145</f>
        <v>1233180</v>
      </c>
      <c r="CE46" s="601"/>
      <c r="CF46" s="601"/>
      <c r="CG46" s="601"/>
      <c r="CH46" s="601">
        <f>'Scratch Sheet'!R57</f>
        <v>1233180</v>
      </c>
      <c r="CI46" s="586"/>
      <c r="CJ46" s="586"/>
      <c r="CK46" s="641"/>
      <c r="CL46" s="641"/>
      <c r="CM46" s="641"/>
      <c r="CN46" s="641"/>
      <c r="CO46" s="641"/>
    </row>
    <row r="47" spans="1:95" ht="15.75">
      <c r="A47" s="577">
        <v>25</v>
      </c>
      <c r="B47" s="10" t="b">
        <f t="shared" si="13"/>
        <v>1</v>
      </c>
      <c r="C47" s="657" t="s">
        <v>343</v>
      </c>
      <c r="D47" s="580">
        <f>ROW(Analyze!B147)</f>
        <v>147</v>
      </c>
      <c r="G47" s="5">
        <f>IFERROR(IF(CD47=CH47,H47,0),0)</f>
        <v>3</v>
      </c>
      <c r="H47" s="585">
        <v>3</v>
      </c>
      <c r="I47" s="577"/>
      <c r="CA47" s="10">
        <v>25</v>
      </c>
      <c r="CB47" s="581"/>
      <c r="CC47" s="584"/>
      <c r="CD47" s="720" t="str">
        <f>Analyze!B147</f>
        <v>No</v>
      </c>
      <c r="CE47" s="601"/>
      <c r="CF47" s="601"/>
      <c r="CG47" s="601"/>
      <c r="CH47" s="601" t="str">
        <f>'Scratch Sheet'!R53</f>
        <v>No</v>
      </c>
      <c r="CI47" s="586"/>
      <c r="CJ47" s="586"/>
      <c r="CK47" s="641"/>
      <c r="CL47" s="641"/>
      <c r="CM47" s="641"/>
      <c r="CN47" s="641"/>
      <c r="CO47" s="641"/>
    </row>
    <row r="48" spans="1:95" ht="15.75">
      <c r="B48" s="10"/>
      <c r="C48" s="657"/>
      <c r="D48" s="580"/>
      <c r="E48" s="585"/>
      <c r="F48" s="585"/>
      <c r="G48" s="653"/>
      <c r="I48" s="653"/>
      <c r="CA48" s="10"/>
      <c r="CB48" s="581"/>
      <c r="CC48" s="584"/>
      <c r="CD48" s="720"/>
      <c r="CE48" s="601"/>
      <c r="CF48" s="601"/>
      <c r="CG48" s="601"/>
      <c r="CH48" s="601"/>
      <c r="CI48" s="586"/>
      <c r="CJ48" s="586"/>
      <c r="CK48" s="641"/>
      <c r="CL48" s="641"/>
      <c r="CM48" s="641"/>
      <c r="CN48" s="641"/>
      <c r="CO48" s="641"/>
    </row>
    <row r="49" spans="2:102" ht="15.75">
      <c r="B49" s="10"/>
      <c r="C49" s="657"/>
      <c r="D49" s="580"/>
      <c r="E49" s="585"/>
      <c r="F49" s="585"/>
      <c r="G49" s="653"/>
      <c r="I49" s="653"/>
      <c r="CA49" s="10"/>
      <c r="CB49" s="581"/>
      <c r="CC49" s="584"/>
      <c r="CD49" s="601"/>
      <c r="CE49" s="601"/>
      <c r="CF49" s="601"/>
      <c r="CG49" s="601"/>
      <c r="CH49" s="601"/>
      <c r="CI49" s="586"/>
      <c r="CJ49" s="586"/>
      <c r="CK49" s="641"/>
      <c r="CL49" s="641"/>
      <c r="CM49" s="641"/>
      <c r="CN49" s="641"/>
      <c r="CO49" s="641"/>
    </row>
    <row r="50" spans="2:102" ht="15.75">
      <c r="B50" s="10"/>
      <c r="C50" s="657"/>
      <c r="D50" s="580"/>
      <c r="E50" s="585"/>
      <c r="F50" s="585"/>
      <c r="CA50" s="10"/>
      <c r="CB50" s="581"/>
      <c r="CC50" s="584"/>
      <c r="CD50" s="601"/>
      <c r="CE50" s="601"/>
      <c r="CF50" s="601"/>
      <c r="CG50" s="601"/>
      <c r="CH50" s="601"/>
      <c r="CI50" s="586"/>
      <c r="CJ50" s="586"/>
      <c r="CK50" s="641"/>
      <c r="CL50" s="641"/>
      <c r="CM50" s="641"/>
      <c r="CN50" s="641"/>
      <c r="CO50" s="641"/>
    </row>
    <row r="51" spans="2:102">
      <c r="B51" s="10"/>
      <c r="C51" s="657"/>
      <c r="D51" s="580"/>
      <c r="E51" s="585"/>
      <c r="F51" s="585"/>
      <c r="CA51" s="10"/>
      <c r="CB51" s="581"/>
      <c r="CD51" s="601"/>
      <c r="CH51" s="586"/>
      <c r="CI51" s="586"/>
      <c r="CJ51" s="586"/>
      <c r="CK51" s="589"/>
      <c r="CL51" s="589"/>
    </row>
    <row r="52" spans="2:102">
      <c r="B52" s="10"/>
      <c r="C52" s="657"/>
      <c r="D52" s="580"/>
      <c r="E52" s="585"/>
      <c r="F52" s="585"/>
      <c r="CA52" s="10"/>
      <c r="CB52" s="581"/>
      <c r="CD52" s="601"/>
      <c r="CH52" s="586"/>
      <c r="CI52" s="586"/>
      <c r="CJ52" s="586"/>
      <c r="CK52" s="590"/>
      <c r="CL52" s="590"/>
    </row>
    <row r="53" spans="2:102">
      <c r="B53" s="10"/>
      <c r="C53" s="657"/>
      <c r="D53" s="580"/>
      <c r="E53" s="585"/>
      <c r="F53" s="585"/>
      <c r="CA53" s="10"/>
      <c r="CB53" s="581"/>
      <c r="CD53" s="601"/>
      <c r="CH53" s="586"/>
      <c r="CI53" s="586"/>
      <c r="CJ53" s="590"/>
      <c r="CK53" s="590"/>
      <c r="CL53" s="590"/>
    </row>
    <row r="54" spans="2:102">
      <c r="B54" s="10"/>
      <c r="C54" s="657"/>
      <c r="D54" s="580"/>
      <c r="E54" s="5"/>
      <c r="F54" s="5"/>
      <c r="G54" s="5"/>
      <c r="H54" s="5"/>
      <c r="L54" s="5"/>
      <c r="CA54" s="10"/>
      <c r="CB54" s="581"/>
      <c r="CC54" s="10"/>
      <c r="CD54" s="601"/>
      <c r="CL54" s="585"/>
      <c r="CM54" s="585"/>
      <c r="CN54" s="585"/>
      <c r="CO54" s="585"/>
      <c r="CP54" s="585"/>
      <c r="CQ54" s="585"/>
      <c r="CR54" s="585"/>
      <c r="CS54" s="585"/>
      <c r="CT54" s="585"/>
      <c r="CU54" s="585"/>
      <c r="CV54" s="585"/>
      <c r="CW54" s="585"/>
      <c r="CX54" s="585"/>
    </row>
    <row r="55" spans="2:102">
      <c r="B55" s="10"/>
      <c r="C55" s="657"/>
      <c r="D55" s="580"/>
      <c r="E55" s="5"/>
      <c r="F55" s="5"/>
      <c r="G55" s="5"/>
      <c r="H55" s="5"/>
      <c r="L55" s="5"/>
      <c r="CA55" s="10"/>
      <c r="CB55" s="581"/>
      <c r="CC55" s="10"/>
      <c r="CD55" s="601"/>
      <c r="CL55" s="585"/>
      <c r="CM55" s="585"/>
      <c r="CN55" s="585"/>
      <c r="CO55" s="585"/>
      <c r="CP55" s="585"/>
      <c r="CQ55" s="585"/>
      <c r="CR55" s="585"/>
      <c r="CS55" s="585"/>
      <c r="CT55" s="585"/>
      <c r="CU55" s="585"/>
      <c r="CV55" s="585"/>
      <c r="CW55" s="585"/>
      <c r="CX55" s="585"/>
    </row>
    <row r="56" spans="2:102">
      <c r="B56" s="10"/>
      <c r="C56" s="657"/>
      <c r="D56" s="580"/>
      <c r="E56" s="5"/>
      <c r="F56" s="5"/>
      <c r="G56" s="5"/>
      <c r="H56" s="5"/>
      <c r="L56" s="5"/>
      <c r="CA56" s="10"/>
      <c r="CB56" s="581"/>
      <c r="CC56" s="10"/>
      <c r="CD56" s="601"/>
      <c r="CL56" s="585"/>
      <c r="CM56" s="585"/>
      <c r="CN56" s="585"/>
      <c r="CO56" s="585"/>
      <c r="CP56" s="585"/>
      <c r="CQ56" s="585"/>
      <c r="CR56" s="585"/>
      <c r="CS56" s="585"/>
      <c r="CT56" s="585"/>
      <c r="CU56" s="585"/>
      <c r="CV56" s="585"/>
      <c r="CW56" s="585"/>
      <c r="CX56" s="585"/>
    </row>
    <row r="57" spans="2:102">
      <c r="B57" s="10"/>
      <c r="C57" s="657"/>
      <c r="D57" s="580"/>
      <c r="E57" s="5"/>
      <c r="F57" s="5"/>
      <c r="G57" s="5"/>
      <c r="H57" s="5"/>
      <c r="L57" s="5"/>
      <c r="CA57" s="10"/>
      <c r="CB57" s="581"/>
      <c r="CC57" s="10"/>
      <c r="CD57" s="601"/>
      <c r="CL57" s="585"/>
      <c r="CM57" s="585"/>
      <c r="CN57" s="585"/>
      <c r="CO57" s="585"/>
      <c r="CP57" s="585"/>
      <c r="CQ57" s="585"/>
      <c r="CR57" s="585"/>
      <c r="CS57" s="585"/>
      <c r="CT57" s="585"/>
      <c r="CU57" s="585"/>
      <c r="CV57" s="585"/>
      <c r="CW57" s="585"/>
      <c r="CX57" s="585"/>
    </row>
    <row r="58" spans="2:102">
      <c r="B58" s="10"/>
      <c r="C58" s="657"/>
      <c r="D58" s="580"/>
      <c r="E58" s="5"/>
      <c r="F58" s="5"/>
      <c r="G58" s="5"/>
      <c r="H58" s="5"/>
      <c r="L58" s="633"/>
      <c r="CA58" s="10"/>
      <c r="CB58" s="581"/>
      <c r="CC58" s="10"/>
      <c r="CD58" s="601"/>
      <c r="CL58" s="585"/>
      <c r="CM58" s="585"/>
      <c r="CN58" s="635"/>
      <c r="CO58" s="585"/>
      <c r="CP58" s="585"/>
      <c r="CQ58" s="585"/>
      <c r="CR58" s="636"/>
      <c r="CS58" s="636"/>
      <c r="CT58" s="636"/>
      <c r="CU58" s="636"/>
      <c r="CV58" s="636"/>
      <c r="CW58" s="636"/>
      <c r="CX58" s="585"/>
    </row>
    <row r="59" spans="2:102">
      <c r="B59" s="10"/>
      <c r="C59" s="657"/>
      <c r="D59" s="580"/>
      <c r="E59" s="5"/>
      <c r="F59" s="5"/>
      <c r="G59" s="5"/>
      <c r="H59" s="5"/>
      <c r="L59" s="633"/>
      <c r="CA59" s="10"/>
      <c r="CB59" s="581"/>
      <c r="CC59" s="10"/>
      <c r="CD59" s="601"/>
      <c r="CL59" s="585"/>
      <c r="CM59" s="585"/>
      <c r="CN59" s="635"/>
      <c r="CO59" s="585"/>
      <c r="CP59" s="585"/>
      <c r="CQ59" s="585"/>
      <c r="CR59" s="636"/>
      <c r="CS59" s="636"/>
      <c r="CT59" s="636"/>
      <c r="CU59" s="636"/>
      <c r="CV59" s="636"/>
      <c r="CW59" s="636"/>
      <c r="CX59" s="585"/>
    </row>
    <row r="60" spans="2:102">
      <c r="B60" s="10"/>
      <c r="C60" s="657"/>
      <c r="D60" s="580"/>
      <c r="E60" s="5"/>
      <c r="F60" s="5"/>
      <c r="G60" s="5"/>
      <c r="H60" s="5"/>
      <c r="L60" s="633"/>
      <c r="CA60" s="10"/>
      <c r="CB60" s="581"/>
      <c r="CC60" s="10"/>
      <c r="CD60" s="601"/>
      <c r="CL60" s="585"/>
      <c r="CM60" s="585"/>
      <c r="CN60" s="635"/>
      <c r="CO60" s="585"/>
      <c r="CP60" s="585"/>
      <c r="CQ60" s="585"/>
      <c r="CR60" s="636"/>
      <c r="CS60" s="636"/>
      <c r="CT60" s="636"/>
      <c r="CU60" s="636"/>
      <c r="CV60" s="636"/>
      <c r="CW60" s="636"/>
      <c r="CX60" s="585"/>
    </row>
    <row r="61" spans="2:102">
      <c r="B61" s="10"/>
      <c r="C61" s="657"/>
      <c r="D61" s="580"/>
      <c r="E61" s="5"/>
      <c r="F61" s="5"/>
      <c r="G61" s="5"/>
      <c r="H61" s="5"/>
      <c r="L61" s="633"/>
      <c r="CA61" s="10"/>
      <c r="CB61" s="581"/>
      <c r="CC61" s="10"/>
      <c r="CD61" s="601"/>
      <c r="CL61" s="585"/>
      <c r="CM61" s="585"/>
      <c r="CN61" s="635"/>
      <c r="CO61" s="585"/>
      <c r="CP61" s="585"/>
      <c r="CQ61" s="585"/>
      <c r="CR61" s="636"/>
      <c r="CS61" s="636"/>
      <c r="CT61" s="636"/>
      <c r="CU61" s="636"/>
      <c r="CV61" s="636"/>
      <c r="CW61" s="636"/>
      <c r="CX61" s="585"/>
    </row>
    <row r="62" spans="2:102">
      <c r="B62" s="10"/>
      <c r="C62" s="657"/>
      <c r="D62" s="580"/>
      <c r="E62" s="5"/>
      <c r="F62" s="5"/>
      <c r="G62" s="5"/>
      <c r="H62" s="5"/>
      <c r="L62" s="633"/>
      <c r="CA62" s="10"/>
      <c r="CB62" s="581"/>
      <c r="CC62" s="10"/>
      <c r="CD62" s="601"/>
      <c r="CL62" s="585"/>
      <c r="CM62" s="585"/>
      <c r="CN62" s="635"/>
      <c r="CO62" s="585"/>
      <c r="CP62" s="585"/>
      <c r="CQ62" s="585"/>
      <c r="CR62" s="636"/>
      <c r="CS62" s="636"/>
      <c r="CT62" s="636"/>
      <c r="CU62" s="636"/>
      <c r="CV62" s="636"/>
      <c r="CW62" s="636"/>
      <c r="CX62" s="585"/>
    </row>
    <row r="63" spans="2:102">
      <c r="B63" s="10"/>
      <c r="C63" s="657"/>
      <c r="D63" s="580"/>
      <c r="E63" s="5"/>
      <c r="F63" s="5"/>
      <c r="G63" s="5"/>
      <c r="H63" s="5"/>
      <c r="L63" s="654"/>
      <c r="CA63" s="10"/>
      <c r="CB63" s="581"/>
      <c r="CC63" s="10"/>
      <c r="CD63" s="601"/>
      <c r="CL63" s="591"/>
      <c r="CM63" s="585"/>
      <c r="CN63" s="635"/>
      <c r="CO63" s="585"/>
      <c r="CP63" s="585"/>
      <c r="CQ63" s="585"/>
      <c r="CR63" s="636"/>
      <c r="CS63" s="636"/>
      <c r="CT63" s="636"/>
      <c r="CU63" s="636"/>
      <c r="CV63" s="636"/>
      <c r="CW63" s="636"/>
      <c r="CX63" s="585"/>
    </row>
    <row r="64" spans="2:102">
      <c r="B64" s="10"/>
      <c r="C64" s="657"/>
      <c r="D64" s="580"/>
      <c r="E64" s="5"/>
      <c r="F64" s="5"/>
      <c r="G64" s="5"/>
      <c r="H64" s="5"/>
      <c r="L64" s="655"/>
      <c r="CA64" s="10"/>
      <c r="CB64" s="581"/>
      <c r="CC64" s="10"/>
      <c r="CD64" s="612"/>
      <c r="CL64" s="591"/>
      <c r="CM64" s="585"/>
      <c r="CN64" s="635"/>
      <c r="CO64" s="585"/>
      <c r="CP64" s="585"/>
      <c r="CQ64" s="585"/>
      <c r="CR64" s="636"/>
      <c r="CS64" s="636"/>
      <c r="CT64" s="636"/>
      <c r="CU64" s="636"/>
      <c r="CV64" s="636"/>
      <c r="CW64" s="636"/>
      <c r="CX64" s="585"/>
    </row>
    <row r="65" spans="2:102">
      <c r="B65" s="10"/>
      <c r="C65" s="657"/>
      <c r="D65" s="580"/>
      <c r="E65" s="5"/>
      <c r="F65" s="5"/>
      <c r="G65" s="5"/>
      <c r="H65" s="5"/>
      <c r="L65" s="655"/>
      <c r="CA65" s="10"/>
      <c r="CB65" s="581"/>
      <c r="CC65" s="10"/>
      <c r="CD65" s="612"/>
      <c r="CL65" s="591"/>
      <c r="CM65" s="585"/>
      <c r="CN65" s="635"/>
      <c r="CO65" s="585"/>
      <c r="CP65" s="585"/>
      <c r="CQ65" s="585"/>
      <c r="CR65" s="636"/>
      <c r="CS65" s="636"/>
      <c r="CT65" s="636"/>
      <c r="CU65" s="636"/>
      <c r="CV65" s="636"/>
      <c r="CW65" s="636"/>
      <c r="CX65" s="585"/>
    </row>
    <row r="66" spans="2:102">
      <c r="B66" s="10"/>
      <c r="C66" s="657"/>
      <c r="D66" s="580"/>
      <c r="E66" s="5"/>
      <c r="F66" s="5"/>
      <c r="G66" s="5"/>
      <c r="H66" s="5"/>
      <c r="L66" s="655"/>
      <c r="CA66" s="10"/>
      <c r="CB66" s="581"/>
      <c r="CC66" s="10"/>
      <c r="CD66" s="612"/>
      <c r="CL66" s="591"/>
      <c r="CM66" s="585"/>
      <c r="CN66" s="635"/>
      <c r="CO66" s="585"/>
      <c r="CP66" s="585"/>
      <c r="CQ66" s="585"/>
      <c r="CR66" s="636"/>
      <c r="CS66" s="636"/>
      <c r="CT66" s="636"/>
      <c r="CU66" s="636"/>
      <c r="CV66" s="636"/>
      <c r="CW66" s="636"/>
      <c r="CX66" s="585"/>
    </row>
    <row r="67" spans="2:102">
      <c r="B67" s="10"/>
      <c r="C67" s="581"/>
      <c r="D67" s="580"/>
      <c r="E67" s="5"/>
      <c r="F67" s="5"/>
      <c r="G67" s="5"/>
      <c r="H67" s="5"/>
      <c r="L67" s="655"/>
      <c r="CA67" s="10"/>
      <c r="CB67" s="581"/>
      <c r="CC67" s="10"/>
      <c r="CD67" s="612"/>
      <c r="CL67" s="591"/>
      <c r="CM67" s="585"/>
      <c r="CN67" s="635"/>
      <c r="CO67" s="585"/>
      <c r="CP67" s="585"/>
      <c r="CQ67" s="585"/>
      <c r="CR67" s="636"/>
      <c r="CS67" s="636"/>
      <c r="CT67" s="636"/>
      <c r="CU67" s="636"/>
      <c r="CV67" s="636"/>
      <c r="CW67" s="636"/>
      <c r="CX67" s="585"/>
    </row>
    <row r="68" spans="2:102">
      <c r="B68" s="10"/>
      <c r="C68" s="581"/>
      <c r="D68" s="580"/>
      <c r="E68" s="5"/>
      <c r="F68" s="5"/>
      <c r="G68" s="5"/>
      <c r="H68" s="5"/>
      <c r="L68" s="654"/>
      <c r="CA68" s="10"/>
      <c r="CB68" s="581"/>
      <c r="CC68" s="10"/>
      <c r="CD68" s="612"/>
      <c r="CL68" s="591"/>
      <c r="CM68" s="585"/>
      <c r="CN68" s="585"/>
      <c r="CO68" s="585"/>
      <c r="CP68" s="585"/>
      <c r="CQ68" s="585"/>
      <c r="CR68" s="636"/>
      <c r="CS68" s="636"/>
      <c r="CT68" s="636"/>
      <c r="CU68" s="636"/>
      <c r="CV68" s="636"/>
      <c r="CW68" s="636"/>
      <c r="CX68" s="585"/>
    </row>
    <row r="69" spans="2:102">
      <c r="B69" s="10"/>
      <c r="C69" s="581"/>
      <c r="D69" s="580"/>
      <c r="E69" s="5"/>
      <c r="F69" s="5"/>
      <c r="G69" s="5"/>
      <c r="H69" s="5"/>
      <c r="L69" s="656"/>
      <c r="CA69" s="10"/>
      <c r="CB69" s="581"/>
      <c r="CC69" s="10"/>
      <c r="CD69" s="613"/>
      <c r="CL69" s="592"/>
      <c r="CM69" s="585"/>
      <c r="CN69" s="585"/>
      <c r="CO69" s="585"/>
      <c r="CP69" s="585"/>
      <c r="CQ69" s="585"/>
      <c r="CR69" s="636"/>
      <c r="CS69" s="636"/>
      <c r="CT69" s="636"/>
      <c r="CU69" s="636"/>
      <c r="CV69" s="636"/>
      <c r="CW69" s="636"/>
      <c r="CX69" s="585"/>
    </row>
    <row r="70" spans="2:102">
      <c r="B70" s="10"/>
      <c r="C70" s="581"/>
      <c r="D70" s="580"/>
      <c r="E70" s="610"/>
      <c r="F70" s="610"/>
      <c r="G70" s="595"/>
      <c r="H70" s="611"/>
      <c r="L70" s="593"/>
      <c r="M70" s="594"/>
      <c r="N70" s="594"/>
      <c r="O70" s="594"/>
      <c r="P70" s="594"/>
      <c r="Q70" s="594"/>
      <c r="R70" s="585"/>
      <c r="S70" s="585"/>
      <c r="T70" s="585"/>
      <c r="U70" s="585"/>
      <c r="V70" s="585"/>
      <c r="W70" s="585"/>
      <c r="X70" s="585"/>
      <c r="CA70" s="10"/>
      <c r="CB70" s="581"/>
      <c r="CC70" s="10"/>
      <c r="CD70" s="601"/>
      <c r="CX70" s="585"/>
    </row>
    <row r="71" spans="2:102">
      <c r="B71" s="10"/>
      <c r="C71" s="581"/>
      <c r="D71" s="580"/>
      <c r="E71" s="610"/>
      <c r="F71" s="610"/>
      <c r="G71" s="595"/>
      <c r="H71" s="595"/>
      <c r="L71" s="593"/>
      <c r="M71" s="594"/>
      <c r="N71" s="594"/>
      <c r="O71" s="594"/>
      <c r="P71" s="594"/>
      <c r="Q71" s="594"/>
      <c r="R71" s="585"/>
      <c r="S71" s="585"/>
      <c r="T71" s="585"/>
      <c r="U71" s="585"/>
      <c r="V71" s="585"/>
      <c r="W71" s="585"/>
      <c r="X71" s="585"/>
      <c r="CA71" s="10"/>
      <c r="CB71" s="581"/>
      <c r="CC71" s="10"/>
      <c r="CD71" s="601"/>
      <c r="CX71" s="585"/>
    </row>
    <row r="72" spans="2:102">
      <c r="B72" s="10"/>
      <c r="C72" s="581"/>
      <c r="D72" s="580"/>
      <c r="E72" s="610"/>
      <c r="F72" s="610"/>
      <c r="G72" s="595"/>
      <c r="H72" s="595"/>
      <c r="L72" s="631"/>
      <c r="M72" s="594"/>
      <c r="N72" s="592"/>
      <c r="O72" s="592"/>
      <c r="P72" s="592"/>
      <c r="Q72" s="592"/>
      <c r="R72" s="585"/>
      <c r="S72" s="585"/>
      <c r="T72" s="585"/>
      <c r="U72" s="585"/>
      <c r="V72" s="585"/>
      <c r="W72" s="585"/>
      <c r="X72" s="585"/>
      <c r="CA72" s="10"/>
      <c r="CB72" s="581"/>
      <c r="CC72" s="10"/>
      <c r="CD72" s="601"/>
      <c r="CX72" s="585"/>
    </row>
    <row r="73" spans="2:102">
      <c r="B73" s="10"/>
      <c r="C73" s="581"/>
      <c r="D73" s="580"/>
      <c r="E73" s="610"/>
      <c r="F73" s="610"/>
      <c r="G73" s="5"/>
      <c r="H73" s="5"/>
      <c r="L73" s="593"/>
      <c r="M73" s="594"/>
      <c r="N73" s="594"/>
      <c r="O73" s="594"/>
      <c r="P73" s="594"/>
      <c r="Q73" s="594"/>
      <c r="R73" s="585"/>
      <c r="S73" s="585"/>
      <c r="T73" s="585"/>
      <c r="U73" s="585"/>
      <c r="V73" s="585"/>
      <c r="W73" s="585"/>
      <c r="X73" s="585"/>
      <c r="CA73" s="10"/>
      <c r="CB73" s="581"/>
      <c r="CC73" s="10"/>
      <c r="CD73" s="601"/>
      <c r="CE73" s="601"/>
      <c r="CF73" s="601"/>
      <c r="CG73" s="601"/>
      <c r="CH73" s="601"/>
      <c r="CI73" s="601"/>
      <c r="CX73" s="585"/>
    </row>
    <row r="74" spans="2:102">
      <c r="B74" s="10"/>
      <c r="C74" s="581"/>
      <c r="D74" s="580"/>
      <c r="E74" s="610"/>
      <c r="F74" s="610"/>
      <c r="G74" s="5"/>
      <c r="H74" s="5"/>
      <c r="L74" s="595"/>
      <c r="M74" s="632"/>
      <c r="N74" s="632"/>
      <c r="O74" s="632"/>
      <c r="P74" s="632"/>
      <c r="Q74" s="632"/>
      <c r="R74" s="585"/>
      <c r="S74" s="585"/>
      <c r="T74" s="585"/>
      <c r="U74" s="585"/>
      <c r="V74" s="585"/>
      <c r="W74" s="585"/>
      <c r="X74" s="585"/>
      <c r="CA74" s="10"/>
      <c r="CB74" s="581"/>
      <c r="CC74" s="10"/>
      <c r="CD74" s="601"/>
      <c r="CX74" s="585"/>
    </row>
    <row r="75" spans="2:102">
      <c r="B75" s="10"/>
      <c r="C75" s="581"/>
      <c r="D75" s="580"/>
      <c r="E75" s="610"/>
      <c r="F75" s="610"/>
      <c r="G75" s="5"/>
      <c r="H75" s="5"/>
      <c r="L75" s="595"/>
      <c r="M75" s="632"/>
      <c r="N75" s="632"/>
      <c r="O75" s="632"/>
      <c r="P75" s="632"/>
      <c r="Q75" s="632"/>
      <c r="R75" s="585"/>
      <c r="S75" s="585"/>
      <c r="T75" s="585"/>
      <c r="U75" s="585"/>
      <c r="V75" s="585"/>
      <c r="W75" s="585"/>
      <c r="X75" s="585"/>
      <c r="CA75" s="10"/>
      <c r="CB75" s="581"/>
      <c r="CC75" s="10"/>
      <c r="CD75" s="601"/>
      <c r="CX75" s="585"/>
    </row>
    <row r="76" spans="2:102">
      <c r="B76" s="10"/>
      <c r="C76" s="581"/>
      <c r="D76" s="580"/>
      <c r="E76" s="610"/>
      <c r="F76" s="610"/>
      <c r="G76" s="5"/>
      <c r="H76" s="5"/>
      <c r="L76" s="595"/>
      <c r="M76" s="632"/>
      <c r="N76" s="632"/>
      <c r="O76" s="632"/>
      <c r="P76" s="632"/>
      <c r="Q76" s="632"/>
      <c r="R76" s="585"/>
      <c r="S76" s="585"/>
      <c r="T76" s="585"/>
      <c r="U76" s="585"/>
      <c r="V76" s="585"/>
      <c r="W76" s="585"/>
      <c r="X76" s="585"/>
      <c r="CA76" s="10"/>
      <c r="CB76" s="581"/>
      <c r="CC76" s="10"/>
      <c r="CD76" s="601"/>
      <c r="CX76" s="585"/>
    </row>
    <row r="77" spans="2:102">
      <c r="B77" s="10"/>
      <c r="C77" s="581"/>
      <c r="D77" s="580"/>
      <c r="E77" s="610"/>
      <c r="F77" s="610"/>
      <c r="G77" s="5"/>
      <c r="H77" s="5"/>
      <c r="L77" s="595"/>
      <c r="M77" s="632"/>
      <c r="N77" s="632"/>
      <c r="O77" s="632"/>
      <c r="P77" s="632"/>
      <c r="Q77" s="632"/>
      <c r="R77" s="585"/>
      <c r="S77" s="585"/>
      <c r="T77" s="585"/>
      <c r="U77" s="585"/>
      <c r="V77" s="585"/>
      <c r="W77" s="585"/>
      <c r="X77" s="585"/>
      <c r="CA77" s="10"/>
      <c r="CB77" s="581"/>
      <c r="CC77" s="10"/>
      <c r="CD77" s="601"/>
      <c r="CX77" s="585"/>
    </row>
    <row r="78" spans="2:102">
      <c r="B78" s="10"/>
      <c r="C78" s="581"/>
      <c r="D78" s="580"/>
      <c r="E78" s="610"/>
      <c r="F78" s="610"/>
      <c r="G78" s="5"/>
      <c r="H78" s="5"/>
      <c r="L78" s="595"/>
      <c r="M78" s="632"/>
      <c r="N78" s="632"/>
      <c r="O78" s="632"/>
      <c r="P78" s="632"/>
      <c r="Q78" s="632"/>
      <c r="R78" s="585"/>
      <c r="S78" s="585"/>
      <c r="T78" s="585"/>
      <c r="U78" s="585"/>
      <c r="V78" s="585"/>
      <c r="W78" s="585"/>
      <c r="X78" s="585"/>
      <c r="CA78" s="10"/>
      <c r="CB78" s="581"/>
      <c r="CC78" s="10"/>
      <c r="CD78" s="601"/>
      <c r="CE78" s="601"/>
      <c r="CF78" s="601"/>
      <c r="CG78" s="601"/>
      <c r="CH78" s="601"/>
      <c r="CI78" s="601"/>
      <c r="CX78" s="585"/>
    </row>
    <row r="79" spans="2:102">
      <c r="B79" s="10"/>
      <c r="C79" s="581"/>
      <c r="D79" s="580"/>
      <c r="E79" s="5"/>
      <c r="F79" s="5"/>
      <c r="G79" s="5"/>
      <c r="H79" s="5"/>
      <c r="L79" s="5"/>
      <c r="CA79" s="10"/>
      <c r="CB79" s="581"/>
      <c r="CC79" s="10"/>
      <c r="CD79" s="601"/>
      <c r="CL79" s="585"/>
      <c r="CM79" s="585"/>
      <c r="CN79" s="585"/>
      <c r="CO79" s="585"/>
      <c r="CP79" s="585"/>
      <c r="CQ79" s="585"/>
      <c r="CR79" s="585"/>
      <c r="CS79" s="585"/>
      <c r="CT79" s="585"/>
      <c r="CU79" s="585"/>
      <c r="CV79" s="585"/>
      <c r="CW79" s="585"/>
      <c r="CX79" s="585"/>
    </row>
    <row r="80" spans="2:102">
      <c r="B80" s="10"/>
      <c r="C80" s="581"/>
      <c r="D80" s="580"/>
      <c r="E80" s="5"/>
      <c r="F80" s="5"/>
      <c r="G80" s="5"/>
      <c r="H80" s="5"/>
      <c r="L80" s="5"/>
      <c r="CA80" s="10"/>
      <c r="CB80" s="581"/>
      <c r="CC80" s="10"/>
      <c r="CD80" s="601"/>
      <c r="CL80" s="585"/>
      <c r="CM80" s="585"/>
      <c r="CN80" s="585"/>
      <c r="CO80" s="585"/>
      <c r="CP80" s="585"/>
      <c r="CQ80" s="585"/>
      <c r="CR80" s="585"/>
      <c r="CS80" s="585"/>
      <c r="CT80" s="585"/>
      <c r="CU80" s="585"/>
      <c r="CV80" s="585"/>
      <c r="CW80" s="585"/>
      <c r="CX80" s="585"/>
    </row>
    <row r="81" spans="2:102">
      <c r="B81" s="10"/>
      <c r="C81" s="581"/>
      <c r="D81" s="580"/>
      <c r="E81" s="5"/>
      <c r="F81" s="5"/>
      <c r="G81" s="5"/>
      <c r="H81" s="5"/>
      <c r="L81" s="5"/>
      <c r="CA81" s="10"/>
      <c r="CB81" s="581"/>
      <c r="CC81" s="10"/>
      <c r="CD81" s="601"/>
      <c r="CL81" s="585"/>
      <c r="CM81" s="585"/>
      <c r="CN81" s="585"/>
      <c r="CO81" s="585"/>
      <c r="CP81" s="585"/>
      <c r="CQ81" s="585"/>
      <c r="CR81" s="585"/>
      <c r="CS81" s="585"/>
      <c r="CT81" s="585"/>
      <c r="CU81" s="585"/>
      <c r="CV81" s="585"/>
      <c r="CW81" s="585"/>
      <c r="CX81" s="585"/>
    </row>
    <row r="82" spans="2:102">
      <c r="B82" s="10"/>
      <c r="C82" s="581"/>
      <c r="D82" s="580"/>
      <c r="E82" s="5"/>
      <c r="F82" s="5"/>
      <c r="G82" s="5"/>
      <c r="H82" s="5"/>
      <c r="L82" s="5"/>
      <c r="CA82" s="10"/>
      <c r="CB82" s="581"/>
      <c r="CC82" s="10"/>
      <c r="CD82" s="601"/>
      <c r="CL82" s="585"/>
      <c r="CM82" s="585"/>
      <c r="CN82" s="585"/>
      <c r="CO82" s="585"/>
      <c r="CP82" s="585"/>
      <c r="CQ82" s="585"/>
      <c r="CR82" s="585"/>
      <c r="CS82" s="585"/>
      <c r="CT82" s="585"/>
      <c r="CU82" s="585"/>
      <c r="CV82" s="585"/>
      <c r="CW82" s="585"/>
      <c r="CX82" s="585"/>
    </row>
    <row r="83" spans="2:102">
      <c r="B83" s="10"/>
      <c r="C83" s="581"/>
      <c r="D83" s="580"/>
      <c r="E83" s="5"/>
      <c r="F83" s="5"/>
      <c r="G83" s="5"/>
      <c r="H83" s="5"/>
      <c r="L83" s="5"/>
      <c r="CA83" s="10"/>
      <c r="CB83" s="581"/>
      <c r="CC83" s="10"/>
      <c r="CD83" s="601"/>
      <c r="CL83" s="585"/>
      <c r="CM83" s="585"/>
      <c r="CN83" s="585"/>
      <c r="CO83" s="585"/>
      <c r="CP83" s="585"/>
      <c r="CQ83" s="585"/>
      <c r="CR83" s="585"/>
      <c r="CS83" s="585"/>
      <c r="CT83" s="585"/>
      <c r="CU83" s="585"/>
      <c r="CV83" s="585"/>
      <c r="CW83" s="585"/>
      <c r="CX83" s="585"/>
    </row>
    <row r="84" spans="2:102">
      <c r="B84" s="10"/>
      <c r="C84" s="581"/>
      <c r="D84" s="580"/>
      <c r="E84" s="5"/>
      <c r="F84" s="5"/>
      <c r="G84" s="5"/>
      <c r="H84" s="5"/>
      <c r="L84" s="596"/>
      <c r="M84" s="597"/>
      <c r="N84" s="597"/>
      <c r="O84" s="597"/>
      <c r="P84" s="598"/>
      <c r="Q84" s="585"/>
      <c r="R84" s="585"/>
      <c r="S84" s="585"/>
      <c r="T84" s="585"/>
      <c r="U84" s="585"/>
      <c r="V84" s="585"/>
      <c r="CA84" s="10"/>
      <c r="CB84" s="581"/>
      <c r="CC84" s="10"/>
      <c r="CD84" s="601"/>
      <c r="CV84" s="585"/>
      <c r="CW84" s="585"/>
      <c r="CX84" s="585"/>
    </row>
    <row r="85" spans="2:102">
      <c r="B85" s="10"/>
      <c r="C85" s="581"/>
      <c r="D85" s="580"/>
      <c r="E85" s="5"/>
      <c r="F85" s="5"/>
      <c r="G85" s="5"/>
      <c r="H85" s="5"/>
      <c r="L85" s="596"/>
      <c r="M85" s="597"/>
      <c r="N85" s="597"/>
      <c r="O85" s="597"/>
      <c r="P85" s="598"/>
      <c r="Q85" s="585"/>
      <c r="R85" s="585"/>
      <c r="S85" s="585"/>
      <c r="T85" s="585"/>
      <c r="U85" s="585"/>
      <c r="V85" s="585"/>
      <c r="CA85" s="10"/>
      <c r="CB85" s="581"/>
      <c r="CC85" s="10"/>
      <c r="CD85" s="601"/>
      <c r="CV85" s="585"/>
      <c r="CW85" s="585"/>
      <c r="CX85" s="585"/>
    </row>
    <row r="86" spans="2:102">
      <c r="B86" s="10"/>
      <c r="C86" s="581"/>
      <c r="D86" s="580"/>
      <c r="E86" s="5"/>
      <c r="F86" s="5"/>
      <c r="G86" s="5"/>
      <c r="H86" s="5"/>
      <c r="L86" s="596"/>
      <c r="M86" s="597"/>
      <c r="N86" s="597"/>
      <c r="O86" s="597"/>
      <c r="P86" s="598"/>
      <c r="Q86" s="585"/>
      <c r="R86" s="585"/>
      <c r="S86" s="585"/>
      <c r="T86" s="585"/>
      <c r="U86" s="585"/>
      <c r="V86" s="585"/>
      <c r="CA86" s="10"/>
      <c r="CB86" s="581"/>
      <c r="CC86" s="10"/>
      <c r="CD86" s="601"/>
      <c r="CV86" s="585"/>
      <c r="CW86" s="585"/>
      <c r="CX86" s="585"/>
    </row>
    <row r="87" spans="2:102">
      <c r="B87" s="10"/>
      <c r="C87" s="581"/>
      <c r="D87" s="580"/>
      <c r="E87" s="5"/>
      <c r="F87" s="5"/>
      <c r="G87" s="5"/>
      <c r="H87" s="5"/>
      <c r="L87" s="599"/>
      <c r="M87" s="600"/>
      <c r="N87" s="600"/>
      <c r="O87" s="600"/>
      <c r="P87" s="598"/>
      <c r="Q87" s="585"/>
      <c r="R87" s="585"/>
      <c r="S87" s="585"/>
      <c r="T87" s="585"/>
      <c r="U87" s="585"/>
      <c r="V87" s="585"/>
      <c r="CA87" s="10"/>
      <c r="CB87" s="581"/>
      <c r="CC87" s="10"/>
      <c r="CD87" s="601"/>
      <c r="CV87" s="585"/>
      <c r="CW87" s="585"/>
      <c r="CX87" s="585"/>
    </row>
    <row r="88" spans="2:102">
      <c r="B88" s="10"/>
      <c r="C88" s="581"/>
      <c r="D88" s="580"/>
      <c r="E88" s="5"/>
      <c r="F88" s="5"/>
      <c r="G88" s="5"/>
      <c r="H88" s="5"/>
      <c r="L88" s="593"/>
      <c r="M88" s="594"/>
      <c r="N88" s="594"/>
      <c r="O88" s="594"/>
      <c r="P88" s="585"/>
      <c r="Q88" s="585"/>
      <c r="R88" s="585"/>
      <c r="S88" s="585"/>
      <c r="T88" s="585"/>
      <c r="U88" s="585"/>
      <c r="V88" s="585"/>
      <c r="CA88" s="10"/>
      <c r="CB88" s="581"/>
      <c r="CC88" s="10"/>
      <c r="CD88" s="601"/>
      <c r="CV88" s="585"/>
      <c r="CW88" s="585"/>
      <c r="CX88" s="585"/>
    </row>
    <row r="89" spans="2:102">
      <c r="B89" s="10"/>
      <c r="C89" s="581"/>
      <c r="D89" s="580"/>
      <c r="E89" s="5"/>
      <c r="F89" s="5"/>
      <c r="G89" s="5"/>
      <c r="H89" s="5"/>
      <c r="L89" s="5"/>
      <c r="CA89" s="10"/>
      <c r="CB89" s="581"/>
      <c r="CC89" s="10"/>
      <c r="CD89" s="601"/>
      <c r="CL89" s="585"/>
      <c r="CM89" s="585"/>
      <c r="CN89" s="585"/>
      <c r="CO89" s="585"/>
      <c r="CP89" s="585"/>
      <c r="CQ89" s="585"/>
      <c r="CR89" s="585"/>
      <c r="CS89" s="585"/>
      <c r="CT89" s="585"/>
      <c r="CU89" s="585"/>
      <c r="CV89" s="585"/>
      <c r="CW89" s="585"/>
      <c r="CX89" s="585"/>
    </row>
    <row r="90" spans="2:102">
      <c r="B90" s="10"/>
      <c r="C90" s="581"/>
      <c r="D90" s="580"/>
      <c r="E90" s="5"/>
      <c r="F90" s="5"/>
      <c r="G90" s="5"/>
      <c r="H90" s="5"/>
      <c r="L90" s="5"/>
      <c r="CA90" s="10"/>
      <c r="CB90" s="581"/>
      <c r="CC90" s="10"/>
      <c r="CD90" s="601"/>
      <c r="CL90" s="585"/>
      <c r="CM90" s="585"/>
      <c r="CN90" s="585"/>
      <c r="CO90" s="585"/>
      <c r="CP90" s="585"/>
      <c r="CQ90" s="585"/>
      <c r="CR90" s="585"/>
      <c r="CS90" s="585"/>
      <c r="CT90" s="585"/>
      <c r="CU90" s="585"/>
      <c r="CV90" s="585"/>
      <c r="CW90" s="585"/>
      <c r="CX90" s="585"/>
    </row>
    <row r="91" spans="2:102">
      <c r="B91" s="10"/>
      <c r="C91" s="581"/>
      <c r="D91" s="580"/>
      <c r="E91" s="5"/>
      <c r="F91" s="5"/>
      <c r="G91" s="5"/>
      <c r="H91" s="5"/>
      <c r="L91" s="5"/>
      <c r="CA91" s="10"/>
      <c r="CB91" s="581"/>
      <c r="CC91" s="10"/>
      <c r="CD91" s="601"/>
      <c r="CL91" s="585"/>
      <c r="CM91" s="585"/>
      <c r="CN91" s="585"/>
      <c r="CO91" s="585"/>
      <c r="CP91" s="585"/>
      <c r="CQ91" s="585"/>
      <c r="CR91" s="585"/>
      <c r="CS91" s="585"/>
      <c r="CT91" s="585"/>
      <c r="CU91" s="585"/>
      <c r="CV91" s="585"/>
      <c r="CW91" s="585"/>
      <c r="CX91" s="585"/>
    </row>
    <row r="92" spans="2:102">
      <c r="B92" s="10"/>
      <c r="C92" s="581"/>
      <c r="D92" s="580"/>
      <c r="E92" s="5"/>
      <c r="F92" s="5"/>
      <c r="G92" s="5"/>
      <c r="H92" s="5"/>
      <c r="L92" s="646"/>
      <c r="CA92" s="10"/>
      <c r="CB92" s="581"/>
      <c r="CC92" s="10"/>
      <c r="CD92" s="613"/>
      <c r="CL92" s="585"/>
      <c r="CM92" s="585"/>
      <c r="CN92" s="585"/>
      <c r="CO92" s="585"/>
      <c r="CP92" s="585"/>
      <c r="CQ92" s="585"/>
      <c r="CR92" s="585"/>
      <c r="CS92" s="585"/>
      <c r="CT92" s="585"/>
      <c r="CU92" s="585"/>
      <c r="CV92" s="585"/>
      <c r="CW92" s="585"/>
      <c r="CX92" s="585"/>
    </row>
    <row r="93" spans="2:102">
      <c r="B93" s="10"/>
      <c r="C93" s="581"/>
      <c r="D93" s="580"/>
      <c r="E93" s="5"/>
      <c r="F93" s="5"/>
      <c r="G93" s="5"/>
      <c r="H93" s="5"/>
      <c r="L93" s="646"/>
      <c r="CA93" s="10"/>
      <c r="CB93" s="581"/>
      <c r="CC93" s="10"/>
      <c r="CD93" s="613"/>
      <c r="CL93" s="585"/>
      <c r="CM93" s="585"/>
      <c r="CN93" s="585"/>
      <c r="CO93" s="585"/>
      <c r="CP93" s="585"/>
      <c r="CQ93" s="585"/>
      <c r="CR93" s="585"/>
      <c r="CS93" s="585"/>
      <c r="CT93" s="585"/>
      <c r="CU93" s="585"/>
      <c r="CV93" s="585"/>
      <c r="CW93" s="585"/>
      <c r="CX93" s="585"/>
    </row>
    <row r="94" spans="2:102">
      <c r="B94" s="10"/>
      <c r="C94" s="581"/>
      <c r="D94" s="580"/>
      <c r="E94" s="5"/>
      <c r="F94" s="5"/>
      <c r="G94" s="5"/>
      <c r="H94" s="5"/>
      <c r="L94" s="646"/>
      <c r="CA94" s="10"/>
      <c r="CB94" s="581"/>
      <c r="CC94" s="10"/>
      <c r="CD94" s="613"/>
      <c r="CL94" s="585"/>
      <c r="CM94" s="585"/>
      <c r="CN94" s="585"/>
      <c r="CO94" s="585"/>
      <c r="CP94" s="585"/>
      <c r="CQ94" s="585"/>
      <c r="CR94" s="585"/>
      <c r="CS94" s="585"/>
      <c r="CT94" s="585"/>
      <c r="CU94" s="585"/>
      <c r="CV94" s="585"/>
      <c r="CW94" s="585"/>
      <c r="CX94" s="585"/>
    </row>
    <row r="95" spans="2:102">
      <c r="B95" s="10"/>
      <c r="C95" s="581"/>
      <c r="D95" s="580"/>
      <c r="E95" s="586"/>
      <c r="F95" s="586"/>
      <c r="CA95" s="10"/>
      <c r="CB95" s="581"/>
      <c r="CD95" s="601"/>
      <c r="CN95" s="586"/>
      <c r="CO95" s="586"/>
      <c r="CP95" s="586"/>
      <c r="CQ95" s="586"/>
      <c r="CR95" s="586"/>
    </row>
    <row r="96" spans="2:102">
      <c r="B96" s="10"/>
      <c r="C96" s="581"/>
      <c r="D96" s="580"/>
      <c r="E96" s="586"/>
      <c r="F96" s="586"/>
      <c r="CA96" s="10"/>
      <c r="CB96" s="581"/>
      <c r="CD96" s="601"/>
      <c r="CN96" s="586"/>
      <c r="CO96" s="586"/>
      <c r="CP96" s="586"/>
      <c r="CQ96" s="586"/>
      <c r="CR96" s="586"/>
    </row>
    <row r="97" spans="2:96">
      <c r="B97" s="10"/>
      <c r="C97" s="581"/>
      <c r="D97" s="580"/>
      <c r="E97" s="586"/>
      <c r="F97" s="586"/>
      <c r="CA97" s="10"/>
      <c r="CB97" s="581"/>
      <c r="CD97" s="601"/>
      <c r="CN97" s="586"/>
      <c r="CO97" s="586"/>
      <c r="CP97" s="586"/>
      <c r="CQ97" s="586"/>
      <c r="CR97" s="586"/>
    </row>
    <row r="98" spans="2:96">
      <c r="B98" s="10"/>
      <c r="C98" s="581"/>
      <c r="D98" s="580"/>
      <c r="E98" s="586"/>
      <c r="F98" s="586"/>
      <c r="CA98" s="10"/>
      <c r="CB98" s="581"/>
      <c r="CD98" s="601"/>
      <c r="CN98" s="586"/>
      <c r="CO98" s="586"/>
      <c r="CP98" s="586"/>
      <c r="CQ98" s="586"/>
      <c r="CR98" s="586"/>
    </row>
    <row r="99" spans="2:96">
      <c r="B99" s="10"/>
      <c r="C99" s="581"/>
      <c r="D99" s="580"/>
      <c r="E99" s="586"/>
      <c r="F99" s="586"/>
      <c r="CA99" s="10"/>
      <c r="CB99" s="581"/>
      <c r="CD99" s="601"/>
      <c r="CN99" s="586"/>
      <c r="CO99" s="586"/>
      <c r="CP99" s="586"/>
      <c r="CQ99" s="586"/>
      <c r="CR99" s="586"/>
    </row>
    <row r="100" spans="2:96">
      <c r="B100" s="10"/>
      <c r="C100" s="581"/>
      <c r="D100" s="580"/>
      <c r="E100" s="586"/>
      <c r="F100" s="586"/>
      <c r="CA100" s="10"/>
      <c r="CB100" s="581"/>
      <c r="CD100" s="601"/>
      <c r="CN100" s="586"/>
      <c r="CO100" s="586"/>
      <c r="CP100" s="586"/>
      <c r="CQ100" s="586"/>
      <c r="CR100" s="586"/>
    </row>
    <row r="101" spans="2:96">
      <c r="B101" s="10"/>
      <c r="C101" s="581"/>
      <c r="D101" s="580"/>
      <c r="E101" s="586"/>
      <c r="F101" s="586"/>
      <c r="CA101" s="10"/>
      <c r="CB101" s="581"/>
      <c r="CD101" s="601"/>
      <c r="CN101" s="586"/>
      <c r="CO101" s="586"/>
      <c r="CP101" s="586"/>
      <c r="CQ101" s="586"/>
      <c r="CR101" s="586"/>
    </row>
    <row r="102" spans="2:96">
      <c r="B102" s="10"/>
      <c r="C102" s="581"/>
      <c r="D102" s="580"/>
      <c r="E102" s="586"/>
      <c r="F102" s="586"/>
      <c r="L102" s="651"/>
      <c r="M102" s="651"/>
      <c r="N102" s="651"/>
      <c r="O102" s="651"/>
      <c r="P102" s="586"/>
      <c r="R102" s="585"/>
      <c r="S102" s="585"/>
      <c r="T102" s="585"/>
      <c r="U102" s="585"/>
      <c r="CA102" s="10"/>
      <c r="CB102" s="581"/>
      <c r="CD102" s="647"/>
      <c r="CE102" s="647"/>
      <c r="CF102" s="647"/>
      <c r="CG102" s="647"/>
    </row>
    <row r="103" spans="2:96">
      <c r="B103" s="10"/>
      <c r="C103" s="581"/>
      <c r="D103" s="580"/>
      <c r="E103" s="586"/>
      <c r="F103" s="586"/>
      <c r="L103" s="651"/>
      <c r="M103" s="651"/>
      <c r="N103" s="651"/>
      <c r="O103" s="651"/>
      <c r="P103" s="586"/>
      <c r="R103" s="585"/>
      <c r="S103" s="585"/>
      <c r="T103" s="585"/>
      <c r="U103" s="585"/>
      <c r="CA103" s="10"/>
      <c r="CB103" s="581"/>
      <c r="CD103" s="647"/>
      <c r="CE103" s="647"/>
      <c r="CF103" s="647"/>
      <c r="CG103" s="647"/>
    </row>
    <row r="104" spans="2:96">
      <c r="B104" s="10"/>
      <c r="C104" s="581"/>
      <c r="D104" s="580"/>
      <c r="E104" s="586"/>
      <c r="F104" s="586"/>
      <c r="L104" s="651"/>
      <c r="M104" s="651"/>
      <c r="N104" s="651"/>
      <c r="O104" s="651"/>
      <c r="P104" s="586"/>
      <c r="R104" s="585"/>
      <c r="S104" s="585"/>
      <c r="T104" s="585"/>
      <c r="U104" s="585"/>
      <c r="CA104" s="10"/>
      <c r="CB104" s="581"/>
      <c r="CD104" s="647"/>
      <c r="CE104" s="647"/>
      <c r="CF104" s="647"/>
      <c r="CG104" s="647"/>
    </row>
    <row r="105" spans="2:96">
      <c r="B105" s="10"/>
      <c r="C105" s="581"/>
      <c r="D105" s="580"/>
      <c r="E105" s="586"/>
      <c r="F105" s="586"/>
      <c r="L105" s="651"/>
      <c r="M105" s="651"/>
      <c r="N105" s="651"/>
      <c r="O105" s="651"/>
      <c r="P105" s="586"/>
      <c r="R105" s="585"/>
      <c r="S105" s="585"/>
      <c r="T105" s="585"/>
      <c r="U105" s="585"/>
      <c r="CA105" s="10"/>
      <c r="CB105" s="581"/>
      <c r="CD105" s="647"/>
      <c r="CE105" s="647"/>
      <c r="CF105" s="647"/>
      <c r="CG105" s="647"/>
    </row>
    <row r="106" spans="2:96">
      <c r="B106" s="10"/>
      <c r="C106" s="581"/>
      <c r="D106" s="580"/>
      <c r="E106" s="586"/>
      <c r="F106" s="586"/>
      <c r="L106" s="651"/>
      <c r="M106" s="651"/>
      <c r="N106" s="651"/>
      <c r="O106" s="651"/>
      <c r="P106" s="586"/>
      <c r="R106" s="585"/>
      <c r="S106" s="585"/>
      <c r="T106" s="585"/>
      <c r="U106" s="585"/>
      <c r="CA106" s="10"/>
      <c r="CB106" s="581"/>
      <c r="CD106" s="647"/>
      <c r="CE106" s="647"/>
      <c r="CF106" s="647"/>
      <c r="CG106" s="647"/>
    </row>
    <row r="107" spans="2:96">
      <c r="B107" s="10"/>
      <c r="C107" s="581"/>
      <c r="D107" s="580"/>
      <c r="E107" s="586"/>
      <c r="F107" s="586"/>
      <c r="L107" s="586"/>
      <c r="M107" s="586"/>
      <c r="N107" s="586"/>
      <c r="O107" s="586"/>
      <c r="P107" s="586"/>
      <c r="R107" s="585"/>
      <c r="CA107" s="10"/>
      <c r="CB107" s="581"/>
      <c r="CD107" s="647"/>
    </row>
    <row r="108" spans="2:96">
      <c r="B108" s="10"/>
      <c r="C108" s="581"/>
      <c r="D108" s="580"/>
      <c r="E108" s="586"/>
      <c r="F108" s="586"/>
      <c r="L108" s="586"/>
      <c r="M108" s="586"/>
      <c r="N108" s="586"/>
      <c r="O108" s="586"/>
      <c r="P108" s="586"/>
      <c r="R108" s="585"/>
      <c r="CA108" s="10"/>
      <c r="CB108" s="581"/>
      <c r="CD108" s="647"/>
    </row>
    <row r="109" spans="2:96">
      <c r="B109" s="10"/>
      <c r="C109" s="581"/>
      <c r="D109" s="580"/>
      <c r="E109" s="5"/>
      <c r="F109" s="586"/>
      <c r="L109" s="586"/>
      <c r="M109" s="586"/>
      <c r="N109" s="586"/>
      <c r="O109" s="586"/>
      <c r="P109" s="586"/>
      <c r="CA109" s="10"/>
      <c r="CB109" s="581"/>
      <c r="CD109" s="613"/>
    </row>
    <row r="110" spans="2:96">
      <c r="B110" s="10"/>
      <c r="C110" s="581"/>
      <c r="D110" s="580"/>
      <c r="E110" s="5"/>
      <c r="F110" s="586"/>
      <c r="L110" s="650"/>
      <c r="M110" s="586"/>
      <c r="N110" s="586"/>
      <c r="O110" s="586"/>
      <c r="P110" s="586"/>
      <c r="CA110" s="10"/>
      <c r="CB110" s="581"/>
      <c r="CD110" s="613"/>
    </row>
    <row r="111" spans="2:96">
      <c r="B111" s="10"/>
      <c r="C111" s="581"/>
      <c r="D111" s="580"/>
      <c r="E111" s="5"/>
      <c r="F111" s="586"/>
      <c r="L111" s="586"/>
      <c r="M111" s="586"/>
      <c r="N111" s="586"/>
      <c r="O111" s="586"/>
      <c r="P111" s="586"/>
      <c r="CA111" s="10"/>
      <c r="CB111" s="581"/>
      <c r="CD111" s="613"/>
    </row>
    <row r="112" spans="2:96">
      <c r="B112" s="10"/>
      <c r="C112" s="581"/>
      <c r="D112" s="580"/>
      <c r="E112" s="5"/>
      <c r="F112" s="586"/>
      <c r="L112" s="586"/>
      <c r="M112" s="586"/>
      <c r="N112" s="586"/>
      <c r="O112" s="586"/>
      <c r="P112" s="586"/>
      <c r="CA112" s="10"/>
      <c r="CB112" s="581"/>
      <c r="CD112" s="613"/>
    </row>
    <row r="113" spans="2:99">
      <c r="B113" s="10"/>
      <c r="C113" s="581"/>
      <c r="D113" s="580"/>
      <c r="E113" s="5"/>
      <c r="F113" s="586"/>
      <c r="L113" s="586"/>
      <c r="M113" s="586"/>
      <c r="N113" s="586"/>
      <c r="O113" s="586"/>
      <c r="P113" s="586"/>
      <c r="CA113" s="10"/>
      <c r="CB113" s="581"/>
      <c r="CD113" s="613"/>
    </row>
    <row r="114" spans="2:99">
      <c r="B114" s="10"/>
      <c r="C114" s="581"/>
      <c r="D114" s="580"/>
      <c r="E114" s="5"/>
      <c r="F114" s="586"/>
      <c r="L114" s="586"/>
      <c r="M114" s="586"/>
      <c r="N114" s="586"/>
      <c r="O114" s="586"/>
      <c r="P114" s="586"/>
      <c r="CA114" s="10"/>
      <c r="CB114" s="581"/>
      <c r="CD114" s="613"/>
    </row>
    <row r="115" spans="2:99">
      <c r="B115" s="10"/>
      <c r="C115" s="581"/>
      <c r="D115" s="580"/>
      <c r="E115" s="5"/>
      <c r="F115" s="586"/>
      <c r="L115" s="586"/>
      <c r="M115" s="586"/>
      <c r="N115" s="586"/>
      <c r="O115" s="586"/>
      <c r="P115" s="586"/>
      <c r="CA115" s="10"/>
      <c r="CB115" s="581"/>
      <c r="CD115" s="613"/>
    </row>
    <row r="116" spans="2:99">
      <c r="B116" s="10"/>
      <c r="C116" s="581"/>
      <c r="D116" s="580"/>
      <c r="E116" s="5"/>
      <c r="F116" s="586"/>
      <c r="L116" s="586"/>
      <c r="M116" s="586"/>
      <c r="N116" s="586"/>
      <c r="O116" s="586"/>
      <c r="P116" s="586"/>
      <c r="CA116" s="10"/>
      <c r="CB116" s="581"/>
      <c r="CD116" s="613"/>
    </row>
    <row r="117" spans="2:99">
      <c r="B117" s="10"/>
      <c r="C117" s="581"/>
      <c r="D117" s="580"/>
      <c r="E117" s="604"/>
      <c r="F117" s="604"/>
      <c r="L117" s="604"/>
      <c r="CA117" s="10"/>
      <c r="CB117" s="581"/>
      <c r="CC117" s="603"/>
      <c r="CD117" s="601"/>
      <c r="CK117" s="604"/>
      <c r="CL117" s="604"/>
      <c r="CM117" s="604"/>
      <c r="CN117" s="604"/>
      <c r="CO117" s="604"/>
      <c r="CQ117" s="604"/>
      <c r="CR117" s="21"/>
      <c r="CS117" s="21"/>
      <c r="CT117" s="21"/>
      <c r="CU117" s="21"/>
    </row>
    <row r="118" spans="2:99">
      <c r="B118" s="10"/>
      <c r="C118" s="581"/>
      <c r="D118" s="580"/>
      <c r="E118" s="604"/>
      <c r="F118" s="604"/>
      <c r="L118" s="604"/>
      <c r="CA118" s="10"/>
      <c r="CB118" s="581"/>
      <c r="CC118" s="603"/>
      <c r="CD118" s="601"/>
      <c r="CK118" s="604"/>
      <c r="CL118" s="604"/>
      <c r="CM118" s="604"/>
      <c r="CN118" s="604"/>
      <c r="CO118" s="604"/>
      <c r="CQ118" s="604"/>
      <c r="CR118" s="21"/>
      <c r="CS118" s="21"/>
      <c r="CT118" s="21"/>
      <c r="CU118" s="21"/>
    </row>
    <row r="119" spans="2:99">
      <c r="B119" s="10"/>
      <c r="C119" s="581"/>
      <c r="D119" s="580"/>
      <c r="E119" s="604"/>
      <c r="F119" s="604"/>
      <c r="L119" s="604"/>
      <c r="CA119" s="10"/>
      <c r="CB119" s="581"/>
      <c r="CC119" s="603"/>
      <c r="CD119" s="601"/>
      <c r="CK119" s="604"/>
      <c r="CL119" s="604"/>
      <c r="CM119" s="604"/>
      <c r="CN119" s="604"/>
      <c r="CO119" s="604"/>
      <c r="CQ119" s="604"/>
      <c r="CR119" s="604"/>
    </row>
    <row r="120" spans="2:99">
      <c r="B120" s="10"/>
      <c r="C120" s="581"/>
      <c r="D120" s="580"/>
      <c r="E120" s="604"/>
      <c r="F120" s="604"/>
      <c r="L120" s="604"/>
      <c r="CA120" s="10"/>
      <c r="CB120" s="581"/>
      <c r="CC120" s="603"/>
      <c r="CD120" s="601"/>
      <c r="CK120" s="604"/>
      <c r="CL120" s="604"/>
      <c r="CM120" s="604"/>
      <c r="CN120" s="604"/>
      <c r="CO120" s="604"/>
      <c r="CQ120" s="604"/>
      <c r="CR120" s="604"/>
    </row>
    <row r="121" spans="2:99">
      <c r="B121" s="10"/>
      <c r="C121" s="581"/>
      <c r="D121" s="580"/>
      <c r="E121" s="604"/>
      <c r="F121" s="604"/>
      <c r="L121" s="604"/>
      <c r="CA121" s="10"/>
      <c r="CB121" s="581"/>
      <c r="CC121" s="603"/>
      <c r="CD121" s="601"/>
      <c r="CK121" s="604"/>
      <c r="CL121" s="604"/>
      <c r="CM121" s="604"/>
      <c r="CN121" s="604"/>
      <c r="CO121" s="604"/>
      <c r="CQ121" s="604"/>
      <c r="CR121" s="604"/>
    </row>
    <row r="122" spans="2:99">
      <c r="B122" s="10"/>
      <c r="C122" s="581"/>
      <c r="D122" s="580"/>
      <c r="E122" s="604"/>
      <c r="F122" s="604"/>
      <c r="L122" s="604"/>
      <c r="CA122" s="10"/>
      <c r="CB122" s="581"/>
      <c r="CC122" s="603"/>
      <c r="CD122" s="601"/>
      <c r="CK122" s="604"/>
      <c r="CL122" s="604"/>
      <c r="CM122" s="604"/>
      <c r="CN122" s="604"/>
      <c r="CO122" s="604"/>
      <c r="CQ122" s="604"/>
      <c r="CR122" s="604"/>
    </row>
    <row r="123" spans="2:99">
      <c r="B123" s="10"/>
      <c r="C123" s="581"/>
      <c r="D123" s="580"/>
      <c r="E123" s="604"/>
      <c r="F123" s="604"/>
      <c r="CA123" s="10"/>
      <c r="CB123" s="581"/>
      <c r="CC123" s="603"/>
      <c r="CD123" s="601"/>
      <c r="CK123" s="604"/>
      <c r="CL123" s="604"/>
      <c r="CM123" s="604"/>
      <c r="CN123" s="604"/>
      <c r="CO123" s="604"/>
      <c r="CP123" s="604"/>
      <c r="CQ123" s="604"/>
      <c r="CR123" s="604"/>
    </row>
    <row r="124" spans="2:99">
      <c r="B124" s="10"/>
      <c r="C124" s="581"/>
      <c r="D124" s="580"/>
      <c r="E124" s="604"/>
      <c r="F124" s="604"/>
      <c r="L124" s="604"/>
      <c r="CA124" s="10"/>
      <c r="CB124" s="581"/>
      <c r="CC124" s="603"/>
      <c r="CD124" s="601"/>
      <c r="CK124" s="604"/>
      <c r="CL124" s="604"/>
      <c r="CM124" s="604"/>
      <c r="CN124" s="604"/>
      <c r="CO124" s="604"/>
      <c r="CQ124" s="604"/>
      <c r="CR124" s="604"/>
    </row>
    <row r="125" spans="2:99">
      <c r="B125" s="10"/>
      <c r="C125" s="581"/>
      <c r="D125" s="580"/>
      <c r="E125" s="604"/>
      <c r="F125" s="604"/>
      <c r="L125" s="604"/>
      <c r="CA125" s="10"/>
      <c r="CB125" s="581"/>
      <c r="CC125" s="603"/>
      <c r="CD125" s="601"/>
      <c r="CK125" s="604"/>
      <c r="CL125" s="604"/>
      <c r="CM125" s="604"/>
      <c r="CN125" s="604"/>
      <c r="CO125" s="604"/>
      <c r="CQ125" s="604"/>
      <c r="CR125" s="21"/>
      <c r="CS125" s="21"/>
      <c r="CT125" s="21"/>
    </row>
    <row r="126" spans="2:99">
      <c r="B126" s="10"/>
      <c r="C126" s="581"/>
      <c r="D126" s="580"/>
      <c r="E126" s="604"/>
      <c r="F126" s="604"/>
      <c r="L126" s="604"/>
      <c r="CA126" s="10"/>
      <c r="CB126" s="581"/>
      <c r="CC126" s="603"/>
      <c r="CD126" s="601"/>
      <c r="CK126" s="604"/>
      <c r="CL126" s="604"/>
      <c r="CM126" s="604"/>
      <c r="CN126" s="604"/>
      <c r="CO126" s="604"/>
      <c r="CQ126" s="604"/>
      <c r="CR126" s="652"/>
      <c r="CT126" s="20"/>
      <c r="CU126" s="20"/>
    </row>
    <row r="127" spans="2:99">
      <c r="B127" s="10"/>
      <c r="C127" s="581"/>
      <c r="D127" s="580"/>
      <c r="E127" s="585"/>
      <c r="F127" s="585"/>
      <c r="CA127" s="10"/>
      <c r="CB127" s="581"/>
      <c r="CD127" s="601"/>
      <c r="CH127" s="585"/>
      <c r="CI127" s="585"/>
      <c r="CJ127" s="585"/>
      <c r="CK127" s="585"/>
      <c r="CL127" s="585"/>
    </row>
    <row r="128" spans="2:99">
      <c r="B128" s="10"/>
      <c r="C128" s="581"/>
      <c r="D128" s="580"/>
      <c r="E128" s="585"/>
      <c r="F128" s="585"/>
      <c r="CA128" s="10"/>
      <c r="CB128" s="581"/>
      <c r="CD128" s="601"/>
      <c r="CH128" s="585"/>
      <c r="CI128" s="585"/>
      <c r="CJ128" s="585"/>
      <c r="CK128" s="585"/>
      <c r="CL128" s="585"/>
    </row>
    <row r="129" spans="2:90">
      <c r="B129" s="10"/>
      <c r="C129" s="581"/>
      <c r="D129" s="580"/>
      <c r="E129" s="585"/>
      <c r="F129" s="585"/>
      <c r="CA129" s="10"/>
      <c r="CB129" s="581"/>
      <c r="CD129" s="601"/>
      <c r="CH129" s="585"/>
      <c r="CI129" s="585"/>
      <c r="CJ129" s="585"/>
      <c r="CK129" s="585"/>
      <c r="CL129" s="585"/>
    </row>
    <row r="130" spans="2:90">
      <c r="B130" s="10"/>
      <c r="C130" s="581"/>
      <c r="D130" s="580"/>
      <c r="E130" s="585"/>
      <c r="F130" s="585"/>
      <c r="L130" s="614"/>
      <c r="CA130" s="10"/>
      <c r="CB130" s="581"/>
      <c r="CC130" s="10"/>
      <c r="CD130" s="601"/>
    </row>
    <row r="131" spans="2:90">
      <c r="B131" s="10"/>
      <c r="C131" s="581"/>
      <c r="D131" s="580"/>
      <c r="E131" s="585"/>
      <c r="F131" s="585"/>
      <c r="L131" s="614"/>
      <c r="CA131" s="10"/>
      <c r="CB131" s="581"/>
      <c r="CC131" s="10"/>
      <c r="CD131" s="601"/>
    </row>
    <row r="132" spans="2:90">
      <c r="B132" s="10"/>
      <c r="C132" s="581"/>
      <c r="D132" s="580"/>
      <c r="E132" s="585"/>
      <c r="F132" s="585"/>
      <c r="L132" s="585"/>
      <c r="CA132" s="10"/>
      <c r="CB132" s="581"/>
      <c r="CC132" s="10"/>
      <c r="CD132" s="601"/>
    </row>
    <row r="133" spans="2:90">
      <c r="B133" s="10"/>
      <c r="C133" s="581"/>
      <c r="D133" s="580"/>
      <c r="E133" s="585"/>
      <c r="F133" s="585"/>
      <c r="L133" s="615"/>
      <c r="CA133" s="10"/>
      <c r="CB133" s="581"/>
      <c r="CC133" s="10"/>
      <c r="CD133" s="601"/>
    </row>
    <row r="134" spans="2:90">
      <c r="B134" s="10"/>
      <c r="C134" s="581"/>
      <c r="D134" s="580"/>
      <c r="E134" s="585"/>
      <c r="F134" s="585"/>
      <c r="L134" s="598"/>
      <c r="CA134" s="10"/>
      <c r="CB134" s="581"/>
      <c r="CC134" s="10"/>
      <c r="CD134" s="601"/>
    </row>
    <row r="135" spans="2:90">
      <c r="C135" s="581"/>
      <c r="D135" s="581"/>
      <c r="CB135" s="581"/>
    </row>
    <row r="136" spans="2:90">
      <c r="C136" s="581"/>
      <c r="D136" s="581"/>
      <c r="CB136" s="581"/>
    </row>
    <row r="137" spans="2:90">
      <c r="CB137" s="581"/>
    </row>
    <row r="138" spans="2:90">
      <c r="CB138" s="581"/>
    </row>
  </sheetData>
  <phoneticPr fontId="9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ENTER SFAM ID</vt:lpstr>
      <vt:lpstr>INTRO</vt:lpstr>
      <vt:lpstr>Assemble Data</vt:lpstr>
      <vt:lpstr>Develop Model</vt:lpstr>
      <vt:lpstr>Balance Sheet</vt:lpstr>
      <vt:lpstr>Cash Flow Statement</vt:lpstr>
      <vt:lpstr>Model</vt:lpstr>
      <vt:lpstr>Analyze</vt:lpstr>
      <vt:lpstr>Scratch Sheet</vt:lpstr>
      <vt:lpstr>X</vt:lpstr>
      <vt:lpstr>Column</vt:lpstr>
      <vt:lpstr>'Assemble Data'!Print_Area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Horwitz</dc:creator>
  <cp:lastModifiedBy>CHRISTOPHER GUZMAN SILVA</cp:lastModifiedBy>
  <cp:lastPrinted>2020-02-03T18:27:08Z</cp:lastPrinted>
  <dcterms:created xsi:type="dcterms:W3CDTF">2019-04-12T12:27:47Z</dcterms:created>
  <dcterms:modified xsi:type="dcterms:W3CDTF">2023-03-13T05:46:23Z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2022-09-22T17:43:50Z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b34b5000-d044-455d-8cae-0f092fe65d59</vt:lpwstr>
  </property>
  <property fmtid="{D5CDD505-2E9C-101B-9397-08002B2CF9AE}" pid="8" name="MSIP_Label_fa1855b2-0a05-4494-a903-f3f23f3f98e0_ContentBits">
    <vt:lpwstr>0</vt:lpwstr>
  </property>
</Properties>
</file>