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ddf5b7bcef28c/Desktop/Excel class/CASE 5/"/>
    </mc:Choice>
  </mc:AlternateContent>
  <xr:revisionPtr revIDLastSave="147" documentId="8_{4E3A41F0-2672-8345-AFF3-14DB51BB4CD4}" xr6:coauthVersionLast="47" xr6:coauthVersionMax="47" xr10:uidLastSave="{B80A7162-2515-49EE-BDD8-A86711FD03CD}"/>
  <workbookProtection workbookAlgorithmName="SHA-512" workbookHashValue="RkCAZ7sYysActR8KfXXW/QmpdgrbmpGwrycsyi+TrwZzdjAPUkJo8IhxuA0Cjk7nma9ne+vkJNvsqqEnAhJAxQ==" workbookSaltValue="R1ju7N8XpZL6zEgheAWPDg==" workbookSpinCount="100000" lockStructure="1"/>
  <bookViews>
    <workbookView xWindow="25065" yWindow="0" windowWidth="26535" windowHeight="21000" tabRatio="824" activeTab="4" xr2:uid="{00000000-000D-0000-FFFF-FFFF00000000}"/>
  </bookViews>
  <sheets>
    <sheet name="ENTER SFAM ID" sheetId="82" r:id="rId1"/>
    <sheet name="INTRO" sheetId="107" r:id="rId2"/>
    <sheet name="Developing Model" sheetId="111" r:id="rId3"/>
    <sheet name="Budgeting Model" sheetId="6" r:id="rId4"/>
    <sheet name="Summary Report" sheetId="109" r:id="rId5"/>
    <sheet name="Ad hoc Analysis" sheetId="110" r:id="rId6"/>
    <sheet name="Next Year Budget" sheetId="113" state="hidden" r:id="rId7"/>
    <sheet name="Position Master" sheetId="106" r:id="rId8"/>
    <sheet name="Employee Master" sheetId="7" r:id="rId9"/>
    <sheet name="Scratch Sheet" sheetId="108" state="hidden" r:id="rId10"/>
    <sheet name="X" sheetId="81" state="hidden" r:id="rId11"/>
  </sheets>
  <externalReferences>
    <externalReference r:id="rId12"/>
  </externalReferences>
  <definedNames>
    <definedName name="_xlnm._FilterDatabase" localSheetId="3" hidden="1">'Budgeting Model'!$A$10:$BF$100</definedName>
    <definedName name="_xlnm._FilterDatabase" localSheetId="8" hidden="1">'Employee Master'!$A$6:$AX$83</definedName>
    <definedName name="Column">X!$DD$1:$EC$2</definedName>
    <definedName name="_xlnm.Print_Area" localSheetId="3">'Budgeting Model'!$C$1:$G$3</definedName>
    <definedName name="_xlnm.Print_Area" localSheetId="8">'Employee Master'!$A$1:$H$4</definedName>
    <definedName name="SpreadsheetBuilder_1" localSheetId="10" hidden="1">#REF!</definedName>
    <definedName name="SpreadsheetBuilder_1" hidden="1">#REF!</definedName>
    <definedName name="SpreadsheetBuilder_10" hidden="1">#REF!</definedName>
    <definedName name="SpreadsheetBuilder_11" hidden="1">'[1]Ticker info'!#REF!</definedName>
    <definedName name="SpreadsheetBuilder_12" hidden="1">#REF!</definedName>
    <definedName name="SpreadsheetBuilder_2" localSheetId="10" hidden="1">#REF!</definedName>
    <definedName name="SpreadsheetBuilder_2" hidden="1">#REF!</definedName>
    <definedName name="SpreadsheetBuilder_3" localSheetId="10" hidden="1">#REF!</definedName>
    <definedName name="SpreadsheetBuilder_3" hidden="1">#REF!</definedName>
    <definedName name="SpreadsheetBuilder_4" localSheetId="10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  <definedName name="SpreadsheetBuilder_9" hidden="1">#REF!</definedName>
    <definedName name="Total_work_days">'Budgeting Model'!$S$4:$S$95</definedName>
    <definedName name="Workbook">X!$CX$1:$CX$75</definedName>
  </definedNames>
  <calcPr calcId="191029"/>
  <pivotCaches>
    <pivotCache cacheId="6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90" i="6" l="1"/>
  <c r="AC64" i="6"/>
  <c r="AC90" i="6"/>
  <c r="AA21" i="6"/>
  <c r="AA88" i="6"/>
  <c r="AA89" i="6"/>
  <c r="AA90" i="6"/>
  <c r="AA91" i="6"/>
  <c r="AA93" i="6"/>
  <c r="AA94" i="6"/>
  <c r="R18" i="6" l="1"/>
  <c r="Q16" i="6"/>
  <c r="P17" i="6" l="1"/>
  <c r="P18" i="6"/>
  <c r="P23" i="6"/>
  <c r="P24" i="6"/>
  <c r="P25" i="6"/>
  <c r="P39" i="6"/>
  <c r="P40" i="6"/>
  <c r="P41" i="6"/>
  <c r="P46" i="6"/>
  <c r="P53" i="6"/>
  <c r="P54" i="6"/>
  <c r="P58" i="6"/>
  <c r="P61" i="6"/>
  <c r="P91" i="6"/>
  <c r="N16" i="6"/>
  <c r="N18" i="6"/>
  <c r="L16" i="6"/>
  <c r="L2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1" i="6"/>
  <c r="B8" i="6"/>
  <c r="B9" i="6" s="1"/>
  <c r="B7" i="6"/>
  <c r="B6" i="6"/>
  <c r="B5" i="6"/>
  <c r="AE12" i="6" l="1"/>
  <c r="AE20" i="6"/>
  <c r="AE28" i="6"/>
  <c r="AE36" i="6"/>
  <c r="AE44" i="6"/>
  <c r="AE52" i="6"/>
  <c r="AE60" i="6"/>
  <c r="AE68" i="6"/>
  <c r="AE76" i="6"/>
  <c r="AE84" i="6"/>
  <c r="AE92" i="6"/>
  <c r="AE100" i="6"/>
  <c r="AE94" i="6"/>
  <c r="AE18" i="6"/>
  <c r="AE74" i="6"/>
  <c r="AE91" i="6"/>
  <c r="AE13" i="6"/>
  <c r="AE21" i="6"/>
  <c r="AE29" i="6"/>
  <c r="AE37" i="6"/>
  <c r="AE45" i="6"/>
  <c r="AE53" i="6"/>
  <c r="AE61" i="6"/>
  <c r="AE69" i="6"/>
  <c r="AE77" i="6"/>
  <c r="AE85" i="6"/>
  <c r="AE93" i="6"/>
  <c r="AE78" i="6"/>
  <c r="AE26" i="6"/>
  <c r="AE82" i="6"/>
  <c r="AE14" i="6"/>
  <c r="AE22" i="6"/>
  <c r="AE30" i="6"/>
  <c r="AE38" i="6"/>
  <c r="AE46" i="6"/>
  <c r="AE54" i="6"/>
  <c r="AE62" i="6"/>
  <c r="AE70" i="6"/>
  <c r="AE86" i="6"/>
  <c r="AE42" i="6"/>
  <c r="AE15" i="6"/>
  <c r="AE23" i="6"/>
  <c r="AE31" i="6"/>
  <c r="AE39" i="6"/>
  <c r="AE47" i="6"/>
  <c r="AE55" i="6"/>
  <c r="AE63" i="6"/>
  <c r="AE71" i="6"/>
  <c r="AE79" i="6"/>
  <c r="AE87" i="6"/>
  <c r="AE95" i="6"/>
  <c r="AE73" i="6"/>
  <c r="AE97" i="6"/>
  <c r="AE58" i="6"/>
  <c r="AE98" i="6"/>
  <c r="AE16" i="6"/>
  <c r="AE24" i="6"/>
  <c r="AE32" i="6"/>
  <c r="AE40" i="6"/>
  <c r="AE48" i="6"/>
  <c r="AE56" i="6"/>
  <c r="AE64" i="6"/>
  <c r="AG64" i="6" s="1"/>
  <c r="AE72" i="6"/>
  <c r="AE80" i="6"/>
  <c r="AE88" i="6"/>
  <c r="AE96" i="6"/>
  <c r="AE65" i="6"/>
  <c r="AE89" i="6"/>
  <c r="AE50" i="6"/>
  <c r="AE90" i="6"/>
  <c r="AG90" i="6" s="1"/>
  <c r="AH90" i="6" s="1"/>
  <c r="AE99" i="6"/>
  <c r="AE17" i="6"/>
  <c r="AE25" i="6"/>
  <c r="AE33" i="6"/>
  <c r="AE41" i="6"/>
  <c r="AE49" i="6"/>
  <c r="AE57" i="6"/>
  <c r="AE81" i="6"/>
  <c r="AE34" i="6"/>
  <c r="AE66" i="6"/>
  <c r="AE83" i="6"/>
  <c r="AE19" i="6"/>
  <c r="AE27" i="6"/>
  <c r="AE35" i="6"/>
  <c r="AE43" i="6"/>
  <c r="AE51" i="6"/>
  <c r="AE59" i="6"/>
  <c r="AE67" i="6"/>
  <c r="AE75" i="6"/>
  <c r="P11" i="6"/>
  <c r="AE11" i="6"/>
  <c r="AA12" i="6"/>
  <c r="AA20" i="6"/>
  <c r="AA28" i="6"/>
  <c r="AA36" i="6"/>
  <c r="AA44" i="6"/>
  <c r="AA52" i="6"/>
  <c r="AA60" i="6"/>
  <c r="AA68" i="6"/>
  <c r="AA76" i="6"/>
  <c r="AA84" i="6"/>
  <c r="AA92" i="6"/>
  <c r="AA100" i="6"/>
  <c r="AA13" i="6"/>
  <c r="AA29" i="6"/>
  <c r="AA45" i="6"/>
  <c r="AA53" i="6"/>
  <c r="AA61" i="6"/>
  <c r="AA69" i="6"/>
  <c r="AA77" i="6"/>
  <c r="AA85" i="6"/>
  <c r="AA95" i="6"/>
  <c r="AA37" i="6"/>
  <c r="AA71" i="6"/>
  <c r="AA14" i="6"/>
  <c r="AA22" i="6"/>
  <c r="AA30" i="6"/>
  <c r="AA38" i="6"/>
  <c r="AA46" i="6"/>
  <c r="AA54" i="6"/>
  <c r="AA62" i="6"/>
  <c r="AA70" i="6"/>
  <c r="AA78" i="6"/>
  <c r="AA86" i="6"/>
  <c r="AA23" i="6"/>
  <c r="AA31" i="6"/>
  <c r="AA39" i="6"/>
  <c r="AA63" i="6"/>
  <c r="AA15" i="6"/>
  <c r="AA47" i="6"/>
  <c r="AA16" i="6"/>
  <c r="AA24" i="6"/>
  <c r="AA32" i="6"/>
  <c r="AA40" i="6"/>
  <c r="AA48" i="6"/>
  <c r="AA56" i="6"/>
  <c r="AA64" i="6"/>
  <c r="AF64" i="6" s="1"/>
  <c r="AA72" i="6"/>
  <c r="AA80" i="6"/>
  <c r="AA96" i="6"/>
  <c r="AA26" i="6"/>
  <c r="AA50" i="6"/>
  <c r="AA66" i="6"/>
  <c r="AA82" i="6"/>
  <c r="AA55" i="6"/>
  <c r="AA17" i="6"/>
  <c r="AA25" i="6"/>
  <c r="AA33" i="6"/>
  <c r="AA41" i="6"/>
  <c r="AA49" i="6"/>
  <c r="AA57" i="6"/>
  <c r="AA65" i="6"/>
  <c r="AA73" i="6"/>
  <c r="AA81" i="6"/>
  <c r="AA97" i="6"/>
  <c r="AA18" i="6"/>
  <c r="AA34" i="6"/>
  <c r="AA42" i="6"/>
  <c r="AA58" i="6"/>
  <c r="AA74" i="6"/>
  <c r="AA98" i="6"/>
  <c r="AA79" i="6"/>
  <c r="AA19" i="6"/>
  <c r="AA27" i="6"/>
  <c r="AA35" i="6"/>
  <c r="AA43" i="6"/>
  <c r="AA51" i="6"/>
  <c r="AA59" i="6"/>
  <c r="AA67" i="6"/>
  <c r="AA75" i="6"/>
  <c r="AA83" i="6"/>
  <c r="AA99" i="6"/>
  <c r="AA87" i="6"/>
  <c r="L11" i="6"/>
  <c r="AA11" i="6"/>
  <c r="P90" i="6"/>
  <c r="P66" i="6"/>
  <c r="P50" i="6"/>
  <c r="P99" i="6"/>
  <c r="P83" i="6"/>
  <c r="P75" i="6"/>
  <c r="P67" i="6"/>
  <c r="P59" i="6"/>
  <c r="P51" i="6"/>
  <c r="P43" i="6"/>
  <c r="P35" i="6"/>
  <c r="P27" i="6"/>
  <c r="P19" i="6"/>
  <c r="P98" i="6"/>
  <c r="P74" i="6"/>
  <c r="P42" i="6"/>
  <c r="P34" i="6"/>
  <c r="P97" i="6"/>
  <c r="P89" i="6"/>
  <c r="P81" i="6"/>
  <c r="P73" i="6"/>
  <c r="P65" i="6"/>
  <c r="P57" i="6"/>
  <c r="P49" i="6"/>
  <c r="P33" i="6"/>
  <c r="P82" i="6"/>
  <c r="P26" i="6"/>
  <c r="P96" i="6"/>
  <c r="P80" i="6"/>
  <c r="P72" i="6"/>
  <c r="P56" i="6"/>
  <c r="P48" i="6"/>
  <c r="P32" i="6"/>
  <c r="P16" i="6"/>
  <c r="P95" i="6"/>
  <c r="P87" i="6"/>
  <c r="P79" i="6"/>
  <c r="P71" i="6"/>
  <c r="P63" i="6"/>
  <c r="P55" i="6"/>
  <c r="P47" i="6"/>
  <c r="P31" i="6"/>
  <c r="P15" i="6"/>
  <c r="P94" i="6"/>
  <c r="P86" i="6"/>
  <c r="P78" i="6"/>
  <c r="P70" i="6"/>
  <c r="P62" i="6"/>
  <c r="P38" i="6"/>
  <c r="P30" i="6"/>
  <c r="P22" i="6"/>
  <c r="P14" i="6"/>
  <c r="P93" i="6"/>
  <c r="P85" i="6"/>
  <c r="P77" i="6"/>
  <c r="P69" i="6"/>
  <c r="P45" i="6"/>
  <c r="P37" i="6"/>
  <c r="P29" i="6"/>
  <c r="P21" i="6"/>
  <c r="P13" i="6"/>
  <c r="P88" i="6"/>
  <c r="P64" i="6"/>
  <c r="P100" i="6"/>
  <c r="P92" i="6"/>
  <c r="P84" i="6"/>
  <c r="P76" i="6"/>
  <c r="P68" i="6"/>
  <c r="P60" i="6"/>
  <c r="P52" i="6"/>
  <c r="P44" i="6"/>
  <c r="P36" i="6"/>
  <c r="P28" i="6"/>
  <c r="P20" i="6"/>
  <c r="P12" i="6"/>
  <c r="L98" i="6"/>
  <c r="L90" i="6"/>
  <c r="L82" i="6"/>
  <c r="L74" i="6"/>
  <c r="L66" i="6"/>
  <c r="L58" i="6"/>
  <c r="L50" i="6"/>
  <c r="L42" i="6"/>
  <c r="L34" i="6"/>
  <c r="L26" i="6"/>
  <c r="L18" i="6"/>
  <c r="Q18" i="6" s="1"/>
  <c r="S18" i="6" s="1"/>
  <c r="L97" i="6"/>
  <c r="L89" i="6"/>
  <c r="L81" i="6"/>
  <c r="L73" i="6"/>
  <c r="L65" i="6"/>
  <c r="L57" i="6"/>
  <c r="L49" i="6"/>
  <c r="L41" i="6"/>
  <c r="L33" i="6"/>
  <c r="L25" i="6"/>
  <c r="L17" i="6"/>
  <c r="L91" i="6"/>
  <c r="L59" i="6"/>
  <c r="L35" i="6"/>
  <c r="L96" i="6"/>
  <c r="L72" i="6"/>
  <c r="L64" i="6"/>
  <c r="L56" i="6"/>
  <c r="L48" i="6"/>
  <c r="L40" i="6"/>
  <c r="L32" i="6"/>
  <c r="L24" i="6"/>
  <c r="L99" i="6"/>
  <c r="L67" i="6"/>
  <c r="L43" i="6"/>
  <c r="L27" i="6"/>
  <c r="L88" i="6"/>
  <c r="L71" i="6"/>
  <c r="L55" i="6"/>
  <c r="L31" i="6"/>
  <c r="L15" i="6"/>
  <c r="L75" i="6"/>
  <c r="L51" i="6"/>
  <c r="L19" i="6"/>
  <c r="L80" i="6"/>
  <c r="L95" i="6"/>
  <c r="L87" i="6"/>
  <c r="L79" i="6"/>
  <c r="L63" i="6"/>
  <c r="L47" i="6"/>
  <c r="L39" i="6"/>
  <c r="L23" i="6"/>
  <c r="L94" i="6"/>
  <c r="L86" i="6"/>
  <c r="L78" i="6"/>
  <c r="L70" i="6"/>
  <c r="L62" i="6"/>
  <c r="L54" i="6"/>
  <c r="L46" i="6"/>
  <c r="L38" i="6"/>
  <c r="L30" i="6"/>
  <c r="L22" i="6"/>
  <c r="L14" i="6"/>
  <c r="L83" i="6"/>
  <c r="L93" i="6"/>
  <c r="L85" i="6"/>
  <c r="L77" i="6"/>
  <c r="L69" i="6"/>
  <c r="L61" i="6"/>
  <c r="L53" i="6"/>
  <c r="L45" i="6"/>
  <c r="L37" i="6"/>
  <c r="L29" i="6"/>
  <c r="L13" i="6"/>
  <c r="L100" i="6"/>
  <c r="L92" i="6"/>
  <c r="L84" i="6"/>
  <c r="L76" i="6"/>
  <c r="L68" i="6"/>
  <c r="L60" i="6"/>
  <c r="L52" i="6"/>
  <c r="L44" i="6"/>
  <c r="L36" i="6"/>
  <c r="L28" i="6"/>
  <c r="L20" i="6"/>
  <c r="L12" i="6"/>
  <c r="B4" i="6"/>
  <c r="E5" i="7"/>
  <c r="A3" i="7"/>
  <c r="BO16" i="6"/>
  <c r="BO18" i="6"/>
  <c r="B4" i="108"/>
  <c r="V40" i="108" s="1"/>
  <c r="D12" i="108"/>
  <c r="D13" i="108"/>
  <c r="D14" i="108"/>
  <c r="D15" i="108"/>
  <c r="D16" i="108"/>
  <c r="D17" i="108"/>
  <c r="D18" i="108"/>
  <c r="D19" i="108"/>
  <c r="D20" i="108"/>
  <c r="D21" i="108"/>
  <c r="D22" i="108"/>
  <c r="D23" i="108"/>
  <c r="D24" i="108"/>
  <c r="D25" i="108"/>
  <c r="D26" i="108"/>
  <c r="D27" i="108"/>
  <c r="D28" i="108"/>
  <c r="D29" i="108"/>
  <c r="D30" i="108"/>
  <c r="D31" i="108"/>
  <c r="D32" i="108"/>
  <c r="D33" i="108"/>
  <c r="D34" i="108"/>
  <c r="D35" i="108"/>
  <c r="D36" i="108"/>
  <c r="D37" i="108"/>
  <c r="D38" i="108"/>
  <c r="D39" i="108"/>
  <c r="D40" i="108"/>
  <c r="D41" i="108"/>
  <c r="D42" i="108"/>
  <c r="D43" i="108"/>
  <c r="D44" i="108"/>
  <c r="D45" i="108"/>
  <c r="D46" i="108"/>
  <c r="D47" i="108"/>
  <c r="D48" i="108"/>
  <c r="D49" i="108"/>
  <c r="D50" i="108"/>
  <c r="D51" i="108"/>
  <c r="D52" i="108"/>
  <c r="D53" i="108"/>
  <c r="D54" i="108"/>
  <c r="D55" i="108"/>
  <c r="D56" i="108"/>
  <c r="D57" i="108"/>
  <c r="D58" i="108"/>
  <c r="D59" i="108"/>
  <c r="D60" i="108"/>
  <c r="D61" i="108"/>
  <c r="D62" i="108"/>
  <c r="D63" i="108"/>
  <c r="D64" i="108"/>
  <c r="D65" i="108"/>
  <c r="D66" i="108"/>
  <c r="D67" i="108"/>
  <c r="D68" i="108"/>
  <c r="D69" i="108"/>
  <c r="D70" i="108"/>
  <c r="D71" i="108"/>
  <c r="D72" i="108"/>
  <c r="D73" i="108"/>
  <c r="D74" i="108"/>
  <c r="D75" i="108"/>
  <c r="D76" i="108"/>
  <c r="D77" i="108"/>
  <c r="D78" i="108"/>
  <c r="D79" i="108"/>
  <c r="D80" i="108"/>
  <c r="D81" i="108"/>
  <c r="D82" i="108"/>
  <c r="D83" i="108"/>
  <c r="D84" i="108"/>
  <c r="D85" i="108"/>
  <c r="D86" i="108"/>
  <c r="D87" i="108"/>
  <c r="D88" i="108"/>
  <c r="D89" i="108"/>
  <c r="D90" i="108"/>
  <c r="D91" i="108"/>
  <c r="D92" i="108"/>
  <c r="D93" i="108"/>
  <c r="D94" i="108"/>
  <c r="D95" i="108"/>
  <c r="D96" i="108"/>
  <c r="D97" i="108"/>
  <c r="D98" i="108"/>
  <c r="D99" i="108"/>
  <c r="D100" i="108"/>
  <c r="D11" i="108"/>
  <c r="B11" i="108"/>
  <c r="CA85" i="81"/>
  <c r="B12" i="108"/>
  <c r="CA86" i="81"/>
  <c r="B13" i="108"/>
  <c r="CA87" i="81"/>
  <c r="B14" i="108"/>
  <c r="CA88" i="81"/>
  <c r="B15" i="108"/>
  <c r="CA89" i="81"/>
  <c r="B16" i="108"/>
  <c r="CA90" i="81"/>
  <c r="B17" i="108"/>
  <c r="CA91" i="81"/>
  <c r="B18" i="108"/>
  <c r="CA92" i="81"/>
  <c r="B19" i="108"/>
  <c r="CA93" i="81"/>
  <c r="B20" i="108"/>
  <c r="CA94" i="81"/>
  <c r="B21" i="108"/>
  <c r="CA95" i="81"/>
  <c r="B22" i="108"/>
  <c r="CA96" i="81"/>
  <c r="B23" i="108"/>
  <c r="CA97" i="81"/>
  <c r="B24" i="108"/>
  <c r="CA98" i="81"/>
  <c r="B25" i="108"/>
  <c r="CA99" i="81"/>
  <c r="B26" i="108"/>
  <c r="CA100" i="81"/>
  <c r="B27" i="108"/>
  <c r="CA101" i="81"/>
  <c r="B28" i="108"/>
  <c r="CA102" i="81"/>
  <c r="B29" i="108"/>
  <c r="CA103" i="81"/>
  <c r="B30" i="108"/>
  <c r="CA104" i="81"/>
  <c r="B31" i="108"/>
  <c r="CA105" i="81"/>
  <c r="B32" i="108"/>
  <c r="CA106" i="81"/>
  <c r="B33" i="108"/>
  <c r="CA107" i="81"/>
  <c r="B34" i="108"/>
  <c r="CA108" i="81"/>
  <c r="B35" i="108"/>
  <c r="CA109" i="81"/>
  <c r="B36" i="108"/>
  <c r="CA110" i="81"/>
  <c r="B37" i="108"/>
  <c r="CA111" i="81"/>
  <c r="B38" i="108"/>
  <c r="CA112" i="81"/>
  <c r="B39" i="108"/>
  <c r="CA113" i="81"/>
  <c r="B40" i="108"/>
  <c r="CA114" i="81"/>
  <c r="B41" i="108"/>
  <c r="CA115" i="81"/>
  <c r="B42" i="108"/>
  <c r="CA116" i="81"/>
  <c r="B43" i="108"/>
  <c r="CA117" i="81"/>
  <c r="B44" i="108"/>
  <c r="CA118" i="81"/>
  <c r="B45" i="108"/>
  <c r="CA119" i="81"/>
  <c r="B46" i="108"/>
  <c r="CA120" i="81"/>
  <c r="B47" i="108"/>
  <c r="CA121" i="81"/>
  <c r="B48" i="108"/>
  <c r="CA122" i="81"/>
  <c r="B49" i="108"/>
  <c r="CA123" i="81"/>
  <c r="B50" i="108"/>
  <c r="CA124" i="81"/>
  <c r="B51" i="108"/>
  <c r="CA125" i="81"/>
  <c r="B52" i="108"/>
  <c r="CA126" i="81"/>
  <c r="B53" i="108"/>
  <c r="CA127" i="81"/>
  <c r="B54" i="108"/>
  <c r="CA128" i="81"/>
  <c r="B55" i="108"/>
  <c r="CA129" i="81"/>
  <c r="B56" i="108"/>
  <c r="CA130" i="81"/>
  <c r="B57" i="108"/>
  <c r="CA131" i="81"/>
  <c r="B58" i="108"/>
  <c r="CA132" i="81"/>
  <c r="B59" i="108"/>
  <c r="CA133" i="81"/>
  <c r="B60" i="108"/>
  <c r="CA134" i="81"/>
  <c r="B61" i="108"/>
  <c r="CA135" i="81"/>
  <c r="B62" i="108"/>
  <c r="CA136" i="81"/>
  <c r="B63" i="108"/>
  <c r="CA137" i="81"/>
  <c r="B64" i="108"/>
  <c r="CA138" i="81"/>
  <c r="B65" i="108"/>
  <c r="CA139" i="81"/>
  <c r="B66" i="108"/>
  <c r="CA140" i="81"/>
  <c r="B67" i="108"/>
  <c r="CA141" i="81"/>
  <c r="B68" i="108"/>
  <c r="CA142" i="81"/>
  <c r="B69" i="108"/>
  <c r="CA143" i="81"/>
  <c r="B70" i="108"/>
  <c r="CA144" i="81"/>
  <c r="B71" i="108"/>
  <c r="CA145" i="81"/>
  <c r="B72" i="108"/>
  <c r="CA146" i="81"/>
  <c r="B73" i="108"/>
  <c r="CA147" i="81"/>
  <c r="B74" i="108"/>
  <c r="CA148" i="81"/>
  <c r="B75" i="108"/>
  <c r="CA149" i="81"/>
  <c r="B76" i="108"/>
  <c r="CA150" i="81"/>
  <c r="B77" i="108"/>
  <c r="CA151" i="81"/>
  <c r="B78" i="108"/>
  <c r="CA152" i="81"/>
  <c r="B79" i="108"/>
  <c r="CA153" i="81"/>
  <c r="B80" i="108"/>
  <c r="CA154" i="81"/>
  <c r="B81" i="108"/>
  <c r="CA155" i="81"/>
  <c r="B82" i="108"/>
  <c r="CA156" i="81"/>
  <c r="B83" i="108"/>
  <c r="CA157" i="81"/>
  <c r="B84" i="108"/>
  <c r="CA158" i="81"/>
  <c r="B85" i="108"/>
  <c r="CA159" i="81"/>
  <c r="B86" i="108"/>
  <c r="CA160" i="81"/>
  <c r="B87" i="108"/>
  <c r="CA161" i="81"/>
  <c r="B88" i="108"/>
  <c r="CA162" i="81"/>
  <c r="B89" i="108"/>
  <c r="CA163" i="81"/>
  <c r="B90" i="108"/>
  <c r="CA164" i="81"/>
  <c r="B91" i="108"/>
  <c r="CA165" i="81"/>
  <c r="B92" i="108"/>
  <c r="CA166" i="81"/>
  <c r="B93" i="108"/>
  <c r="CA167" i="81"/>
  <c r="B94" i="108"/>
  <c r="CA168" i="81"/>
  <c r="B95" i="108"/>
  <c r="CA169" i="81"/>
  <c r="B96" i="108"/>
  <c r="CA170" i="81"/>
  <c r="B97" i="108"/>
  <c r="CA171" i="81"/>
  <c r="B98" i="108"/>
  <c r="CA172" i="81"/>
  <c r="B99" i="108"/>
  <c r="CA173" i="81"/>
  <c r="B100" i="108"/>
  <c r="CA174" i="81"/>
  <c r="CC85" i="81"/>
  <c r="CC86" i="81"/>
  <c r="CC87" i="81"/>
  <c r="CC88" i="81"/>
  <c r="CC89" i="81"/>
  <c r="CC90" i="81"/>
  <c r="CC91" i="81"/>
  <c r="CC92" i="81"/>
  <c r="CC93" i="81"/>
  <c r="CC94" i="81"/>
  <c r="CC95" i="81"/>
  <c r="CC96" i="81"/>
  <c r="CC97" i="81"/>
  <c r="CC98" i="81"/>
  <c r="CC99" i="81"/>
  <c r="CC100" i="81"/>
  <c r="CC101" i="81"/>
  <c r="CC102" i="81"/>
  <c r="CC103" i="81"/>
  <c r="CC104" i="81"/>
  <c r="CC105" i="81"/>
  <c r="CC106" i="81"/>
  <c r="CC107" i="81"/>
  <c r="CC108" i="81"/>
  <c r="CC109" i="81"/>
  <c r="CC110" i="81"/>
  <c r="CC111" i="81"/>
  <c r="CC112" i="81"/>
  <c r="CC113" i="81"/>
  <c r="CC114" i="81"/>
  <c r="CC115" i="81"/>
  <c r="CC116" i="81"/>
  <c r="CC117" i="81"/>
  <c r="CC118" i="81"/>
  <c r="CC119" i="81"/>
  <c r="CC120" i="81"/>
  <c r="CC121" i="81"/>
  <c r="CC122" i="81"/>
  <c r="CC123" i="81"/>
  <c r="CC124" i="81"/>
  <c r="CC125" i="81"/>
  <c r="CC126" i="81"/>
  <c r="CC127" i="81"/>
  <c r="CC128" i="81"/>
  <c r="CC129" i="81"/>
  <c r="CC130" i="81"/>
  <c r="CC131" i="81"/>
  <c r="CC132" i="81"/>
  <c r="CC133" i="81"/>
  <c r="CC134" i="81"/>
  <c r="CC135" i="81"/>
  <c r="CC136" i="81"/>
  <c r="CC137" i="81"/>
  <c r="CC138" i="81"/>
  <c r="CC139" i="81"/>
  <c r="CC140" i="81"/>
  <c r="CC141" i="81"/>
  <c r="CC142" i="81"/>
  <c r="CC143" i="81"/>
  <c r="CC144" i="81"/>
  <c r="CC145" i="81"/>
  <c r="CC146" i="81"/>
  <c r="CC147" i="81"/>
  <c r="CC148" i="81"/>
  <c r="CC149" i="81"/>
  <c r="CC150" i="81"/>
  <c r="CC151" i="81"/>
  <c r="CC152" i="81"/>
  <c r="CC153" i="81"/>
  <c r="CC154" i="81"/>
  <c r="CC155" i="81"/>
  <c r="CC156" i="81"/>
  <c r="CC157" i="81"/>
  <c r="CC158" i="81"/>
  <c r="CC159" i="81"/>
  <c r="CC160" i="81"/>
  <c r="CC161" i="81"/>
  <c r="CC162" i="81"/>
  <c r="CC163" i="81"/>
  <c r="CC164" i="81"/>
  <c r="CC165" i="81"/>
  <c r="CC166" i="81"/>
  <c r="CC167" i="81"/>
  <c r="CC168" i="81"/>
  <c r="CC169" i="81"/>
  <c r="CC170" i="81"/>
  <c r="CC171" i="81"/>
  <c r="CC172" i="81"/>
  <c r="CC173" i="81"/>
  <c r="CC174" i="81"/>
  <c r="I11" i="108"/>
  <c r="I12" i="108"/>
  <c r="I13" i="108"/>
  <c r="I14" i="108"/>
  <c r="I15" i="108"/>
  <c r="I16" i="108"/>
  <c r="I17" i="108"/>
  <c r="I18" i="108"/>
  <c r="I19" i="108"/>
  <c r="I20" i="108"/>
  <c r="I21" i="108"/>
  <c r="I22" i="108"/>
  <c r="I23" i="108"/>
  <c r="I24" i="108"/>
  <c r="I25" i="108"/>
  <c r="I26" i="108"/>
  <c r="I27" i="108"/>
  <c r="I28" i="108"/>
  <c r="I29" i="108"/>
  <c r="I30" i="108"/>
  <c r="I31" i="108"/>
  <c r="I32" i="108"/>
  <c r="I33" i="108"/>
  <c r="I34" i="108"/>
  <c r="I35" i="108"/>
  <c r="I36" i="108"/>
  <c r="I37" i="108"/>
  <c r="I38" i="108"/>
  <c r="I39" i="108"/>
  <c r="I40" i="108"/>
  <c r="I41" i="108"/>
  <c r="I42" i="108"/>
  <c r="I43" i="108"/>
  <c r="I44" i="108"/>
  <c r="I45" i="108"/>
  <c r="I46" i="108"/>
  <c r="I47" i="108"/>
  <c r="I48" i="108"/>
  <c r="I49" i="108"/>
  <c r="I50" i="108"/>
  <c r="I51" i="108"/>
  <c r="I52" i="108"/>
  <c r="I53" i="108"/>
  <c r="I54" i="108"/>
  <c r="I55" i="108"/>
  <c r="I56" i="108"/>
  <c r="I57" i="108"/>
  <c r="I58" i="108"/>
  <c r="I59" i="108"/>
  <c r="I60" i="108"/>
  <c r="I61" i="108"/>
  <c r="I62" i="108"/>
  <c r="I63" i="108"/>
  <c r="I64" i="108"/>
  <c r="I65" i="108"/>
  <c r="I66" i="108"/>
  <c r="I67" i="108"/>
  <c r="I68" i="108"/>
  <c r="I69" i="108"/>
  <c r="I70" i="108"/>
  <c r="I71" i="108"/>
  <c r="I72" i="108"/>
  <c r="I73" i="108"/>
  <c r="I74" i="108"/>
  <c r="I75" i="108"/>
  <c r="I76" i="108"/>
  <c r="I77" i="108"/>
  <c r="I78" i="108"/>
  <c r="I79" i="108"/>
  <c r="I80" i="108"/>
  <c r="I81" i="108"/>
  <c r="I82" i="108"/>
  <c r="I83" i="108"/>
  <c r="I84" i="108"/>
  <c r="I85" i="108"/>
  <c r="I86" i="108"/>
  <c r="I87" i="108"/>
  <c r="I88" i="108"/>
  <c r="I89" i="108"/>
  <c r="I90" i="108"/>
  <c r="I91" i="108"/>
  <c r="I92" i="108"/>
  <c r="I93" i="108"/>
  <c r="I94" i="108"/>
  <c r="I95" i="108"/>
  <c r="I96" i="108"/>
  <c r="I97" i="108"/>
  <c r="I98" i="108"/>
  <c r="I99" i="108"/>
  <c r="I100" i="108"/>
  <c r="K11" i="108"/>
  <c r="K12" i="108"/>
  <c r="K13" i="108"/>
  <c r="K14" i="108"/>
  <c r="K15" i="108"/>
  <c r="K17" i="108"/>
  <c r="K18" i="108"/>
  <c r="K19" i="108"/>
  <c r="K20" i="108"/>
  <c r="K22" i="108"/>
  <c r="K23" i="108"/>
  <c r="K24" i="108"/>
  <c r="K25" i="108"/>
  <c r="K26" i="108"/>
  <c r="K27" i="108"/>
  <c r="K28" i="108"/>
  <c r="K29" i="108"/>
  <c r="K30" i="108"/>
  <c r="K31" i="108"/>
  <c r="K32" i="108"/>
  <c r="K33" i="108"/>
  <c r="K34" i="108"/>
  <c r="K35" i="108"/>
  <c r="K36" i="108"/>
  <c r="K37" i="108"/>
  <c r="K38" i="108"/>
  <c r="K39" i="108"/>
  <c r="K40" i="108"/>
  <c r="K41" i="108"/>
  <c r="K42" i="108"/>
  <c r="K43" i="108"/>
  <c r="K44" i="108"/>
  <c r="K45" i="108"/>
  <c r="K46" i="108"/>
  <c r="K47" i="108"/>
  <c r="K48" i="108"/>
  <c r="K49" i="108"/>
  <c r="K50" i="108"/>
  <c r="K51" i="108"/>
  <c r="K52" i="108"/>
  <c r="K53" i="108"/>
  <c r="K54" i="108"/>
  <c r="K55" i="108"/>
  <c r="K56" i="108"/>
  <c r="K57" i="108"/>
  <c r="K58" i="108"/>
  <c r="K59" i="108"/>
  <c r="K60" i="108"/>
  <c r="K61" i="108"/>
  <c r="K62" i="108"/>
  <c r="K63" i="108"/>
  <c r="K64" i="108"/>
  <c r="K65" i="108"/>
  <c r="K66" i="108"/>
  <c r="K67" i="108"/>
  <c r="K68" i="108"/>
  <c r="K69" i="108"/>
  <c r="K70" i="108"/>
  <c r="K71" i="108"/>
  <c r="K72" i="108"/>
  <c r="K73" i="108"/>
  <c r="K74" i="108"/>
  <c r="K75" i="108"/>
  <c r="K76" i="108"/>
  <c r="K77" i="108"/>
  <c r="K78" i="108"/>
  <c r="K79" i="108"/>
  <c r="K80" i="108"/>
  <c r="K81" i="108"/>
  <c r="K82" i="108"/>
  <c r="K83" i="108"/>
  <c r="K84" i="108"/>
  <c r="K85" i="108"/>
  <c r="K86" i="108"/>
  <c r="K87" i="108"/>
  <c r="K88" i="108"/>
  <c r="K89" i="108"/>
  <c r="K90" i="108"/>
  <c r="K91" i="108"/>
  <c r="K92" i="108"/>
  <c r="K93" i="108"/>
  <c r="K94" i="108"/>
  <c r="K95" i="108"/>
  <c r="K96" i="108"/>
  <c r="K97" i="108"/>
  <c r="K98" i="108"/>
  <c r="K99" i="108"/>
  <c r="K100" i="108"/>
  <c r="K16" i="108"/>
  <c r="L16" i="108"/>
  <c r="CK90" i="81"/>
  <c r="K21" i="108"/>
  <c r="L21" i="108"/>
  <c r="CK95" i="81"/>
  <c r="M11" i="108"/>
  <c r="M12" i="108"/>
  <c r="M13" i="108"/>
  <c r="M14" i="108"/>
  <c r="M15" i="108"/>
  <c r="M17" i="108"/>
  <c r="M19" i="108"/>
  <c r="M20" i="108"/>
  <c r="M21" i="108"/>
  <c r="M22" i="108"/>
  <c r="M23" i="108"/>
  <c r="M24" i="108"/>
  <c r="M25" i="108"/>
  <c r="M26" i="108"/>
  <c r="M27" i="108"/>
  <c r="M28" i="108"/>
  <c r="M29" i="108"/>
  <c r="M30" i="108"/>
  <c r="M31" i="108"/>
  <c r="M32" i="108"/>
  <c r="M33" i="108"/>
  <c r="M34" i="108"/>
  <c r="M35" i="108"/>
  <c r="M36" i="108"/>
  <c r="M37" i="108"/>
  <c r="M38" i="108"/>
  <c r="M39" i="108"/>
  <c r="M40" i="108"/>
  <c r="M41" i="108"/>
  <c r="M42" i="108"/>
  <c r="M43" i="108"/>
  <c r="M44" i="108"/>
  <c r="M45" i="108"/>
  <c r="M46" i="108"/>
  <c r="M47" i="108"/>
  <c r="M48" i="108"/>
  <c r="M49" i="108"/>
  <c r="M50" i="108"/>
  <c r="M51" i="108"/>
  <c r="M52" i="108"/>
  <c r="M53" i="108"/>
  <c r="M54" i="108"/>
  <c r="M55" i="108"/>
  <c r="M56" i="108"/>
  <c r="M57" i="108"/>
  <c r="M58" i="108"/>
  <c r="M59" i="108"/>
  <c r="M60" i="108"/>
  <c r="M61" i="108"/>
  <c r="M62" i="108"/>
  <c r="M63" i="108"/>
  <c r="M64" i="108"/>
  <c r="M65" i="108"/>
  <c r="M66" i="108"/>
  <c r="M67" i="108"/>
  <c r="M68" i="108"/>
  <c r="M69" i="108"/>
  <c r="M70" i="108"/>
  <c r="M71" i="108"/>
  <c r="M72" i="108"/>
  <c r="M73" i="108"/>
  <c r="M74" i="108"/>
  <c r="M75" i="108"/>
  <c r="M76" i="108"/>
  <c r="M77" i="108"/>
  <c r="M78" i="108"/>
  <c r="M79" i="108"/>
  <c r="M80" i="108"/>
  <c r="M81" i="108"/>
  <c r="M82" i="108"/>
  <c r="M83" i="108"/>
  <c r="M84" i="108"/>
  <c r="M85" i="108"/>
  <c r="M86" i="108"/>
  <c r="M87" i="108"/>
  <c r="M88" i="108"/>
  <c r="M89" i="108"/>
  <c r="M90" i="108"/>
  <c r="M91" i="108"/>
  <c r="M92" i="108"/>
  <c r="M93" i="108"/>
  <c r="M94" i="108"/>
  <c r="M95" i="108"/>
  <c r="M96" i="108"/>
  <c r="M97" i="108"/>
  <c r="M98" i="108"/>
  <c r="M99" i="108"/>
  <c r="M100" i="108"/>
  <c r="M16" i="108"/>
  <c r="N16" i="108"/>
  <c r="CM90" i="81" s="1"/>
  <c r="M18" i="108"/>
  <c r="N18" i="108"/>
  <c r="CM92" i="81" s="1"/>
  <c r="O11" i="108"/>
  <c r="O12" i="108"/>
  <c r="O13" i="108"/>
  <c r="O14" i="108"/>
  <c r="O15" i="108"/>
  <c r="O16" i="108"/>
  <c r="O19" i="108"/>
  <c r="O20" i="108"/>
  <c r="O21" i="108"/>
  <c r="O22" i="108"/>
  <c r="O23" i="108"/>
  <c r="P23" i="108"/>
  <c r="CO97" i="81"/>
  <c r="O24" i="108"/>
  <c r="P24" i="108"/>
  <c r="CO98" i="81"/>
  <c r="O25" i="108"/>
  <c r="P25" i="108"/>
  <c r="CO99" i="81"/>
  <c r="O26" i="108"/>
  <c r="O27" i="108"/>
  <c r="O28" i="108"/>
  <c r="O29" i="108"/>
  <c r="O30" i="108"/>
  <c r="O31" i="108"/>
  <c r="O32" i="108"/>
  <c r="O33" i="108"/>
  <c r="O34" i="108"/>
  <c r="O35" i="108"/>
  <c r="O36" i="108"/>
  <c r="O37" i="108"/>
  <c r="O38" i="108"/>
  <c r="O42" i="108"/>
  <c r="O43" i="108"/>
  <c r="O44" i="108"/>
  <c r="O45" i="108"/>
  <c r="O47" i="108"/>
  <c r="O48" i="108"/>
  <c r="O49" i="108"/>
  <c r="O50" i="108"/>
  <c r="O51" i="108"/>
  <c r="O52" i="108"/>
  <c r="O55" i="108"/>
  <c r="O56" i="108"/>
  <c r="O57" i="108"/>
  <c r="O59" i="108"/>
  <c r="O60" i="108"/>
  <c r="O62" i="108"/>
  <c r="O63" i="108"/>
  <c r="O64" i="108"/>
  <c r="O65" i="108"/>
  <c r="O66" i="108"/>
  <c r="O67" i="108"/>
  <c r="O68" i="108"/>
  <c r="O69" i="108"/>
  <c r="O70" i="108"/>
  <c r="O71" i="108"/>
  <c r="O72" i="108"/>
  <c r="O73" i="108"/>
  <c r="O74" i="108"/>
  <c r="O75" i="108"/>
  <c r="O76" i="108"/>
  <c r="O77" i="108"/>
  <c r="O78" i="108"/>
  <c r="O79" i="108"/>
  <c r="O80" i="108"/>
  <c r="O81" i="108"/>
  <c r="O82" i="108"/>
  <c r="O83" i="108"/>
  <c r="O84" i="108"/>
  <c r="O85" i="108"/>
  <c r="O86" i="108"/>
  <c r="O87" i="108"/>
  <c r="O88" i="108"/>
  <c r="O89" i="108"/>
  <c r="O90" i="108"/>
  <c r="O92" i="108"/>
  <c r="O93" i="108"/>
  <c r="O94" i="108"/>
  <c r="O95" i="108"/>
  <c r="O96" i="108"/>
  <c r="O97" i="108"/>
  <c r="O98" i="108"/>
  <c r="O99" i="108"/>
  <c r="O100" i="108"/>
  <c r="O17" i="108"/>
  <c r="P17" i="108"/>
  <c r="CO91" i="81"/>
  <c r="O18" i="108"/>
  <c r="P18" i="108"/>
  <c r="CO92" i="81"/>
  <c r="O39" i="108"/>
  <c r="P39" i="108"/>
  <c r="CO113" i="81"/>
  <c r="O40" i="108"/>
  <c r="P40" i="108"/>
  <c r="CO114" i="81"/>
  <c r="O41" i="108"/>
  <c r="P41" i="108"/>
  <c r="CO115" i="81"/>
  <c r="O46" i="108"/>
  <c r="P46" i="108"/>
  <c r="CO120" i="81"/>
  <c r="O53" i="108"/>
  <c r="P53" i="108"/>
  <c r="CO127" i="81"/>
  <c r="O54" i="108"/>
  <c r="P54" i="108"/>
  <c r="CO128" i="81"/>
  <c r="O58" i="108"/>
  <c r="P58" i="108"/>
  <c r="CO132" i="81"/>
  <c r="O61" i="108"/>
  <c r="P61" i="108"/>
  <c r="CO135" i="81"/>
  <c r="O91" i="108"/>
  <c r="P91" i="108"/>
  <c r="CO165" i="81"/>
  <c r="X11" i="108"/>
  <c r="X12" i="108"/>
  <c r="X13" i="108"/>
  <c r="X14" i="108"/>
  <c r="X15" i="108"/>
  <c r="X16" i="108"/>
  <c r="X17" i="108"/>
  <c r="X18" i="108"/>
  <c r="X19" i="108"/>
  <c r="X20" i="108"/>
  <c r="X21" i="108"/>
  <c r="X22" i="108"/>
  <c r="X23" i="108"/>
  <c r="X24" i="108"/>
  <c r="X25" i="108"/>
  <c r="X26" i="108"/>
  <c r="X27" i="108"/>
  <c r="X28" i="108"/>
  <c r="X29" i="108"/>
  <c r="X30" i="108"/>
  <c r="X31" i="108"/>
  <c r="X32" i="108"/>
  <c r="X33" i="108"/>
  <c r="X34" i="108"/>
  <c r="X35" i="108"/>
  <c r="X36" i="108"/>
  <c r="X37" i="108"/>
  <c r="X38" i="108"/>
  <c r="X39" i="108"/>
  <c r="X40" i="108"/>
  <c r="X41" i="108"/>
  <c r="X42" i="108"/>
  <c r="X43" i="108"/>
  <c r="X44" i="108"/>
  <c r="X45" i="108"/>
  <c r="X46" i="108"/>
  <c r="X47" i="108"/>
  <c r="X48" i="108"/>
  <c r="X49" i="108"/>
  <c r="X50" i="108"/>
  <c r="X51" i="108"/>
  <c r="X52" i="108"/>
  <c r="X53" i="108"/>
  <c r="X54" i="108"/>
  <c r="X55" i="108"/>
  <c r="X56" i="108"/>
  <c r="X57" i="108"/>
  <c r="X58" i="108"/>
  <c r="X59" i="108"/>
  <c r="X60" i="108"/>
  <c r="X61" i="108"/>
  <c r="X62" i="108"/>
  <c r="X63" i="108"/>
  <c r="X64" i="108"/>
  <c r="X65" i="108"/>
  <c r="X66" i="108"/>
  <c r="X67" i="108"/>
  <c r="X68" i="108"/>
  <c r="X69" i="108"/>
  <c r="X70" i="108"/>
  <c r="X71" i="108"/>
  <c r="X72" i="108"/>
  <c r="X73" i="108"/>
  <c r="X74" i="108"/>
  <c r="X75" i="108"/>
  <c r="X76" i="108"/>
  <c r="X77" i="108"/>
  <c r="X78" i="108"/>
  <c r="X79" i="108"/>
  <c r="X80" i="108"/>
  <c r="X81" i="108"/>
  <c r="X82" i="108"/>
  <c r="X83" i="108"/>
  <c r="X84" i="108"/>
  <c r="X85" i="108"/>
  <c r="X86" i="108"/>
  <c r="X87" i="108"/>
  <c r="X88" i="108"/>
  <c r="X89" i="108"/>
  <c r="X90" i="108"/>
  <c r="X91" i="108"/>
  <c r="X92" i="108"/>
  <c r="X93" i="108"/>
  <c r="X94" i="108"/>
  <c r="X95" i="108"/>
  <c r="X96" i="108"/>
  <c r="X97" i="108"/>
  <c r="X98" i="108"/>
  <c r="X99" i="108"/>
  <c r="X100" i="108"/>
  <c r="Z11" i="108"/>
  <c r="Z12" i="108"/>
  <c r="Z13" i="108"/>
  <c r="Z14" i="108"/>
  <c r="Z15" i="108"/>
  <c r="Z16" i="108"/>
  <c r="Z17" i="108"/>
  <c r="Z18" i="108"/>
  <c r="Z19" i="108"/>
  <c r="Z20" i="108"/>
  <c r="Z21" i="108"/>
  <c r="AA21" i="108"/>
  <c r="CZ95" i="81"/>
  <c r="Z22" i="108"/>
  <c r="Z23" i="108"/>
  <c r="Z24" i="108"/>
  <c r="Z25" i="108"/>
  <c r="Z26" i="108"/>
  <c r="Z27" i="108"/>
  <c r="Z28" i="108"/>
  <c r="Z29" i="108"/>
  <c r="Z30" i="108"/>
  <c r="Z31" i="108"/>
  <c r="Z32" i="108"/>
  <c r="Z33" i="108"/>
  <c r="Z34" i="108"/>
  <c r="Z35" i="108"/>
  <c r="Z36" i="108"/>
  <c r="Z37" i="108"/>
  <c r="Z38" i="108"/>
  <c r="Z39" i="108"/>
  <c r="Z40" i="108"/>
  <c r="Z41" i="108"/>
  <c r="Z42" i="108"/>
  <c r="Z43" i="108"/>
  <c r="Z44" i="108"/>
  <c r="Z45" i="108"/>
  <c r="Z46" i="108"/>
  <c r="Z47" i="108"/>
  <c r="Z48" i="108"/>
  <c r="Z49" i="108"/>
  <c r="Z50" i="108"/>
  <c r="Z51" i="108"/>
  <c r="Z52" i="108"/>
  <c r="Z53" i="108"/>
  <c r="Z54" i="108"/>
  <c r="Z55" i="108"/>
  <c r="Z56" i="108"/>
  <c r="Z57" i="108"/>
  <c r="Z58" i="108"/>
  <c r="Z59" i="108"/>
  <c r="Z60" i="108"/>
  <c r="Z61" i="108"/>
  <c r="Z62" i="108"/>
  <c r="Z63" i="108"/>
  <c r="Z64" i="108"/>
  <c r="Z65" i="108"/>
  <c r="Z66" i="108"/>
  <c r="Z67" i="108"/>
  <c r="Z68" i="108"/>
  <c r="Z69" i="108"/>
  <c r="Z70" i="108"/>
  <c r="Z71" i="108"/>
  <c r="Z72" i="108"/>
  <c r="Z73" i="108"/>
  <c r="Z74" i="108"/>
  <c r="Z75" i="108"/>
  <c r="Z76" i="108"/>
  <c r="Z77" i="108"/>
  <c r="Z78" i="108"/>
  <c r="Z79" i="108"/>
  <c r="Z80" i="108"/>
  <c r="Z81" i="108"/>
  <c r="Z82" i="108"/>
  <c r="Z83" i="108"/>
  <c r="Z84" i="108"/>
  <c r="Z85" i="108"/>
  <c r="Z86" i="108"/>
  <c r="Z87" i="108"/>
  <c r="Z92" i="108"/>
  <c r="Z95" i="108"/>
  <c r="Z96" i="108"/>
  <c r="Z97" i="108"/>
  <c r="Z98" i="108"/>
  <c r="Z99" i="108"/>
  <c r="Z100" i="108"/>
  <c r="Z88" i="108"/>
  <c r="AA88" i="108"/>
  <c r="CZ162" i="81"/>
  <c r="Z89" i="108"/>
  <c r="AA89" i="108"/>
  <c r="CZ163" i="81"/>
  <c r="Z90" i="108"/>
  <c r="AA90" i="108"/>
  <c r="CZ164" i="81"/>
  <c r="Z91" i="108"/>
  <c r="AA91" i="108"/>
  <c r="CZ165" i="81"/>
  <c r="Z93" i="108"/>
  <c r="AA93" i="108"/>
  <c r="CZ167" i="81"/>
  <c r="Z94" i="108"/>
  <c r="AA94" i="108"/>
  <c r="CZ168" i="81"/>
  <c r="AB11" i="108"/>
  <c r="AB12" i="108"/>
  <c r="AB13" i="108"/>
  <c r="AB14" i="108"/>
  <c r="AB15" i="108"/>
  <c r="AB16" i="108"/>
  <c r="AB17" i="108"/>
  <c r="AB18" i="108"/>
  <c r="AB19" i="108"/>
  <c r="AB20" i="108"/>
  <c r="AB21" i="108"/>
  <c r="AB22" i="108"/>
  <c r="AB23" i="108"/>
  <c r="AB24" i="108"/>
  <c r="AB25" i="108"/>
  <c r="AB26" i="108"/>
  <c r="AB27" i="108"/>
  <c r="AB28" i="108"/>
  <c r="AB29" i="108"/>
  <c r="AB30" i="108"/>
  <c r="AB31" i="108"/>
  <c r="AB32" i="108"/>
  <c r="AB33" i="108"/>
  <c r="AB34" i="108"/>
  <c r="AB35" i="108"/>
  <c r="AB36" i="108"/>
  <c r="AB37" i="108"/>
  <c r="AB38" i="108"/>
  <c r="AB39" i="108"/>
  <c r="AB40" i="108"/>
  <c r="AB41" i="108"/>
  <c r="AB42" i="108"/>
  <c r="AB43" i="108"/>
  <c r="AB44" i="108"/>
  <c r="AB45" i="108"/>
  <c r="AB46" i="108"/>
  <c r="AB47" i="108"/>
  <c r="AB48" i="108"/>
  <c r="AB49" i="108"/>
  <c r="AB50" i="108"/>
  <c r="AB51" i="108"/>
  <c r="AB52" i="108"/>
  <c r="AB53" i="108"/>
  <c r="AB54" i="108"/>
  <c r="AB55" i="108"/>
  <c r="AB56" i="108"/>
  <c r="AB57" i="108"/>
  <c r="AB58" i="108"/>
  <c r="AB59" i="108"/>
  <c r="AB60" i="108"/>
  <c r="AB61" i="108"/>
  <c r="AB62" i="108"/>
  <c r="AB63" i="108"/>
  <c r="AB65" i="108"/>
  <c r="AB66" i="108"/>
  <c r="AB67" i="108"/>
  <c r="AB68" i="108"/>
  <c r="AB69" i="108"/>
  <c r="AB70" i="108"/>
  <c r="AB71" i="108"/>
  <c r="AB72" i="108"/>
  <c r="AB73" i="108"/>
  <c r="AB74" i="108"/>
  <c r="AB75" i="108"/>
  <c r="AB76" i="108"/>
  <c r="AB77" i="108"/>
  <c r="AB78" i="108"/>
  <c r="AB79" i="108"/>
  <c r="AB80" i="108"/>
  <c r="AB81" i="108"/>
  <c r="AB82" i="108"/>
  <c r="AB83" i="108"/>
  <c r="AB84" i="108"/>
  <c r="AB85" i="108"/>
  <c r="AB86" i="108"/>
  <c r="AB87" i="108"/>
  <c r="AB88" i="108"/>
  <c r="AB89" i="108"/>
  <c r="AB91" i="108"/>
  <c r="AB92" i="108"/>
  <c r="AB93" i="108"/>
  <c r="AB94" i="108"/>
  <c r="AB95" i="108"/>
  <c r="AB96" i="108"/>
  <c r="AB97" i="108"/>
  <c r="AB98" i="108"/>
  <c r="AB99" i="108"/>
  <c r="AB100" i="108"/>
  <c r="AB64" i="108"/>
  <c r="AC64" i="108"/>
  <c r="AB90" i="108"/>
  <c r="AC90" i="108"/>
  <c r="AF90" i="108" s="1"/>
  <c r="D63" i="81"/>
  <c r="D62" i="81"/>
  <c r="CC1" i="81"/>
  <c r="D61" i="81"/>
  <c r="D67" i="81"/>
  <c r="D66" i="81"/>
  <c r="D65" i="81"/>
  <c r="D64" i="81"/>
  <c r="D59" i="81"/>
  <c r="D60" i="81"/>
  <c r="D58" i="81"/>
  <c r="D56" i="81"/>
  <c r="D57" i="81"/>
  <c r="D55" i="81"/>
  <c r="D5" i="106"/>
  <c r="I6" i="7"/>
  <c r="G6" i="7"/>
  <c r="A3" i="113"/>
  <c r="A56" i="111"/>
  <c r="A3" i="111"/>
  <c r="A3" i="109"/>
  <c r="B14" i="81"/>
  <c r="A3" i="106"/>
  <c r="A3" i="6"/>
  <c r="A3" i="107"/>
  <c r="A3" i="82"/>
  <c r="CB1" i="81"/>
  <c r="CB2" i="81" s="1"/>
  <c r="CC2" i="81" s="1"/>
  <c r="B18" i="81"/>
  <c r="B20" i="81"/>
  <c r="CB3" i="81"/>
  <c r="CC3" i="81" s="1"/>
  <c r="CB7" i="81"/>
  <c r="CB11" i="81"/>
  <c r="CB9" i="81"/>
  <c r="CB13" i="81"/>
  <c r="CB6" i="81"/>
  <c r="B19" i="81"/>
  <c r="AH64" i="6" l="1"/>
  <c r="AC12" i="6"/>
  <c r="AC76" i="6"/>
  <c r="AC84" i="6"/>
  <c r="AC100" i="6"/>
  <c r="AC77" i="6"/>
  <c r="AC21" i="6"/>
  <c r="AC85" i="6"/>
  <c r="AC59" i="6"/>
  <c r="AC54" i="6"/>
  <c r="AC62" i="6"/>
  <c r="AC70" i="6"/>
  <c r="AC94" i="6"/>
  <c r="AC71" i="6"/>
  <c r="AC57" i="6"/>
  <c r="AC97" i="6"/>
  <c r="AC65" i="6"/>
  <c r="AC67" i="6"/>
  <c r="AC99" i="6"/>
  <c r="V18" i="6"/>
  <c r="V53" i="6"/>
  <c r="V61" i="6"/>
  <c r="V46" i="6"/>
  <c r="V54" i="6"/>
  <c r="V23" i="6"/>
  <c r="V39" i="6"/>
  <c r="V24" i="6"/>
  <c r="V40" i="6"/>
  <c r="V17" i="6"/>
  <c r="V25" i="6"/>
  <c r="V41" i="6"/>
  <c r="V58" i="6"/>
  <c r="R16" i="6"/>
  <c r="S16" i="6" s="1"/>
  <c r="N12" i="6"/>
  <c r="R12" i="6" s="1"/>
  <c r="N76" i="6"/>
  <c r="R76" i="6" s="1"/>
  <c r="N84" i="6"/>
  <c r="R84" i="6" s="1"/>
  <c r="N100" i="6"/>
  <c r="R100" i="6" s="1"/>
  <c r="N21" i="6"/>
  <c r="R21" i="6" s="1"/>
  <c r="N77" i="6"/>
  <c r="R77" i="6" s="1"/>
  <c r="N85" i="6"/>
  <c r="R85" i="6" s="1"/>
  <c r="N54" i="6"/>
  <c r="R54" i="6" s="1"/>
  <c r="N62" i="6"/>
  <c r="R62" i="6" s="1"/>
  <c r="N70" i="6"/>
  <c r="R70" i="6" s="1"/>
  <c r="N94" i="6"/>
  <c r="R94" i="6" s="1"/>
  <c r="N71" i="6"/>
  <c r="R71" i="6" s="1"/>
  <c r="N99" i="6"/>
  <c r="R99" i="6" s="1"/>
  <c r="N57" i="6"/>
  <c r="R57" i="6" s="1"/>
  <c r="N65" i="6"/>
  <c r="R65" i="6" s="1"/>
  <c r="N97" i="6"/>
  <c r="R97" i="6" s="1"/>
  <c r="N67" i="6"/>
  <c r="R67" i="6" s="1"/>
  <c r="N90" i="6"/>
  <c r="R90" i="6" s="1"/>
  <c r="N59" i="6"/>
  <c r="R59" i="6" s="1"/>
  <c r="E11" i="6"/>
  <c r="E12" i="6"/>
  <c r="E20" i="6"/>
  <c r="E28" i="6"/>
  <c r="E36" i="6"/>
  <c r="E44" i="6"/>
  <c r="E52" i="6"/>
  <c r="E60" i="6"/>
  <c r="E68" i="6"/>
  <c r="E76" i="6"/>
  <c r="E84" i="6"/>
  <c r="E92" i="6"/>
  <c r="E100" i="6"/>
  <c r="E13" i="6"/>
  <c r="E21" i="6"/>
  <c r="E29" i="6"/>
  <c r="E37" i="6"/>
  <c r="E45" i="6"/>
  <c r="E53" i="6"/>
  <c r="E61" i="6"/>
  <c r="E69" i="6"/>
  <c r="E77" i="6"/>
  <c r="E85" i="6"/>
  <c r="E93" i="6"/>
  <c r="E43" i="6"/>
  <c r="E67" i="6"/>
  <c r="E91" i="6"/>
  <c r="E14" i="6"/>
  <c r="E22" i="6"/>
  <c r="E30" i="6"/>
  <c r="E38" i="6"/>
  <c r="E46" i="6"/>
  <c r="E54" i="6"/>
  <c r="E62" i="6"/>
  <c r="E70" i="6"/>
  <c r="E78" i="6"/>
  <c r="E86" i="6"/>
  <c r="E94" i="6"/>
  <c r="E15" i="6"/>
  <c r="E23" i="6"/>
  <c r="E31" i="6"/>
  <c r="E39" i="6"/>
  <c r="E47" i="6"/>
  <c r="E55" i="6"/>
  <c r="E63" i="6"/>
  <c r="E71" i="6"/>
  <c r="E79" i="6"/>
  <c r="E87" i="6"/>
  <c r="E95" i="6"/>
  <c r="E19" i="6"/>
  <c r="E75" i="6"/>
  <c r="E16" i="6"/>
  <c r="BP16" i="6" s="1"/>
  <c r="E24" i="6"/>
  <c r="E32" i="6"/>
  <c r="E40" i="6"/>
  <c r="E48" i="6"/>
  <c r="E56" i="6"/>
  <c r="E64" i="6"/>
  <c r="E72" i="6"/>
  <c r="E80" i="6"/>
  <c r="E88" i="6"/>
  <c r="E96" i="6"/>
  <c r="E35" i="6"/>
  <c r="E59" i="6"/>
  <c r="E99" i="6"/>
  <c r="E17" i="6"/>
  <c r="E25" i="6"/>
  <c r="E33" i="6"/>
  <c r="E41" i="6"/>
  <c r="E49" i="6"/>
  <c r="E57" i="6"/>
  <c r="E65" i="6"/>
  <c r="E73" i="6"/>
  <c r="E81" i="6"/>
  <c r="E89" i="6"/>
  <c r="E97" i="6"/>
  <c r="E27" i="6"/>
  <c r="E51" i="6"/>
  <c r="E83" i="6"/>
  <c r="E18" i="6"/>
  <c r="E26" i="6"/>
  <c r="E34" i="6"/>
  <c r="E42" i="6"/>
  <c r="E50" i="6"/>
  <c r="E58" i="6"/>
  <c r="E66" i="6"/>
  <c r="E74" i="6"/>
  <c r="E82" i="6"/>
  <c r="E90" i="6"/>
  <c r="E98" i="6"/>
  <c r="C11" i="6"/>
  <c r="C12" i="6"/>
  <c r="C20" i="6"/>
  <c r="BN20" i="6" s="1"/>
  <c r="C28" i="6"/>
  <c r="C36" i="6"/>
  <c r="C44" i="6"/>
  <c r="C52" i="6"/>
  <c r="BN52" i="6" s="1"/>
  <c r="C60" i="6"/>
  <c r="C68" i="6"/>
  <c r="C76" i="6"/>
  <c r="C84" i="6"/>
  <c r="C92" i="6"/>
  <c r="C100" i="6"/>
  <c r="C37" i="6"/>
  <c r="C61" i="6"/>
  <c r="C13" i="6"/>
  <c r="C21" i="6"/>
  <c r="C29" i="6"/>
  <c r="C14" i="6"/>
  <c r="C22" i="6"/>
  <c r="C30" i="6"/>
  <c r="C38" i="6"/>
  <c r="C46" i="6"/>
  <c r="C54" i="6"/>
  <c r="C62" i="6"/>
  <c r="C70" i="6"/>
  <c r="C78" i="6"/>
  <c r="C86" i="6"/>
  <c r="C94" i="6"/>
  <c r="C23" i="6"/>
  <c r="C31" i="6"/>
  <c r="C39" i="6"/>
  <c r="C47" i="6"/>
  <c r="BN47" i="6" s="1"/>
  <c r="C55" i="6"/>
  <c r="C63" i="6"/>
  <c r="C79" i="6"/>
  <c r="C87" i="6"/>
  <c r="C77" i="6"/>
  <c r="C15" i="6"/>
  <c r="C71" i="6"/>
  <c r="C95" i="6"/>
  <c r="C64" i="6"/>
  <c r="C16" i="6"/>
  <c r="C24" i="6"/>
  <c r="C32" i="6"/>
  <c r="C40" i="6"/>
  <c r="C48" i="6"/>
  <c r="C56" i="6"/>
  <c r="C72" i="6"/>
  <c r="C80" i="6"/>
  <c r="C88" i="6"/>
  <c r="C96" i="6"/>
  <c r="C75" i="6"/>
  <c r="C99" i="6"/>
  <c r="C53" i="6"/>
  <c r="C93" i="6"/>
  <c r="C17" i="6"/>
  <c r="C25" i="6"/>
  <c r="C33" i="6"/>
  <c r="C41" i="6"/>
  <c r="C49" i="6"/>
  <c r="C57" i="6"/>
  <c r="C65" i="6"/>
  <c r="C73" i="6"/>
  <c r="C81" i="6"/>
  <c r="C89" i="6"/>
  <c r="C97" i="6"/>
  <c r="C51" i="6"/>
  <c r="C91" i="6"/>
  <c r="C69" i="6"/>
  <c r="C18" i="6"/>
  <c r="C26" i="6"/>
  <c r="C34" i="6"/>
  <c r="C42" i="6"/>
  <c r="C50" i="6"/>
  <c r="C58" i="6"/>
  <c r="C66" i="6"/>
  <c r="C74" i="6"/>
  <c r="C82" i="6"/>
  <c r="C90" i="6"/>
  <c r="C98" i="6"/>
  <c r="C19" i="6"/>
  <c r="C27" i="6"/>
  <c r="C35" i="6"/>
  <c r="C43" i="6"/>
  <c r="C59" i="6"/>
  <c r="C67" i="6"/>
  <c r="C83" i="6"/>
  <c r="C45" i="6"/>
  <c r="C85" i="6"/>
  <c r="E27" i="81"/>
  <c r="B27" i="81" s="1"/>
  <c r="E25" i="81"/>
  <c r="B25" i="81" s="1"/>
  <c r="CD3" i="81"/>
  <c r="CD2" i="81"/>
  <c r="CB5" i="81"/>
  <c r="CC5" i="81" s="1"/>
  <c r="CB12" i="81"/>
  <c r="B15" i="81"/>
  <c r="B13" i="81" s="1"/>
  <c r="CB8" i="81"/>
  <c r="CB15" i="81"/>
  <c r="CB4" i="81"/>
  <c r="CC4" i="81" s="1"/>
  <c r="CB14" i="81"/>
  <c r="CB10" i="81"/>
  <c r="R18" i="108"/>
  <c r="Q16" i="108"/>
  <c r="CP90" i="81" s="1"/>
  <c r="DB138" i="81"/>
  <c r="F7" i="7"/>
  <c r="D77" i="7"/>
  <c r="D65" i="7"/>
  <c r="D41" i="7"/>
  <c r="D16" i="7"/>
  <c r="V17" i="108"/>
  <c r="F8" i="7"/>
  <c r="D75" i="7"/>
  <c r="D64" i="7"/>
  <c r="D56" i="7"/>
  <c r="D48" i="7"/>
  <c r="D40" i="7"/>
  <c r="D32" i="7"/>
  <c r="D24" i="7"/>
  <c r="D15" i="7"/>
  <c r="D76" i="7"/>
  <c r="D71" i="7"/>
  <c r="D63" i="7"/>
  <c r="D55" i="7"/>
  <c r="D47" i="7"/>
  <c r="D39" i="7"/>
  <c r="D31" i="7"/>
  <c r="D23" i="7"/>
  <c r="D14" i="7"/>
  <c r="D8" i="7"/>
  <c r="D68" i="7"/>
  <c r="D60" i="7"/>
  <c r="D52" i="7"/>
  <c r="D44" i="7"/>
  <c r="D36" i="7"/>
  <c r="D28" i="7"/>
  <c r="D20" i="7"/>
  <c r="D11" i="7"/>
  <c r="D57" i="7"/>
  <c r="D49" i="7"/>
  <c r="D33" i="7"/>
  <c r="D25" i="7"/>
  <c r="D7" i="7"/>
  <c r="D74" i="7"/>
  <c r="D38" i="7"/>
  <c r="D17" i="7"/>
  <c r="D69" i="7"/>
  <c r="D61" i="7"/>
  <c r="D53" i="7"/>
  <c r="D45" i="7"/>
  <c r="D37" i="7"/>
  <c r="D29" i="7"/>
  <c r="D21" i="7"/>
  <c r="D79" i="7"/>
  <c r="D67" i="7"/>
  <c r="D59" i="7"/>
  <c r="D51" i="7"/>
  <c r="D43" i="7"/>
  <c r="D35" i="7"/>
  <c r="D27" i="7"/>
  <c r="D19" i="7"/>
  <c r="D10" i="7"/>
  <c r="D70" i="7"/>
  <c r="D62" i="7"/>
  <c r="D54" i="7"/>
  <c r="D46" i="7"/>
  <c r="D30" i="7"/>
  <c r="D22" i="7"/>
  <c r="D13" i="7"/>
  <c r="D72" i="7"/>
  <c r="D12" i="7"/>
  <c r="D73" i="7"/>
  <c r="D78" i="7"/>
  <c r="D66" i="7"/>
  <c r="D58" i="7"/>
  <c r="D50" i="7"/>
  <c r="D42" i="7"/>
  <c r="D34" i="7"/>
  <c r="D26" i="7"/>
  <c r="D18" i="7"/>
  <c r="D9" i="7"/>
  <c r="V18" i="108"/>
  <c r="F68" i="7"/>
  <c r="AC82" i="108" s="1"/>
  <c r="F61" i="7"/>
  <c r="N73" i="108" s="1"/>
  <c r="F43" i="7"/>
  <c r="AC47" i="108" s="1"/>
  <c r="F40" i="7"/>
  <c r="N44" i="108" s="1"/>
  <c r="F79" i="7"/>
  <c r="N98" i="108" s="1"/>
  <c r="F75" i="7"/>
  <c r="AC92" i="108" s="1"/>
  <c r="V58" i="108"/>
  <c r="V39" i="108"/>
  <c r="V23" i="108"/>
  <c r="F78" i="7"/>
  <c r="AC96" i="108" s="1"/>
  <c r="F76" i="7"/>
  <c r="AC93" i="108" s="1"/>
  <c r="AF93" i="108" s="1"/>
  <c r="V54" i="108"/>
  <c r="F58" i="7"/>
  <c r="AC68" i="108" s="1"/>
  <c r="V53" i="108"/>
  <c r="F73" i="7"/>
  <c r="AC89" i="108" s="1"/>
  <c r="AF89" i="108" s="1"/>
  <c r="F52" i="7"/>
  <c r="N58" i="108" s="1"/>
  <c r="R58" i="108" s="1"/>
  <c r="C75" i="108"/>
  <c r="E75" i="108"/>
  <c r="E43" i="108"/>
  <c r="AC97" i="108"/>
  <c r="AG97" i="108" s="1"/>
  <c r="E74" i="108"/>
  <c r="E42" i="108"/>
  <c r="N65" i="108"/>
  <c r="R65" i="108" s="1"/>
  <c r="E99" i="108"/>
  <c r="E67" i="108"/>
  <c r="E35" i="108"/>
  <c r="E98" i="108"/>
  <c r="E66" i="108"/>
  <c r="E34" i="108"/>
  <c r="AC70" i="108"/>
  <c r="AG70" i="108" s="1"/>
  <c r="E91" i="108"/>
  <c r="E59" i="108"/>
  <c r="E27" i="108"/>
  <c r="E90" i="108"/>
  <c r="E58" i="108"/>
  <c r="E26" i="108"/>
  <c r="C66" i="108"/>
  <c r="E83" i="108"/>
  <c r="E51" i="108"/>
  <c r="E19" i="108"/>
  <c r="C59" i="108"/>
  <c r="F59" i="108" s="1"/>
  <c r="E82" i="108"/>
  <c r="E50" i="108"/>
  <c r="E18" i="108"/>
  <c r="E25" i="108"/>
  <c r="N100" i="108"/>
  <c r="R100" i="108" s="1"/>
  <c r="N57" i="108"/>
  <c r="R57" i="108" s="1"/>
  <c r="C41" i="108"/>
  <c r="E40" i="108"/>
  <c r="N77" i="108"/>
  <c r="R77" i="108" s="1"/>
  <c r="C34" i="108"/>
  <c r="E95" i="108"/>
  <c r="E87" i="108"/>
  <c r="E79" i="108"/>
  <c r="E71" i="108"/>
  <c r="E63" i="108"/>
  <c r="E55" i="108"/>
  <c r="E47" i="108"/>
  <c r="E39" i="108"/>
  <c r="E31" i="108"/>
  <c r="E23" i="108"/>
  <c r="E15" i="108"/>
  <c r="E33" i="108"/>
  <c r="E96" i="108"/>
  <c r="E24" i="108"/>
  <c r="AC85" i="108"/>
  <c r="AG85" i="108" s="1"/>
  <c r="AC57" i="108"/>
  <c r="AG57" i="108" s="1"/>
  <c r="C23" i="108"/>
  <c r="E94" i="108"/>
  <c r="E86" i="108"/>
  <c r="E78" i="108"/>
  <c r="E70" i="108"/>
  <c r="E62" i="108"/>
  <c r="E54" i="108"/>
  <c r="E46" i="108"/>
  <c r="E38" i="108"/>
  <c r="E30" i="108"/>
  <c r="E22" i="108"/>
  <c r="E14" i="108"/>
  <c r="E97" i="108"/>
  <c r="E89" i="108"/>
  <c r="E81" i="108"/>
  <c r="E73" i="108"/>
  <c r="E65" i="108"/>
  <c r="E57" i="108"/>
  <c r="E49" i="108"/>
  <c r="E41" i="108"/>
  <c r="E17" i="108"/>
  <c r="E88" i="108"/>
  <c r="E80" i="108"/>
  <c r="E72" i="108"/>
  <c r="E64" i="108"/>
  <c r="E56" i="108"/>
  <c r="E48" i="108"/>
  <c r="E32" i="108"/>
  <c r="E16" i="108"/>
  <c r="C86" i="108"/>
  <c r="C15" i="108"/>
  <c r="F67" i="7"/>
  <c r="N81" i="6" s="1"/>
  <c r="R81" i="6" s="1"/>
  <c r="F65" i="7"/>
  <c r="N79" i="108" s="1"/>
  <c r="E93" i="108"/>
  <c r="E85" i="108"/>
  <c r="E77" i="108"/>
  <c r="E69" i="108"/>
  <c r="E61" i="108"/>
  <c r="E53" i="108"/>
  <c r="E45" i="108"/>
  <c r="E37" i="108"/>
  <c r="E29" i="108"/>
  <c r="E21" i="108"/>
  <c r="E13" i="108"/>
  <c r="AC77" i="108"/>
  <c r="AG77" i="108" s="1"/>
  <c r="C84" i="108"/>
  <c r="F84" i="108" s="1"/>
  <c r="F72" i="7"/>
  <c r="AC88" i="108" s="1"/>
  <c r="AF88" i="108" s="1"/>
  <c r="E100" i="108"/>
  <c r="E92" i="108"/>
  <c r="E84" i="108"/>
  <c r="E76" i="108"/>
  <c r="E68" i="108"/>
  <c r="E60" i="108"/>
  <c r="E52" i="108"/>
  <c r="E44" i="108"/>
  <c r="E36" i="108"/>
  <c r="E28" i="108"/>
  <c r="E20" i="108"/>
  <c r="E12" i="108"/>
  <c r="F10" i="7"/>
  <c r="AC14" i="108" s="1"/>
  <c r="E11" i="108"/>
  <c r="C91" i="108"/>
  <c r="C42" i="108"/>
  <c r="F35" i="7"/>
  <c r="N39" i="6" s="1"/>
  <c r="R39" i="6" s="1"/>
  <c r="C65" i="108"/>
  <c r="F65" i="108" s="1"/>
  <c r="C14" i="108"/>
  <c r="C12" i="108"/>
  <c r="F12" i="108" s="1"/>
  <c r="G12" i="108" s="1"/>
  <c r="F47" i="7"/>
  <c r="N51" i="108" s="1"/>
  <c r="C93" i="108"/>
  <c r="C49" i="108"/>
  <c r="F15" i="7"/>
  <c r="N19" i="108" s="1"/>
  <c r="F48" i="7"/>
  <c r="N52" i="6" s="1"/>
  <c r="R52" i="6" s="1"/>
  <c r="C92" i="108"/>
  <c r="C68" i="108"/>
  <c r="F68" i="108" s="1"/>
  <c r="C48" i="108"/>
  <c r="C22" i="108"/>
  <c r="F54" i="7"/>
  <c r="AC61" i="108" s="1"/>
  <c r="F42" i="7"/>
  <c r="N46" i="108" s="1"/>
  <c r="C83" i="108"/>
  <c r="C58" i="108"/>
  <c r="C33" i="108"/>
  <c r="C77" i="108"/>
  <c r="F77" i="108" s="1"/>
  <c r="G77" i="108" s="1"/>
  <c r="C57" i="108"/>
  <c r="F57" i="108" s="1"/>
  <c r="C32" i="108"/>
  <c r="DE164" i="81"/>
  <c r="F56" i="7"/>
  <c r="N64" i="6" s="1"/>
  <c r="R64" i="6" s="1"/>
  <c r="F50" i="7"/>
  <c r="N55" i="6" s="1"/>
  <c r="R55" i="6" s="1"/>
  <c r="F45" i="7"/>
  <c r="N49" i="6" s="1"/>
  <c r="R49" i="6" s="1"/>
  <c r="F38" i="7"/>
  <c r="N42" i="6" s="1"/>
  <c r="R42" i="6" s="1"/>
  <c r="F27" i="7"/>
  <c r="N31" i="108" s="1"/>
  <c r="C100" i="108"/>
  <c r="F100" i="108" s="1"/>
  <c r="C76" i="108"/>
  <c r="F76" i="108" s="1"/>
  <c r="G76" i="108" s="1"/>
  <c r="C50" i="108"/>
  <c r="C24" i="108"/>
  <c r="F71" i="7"/>
  <c r="N87" i="108" s="1"/>
  <c r="F63" i="7"/>
  <c r="N75" i="6" s="1"/>
  <c r="R75" i="6" s="1"/>
  <c r="F60" i="7"/>
  <c r="N72" i="108" s="1"/>
  <c r="F53" i="7"/>
  <c r="N60" i="6" s="1"/>
  <c r="R60" i="6" s="1"/>
  <c r="F39" i="7"/>
  <c r="N43" i="6" s="1"/>
  <c r="R43" i="6" s="1"/>
  <c r="F77" i="7"/>
  <c r="N95" i="6" s="1"/>
  <c r="R95" i="6" s="1"/>
  <c r="F74" i="7"/>
  <c r="N91" i="6" s="1"/>
  <c r="F64" i="7"/>
  <c r="N78" i="6" s="1"/>
  <c r="R78" i="6" s="1"/>
  <c r="F46" i="7"/>
  <c r="N50" i="108" s="1"/>
  <c r="F14" i="7"/>
  <c r="AC18" i="108" s="1"/>
  <c r="F70" i="7"/>
  <c r="N86" i="108" s="1"/>
  <c r="F69" i="7"/>
  <c r="N83" i="6" s="1"/>
  <c r="R83" i="6" s="1"/>
  <c r="F62" i="7"/>
  <c r="N74" i="6" s="1"/>
  <c r="R74" i="6" s="1"/>
  <c r="F59" i="7"/>
  <c r="N69" i="6" s="1"/>
  <c r="R69" i="6" s="1"/>
  <c r="F51" i="7"/>
  <c r="N56" i="6" s="1"/>
  <c r="R56" i="6" s="1"/>
  <c r="BO84" i="6"/>
  <c r="F66" i="7"/>
  <c r="N80" i="6" s="1"/>
  <c r="R80" i="6" s="1"/>
  <c r="F57" i="7"/>
  <c r="AC66" i="108" s="1"/>
  <c r="F55" i="7"/>
  <c r="N63" i="6" s="1"/>
  <c r="R63" i="6" s="1"/>
  <c r="F49" i="7"/>
  <c r="N53" i="6" s="1"/>
  <c r="R53" i="6" s="1"/>
  <c r="F19" i="7"/>
  <c r="N23" i="6" s="1"/>
  <c r="R23" i="6" s="1"/>
  <c r="AC76" i="108"/>
  <c r="AG76" i="108" s="1"/>
  <c r="N85" i="108"/>
  <c r="R85" i="108" s="1"/>
  <c r="C90" i="108"/>
  <c r="F90" i="108" s="1"/>
  <c r="C56" i="108"/>
  <c r="C21" i="108"/>
  <c r="F21" i="108" s="1"/>
  <c r="G21" i="108" s="1"/>
  <c r="AC84" i="108"/>
  <c r="AG84" i="108" s="1"/>
  <c r="AC59" i="108"/>
  <c r="AG59" i="108" s="1"/>
  <c r="N99" i="108"/>
  <c r="R99" i="108" s="1"/>
  <c r="N94" i="108"/>
  <c r="R94" i="108" s="1"/>
  <c r="N76" i="108"/>
  <c r="R76" i="108" s="1"/>
  <c r="N59" i="108"/>
  <c r="R59" i="108" s="1"/>
  <c r="C98" i="108"/>
  <c r="C81" i="108"/>
  <c r="C72" i="108"/>
  <c r="C63" i="108"/>
  <c r="C54" i="108"/>
  <c r="C46" i="108"/>
  <c r="C39" i="108"/>
  <c r="C29" i="108"/>
  <c r="C20" i="108"/>
  <c r="F37" i="7"/>
  <c r="N41" i="6" s="1"/>
  <c r="R41" i="6" s="1"/>
  <c r="F36" i="7"/>
  <c r="N40" i="6" s="1"/>
  <c r="R40" i="6" s="1"/>
  <c r="F29" i="7"/>
  <c r="N33" i="6" s="1"/>
  <c r="R33" i="6" s="1"/>
  <c r="F20" i="7"/>
  <c r="AC24" i="108" s="1"/>
  <c r="AC100" i="108"/>
  <c r="AG100" i="108" s="1"/>
  <c r="AC65" i="108"/>
  <c r="AG65" i="108" s="1"/>
  <c r="N90" i="108"/>
  <c r="R90" i="108" s="1"/>
  <c r="C99" i="108"/>
  <c r="F99" i="108" s="1"/>
  <c r="G99" i="108" s="1"/>
  <c r="Y99" i="108" s="1"/>
  <c r="C74" i="108"/>
  <c r="C40" i="108"/>
  <c r="AC99" i="108"/>
  <c r="AC94" i="108"/>
  <c r="AG94" i="108" s="1"/>
  <c r="N84" i="108"/>
  <c r="N71" i="108"/>
  <c r="R71" i="108" s="1"/>
  <c r="N67" i="108"/>
  <c r="R67" i="108" s="1"/>
  <c r="N21" i="108"/>
  <c r="R21" i="108" s="1"/>
  <c r="C96" i="108"/>
  <c r="C89" i="108"/>
  <c r="C80" i="108"/>
  <c r="C71" i="108"/>
  <c r="F71" i="108" s="1"/>
  <c r="C62" i="108"/>
  <c r="F62" i="108" s="1"/>
  <c r="C53" i="108"/>
  <c r="C37" i="108"/>
  <c r="C28" i="108"/>
  <c r="C18" i="108"/>
  <c r="C82" i="108"/>
  <c r="C47" i="108"/>
  <c r="C11" i="108"/>
  <c r="AC71" i="108"/>
  <c r="AG71" i="108" s="1"/>
  <c r="AC62" i="108"/>
  <c r="AG62" i="108" s="1"/>
  <c r="AC54" i="108"/>
  <c r="AG54" i="108" s="1"/>
  <c r="AC21" i="108"/>
  <c r="AG21" i="108" s="1"/>
  <c r="N54" i="108"/>
  <c r="R54" i="108" s="1"/>
  <c r="C95" i="108"/>
  <c r="C88" i="108"/>
  <c r="C79" i="108"/>
  <c r="C70" i="108"/>
  <c r="F70" i="108" s="1"/>
  <c r="G70" i="108" s="1"/>
  <c r="C61" i="108"/>
  <c r="C52" i="108"/>
  <c r="C45" i="108"/>
  <c r="C36" i="108"/>
  <c r="C27" i="108"/>
  <c r="C17" i="108"/>
  <c r="F32" i="7"/>
  <c r="AC36" i="108" s="1"/>
  <c r="F21" i="7"/>
  <c r="N25" i="6" s="1"/>
  <c r="R25" i="6" s="1"/>
  <c r="F18" i="7"/>
  <c r="AC22" i="108" s="1"/>
  <c r="AC12" i="108"/>
  <c r="AG12" i="108" s="1"/>
  <c r="C64" i="108"/>
  <c r="C30" i="108"/>
  <c r="AC67" i="108"/>
  <c r="AG67" i="108" s="1"/>
  <c r="N97" i="108"/>
  <c r="R97" i="108" s="1"/>
  <c r="N70" i="108"/>
  <c r="R70" i="108" s="1"/>
  <c r="N62" i="108"/>
  <c r="R62" i="108" s="1"/>
  <c r="N12" i="108"/>
  <c r="R12" i="108" s="1"/>
  <c r="C94" i="108"/>
  <c r="F94" i="108" s="1"/>
  <c r="C87" i="108"/>
  <c r="C78" i="108"/>
  <c r="C69" i="108"/>
  <c r="C60" i="108"/>
  <c r="C51" i="108"/>
  <c r="C43" i="108"/>
  <c r="C35" i="108"/>
  <c r="C26" i="108"/>
  <c r="C16" i="108"/>
  <c r="BO99" i="6"/>
  <c r="BO62" i="6"/>
  <c r="F28" i="7"/>
  <c r="N32" i="6" s="1"/>
  <c r="R32" i="6" s="1"/>
  <c r="F34" i="7"/>
  <c r="N38" i="6" s="1"/>
  <c r="R38" i="6" s="1"/>
  <c r="F26" i="7"/>
  <c r="N30" i="6" s="1"/>
  <c r="R30" i="6" s="1"/>
  <c r="DB164" i="81"/>
  <c r="F11" i="7"/>
  <c r="N15" i="6" s="1"/>
  <c r="R15" i="6" s="1"/>
  <c r="F17" i="7"/>
  <c r="N11" i="6" s="1"/>
  <c r="F41" i="7"/>
  <c r="N45" i="6" s="1"/>
  <c r="R45" i="6" s="1"/>
  <c r="F30" i="7"/>
  <c r="N34" i="6" s="1"/>
  <c r="R34" i="6" s="1"/>
  <c r="F44" i="7"/>
  <c r="N48" i="6" s="1"/>
  <c r="R48" i="6" s="1"/>
  <c r="F33" i="7"/>
  <c r="N37" i="6" s="1"/>
  <c r="R37" i="6" s="1"/>
  <c r="F25" i="7"/>
  <c r="N29" i="6" s="1"/>
  <c r="R29" i="6" s="1"/>
  <c r="F22" i="7"/>
  <c r="N26" i="6" s="1"/>
  <c r="R26" i="6" s="1"/>
  <c r="F13" i="7"/>
  <c r="N17" i="6" s="1"/>
  <c r="R17" i="6" s="1"/>
  <c r="B5" i="108"/>
  <c r="L23" i="108" s="1"/>
  <c r="V24" i="108"/>
  <c r="V41" i="108"/>
  <c r="V25" i="108"/>
  <c r="V46" i="108"/>
  <c r="V61" i="108"/>
  <c r="BO71" i="6"/>
  <c r="C97" i="108"/>
  <c r="F97" i="108" s="1"/>
  <c r="C85" i="108"/>
  <c r="C73" i="108"/>
  <c r="C67" i="108"/>
  <c r="C55" i="108"/>
  <c r="C44" i="108"/>
  <c r="C38" i="108"/>
  <c r="C31" i="108"/>
  <c r="C25" i="108"/>
  <c r="C19" i="108"/>
  <c r="C13" i="108"/>
  <c r="B6" i="108"/>
  <c r="CA78" i="81"/>
  <c r="F9" i="7"/>
  <c r="N13" i="6" s="1"/>
  <c r="R13" i="6" s="1"/>
  <c r="F24" i="7"/>
  <c r="N28" i="6" s="1"/>
  <c r="R28" i="6" s="1"/>
  <c r="F16" i="7"/>
  <c r="N20" i="6" s="1"/>
  <c r="R20" i="6" s="1"/>
  <c r="F23" i="7"/>
  <c r="N27" i="6" s="1"/>
  <c r="R27" i="6" s="1"/>
  <c r="F31" i="7"/>
  <c r="N35" i="6" s="1"/>
  <c r="R35" i="6" s="1"/>
  <c r="F12" i="7"/>
  <c r="AC16" i="6" s="1"/>
  <c r="BN11" i="6" l="1"/>
  <c r="BO65" i="6"/>
  <c r="CD124" i="81"/>
  <c r="AF65" i="6"/>
  <c r="AG65" i="6"/>
  <c r="DF139" i="81" s="1"/>
  <c r="AF59" i="6"/>
  <c r="AG59" i="6"/>
  <c r="DF133" i="81" s="1"/>
  <c r="AF97" i="6"/>
  <c r="AG97" i="6"/>
  <c r="DF171" i="81" s="1"/>
  <c r="AF85" i="6"/>
  <c r="AG85" i="6"/>
  <c r="DF159" i="81" s="1"/>
  <c r="AF16" i="6"/>
  <c r="AG16" i="6"/>
  <c r="AF57" i="6"/>
  <c r="AG57" i="6"/>
  <c r="DF131" i="81" s="1"/>
  <c r="AF21" i="6"/>
  <c r="AG21" i="6"/>
  <c r="DF95" i="81" s="1"/>
  <c r="AF71" i="6"/>
  <c r="AG71" i="6"/>
  <c r="DF145" i="81" s="1"/>
  <c r="AF77" i="6"/>
  <c r="AG77" i="6"/>
  <c r="AF94" i="6"/>
  <c r="AG94" i="6"/>
  <c r="DF168" i="81" s="1"/>
  <c r="AF100" i="6"/>
  <c r="AG100" i="6"/>
  <c r="DF174" i="81" s="1"/>
  <c r="AF70" i="6"/>
  <c r="AG70" i="6"/>
  <c r="DF144" i="81" s="1"/>
  <c r="AF84" i="6"/>
  <c r="AG84" i="6"/>
  <c r="DF158" i="81" s="1"/>
  <c r="AF99" i="6"/>
  <c r="AG99" i="6"/>
  <c r="AF62" i="6"/>
  <c r="AG62" i="6"/>
  <c r="DF136" i="81" s="1"/>
  <c r="AF76" i="6"/>
  <c r="AG76" i="6"/>
  <c r="DF150" i="81" s="1"/>
  <c r="AF67" i="6"/>
  <c r="AG67" i="6"/>
  <c r="DF141" i="81" s="1"/>
  <c r="AF54" i="6"/>
  <c r="AG54" i="6"/>
  <c r="DF128" i="81" s="1"/>
  <c r="AF12" i="6"/>
  <c r="AG12" i="6"/>
  <c r="DF86" i="81" s="1"/>
  <c r="CD157" i="81"/>
  <c r="CB85" i="81"/>
  <c r="AC41" i="6"/>
  <c r="AC40" i="6"/>
  <c r="AC63" i="6"/>
  <c r="AC51" i="6"/>
  <c r="AC78" i="6"/>
  <c r="AC14" i="6"/>
  <c r="DB88" i="81" s="1"/>
  <c r="AC45" i="6"/>
  <c r="AC34" i="6"/>
  <c r="AC68" i="6"/>
  <c r="AC25" i="6"/>
  <c r="AC32" i="6"/>
  <c r="AC55" i="6"/>
  <c r="AC27" i="6"/>
  <c r="AC37" i="6"/>
  <c r="AC89" i="6"/>
  <c r="AC60" i="6"/>
  <c r="AC73" i="6"/>
  <c r="AC96" i="6"/>
  <c r="DB170" i="81" s="1"/>
  <c r="AC24" i="6"/>
  <c r="AC33" i="6"/>
  <c r="AC47" i="6"/>
  <c r="AC74" i="6"/>
  <c r="AC98" i="6"/>
  <c r="AC29" i="6"/>
  <c r="AC93" i="6"/>
  <c r="AC52" i="6"/>
  <c r="AC88" i="6"/>
  <c r="DB162" i="81" s="1"/>
  <c r="AC17" i="6"/>
  <c r="AC39" i="6"/>
  <c r="AC18" i="6"/>
  <c r="AC42" i="6"/>
  <c r="AC44" i="6"/>
  <c r="AC35" i="6"/>
  <c r="AC80" i="6"/>
  <c r="AC83" i="6"/>
  <c r="AC95" i="6"/>
  <c r="AC31" i="6"/>
  <c r="AC81" i="6"/>
  <c r="AC46" i="6"/>
  <c r="AC13" i="6"/>
  <c r="AC36" i="6"/>
  <c r="AC58" i="6"/>
  <c r="AC72" i="6"/>
  <c r="AC43" i="6"/>
  <c r="AC87" i="6"/>
  <c r="AC23" i="6"/>
  <c r="AC49" i="6"/>
  <c r="AC38" i="6"/>
  <c r="AC69" i="6"/>
  <c r="AC75" i="6"/>
  <c r="AC92" i="6"/>
  <c r="DB166" i="81" s="1"/>
  <c r="AC28" i="6"/>
  <c r="CD143" i="81"/>
  <c r="CD139" i="81"/>
  <c r="CD140" i="81"/>
  <c r="CD128" i="81"/>
  <c r="AC26" i="6"/>
  <c r="AC56" i="6"/>
  <c r="AC82" i="6"/>
  <c r="DB156" i="81" s="1"/>
  <c r="AC79" i="6"/>
  <c r="AC15" i="6"/>
  <c r="AC30" i="6"/>
  <c r="AC61" i="6"/>
  <c r="AC19" i="6"/>
  <c r="AC20" i="6"/>
  <c r="AC48" i="6"/>
  <c r="AC50" i="6"/>
  <c r="AC91" i="6"/>
  <c r="AC86" i="6"/>
  <c r="AC22" i="6"/>
  <c r="AC53" i="6"/>
  <c r="AC66" i="6"/>
  <c r="AC11" i="6"/>
  <c r="CD109" i="81"/>
  <c r="CD114" i="81"/>
  <c r="R91" i="6"/>
  <c r="R11" i="6"/>
  <c r="Q97" i="6"/>
  <c r="S97" i="6" s="1"/>
  <c r="Q54" i="6"/>
  <c r="S54" i="6" s="1"/>
  <c r="Q48" i="6"/>
  <c r="S48" i="6" s="1"/>
  <c r="Q32" i="6"/>
  <c r="S32" i="6" s="1"/>
  <c r="Q33" i="6"/>
  <c r="S33" i="6" s="1"/>
  <c r="Q23" i="6"/>
  <c r="S23" i="6" s="1"/>
  <c r="Q74" i="6"/>
  <c r="S74" i="6" s="1"/>
  <c r="Q43" i="6"/>
  <c r="S43" i="6" s="1"/>
  <c r="Q34" i="6"/>
  <c r="S34" i="6" s="1"/>
  <c r="Q40" i="6"/>
  <c r="S40" i="6" s="1"/>
  <c r="Q53" i="6"/>
  <c r="S53" i="6" s="1"/>
  <c r="Q83" i="6"/>
  <c r="S83" i="6" s="1"/>
  <c r="Q60" i="6"/>
  <c r="S60" i="6" s="1"/>
  <c r="Q45" i="6"/>
  <c r="S45" i="6" s="1"/>
  <c r="Q41" i="6"/>
  <c r="S41" i="6" s="1"/>
  <c r="Q63" i="6"/>
  <c r="S63" i="6" s="1"/>
  <c r="Q42" i="6"/>
  <c r="S42" i="6" s="1"/>
  <c r="Q35" i="6"/>
  <c r="S35" i="6" s="1"/>
  <c r="Q75" i="6"/>
  <c r="S75" i="6" s="1"/>
  <c r="Q49" i="6"/>
  <c r="S49" i="6" s="1"/>
  <c r="Q52" i="6"/>
  <c r="S52" i="6" s="1"/>
  <c r="Q39" i="6"/>
  <c r="S39" i="6" s="1"/>
  <c r="Q81" i="6"/>
  <c r="S81" i="6" s="1"/>
  <c r="Q65" i="6"/>
  <c r="S65" i="6" s="1"/>
  <c r="CQ139" i="81"/>
  <c r="Q85" i="6"/>
  <c r="S85" i="6" s="1"/>
  <c r="Q57" i="6"/>
  <c r="S57" i="6" s="1"/>
  <c r="Q77" i="6"/>
  <c r="S77" i="6" s="1"/>
  <c r="Q99" i="6"/>
  <c r="S99" i="6" s="1"/>
  <c r="Q21" i="6"/>
  <c r="S21" i="6" s="1"/>
  <c r="Q71" i="6"/>
  <c r="S71" i="6" s="1"/>
  <c r="Q100" i="6"/>
  <c r="S100" i="6" s="1"/>
  <c r="Q27" i="6"/>
  <c r="S27" i="6" s="1"/>
  <c r="Q17" i="6"/>
  <c r="S17" i="6" s="1"/>
  <c r="Q15" i="6"/>
  <c r="S15" i="6" s="1"/>
  <c r="Q80" i="6"/>
  <c r="S80" i="6" s="1"/>
  <c r="Q55" i="6"/>
  <c r="S55" i="6" s="1"/>
  <c r="Q20" i="6"/>
  <c r="S20" i="6" s="1"/>
  <c r="Q26" i="6"/>
  <c r="S26" i="6" s="1"/>
  <c r="Q78" i="6"/>
  <c r="S78" i="6" s="1"/>
  <c r="Q64" i="6"/>
  <c r="S64" i="6" s="1"/>
  <c r="Q28" i="6"/>
  <c r="S28" i="6" s="1"/>
  <c r="Q29" i="6"/>
  <c r="S29" i="6" s="1"/>
  <c r="Q30" i="6"/>
  <c r="S30" i="6" s="1"/>
  <c r="Q25" i="6"/>
  <c r="S25" i="6" s="1"/>
  <c r="Q56" i="6"/>
  <c r="S56" i="6" s="1"/>
  <c r="Q91" i="6"/>
  <c r="S91" i="6" s="1"/>
  <c r="Q13" i="6"/>
  <c r="S13" i="6" s="1"/>
  <c r="Q37" i="6"/>
  <c r="S37" i="6" s="1"/>
  <c r="Q38" i="6"/>
  <c r="S38" i="6" s="1"/>
  <c r="Q69" i="6"/>
  <c r="S69" i="6" s="1"/>
  <c r="Q95" i="6"/>
  <c r="S95" i="6" s="1"/>
  <c r="Q59" i="6"/>
  <c r="S59" i="6" s="1"/>
  <c r="CQ133" i="81"/>
  <c r="Q94" i="6"/>
  <c r="S94" i="6" s="1"/>
  <c r="Q84" i="6"/>
  <c r="S84" i="6" s="1"/>
  <c r="Q90" i="6"/>
  <c r="S90" i="6" s="1"/>
  <c r="Q70" i="6"/>
  <c r="S70" i="6" s="1"/>
  <c r="CQ144" i="81"/>
  <c r="Q76" i="6"/>
  <c r="S76" i="6" s="1"/>
  <c r="Q67" i="6"/>
  <c r="S67" i="6" s="1"/>
  <c r="Q62" i="6"/>
  <c r="S62" i="6" s="1"/>
  <c r="Q12" i="6"/>
  <c r="S12" i="6" s="1"/>
  <c r="CQ86" i="81"/>
  <c r="Q11" i="6"/>
  <c r="N19" i="6"/>
  <c r="N73" i="6"/>
  <c r="N14" i="6"/>
  <c r="N68" i="6"/>
  <c r="BO68" i="6" s="1"/>
  <c r="BP68" i="6" s="1"/>
  <c r="N98" i="6"/>
  <c r="BO98" i="6" s="1"/>
  <c r="BP98" i="6" s="1"/>
  <c r="N96" i="6"/>
  <c r="N47" i="6"/>
  <c r="N93" i="6"/>
  <c r="N88" i="6"/>
  <c r="N24" i="6"/>
  <c r="R24" i="6" s="1"/>
  <c r="CD152" i="81"/>
  <c r="CD160" i="81"/>
  <c r="N82" i="6"/>
  <c r="BO82" i="6" s="1"/>
  <c r="BP82" i="6" s="1"/>
  <c r="N31" i="6"/>
  <c r="N44" i="6"/>
  <c r="N51" i="6"/>
  <c r="N72" i="6"/>
  <c r="N87" i="6"/>
  <c r="CM161" i="81" s="1"/>
  <c r="N46" i="6"/>
  <c r="R46" i="6" s="1"/>
  <c r="N36" i="6"/>
  <c r="BO36" i="6" s="1"/>
  <c r="BP36" i="6" s="1"/>
  <c r="N66" i="6"/>
  <c r="N79" i="6"/>
  <c r="N61" i="6"/>
  <c r="R61" i="6" s="1"/>
  <c r="N92" i="6"/>
  <c r="N58" i="6"/>
  <c r="R58" i="6" s="1"/>
  <c r="N89" i="6"/>
  <c r="N50" i="6"/>
  <c r="N86" i="6"/>
  <c r="N22" i="6"/>
  <c r="F100" i="6"/>
  <c r="G100" i="6" s="1"/>
  <c r="F90" i="6"/>
  <c r="G90" i="6" s="1"/>
  <c r="F67" i="6"/>
  <c r="G67" i="6" s="1"/>
  <c r="F65" i="6"/>
  <c r="G65" i="6" s="1"/>
  <c r="F59" i="6"/>
  <c r="CE133" i="81" s="1"/>
  <c r="F74" i="6"/>
  <c r="G74" i="6" s="1"/>
  <c r="F57" i="6"/>
  <c r="G57" i="6" s="1"/>
  <c r="F99" i="6"/>
  <c r="G99" i="6" s="1"/>
  <c r="F77" i="6"/>
  <c r="G77" i="6" s="1"/>
  <c r="F94" i="6"/>
  <c r="G94" i="6" s="1"/>
  <c r="F79" i="6"/>
  <c r="G79" i="6" s="1"/>
  <c r="F86" i="6"/>
  <c r="G86" i="6" s="1"/>
  <c r="F92" i="6"/>
  <c r="G92" i="6" s="1"/>
  <c r="F71" i="6"/>
  <c r="CE145" i="81" s="1"/>
  <c r="F54" i="6"/>
  <c r="G54" i="6" s="1"/>
  <c r="F97" i="6"/>
  <c r="G97" i="6" s="1"/>
  <c r="F84" i="6"/>
  <c r="G84" i="6" s="1"/>
  <c r="F29" i="6"/>
  <c r="G29" i="6" s="1"/>
  <c r="F76" i="6"/>
  <c r="G76" i="6" s="1"/>
  <c r="F12" i="6"/>
  <c r="G12" i="6" s="1"/>
  <c r="F85" i="6"/>
  <c r="G85" i="6" s="1"/>
  <c r="F19" i="6"/>
  <c r="G19" i="6" s="1"/>
  <c r="F80" i="6"/>
  <c r="G80" i="6" s="1"/>
  <c r="F64" i="6"/>
  <c r="G64" i="6" s="1"/>
  <c r="F55" i="6"/>
  <c r="G55" i="6" s="1"/>
  <c r="F70" i="6"/>
  <c r="G70" i="6" s="1"/>
  <c r="F62" i="6"/>
  <c r="G62" i="6" s="1"/>
  <c r="F21" i="6"/>
  <c r="CE95" i="81" s="1"/>
  <c r="F68" i="6"/>
  <c r="G68" i="6" s="1"/>
  <c r="F40" i="6"/>
  <c r="G40" i="6" s="1"/>
  <c r="F38" i="6"/>
  <c r="G38" i="6" s="1"/>
  <c r="F37" i="6"/>
  <c r="G37" i="6" s="1"/>
  <c r="F66" i="6"/>
  <c r="G66" i="6" s="1"/>
  <c r="F91" i="6"/>
  <c r="G91" i="6" s="1"/>
  <c r="F49" i="6"/>
  <c r="G49" i="6" s="1"/>
  <c r="F75" i="6"/>
  <c r="G75" i="6" s="1"/>
  <c r="F32" i="6"/>
  <c r="G32" i="6" s="1"/>
  <c r="F87" i="6"/>
  <c r="G87" i="6" s="1"/>
  <c r="F30" i="6"/>
  <c r="G30" i="6" s="1"/>
  <c r="F58" i="6"/>
  <c r="G58" i="6" s="1"/>
  <c r="F96" i="6"/>
  <c r="G96" i="6" s="1"/>
  <c r="F24" i="6"/>
  <c r="G24" i="6" s="1"/>
  <c r="F22" i="6"/>
  <c r="G22" i="6" s="1"/>
  <c r="F35" i="6"/>
  <c r="G35" i="6" s="1"/>
  <c r="F50" i="6"/>
  <c r="G50" i="6" s="1"/>
  <c r="F33" i="6"/>
  <c r="G33" i="6" s="1"/>
  <c r="F88" i="6"/>
  <c r="G88" i="6" s="1"/>
  <c r="F16" i="6"/>
  <c r="G16" i="6" s="1"/>
  <c r="F78" i="6"/>
  <c r="G78" i="6" s="1"/>
  <c r="F34" i="6"/>
  <c r="G34" i="6" s="1"/>
  <c r="F56" i="6"/>
  <c r="G56" i="6" s="1"/>
  <c r="F13" i="6"/>
  <c r="G13" i="6" s="1"/>
  <c r="F44" i="6"/>
  <c r="G44" i="6" s="1"/>
  <c r="F36" i="6"/>
  <c r="G36" i="6" s="1"/>
  <c r="F28" i="6"/>
  <c r="G28" i="6" s="1"/>
  <c r="F20" i="6"/>
  <c r="G20" i="6" s="1"/>
  <c r="F60" i="6"/>
  <c r="G60" i="6" s="1"/>
  <c r="F69" i="6"/>
  <c r="G69" i="6" s="1"/>
  <c r="F23" i="6"/>
  <c r="G23" i="6" s="1"/>
  <c r="F43" i="6"/>
  <c r="G43" i="6" s="1"/>
  <c r="F51" i="6"/>
  <c r="G51" i="6" s="1"/>
  <c r="F41" i="6"/>
  <c r="G41" i="6" s="1"/>
  <c r="BN86" i="6"/>
  <c r="F27" i="6"/>
  <c r="G27" i="6" s="1"/>
  <c r="F63" i="6"/>
  <c r="G63" i="6" s="1"/>
  <c r="F14" i="6"/>
  <c r="G14" i="6" s="1"/>
  <c r="F42" i="6"/>
  <c r="G42" i="6" s="1"/>
  <c r="F89" i="6"/>
  <c r="G89" i="6" s="1"/>
  <c r="F25" i="6"/>
  <c r="G25" i="6" s="1"/>
  <c r="F45" i="6"/>
  <c r="G45" i="6" s="1"/>
  <c r="F98" i="6"/>
  <c r="G98" i="6" s="1"/>
  <c r="F81" i="6"/>
  <c r="G81" i="6" s="1"/>
  <c r="F17" i="6"/>
  <c r="G17" i="6" s="1"/>
  <c r="F72" i="6"/>
  <c r="G72" i="6" s="1"/>
  <c r="F95" i="6"/>
  <c r="G95" i="6" s="1"/>
  <c r="F47" i="6"/>
  <c r="G47" i="6" s="1"/>
  <c r="F83" i="6"/>
  <c r="G83" i="6" s="1"/>
  <c r="F26" i="6"/>
  <c r="G26" i="6" s="1"/>
  <c r="F73" i="6"/>
  <c r="G73" i="6" s="1"/>
  <c r="F93" i="6"/>
  <c r="G93" i="6" s="1"/>
  <c r="F39" i="6"/>
  <c r="G39" i="6" s="1"/>
  <c r="F82" i="6"/>
  <c r="G82" i="6" s="1"/>
  <c r="F18" i="6"/>
  <c r="G18" i="6" s="1"/>
  <c r="F53" i="6"/>
  <c r="G53" i="6" s="1"/>
  <c r="F48" i="6"/>
  <c r="G48" i="6" s="1"/>
  <c r="F15" i="6"/>
  <c r="G15" i="6" s="1"/>
  <c r="F31" i="6"/>
  <c r="G31" i="6" s="1"/>
  <c r="F46" i="6"/>
  <c r="G46" i="6" s="1"/>
  <c r="F61" i="6"/>
  <c r="G61" i="6" s="1"/>
  <c r="F52" i="6"/>
  <c r="G52" i="6" s="1"/>
  <c r="F11" i="6"/>
  <c r="G11" i="6" s="1"/>
  <c r="BN38" i="6"/>
  <c r="BN37" i="6"/>
  <c r="BN43" i="6"/>
  <c r="BN87" i="6"/>
  <c r="BN35" i="6"/>
  <c r="AC98" i="108"/>
  <c r="BN96" i="6"/>
  <c r="BN51" i="6"/>
  <c r="BN27" i="6"/>
  <c r="BN16" i="6"/>
  <c r="BN78" i="6"/>
  <c r="BN64" i="6"/>
  <c r="BN80" i="6"/>
  <c r="BN95" i="6"/>
  <c r="BN73" i="6"/>
  <c r="BN93" i="6"/>
  <c r="BN56" i="6"/>
  <c r="BN39" i="6"/>
  <c r="BN82" i="6"/>
  <c r="BN48" i="6"/>
  <c r="BN15" i="6"/>
  <c r="BN61" i="6"/>
  <c r="F98" i="108"/>
  <c r="G98" i="108" s="1"/>
  <c r="J98" i="108" s="1"/>
  <c r="CB149" i="81"/>
  <c r="N68" i="108"/>
  <c r="F92" i="108"/>
  <c r="G92" i="108" s="1"/>
  <c r="J92" i="108" s="1"/>
  <c r="N92" i="108"/>
  <c r="CB140" i="81"/>
  <c r="F93" i="108"/>
  <c r="G93" i="108" s="1"/>
  <c r="J93" i="108" s="1"/>
  <c r="F75" i="108"/>
  <c r="G75" i="108" s="1"/>
  <c r="J75" i="108" s="1"/>
  <c r="N47" i="108"/>
  <c r="N89" i="108"/>
  <c r="N93" i="108"/>
  <c r="N96" i="108"/>
  <c r="AC58" i="108"/>
  <c r="F96" i="108"/>
  <c r="G96" i="108" s="1"/>
  <c r="J96" i="108" s="1"/>
  <c r="F89" i="108"/>
  <c r="CF5" i="81"/>
  <c r="CC6" i="81"/>
  <c r="CF3" i="81"/>
  <c r="CE3" i="81"/>
  <c r="CE4" i="81"/>
  <c r="CF4" i="81"/>
  <c r="CE2" i="81"/>
  <c r="CG3" i="81"/>
  <c r="CF2" i="81"/>
  <c r="E6" i="7"/>
  <c r="E10" i="6" s="1"/>
  <c r="CQ92" i="81"/>
  <c r="F81" i="108"/>
  <c r="G81" i="108" s="1"/>
  <c r="Y81" i="108" s="1"/>
  <c r="DB159" i="81"/>
  <c r="AC81" i="108"/>
  <c r="F23" i="108"/>
  <c r="G23" i="108" s="1"/>
  <c r="J23" i="108" s="1"/>
  <c r="N81" i="108"/>
  <c r="AC79" i="108"/>
  <c r="DB153" i="81" s="1"/>
  <c r="CM174" i="81"/>
  <c r="CB108" i="81"/>
  <c r="CD171" i="81"/>
  <c r="CD168" i="81"/>
  <c r="CD156" i="81"/>
  <c r="CQ151" i="81"/>
  <c r="CD153" i="81"/>
  <c r="AC44" i="108"/>
  <c r="CD134" i="81"/>
  <c r="CD159" i="81"/>
  <c r="N82" i="108"/>
  <c r="N88" i="108"/>
  <c r="CD147" i="81"/>
  <c r="CD151" i="81"/>
  <c r="CD102" i="81"/>
  <c r="AC73" i="108"/>
  <c r="DB147" i="81" s="1"/>
  <c r="CD174" i="81"/>
  <c r="CD163" i="81"/>
  <c r="CD167" i="81"/>
  <c r="F58" i="108"/>
  <c r="G58" i="108" s="1"/>
  <c r="CQ131" i="81"/>
  <c r="BO45" i="6"/>
  <c r="BP45" i="6" s="1"/>
  <c r="CB106" i="81"/>
  <c r="F83" i="108"/>
  <c r="G83" i="108" s="1"/>
  <c r="AC51" i="108"/>
  <c r="CQ164" i="81"/>
  <c r="CD172" i="81"/>
  <c r="CB135" i="81"/>
  <c r="G90" i="108"/>
  <c r="CD142" i="81"/>
  <c r="CD94" i="81"/>
  <c r="G57" i="108"/>
  <c r="J57" i="108" s="1"/>
  <c r="DB171" i="81"/>
  <c r="BN79" i="6"/>
  <c r="CM158" i="81"/>
  <c r="F51" i="108"/>
  <c r="N14" i="108"/>
  <c r="CB158" i="81"/>
  <c r="F66" i="108"/>
  <c r="G66" i="108" s="1"/>
  <c r="J66" i="108" s="1"/>
  <c r="CM93" i="81"/>
  <c r="CB156" i="81"/>
  <c r="AC46" i="108"/>
  <c r="F28" i="108"/>
  <c r="G28" i="108" s="1"/>
  <c r="J28" i="108" s="1"/>
  <c r="BN34" i="6"/>
  <c r="F74" i="108"/>
  <c r="G74" i="108" s="1"/>
  <c r="J74" i="108" s="1"/>
  <c r="F39" i="108"/>
  <c r="G39" i="108" s="1"/>
  <c r="Y39" i="108" s="1"/>
  <c r="CD144" i="81"/>
  <c r="R46" i="108"/>
  <c r="CB155" i="81"/>
  <c r="F36" i="108"/>
  <c r="G36" i="108" s="1"/>
  <c r="F64" i="108"/>
  <c r="G64" i="108" s="1"/>
  <c r="Y64" i="108" s="1"/>
  <c r="AC83" i="108"/>
  <c r="AC55" i="108"/>
  <c r="CQ174" i="81"/>
  <c r="AC75" i="108"/>
  <c r="F19" i="108"/>
  <c r="G19" i="108" s="1"/>
  <c r="AC31" i="108"/>
  <c r="F46" i="108"/>
  <c r="G46" i="108" s="1"/>
  <c r="N55" i="108"/>
  <c r="CM129" i="81" s="1"/>
  <c r="CB165" i="81"/>
  <c r="CM159" i="81"/>
  <c r="N61" i="108"/>
  <c r="R61" i="108" s="1"/>
  <c r="CB167" i="81"/>
  <c r="F42" i="108"/>
  <c r="G42" i="108" s="1"/>
  <c r="Y42" i="108" s="1"/>
  <c r="BO78" i="6"/>
  <c r="BP78" i="6" s="1"/>
  <c r="AC42" i="108"/>
  <c r="F60" i="108"/>
  <c r="G60" i="108" s="1"/>
  <c r="N42" i="108"/>
  <c r="N78" i="108"/>
  <c r="CB96" i="81"/>
  <c r="F37" i="108"/>
  <c r="G37" i="108" s="1"/>
  <c r="BO42" i="6"/>
  <c r="BP42" i="6" s="1"/>
  <c r="CD97" i="81"/>
  <c r="CQ136" i="81"/>
  <c r="AC78" i="108"/>
  <c r="F63" i="108"/>
  <c r="G63" i="108" s="1"/>
  <c r="F18" i="108"/>
  <c r="G18" i="108" s="1"/>
  <c r="CB153" i="81"/>
  <c r="CB148" i="81"/>
  <c r="BO100" i="6"/>
  <c r="BP100" i="6" s="1"/>
  <c r="DB167" i="81"/>
  <c r="CM128" i="81"/>
  <c r="F87" i="108"/>
  <c r="G87" i="108" s="1"/>
  <c r="Y87" i="108" s="1"/>
  <c r="N64" i="108"/>
  <c r="CM138" i="81" s="1"/>
  <c r="F24" i="108"/>
  <c r="G24" i="108" s="1"/>
  <c r="BO70" i="6"/>
  <c r="BP70" i="6" s="1"/>
  <c r="F20" i="108"/>
  <c r="G20" i="108" s="1"/>
  <c r="J20" i="108" s="1"/>
  <c r="CD126" i="81"/>
  <c r="F80" i="108"/>
  <c r="G80" i="108" s="1"/>
  <c r="Y80" i="108" s="1"/>
  <c r="CB89" i="81"/>
  <c r="AC87" i="108"/>
  <c r="BO63" i="6"/>
  <c r="BP63" i="6" s="1"/>
  <c r="CM131" i="81"/>
  <c r="CD113" i="81"/>
  <c r="BN22" i="6"/>
  <c r="CB146" i="81"/>
  <c r="N66" i="108"/>
  <c r="CB169" i="81"/>
  <c r="AC95" i="108"/>
  <c r="CD104" i="81"/>
  <c r="BN66" i="6"/>
  <c r="CB173" i="81"/>
  <c r="CD96" i="81"/>
  <c r="L58" i="108"/>
  <c r="CK132" i="81" s="1"/>
  <c r="N63" i="108"/>
  <c r="CM137" i="81" s="1"/>
  <c r="AC50" i="108"/>
  <c r="CD117" i="81"/>
  <c r="N39" i="108"/>
  <c r="R39" i="108" s="1"/>
  <c r="AC39" i="108"/>
  <c r="L79" i="108"/>
  <c r="CK153" i="81" s="1"/>
  <c r="L13" i="108"/>
  <c r="CK87" i="81" s="1"/>
  <c r="CD98" i="81"/>
  <c r="DB86" i="81"/>
  <c r="AC63" i="108"/>
  <c r="BP65" i="6"/>
  <c r="F50" i="108"/>
  <c r="G50" i="108" s="1"/>
  <c r="Y50" i="108" s="1"/>
  <c r="CD141" i="81"/>
  <c r="G62" i="108"/>
  <c r="J62" i="108" s="1"/>
  <c r="F22" i="108"/>
  <c r="G22" i="108" s="1"/>
  <c r="F56" i="108"/>
  <c r="G56" i="108" s="1"/>
  <c r="BN60" i="6"/>
  <c r="CB161" i="81"/>
  <c r="CD106" i="81"/>
  <c r="BO37" i="6"/>
  <c r="BP37" i="6" s="1"/>
  <c r="CB134" i="81"/>
  <c r="CQ141" i="81"/>
  <c r="DB144" i="81"/>
  <c r="CB150" i="81"/>
  <c r="CD137" i="81"/>
  <c r="F25" i="108"/>
  <c r="G25" i="108" s="1"/>
  <c r="F86" i="108"/>
  <c r="G86" i="108" s="1"/>
  <c r="Y86" i="108" s="1"/>
  <c r="F79" i="108"/>
  <c r="G79" i="108" s="1"/>
  <c r="Y79" i="108" s="1"/>
  <c r="F69" i="108"/>
  <c r="G69" i="108" s="1"/>
  <c r="F40" i="108"/>
  <c r="G40" i="108" s="1"/>
  <c r="Y40" i="108" s="1"/>
  <c r="F72" i="108"/>
  <c r="G72" i="108" s="1"/>
  <c r="F61" i="108"/>
  <c r="G61" i="108" s="1"/>
  <c r="J61" i="108" s="1"/>
  <c r="CD118" i="81"/>
  <c r="CB121" i="81"/>
  <c r="F48" i="108"/>
  <c r="G48" i="108" s="1"/>
  <c r="J48" i="108" s="1"/>
  <c r="F91" i="108"/>
  <c r="G91" i="108" s="1"/>
  <c r="DB131" i="81"/>
  <c r="CD149" i="81"/>
  <c r="CD95" i="81"/>
  <c r="CD127" i="81"/>
  <c r="CD164" i="81"/>
  <c r="CB139" i="81"/>
  <c r="CB164" i="81"/>
  <c r="CB130" i="81"/>
  <c r="BN81" i="6"/>
  <c r="CB166" i="81"/>
  <c r="CD158" i="81"/>
  <c r="BN92" i="6"/>
  <c r="CM144" i="81"/>
  <c r="CD166" i="81"/>
  <c r="F95" i="108"/>
  <c r="G95" i="108" s="1"/>
  <c r="Y95" i="108" s="1"/>
  <c r="AC72" i="108"/>
  <c r="CB126" i="81"/>
  <c r="DB136" i="81"/>
  <c r="N52" i="108"/>
  <c r="AC52" i="108"/>
  <c r="AC19" i="108"/>
  <c r="F41" i="108"/>
  <c r="G41" i="108" s="1"/>
  <c r="Y21" i="108"/>
  <c r="J21" i="108"/>
  <c r="CM136" i="81"/>
  <c r="CB116" i="81"/>
  <c r="BN42" i="6"/>
  <c r="F82" i="108"/>
  <c r="G82" i="108" s="1"/>
  <c r="J82" i="108" s="1"/>
  <c r="G65" i="108"/>
  <c r="BN23" i="6"/>
  <c r="N49" i="108"/>
  <c r="CM123" i="81" s="1"/>
  <c r="AC49" i="108"/>
  <c r="F49" i="108"/>
  <c r="G49" i="108" s="1"/>
  <c r="BO49" i="6"/>
  <c r="BP49" i="6" s="1"/>
  <c r="N41" i="108"/>
  <c r="R41" i="108" s="1"/>
  <c r="BN50" i="6"/>
  <c r="CB124" i="81"/>
  <c r="F52" i="108"/>
  <c r="G52" i="108" s="1"/>
  <c r="J52" i="108" s="1"/>
  <c r="BN24" i="6"/>
  <c r="AC86" i="108"/>
  <c r="N91" i="108"/>
  <c r="R91" i="108" s="1"/>
  <c r="AC91" i="108"/>
  <c r="AF91" i="108" s="1"/>
  <c r="F78" i="108"/>
  <c r="CB114" i="81"/>
  <c r="CD165" i="81"/>
  <c r="CB112" i="81"/>
  <c r="F38" i="108"/>
  <c r="G38" i="108" s="1"/>
  <c r="CB152" i="81"/>
  <c r="CB151" i="81"/>
  <c r="N32" i="108"/>
  <c r="CM106" i="81" s="1"/>
  <c r="F32" i="108"/>
  <c r="G32" i="108" s="1"/>
  <c r="BN88" i="6"/>
  <c r="CB104" i="81"/>
  <c r="F30" i="108"/>
  <c r="G30" i="108" s="1"/>
  <c r="DB168" i="81"/>
  <c r="N33" i="108"/>
  <c r="AC33" i="108"/>
  <c r="F33" i="108"/>
  <c r="G33" i="108" s="1"/>
  <c r="J33" i="108" s="1"/>
  <c r="BO33" i="6"/>
  <c r="BP33" i="6" s="1"/>
  <c r="F54" i="108"/>
  <c r="G54" i="108" s="1"/>
  <c r="BN36" i="6"/>
  <c r="BN30" i="6"/>
  <c r="CB168" i="81"/>
  <c r="DB158" i="81"/>
  <c r="CB95" i="81"/>
  <c r="BN28" i="6"/>
  <c r="CB102" i="81"/>
  <c r="DB133" i="81"/>
  <c r="N74" i="108"/>
  <c r="AC74" i="108"/>
  <c r="BN89" i="6"/>
  <c r="BN75" i="6"/>
  <c r="N95" i="108"/>
  <c r="DB150" i="81"/>
  <c r="CD161" i="81"/>
  <c r="J99" i="108"/>
  <c r="CD169" i="81"/>
  <c r="CD148" i="81"/>
  <c r="CD122" i="81"/>
  <c r="CD173" i="81"/>
  <c r="CD162" i="81"/>
  <c r="CB131" i="81"/>
  <c r="CD125" i="81"/>
  <c r="AC80" i="108"/>
  <c r="L93" i="108"/>
  <c r="CK167" i="81" s="1"/>
  <c r="CD170" i="81"/>
  <c r="CD90" i="81"/>
  <c r="N80" i="108"/>
  <c r="CM154" i="81" s="1"/>
  <c r="BO57" i="6"/>
  <c r="BP57" i="6" s="1"/>
  <c r="N24" i="108"/>
  <c r="R24" i="108" s="1"/>
  <c r="F53" i="108"/>
  <c r="G53" i="108" s="1"/>
  <c r="CD129" i="81"/>
  <c r="CQ171" i="81"/>
  <c r="N22" i="108"/>
  <c r="N75" i="108"/>
  <c r="BP71" i="6"/>
  <c r="CD86" i="81"/>
  <c r="L29" i="108"/>
  <c r="CK103" i="81" s="1"/>
  <c r="G94" i="108"/>
  <c r="Y94" i="108" s="1"/>
  <c r="CD146" i="81"/>
  <c r="CD115" i="81"/>
  <c r="CB128" i="81"/>
  <c r="CB125" i="81"/>
  <c r="CD155" i="81"/>
  <c r="CB110" i="81"/>
  <c r="DB173" i="81"/>
  <c r="AC25" i="108"/>
  <c r="CD150" i="81"/>
  <c r="F29" i="108"/>
  <c r="G29" i="108" s="1"/>
  <c r="J29" i="108" s="1"/>
  <c r="AC56" i="108"/>
  <c r="N56" i="108"/>
  <c r="CM130" i="81" s="1"/>
  <c r="CD103" i="81"/>
  <c r="CD105" i="81"/>
  <c r="BN98" i="6"/>
  <c r="N83" i="108"/>
  <c r="CB170" i="81"/>
  <c r="N53" i="108"/>
  <c r="R53" i="108" s="1"/>
  <c r="AC53" i="108"/>
  <c r="AC43" i="108"/>
  <c r="N43" i="108"/>
  <c r="CD131" i="81"/>
  <c r="CD145" i="81"/>
  <c r="F17" i="108"/>
  <c r="G17" i="108" s="1"/>
  <c r="CB162" i="81"/>
  <c r="CD130" i="81"/>
  <c r="AC69" i="108"/>
  <c r="N69" i="108"/>
  <c r="AC60" i="108"/>
  <c r="N60" i="108"/>
  <c r="CM134" i="81" s="1"/>
  <c r="CB145" i="81"/>
  <c r="CB117" i="81"/>
  <c r="CB101" i="81"/>
  <c r="N25" i="108"/>
  <c r="R25" i="108" s="1"/>
  <c r="AC23" i="108"/>
  <c r="N23" i="108"/>
  <c r="R23" i="108" s="1"/>
  <c r="Y77" i="108"/>
  <c r="J77" i="108"/>
  <c r="DB141" i="81"/>
  <c r="BN69" i="6"/>
  <c r="F47" i="108"/>
  <c r="G47" i="108" s="1"/>
  <c r="CD112" i="81"/>
  <c r="DB145" i="81"/>
  <c r="CD154" i="81"/>
  <c r="DB142" i="81"/>
  <c r="AC32" i="108"/>
  <c r="CB171" i="81"/>
  <c r="AG99" i="108"/>
  <c r="CD120" i="81"/>
  <c r="CB143" i="81"/>
  <c r="CD110" i="81"/>
  <c r="N36" i="108"/>
  <c r="AC40" i="108"/>
  <c r="N40" i="108"/>
  <c r="DB128" i="81"/>
  <c r="CD133" i="81"/>
  <c r="BN58" i="6"/>
  <c r="F43" i="108"/>
  <c r="G43" i="108" s="1"/>
  <c r="Y43" i="108" s="1"/>
  <c r="CD121" i="81"/>
  <c r="CB98" i="81"/>
  <c r="CD138" i="81"/>
  <c r="BN55" i="6"/>
  <c r="CB133" i="81"/>
  <c r="CD101" i="81"/>
  <c r="F88" i="108"/>
  <c r="G88" i="108" s="1"/>
  <c r="Y88" i="108" s="1"/>
  <c r="CQ145" i="81"/>
  <c r="CD89" i="81"/>
  <c r="R84" i="108"/>
  <c r="CD135" i="81"/>
  <c r="CD132" i="81"/>
  <c r="CM173" i="81"/>
  <c r="CB138" i="81"/>
  <c r="CB119" i="81"/>
  <c r="BN45" i="6"/>
  <c r="AC41" i="108"/>
  <c r="CQ173" i="81"/>
  <c r="CM139" i="81"/>
  <c r="CB163" i="81"/>
  <c r="L20" i="108"/>
  <c r="CK94" i="81" s="1"/>
  <c r="CA79" i="81"/>
  <c r="AC26" i="108"/>
  <c r="DB100" i="81" s="1"/>
  <c r="N26" i="108"/>
  <c r="BN72" i="6"/>
  <c r="AC11" i="108"/>
  <c r="N11" i="108"/>
  <c r="CB132" i="81"/>
  <c r="L85" i="108"/>
  <c r="CK159" i="81" s="1"/>
  <c r="L50" i="108"/>
  <c r="Q50" i="108" s="1"/>
  <c r="L71" i="108"/>
  <c r="CK145" i="81" s="1"/>
  <c r="F34" i="108"/>
  <c r="G34" i="108" s="1"/>
  <c r="Y34" i="108" s="1"/>
  <c r="L77" i="108"/>
  <c r="CK151" i="81" s="1"/>
  <c r="L11" i="108"/>
  <c r="CK85" i="81" s="1"/>
  <c r="L42" i="108"/>
  <c r="CK116" i="81" s="1"/>
  <c r="L63" i="108"/>
  <c r="CK137" i="81" s="1"/>
  <c r="F11" i="108"/>
  <c r="CD91" i="81"/>
  <c r="CD123" i="81"/>
  <c r="CD88" i="81"/>
  <c r="BO67" i="6"/>
  <c r="BP67" i="6" s="1"/>
  <c r="N29" i="108"/>
  <c r="AC29" i="108"/>
  <c r="CB97" i="81"/>
  <c r="N15" i="108"/>
  <c r="AC15" i="108"/>
  <c r="N38" i="108"/>
  <c r="AC38" i="108"/>
  <c r="DB95" i="81"/>
  <c r="L98" i="108"/>
  <c r="Q98" i="108" s="1"/>
  <c r="N45" i="108"/>
  <c r="F45" i="108"/>
  <c r="G45" i="108" s="1"/>
  <c r="AC45" i="108"/>
  <c r="CB111" i="81"/>
  <c r="N34" i="108"/>
  <c r="CM108" i="81" s="1"/>
  <c r="AC34" i="108"/>
  <c r="B7" i="108"/>
  <c r="F13" i="108" s="1"/>
  <c r="G13" i="108" s="1"/>
  <c r="L34" i="108"/>
  <c r="BN74" i="6"/>
  <c r="L53" i="108"/>
  <c r="CK127" i="81" s="1"/>
  <c r="L82" i="108"/>
  <c r="L17" i="108"/>
  <c r="CK91" i="81" s="1"/>
  <c r="L39" i="108"/>
  <c r="N37" i="108"/>
  <c r="AC37" i="108"/>
  <c r="AC48" i="108"/>
  <c r="N48" i="108"/>
  <c r="CM122" i="81" s="1"/>
  <c r="BN46" i="6"/>
  <c r="CB120" i="81"/>
  <c r="L61" i="108"/>
  <c r="CM141" i="81"/>
  <c r="BO85" i="6"/>
  <c r="BP85" i="6" s="1"/>
  <c r="L45" i="108"/>
  <c r="CK119" i="81" s="1"/>
  <c r="L74" i="108"/>
  <c r="CK148" i="81" s="1"/>
  <c r="L95" i="108"/>
  <c r="L31" i="108"/>
  <c r="Q31" i="108" s="1"/>
  <c r="F26" i="108"/>
  <c r="G26" i="108" s="1"/>
  <c r="Y26" i="108" s="1"/>
  <c r="N30" i="108"/>
  <c r="AC30" i="108"/>
  <c r="CB127" i="81"/>
  <c r="BN53" i="6"/>
  <c r="L69" i="108"/>
  <c r="CK143" i="81" s="1"/>
  <c r="L55" i="108"/>
  <c r="CK129" i="81" s="1"/>
  <c r="L90" i="108"/>
  <c r="CK164" i="81" s="1"/>
  <c r="L26" i="108"/>
  <c r="CK100" i="81" s="1"/>
  <c r="L47" i="108"/>
  <c r="CQ159" i="81"/>
  <c r="L37" i="108"/>
  <c r="CK111" i="81" s="1"/>
  <c r="L66" i="108"/>
  <c r="CK140" i="81" s="1"/>
  <c r="L87" i="108"/>
  <c r="Q87" i="108" s="1"/>
  <c r="AC17" i="108"/>
  <c r="N17" i="108"/>
  <c r="R17" i="108" s="1"/>
  <c r="Y12" i="108"/>
  <c r="J12" i="108"/>
  <c r="CQ168" i="81"/>
  <c r="CM168" i="81"/>
  <c r="BO94" i="6"/>
  <c r="BP94" i="6" s="1"/>
  <c r="CB118" i="81"/>
  <c r="F44" i="108"/>
  <c r="G44" i="108" s="1"/>
  <c r="BN68" i="6"/>
  <c r="BO64" i="6"/>
  <c r="BP64" i="6" s="1"/>
  <c r="BN83" i="6"/>
  <c r="BP84" i="6"/>
  <c r="CB172" i="81"/>
  <c r="DB174" i="81"/>
  <c r="CB90" i="81"/>
  <c r="BN17" i="6"/>
  <c r="CB91" i="81"/>
  <c r="CD116" i="81"/>
  <c r="CD107" i="81"/>
  <c r="CB129" i="81"/>
  <c r="F55" i="108"/>
  <c r="CM171" i="81"/>
  <c r="BO97" i="6"/>
  <c r="BP97" i="6" s="1"/>
  <c r="CM145" i="81"/>
  <c r="BP99" i="6"/>
  <c r="L27" i="108"/>
  <c r="CK101" i="81" s="1"/>
  <c r="L44" i="108"/>
  <c r="L52" i="108"/>
  <c r="L60" i="108"/>
  <c r="L68" i="108"/>
  <c r="L89" i="108"/>
  <c r="L94" i="108"/>
  <c r="CK168" i="81" s="1"/>
  <c r="AA13" i="108"/>
  <c r="CZ87" i="81" s="1"/>
  <c r="AA20" i="108"/>
  <c r="CZ94" i="81" s="1"/>
  <c r="AA26" i="108"/>
  <c r="CZ100" i="81" s="1"/>
  <c r="AA36" i="108"/>
  <c r="AA39" i="108"/>
  <c r="AA46" i="108"/>
  <c r="AA49" i="108"/>
  <c r="AA84" i="108"/>
  <c r="CZ158" i="81" s="1"/>
  <c r="AA87" i="108"/>
  <c r="L14" i="108"/>
  <c r="L28" i="108"/>
  <c r="CK102" i="81" s="1"/>
  <c r="L36" i="108"/>
  <c r="L57" i="108"/>
  <c r="CK131" i="81" s="1"/>
  <c r="L73" i="108"/>
  <c r="L78" i="108"/>
  <c r="L86" i="108"/>
  <c r="L99" i="108"/>
  <c r="CK173" i="81" s="1"/>
  <c r="AA14" i="108"/>
  <c r="AF14" i="108" s="1"/>
  <c r="AA17" i="108"/>
  <c r="AA27" i="108"/>
  <c r="CZ101" i="81" s="1"/>
  <c r="AA30" i="108"/>
  <c r="AA33" i="108"/>
  <c r="AA40" i="108"/>
  <c r="AA50" i="108"/>
  <c r="L22" i="108"/>
  <c r="L35" i="108"/>
  <c r="CK109" i="81" s="1"/>
  <c r="L48" i="108"/>
  <c r="L56" i="108"/>
  <c r="L72" i="108"/>
  <c r="L76" i="108"/>
  <c r="CK150" i="81" s="1"/>
  <c r="L84" i="108"/>
  <c r="CK158" i="81" s="1"/>
  <c r="L97" i="108"/>
  <c r="CK171" i="81" s="1"/>
  <c r="AA16" i="108"/>
  <c r="CZ90" i="81" s="1"/>
  <c r="AA29" i="108"/>
  <c r="AA32" i="108"/>
  <c r="AA42" i="108"/>
  <c r="AA68" i="108"/>
  <c r="AA71" i="108"/>
  <c r="CZ145" i="81" s="1"/>
  <c r="AA74" i="108"/>
  <c r="AA77" i="108"/>
  <c r="CZ151" i="81" s="1"/>
  <c r="AA80" i="108"/>
  <c r="L19" i="108"/>
  <c r="L41" i="108"/>
  <c r="L62" i="108"/>
  <c r="CK136" i="81" s="1"/>
  <c r="L67" i="108"/>
  <c r="CK141" i="81" s="1"/>
  <c r="L83" i="108"/>
  <c r="AA24" i="108"/>
  <c r="AA34" i="108"/>
  <c r="AA38" i="108"/>
  <c r="AA58" i="108"/>
  <c r="AA70" i="108"/>
  <c r="CZ144" i="81" s="1"/>
  <c r="AA78" i="108"/>
  <c r="AA82" i="108"/>
  <c r="AA86" i="108"/>
  <c r="AA95" i="108"/>
  <c r="L96" i="108"/>
  <c r="AA18" i="108"/>
  <c r="AF18" i="108" s="1"/>
  <c r="AA79" i="108"/>
  <c r="AA31" i="108"/>
  <c r="AA48" i="108"/>
  <c r="AA60" i="108"/>
  <c r="L30" i="108"/>
  <c r="L70" i="108"/>
  <c r="CK144" i="81" s="1"/>
  <c r="L81" i="108"/>
  <c r="AA53" i="108"/>
  <c r="AA97" i="108"/>
  <c r="CZ171" i="81" s="1"/>
  <c r="L32" i="108"/>
  <c r="AA12" i="108"/>
  <c r="CZ86" i="81" s="1"/>
  <c r="AA43" i="108"/>
  <c r="AA51" i="108"/>
  <c r="AA62" i="108"/>
  <c r="CZ136" i="81" s="1"/>
  <c r="AA66" i="108"/>
  <c r="L43" i="108"/>
  <c r="L80" i="108"/>
  <c r="AA44" i="108"/>
  <c r="AA52" i="108"/>
  <c r="AA67" i="108"/>
  <c r="CZ141" i="81" s="1"/>
  <c r="L49" i="108"/>
  <c r="L59" i="108"/>
  <c r="CK133" i="81" s="1"/>
  <c r="L75" i="108"/>
  <c r="AA76" i="108"/>
  <c r="CZ150" i="81" s="1"/>
  <c r="AA19" i="108"/>
  <c r="AA64" i="108"/>
  <c r="AA100" i="108"/>
  <c r="CZ174" i="81" s="1"/>
  <c r="L15" i="108"/>
  <c r="L38" i="108"/>
  <c r="L100" i="108"/>
  <c r="CK174" i="81" s="1"/>
  <c r="AA25" i="108"/>
  <c r="CZ99" i="81" s="1"/>
  <c r="AA35" i="108"/>
  <c r="CZ109" i="81" s="1"/>
  <c r="AA47" i="108"/>
  <c r="AA55" i="108"/>
  <c r="AA59" i="108"/>
  <c r="CZ133" i="81" s="1"/>
  <c r="AA75" i="108"/>
  <c r="AA83" i="108"/>
  <c r="AA96" i="108"/>
  <c r="AA99" i="108"/>
  <c r="CZ173" i="81" s="1"/>
  <c r="L33" i="108"/>
  <c r="L64" i="108"/>
  <c r="L91" i="108"/>
  <c r="AA63" i="108"/>
  <c r="L54" i="108"/>
  <c r="AA22" i="108"/>
  <c r="AA56" i="108"/>
  <c r="AA72" i="108"/>
  <c r="L12" i="108"/>
  <c r="CK86" i="81" s="1"/>
  <c r="L24" i="108"/>
  <c r="L65" i="108"/>
  <c r="CK139" i="81" s="1"/>
  <c r="L92" i="108"/>
  <c r="AA92" i="108"/>
  <c r="L18" i="108"/>
  <c r="L40" i="108"/>
  <c r="L88" i="108"/>
  <c r="AA15" i="108"/>
  <c r="AA23" i="108"/>
  <c r="AA28" i="108"/>
  <c r="CZ102" i="81" s="1"/>
  <c r="AA37" i="108"/>
  <c r="AA41" i="108"/>
  <c r="AA45" i="108"/>
  <c r="AA57" i="108"/>
  <c r="CZ131" i="81" s="1"/>
  <c r="AA69" i="108"/>
  <c r="AA81" i="108"/>
  <c r="AA85" i="108"/>
  <c r="CZ159" i="81" s="1"/>
  <c r="L25" i="108"/>
  <c r="L46" i="108"/>
  <c r="AA11" i="108"/>
  <c r="AA54" i="108"/>
  <c r="CZ128" i="81" s="1"/>
  <c r="AA61" i="108"/>
  <c r="AA65" i="108"/>
  <c r="CZ139" i="81" s="1"/>
  <c r="AA73" i="108"/>
  <c r="AA98" i="108"/>
  <c r="L51" i="108"/>
  <c r="P6" i="108"/>
  <c r="BN49" i="6"/>
  <c r="CB123" i="81"/>
  <c r="BO34" i="6"/>
  <c r="BP34" i="6" s="1"/>
  <c r="CQ150" i="81"/>
  <c r="BO76" i="6"/>
  <c r="BP76" i="6" s="1"/>
  <c r="CB141" i="81"/>
  <c r="F67" i="108"/>
  <c r="BN31" i="6"/>
  <c r="CB144" i="81"/>
  <c r="CB113" i="81"/>
  <c r="E103" i="108"/>
  <c r="BP18" i="6"/>
  <c r="CD92" i="81"/>
  <c r="BO80" i="6"/>
  <c r="BP80" i="6" s="1"/>
  <c r="CB147" i="81"/>
  <c r="F73" i="108"/>
  <c r="BN41" i="6"/>
  <c r="CB115" i="81"/>
  <c r="CB142" i="81"/>
  <c r="CB154" i="81"/>
  <c r="CD119" i="81"/>
  <c r="BO77" i="6"/>
  <c r="BP77" i="6" s="1"/>
  <c r="CM151" i="81"/>
  <c r="CM133" i="81"/>
  <c r="BO59" i="6"/>
  <c r="BP59" i="6" s="1"/>
  <c r="CD100" i="81"/>
  <c r="BO60" i="6"/>
  <c r="BP60" i="6" s="1"/>
  <c r="BN91" i="6"/>
  <c r="BP62" i="6"/>
  <c r="CD136" i="81"/>
  <c r="BO56" i="6"/>
  <c r="BP56" i="6" s="1"/>
  <c r="CB86" i="81"/>
  <c r="DB139" i="81"/>
  <c r="CB94" i="81"/>
  <c r="BN32" i="6"/>
  <c r="CD99" i="81"/>
  <c r="BN40" i="6"/>
  <c r="BO90" i="6"/>
  <c r="BP90" i="6" s="1"/>
  <c r="CM164" i="81"/>
  <c r="CB105" i="81"/>
  <c r="F31" i="108"/>
  <c r="G31" i="108" s="1"/>
  <c r="J31" i="108" s="1"/>
  <c r="BN63" i="6"/>
  <c r="CB159" i="81"/>
  <c r="CM150" i="81"/>
  <c r="CB109" i="81"/>
  <c r="CB157" i="81"/>
  <c r="CB160" i="81"/>
  <c r="G71" i="108"/>
  <c r="CQ95" i="81"/>
  <c r="BO21" i="6"/>
  <c r="BP21" i="6" s="1"/>
  <c r="CM95" i="81"/>
  <c r="F85" i="108"/>
  <c r="G85" i="108" s="1"/>
  <c r="CB174" i="81"/>
  <c r="CD87" i="81"/>
  <c r="CD111" i="81"/>
  <c r="CB136" i="81"/>
  <c r="DF151" i="81"/>
  <c r="DB151" i="81"/>
  <c r="BN29" i="6"/>
  <c r="CB103" i="81"/>
  <c r="BN44" i="6"/>
  <c r="CQ128" i="81"/>
  <c r="BO54" i="6"/>
  <c r="BP54" i="6" s="1"/>
  <c r="CB87" i="81"/>
  <c r="BN13" i="6"/>
  <c r="CB122" i="81"/>
  <c r="CB137" i="81"/>
  <c r="G97" i="108"/>
  <c r="G84" i="108"/>
  <c r="CD85" i="81"/>
  <c r="E103" i="6"/>
  <c r="AC28" i="108"/>
  <c r="N28" i="108"/>
  <c r="P16" i="108"/>
  <c r="P26" i="108"/>
  <c r="P34" i="108"/>
  <c r="P45" i="108"/>
  <c r="P56" i="108"/>
  <c r="P66" i="108"/>
  <c r="P74" i="108"/>
  <c r="P82" i="108"/>
  <c r="P90" i="108"/>
  <c r="P99" i="108"/>
  <c r="B8" i="108"/>
  <c r="P13" i="108"/>
  <c r="P21" i="108"/>
  <c r="P38" i="108"/>
  <c r="P44" i="108"/>
  <c r="P48" i="108"/>
  <c r="P78" i="108"/>
  <c r="P81" i="108"/>
  <c r="P84" i="108"/>
  <c r="AE12" i="108"/>
  <c r="AE16" i="108"/>
  <c r="AE20" i="108"/>
  <c r="AE24" i="108"/>
  <c r="AE28" i="108"/>
  <c r="AE32" i="108"/>
  <c r="AE36" i="108"/>
  <c r="AE40" i="108"/>
  <c r="AE44" i="108"/>
  <c r="AE48" i="108"/>
  <c r="AE52" i="108"/>
  <c r="AE56" i="108"/>
  <c r="AE60" i="108"/>
  <c r="AE64" i="108"/>
  <c r="AE68" i="108"/>
  <c r="AE72" i="108"/>
  <c r="AE76" i="108"/>
  <c r="AE80" i="108"/>
  <c r="AE84" i="108"/>
  <c r="AE88" i="108"/>
  <c r="AE92" i="108"/>
  <c r="AE96" i="108"/>
  <c r="AE100" i="108"/>
  <c r="P27" i="108"/>
  <c r="P51" i="108"/>
  <c r="P60" i="108"/>
  <c r="P64" i="108"/>
  <c r="P67" i="108"/>
  <c r="P87" i="108"/>
  <c r="P94" i="108"/>
  <c r="P97" i="108"/>
  <c r="P100" i="108"/>
  <c r="P11" i="108"/>
  <c r="P14" i="108"/>
  <c r="P19" i="108"/>
  <c r="P30" i="108"/>
  <c r="P33" i="108"/>
  <c r="P36" i="108"/>
  <c r="P70" i="108"/>
  <c r="P73" i="108"/>
  <c r="P76" i="108"/>
  <c r="P59" i="108"/>
  <c r="P68" i="108"/>
  <c r="P95" i="108"/>
  <c r="AE14" i="108"/>
  <c r="AE23" i="108"/>
  <c r="AE37" i="108"/>
  <c r="AE46" i="108"/>
  <c r="AE55" i="108"/>
  <c r="AE69" i="108"/>
  <c r="AE78" i="108"/>
  <c r="AE87" i="108"/>
  <c r="P12" i="108"/>
  <c r="P22" i="108"/>
  <c r="P32" i="108"/>
  <c r="P43" i="108"/>
  <c r="P57" i="108"/>
  <c r="P89" i="108"/>
  <c r="P52" i="108"/>
  <c r="P86" i="108"/>
  <c r="P98" i="108"/>
  <c r="P71" i="108"/>
  <c r="AE15" i="108"/>
  <c r="AE41" i="108"/>
  <c r="AE57" i="108"/>
  <c r="AE62" i="108"/>
  <c r="AE67" i="108"/>
  <c r="AE83" i="108"/>
  <c r="P35" i="108"/>
  <c r="P49" i="108"/>
  <c r="P55" i="108"/>
  <c r="P62" i="108"/>
  <c r="P80" i="108"/>
  <c r="P85" i="108"/>
  <c r="AE21" i="108"/>
  <c r="AE26" i="108"/>
  <c r="AE31" i="108"/>
  <c r="AE42" i="108"/>
  <c r="AE47" i="108"/>
  <c r="AE73" i="108"/>
  <c r="AE89" i="108"/>
  <c r="AE94" i="108"/>
  <c r="AE99" i="108"/>
  <c r="P20" i="108"/>
  <c r="P50" i="108"/>
  <c r="P63" i="108"/>
  <c r="P77" i="108"/>
  <c r="P15" i="108"/>
  <c r="P47" i="108"/>
  <c r="P69" i="108"/>
  <c r="P29" i="108"/>
  <c r="P65" i="108"/>
  <c r="P83" i="108"/>
  <c r="AE19" i="108"/>
  <c r="AE45" i="108"/>
  <c r="AE50" i="108"/>
  <c r="AE61" i="108"/>
  <c r="AE66" i="108"/>
  <c r="AE71" i="108"/>
  <c r="P42" i="108"/>
  <c r="P75" i="108"/>
  <c r="P79" i="108"/>
  <c r="P88" i="108"/>
  <c r="P93" i="108"/>
  <c r="P31" i="108"/>
  <c r="AE29" i="108"/>
  <c r="AE38" i="108"/>
  <c r="AE54" i="108"/>
  <c r="AE63" i="108"/>
  <c r="AE13" i="108"/>
  <c r="AE22" i="108"/>
  <c r="AE30" i="108"/>
  <c r="AE97" i="108"/>
  <c r="AE39" i="108"/>
  <c r="AE65" i="108"/>
  <c r="AE74" i="108"/>
  <c r="AE81" i="108"/>
  <c r="AE90" i="108"/>
  <c r="AE98" i="108"/>
  <c r="P28" i="108"/>
  <c r="P96" i="108"/>
  <c r="P72" i="108"/>
  <c r="P92" i="108"/>
  <c r="AE11" i="108"/>
  <c r="AE18" i="108"/>
  <c r="AE27" i="108"/>
  <c r="AE35" i="108"/>
  <c r="AE53" i="108"/>
  <c r="AE77" i="108"/>
  <c r="AE79" i="108"/>
  <c r="AE95" i="108"/>
  <c r="AE86" i="108"/>
  <c r="AE33" i="108"/>
  <c r="AE49" i="108"/>
  <c r="AE82" i="108"/>
  <c r="AE34" i="108"/>
  <c r="AE85" i="108"/>
  <c r="AE70" i="108"/>
  <c r="AE17" i="108"/>
  <c r="AE51" i="108"/>
  <c r="AE58" i="108"/>
  <c r="AE25" i="108"/>
  <c r="AE75" i="108"/>
  <c r="AE91" i="108"/>
  <c r="AE43" i="108"/>
  <c r="AE59" i="108"/>
  <c r="AE93" i="108"/>
  <c r="P37" i="108"/>
  <c r="J70" i="108"/>
  <c r="Y70" i="108"/>
  <c r="G59" i="108"/>
  <c r="BO12" i="6"/>
  <c r="CM86" i="81"/>
  <c r="BO48" i="6"/>
  <c r="BP48" i="6" s="1"/>
  <c r="BO13" i="6"/>
  <c r="BP13" i="6" s="1"/>
  <c r="BO55" i="6"/>
  <c r="BP55" i="6" s="1"/>
  <c r="BN26" i="6"/>
  <c r="CB100" i="81"/>
  <c r="BO32" i="6"/>
  <c r="BP32" i="6" s="1"/>
  <c r="CA80" i="81"/>
  <c r="BN25" i="6"/>
  <c r="CB99" i="81"/>
  <c r="BN14" i="6"/>
  <c r="CB88" i="81"/>
  <c r="BN18" i="6"/>
  <c r="CB92" i="81"/>
  <c r="CK97" i="81"/>
  <c r="Y76" i="108"/>
  <c r="J76" i="108"/>
  <c r="BN19" i="6"/>
  <c r="CB93" i="81"/>
  <c r="N35" i="108"/>
  <c r="F35" i="108"/>
  <c r="G35" i="108" s="1"/>
  <c r="AC35" i="108"/>
  <c r="F27" i="108"/>
  <c r="G27" i="108" s="1"/>
  <c r="N27" i="108"/>
  <c r="AC27" i="108"/>
  <c r="BN33" i="6"/>
  <c r="CB107" i="81"/>
  <c r="CD93" i="81"/>
  <c r="CD108" i="81"/>
  <c r="F16" i="108"/>
  <c r="G16" i="108" s="1"/>
  <c r="AC16" i="108"/>
  <c r="AC20" i="108"/>
  <c r="N20" i="108"/>
  <c r="N13" i="108"/>
  <c r="CM87" i="81" s="1"/>
  <c r="AC13" i="108"/>
  <c r="G68" i="108"/>
  <c r="G100" i="108"/>
  <c r="DB114" i="81" l="1"/>
  <c r="CM142" i="81"/>
  <c r="DB91" i="81"/>
  <c r="DB117" i="81"/>
  <c r="DF173" i="81"/>
  <c r="DB157" i="81"/>
  <c r="DB104" i="81"/>
  <c r="DB148" i="81"/>
  <c r="AG89" i="6"/>
  <c r="AG18" i="6"/>
  <c r="DB99" i="81"/>
  <c r="DB126" i="81"/>
  <c r="CE131" i="81"/>
  <c r="DB132" i="81"/>
  <c r="Y13" i="6"/>
  <c r="AK13" i="6" s="1"/>
  <c r="Y12" i="6"/>
  <c r="CX86" i="81" s="1"/>
  <c r="Y23" i="6"/>
  <c r="AK23" i="6" s="1"/>
  <c r="AP23" i="6" s="1"/>
  <c r="Y14" i="6"/>
  <c r="AK14" i="6" s="1"/>
  <c r="Y27" i="6"/>
  <c r="AK27" i="6" s="1"/>
  <c r="Y16" i="6"/>
  <c r="Y31" i="6"/>
  <c r="AK31" i="6" s="1"/>
  <c r="Y15" i="6"/>
  <c r="AK15" i="6" s="1"/>
  <c r="Y33" i="6"/>
  <c r="AH12" i="6"/>
  <c r="AH62" i="6"/>
  <c r="AH100" i="6"/>
  <c r="AH21" i="6"/>
  <c r="AH97" i="6"/>
  <c r="AH67" i="6"/>
  <c r="AH84" i="6"/>
  <c r="AH77" i="6"/>
  <c r="AH16" i="6"/>
  <c r="AH65" i="6"/>
  <c r="AH76" i="6"/>
  <c r="AH70" i="6"/>
  <c r="AH71" i="6"/>
  <c r="AH85" i="6"/>
  <c r="DB118" i="81"/>
  <c r="AH54" i="6"/>
  <c r="AH99" i="6"/>
  <c r="AH94" i="6"/>
  <c r="AH57" i="6"/>
  <c r="AH59" i="6"/>
  <c r="DB112" i="81"/>
  <c r="AF53" i="6"/>
  <c r="AG53" i="6"/>
  <c r="AF61" i="6"/>
  <c r="AG61" i="6"/>
  <c r="AF49" i="6"/>
  <c r="AG49" i="6"/>
  <c r="AF46" i="6"/>
  <c r="AG46" i="6"/>
  <c r="AF42" i="6"/>
  <c r="AG42" i="6"/>
  <c r="AF98" i="6"/>
  <c r="AG98" i="6"/>
  <c r="AF45" i="6"/>
  <c r="AG45" i="6"/>
  <c r="AF22" i="6"/>
  <c r="AG22" i="6"/>
  <c r="AF30" i="6"/>
  <c r="AG30" i="6"/>
  <c r="AF23" i="6"/>
  <c r="AG23" i="6"/>
  <c r="AF81" i="6"/>
  <c r="AG81" i="6"/>
  <c r="AF74" i="6"/>
  <c r="AG74" i="6"/>
  <c r="AF37" i="6"/>
  <c r="AG37" i="6"/>
  <c r="AF14" i="6"/>
  <c r="AG14" i="6"/>
  <c r="AF86" i="6"/>
  <c r="AG86" i="6"/>
  <c r="AF15" i="6"/>
  <c r="AG15" i="6"/>
  <c r="AF87" i="6"/>
  <c r="AG87" i="6"/>
  <c r="AF31" i="6"/>
  <c r="AG31" i="6"/>
  <c r="AF39" i="6"/>
  <c r="AG39" i="6"/>
  <c r="AF47" i="6"/>
  <c r="AG47" i="6"/>
  <c r="AF27" i="6"/>
  <c r="AG27" i="6"/>
  <c r="AF78" i="6"/>
  <c r="AG78" i="6"/>
  <c r="AF91" i="6"/>
  <c r="AG91" i="6"/>
  <c r="AF79" i="6"/>
  <c r="AG79" i="6"/>
  <c r="AF28" i="6"/>
  <c r="AG28" i="6"/>
  <c r="AF43" i="6"/>
  <c r="AG43" i="6"/>
  <c r="AF95" i="6"/>
  <c r="AG95" i="6"/>
  <c r="AF17" i="6"/>
  <c r="AG17" i="6"/>
  <c r="AF33" i="6"/>
  <c r="AG33" i="6"/>
  <c r="AF55" i="6"/>
  <c r="AG55" i="6"/>
  <c r="AF51" i="6"/>
  <c r="AG51" i="6"/>
  <c r="AF50" i="6"/>
  <c r="AG50" i="6"/>
  <c r="AF82" i="6"/>
  <c r="AG82" i="6"/>
  <c r="AF92" i="6"/>
  <c r="AG92" i="6"/>
  <c r="AF72" i="6"/>
  <c r="AG72" i="6"/>
  <c r="AF83" i="6"/>
  <c r="AG83" i="6"/>
  <c r="AF88" i="6"/>
  <c r="AG88" i="6"/>
  <c r="AF24" i="6"/>
  <c r="AG24" i="6"/>
  <c r="AF32" i="6"/>
  <c r="AG32" i="6"/>
  <c r="AF63" i="6"/>
  <c r="AG63" i="6"/>
  <c r="AF48" i="6"/>
  <c r="AG48" i="6"/>
  <c r="AF56" i="6"/>
  <c r="AG56" i="6"/>
  <c r="AF75" i="6"/>
  <c r="AG75" i="6"/>
  <c r="AF58" i="6"/>
  <c r="AG58" i="6"/>
  <c r="AF80" i="6"/>
  <c r="AG80" i="6"/>
  <c r="AF52" i="6"/>
  <c r="AG52" i="6"/>
  <c r="AF96" i="6"/>
  <c r="AG96" i="6"/>
  <c r="AF25" i="6"/>
  <c r="AG25" i="6"/>
  <c r="AF40" i="6"/>
  <c r="AG40" i="6"/>
  <c r="AF20" i="6"/>
  <c r="AG20" i="6"/>
  <c r="AF26" i="6"/>
  <c r="AG26" i="6"/>
  <c r="AF69" i="6"/>
  <c r="AG69" i="6"/>
  <c r="AF36" i="6"/>
  <c r="AG36" i="6"/>
  <c r="AF35" i="6"/>
  <c r="AG35" i="6"/>
  <c r="AF93" i="6"/>
  <c r="AG93" i="6"/>
  <c r="AF73" i="6"/>
  <c r="AG73" i="6"/>
  <c r="AF68" i="6"/>
  <c r="AG68" i="6"/>
  <c r="AF41" i="6"/>
  <c r="AG41" i="6"/>
  <c r="AF66" i="6"/>
  <c r="AG66" i="6"/>
  <c r="AF19" i="6"/>
  <c r="AG19" i="6"/>
  <c r="AF38" i="6"/>
  <c r="AG38" i="6"/>
  <c r="AF13" i="6"/>
  <c r="AG13" i="6"/>
  <c r="AF44" i="6"/>
  <c r="AG44" i="6"/>
  <c r="AF29" i="6"/>
  <c r="AG29" i="6"/>
  <c r="AF60" i="6"/>
  <c r="AG60" i="6"/>
  <c r="AF34" i="6"/>
  <c r="AG34" i="6"/>
  <c r="AF11" i="6"/>
  <c r="AG11" i="6"/>
  <c r="DB121" i="81"/>
  <c r="DB152" i="81"/>
  <c r="DB92" i="81"/>
  <c r="AF18" i="6"/>
  <c r="DB113" i="81"/>
  <c r="DB89" i="81"/>
  <c r="DE165" i="81"/>
  <c r="DB163" i="81"/>
  <c r="AF89" i="6"/>
  <c r="CE150" i="81"/>
  <c r="DB116" i="81"/>
  <c r="DB172" i="81"/>
  <c r="DB119" i="81"/>
  <c r="CE139" i="81"/>
  <c r="DB155" i="81"/>
  <c r="BO14" i="6"/>
  <c r="BP14" i="6" s="1"/>
  <c r="BO73" i="6"/>
  <c r="BP73" i="6" s="1"/>
  <c r="S11" i="6"/>
  <c r="R89" i="6"/>
  <c r="CE142" i="81"/>
  <c r="R72" i="6"/>
  <c r="R88" i="6"/>
  <c r="R19" i="6"/>
  <c r="CM163" i="81"/>
  <c r="R92" i="6"/>
  <c r="R51" i="6"/>
  <c r="R93" i="6"/>
  <c r="R87" i="6"/>
  <c r="CM147" i="81"/>
  <c r="R44" i="6"/>
  <c r="R47" i="6"/>
  <c r="R22" i="6"/>
  <c r="R66" i="6"/>
  <c r="R82" i="6"/>
  <c r="R98" i="6"/>
  <c r="R73" i="6"/>
  <c r="BO89" i="6"/>
  <c r="BP89" i="6" s="1"/>
  <c r="R86" i="6"/>
  <c r="R36" i="6"/>
  <c r="R68" i="6"/>
  <c r="R50" i="6"/>
  <c r="R14" i="6"/>
  <c r="J52" i="6"/>
  <c r="J82" i="6"/>
  <c r="CI156" i="81" s="1"/>
  <c r="J72" i="6"/>
  <c r="J14" i="6"/>
  <c r="V14" i="6" s="1"/>
  <c r="J69" i="6"/>
  <c r="J34" i="6"/>
  <c r="J24" i="6"/>
  <c r="Y24" i="6" s="1"/>
  <c r="AK24" i="6" s="1"/>
  <c r="AP24" i="6" s="1"/>
  <c r="J91" i="6"/>
  <c r="J70" i="6"/>
  <c r="Y70" i="6" s="1"/>
  <c r="CX144" i="81" s="1"/>
  <c r="J29" i="6"/>
  <c r="CI103" i="81" s="1"/>
  <c r="J94" i="6"/>
  <c r="J90" i="6"/>
  <c r="Y90" i="6" s="1"/>
  <c r="J61" i="6"/>
  <c r="J39" i="6"/>
  <c r="J17" i="6"/>
  <c r="J63" i="6"/>
  <c r="J60" i="6"/>
  <c r="J78" i="6"/>
  <c r="J96" i="6"/>
  <c r="J66" i="6"/>
  <c r="Y66" i="6" s="1"/>
  <c r="J55" i="6"/>
  <c r="J84" i="6"/>
  <c r="J77" i="6"/>
  <c r="J100" i="6"/>
  <c r="J46" i="6"/>
  <c r="Y46" i="6" s="1"/>
  <c r="AK46" i="6" s="1"/>
  <c r="AP46" i="6" s="1"/>
  <c r="J93" i="6"/>
  <c r="J81" i="6"/>
  <c r="J27" i="6"/>
  <c r="V27" i="6" s="1"/>
  <c r="J20" i="6"/>
  <c r="J16" i="6"/>
  <c r="T16" i="6" s="1"/>
  <c r="J58" i="6"/>
  <c r="Y58" i="6" s="1"/>
  <c r="AK58" i="6" s="1"/>
  <c r="AP58" i="6" s="1"/>
  <c r="J37" i="6"/>
  <c r="J64" i="6"/>
  <c r="J97" i="6"/>
  <c r="J99" i="6"/>
  <c r="CI173" i="81" s="1"/>
  <c r="BO22" i="6"/>
  <c r="BP22" i="6" s="1"/>
  <c r="J31" i="6"/>
  <c r="CI105" i="81" s="1"/>
  <c r="J73" i="6"/>
  <c r="J98" i="6"/>
  <c r="CI172" i="81" s="1"/>
  <c r="J28" i="6"/>
  <c r="J88" i="6"/>
  <c r="J30" i="6"/>
  <c r="J38" i="6"/>
  <c r="J80" i="6"/>
  <c r="J54" i="6"/>
  <c r="J57" i="6"/>
  <c r="Y57" i="6" s="1"/>
  <c r="AJ57" i="6" s="1"/>
  <c r="CE171" i="81"/>
  <c r="J15" i="6"/>
  <c r="J26" i="6"/>
  <c r="J45" i="6"/>
  <c r="Y45" i="6" s="1"/>
  <c r="J41" i="6"/>
  <c r="J36" i="6"/>
  <c r="Y36" i="6" s="1"/>
  <c r="J33" i="6"/>
  <c r="V33" i="6" s="1"/>
  <c r="J87" i="6"/>
  <c r="J40" i="6"/>
  <c r="J19" i="6"/>
  <c r="J74" i="6"/>
  <c r="CE173" i="81"/>
  <c r="CM156" i="81"/>
  <c r="J48" i="6"/>
  <c r="J83" i="6"/>
  <c r="J25" i="6"/>
  <c r="J51" i="6"/>
  <c r="Y51" i="6" s="1"/>
  <c r="J44" i="6"/>
  <c r="J50" i="6"/>
  <c r="J32" i="6"/>
  <c r="J68" i="6"/>
  <c r="J85" i="6"/>
  <c r="J92" i="6"/>
  <c r="CM172" i="81"/>
  <c r="J53" i="6"/>
  <c r="J47" i="6"/>
  <c r="J89" i="6"/>
  <c r="J43" i="6"/>
  <c r="J13" i="6"/>
  <c r="V13" i="6" s="1"/>
  <c r="J35" i="6"/>
  <c r="J75" i="6"/>
  <c r="J12" i="6"/>
  <c r="T12" i="6" s="1"/>
  <c r="J86" i="6"/>
  <c r="J65" i="6"/>
  <c r="J18" i="6"/>
  <c r="J95" i="6"/>
  <c r="J42" i="6"/>
  <c r="J23" i="6"/>
  <c r="CI97" i="81" s="1"/>
  <c r="J56" i="6"/>
  <c r="J22" i="6"/>
  <c r="J49" i="6"/>
  <c r="Y49" i="6" s="1"/>
  <c r="AK49" i="6" s="1"/>
  <c r="J62" i="6"/>
  <c r="J76" i="6"/>
  <c r="J79" i="6"/>
  <c r="J67" i="6"/>
  <c r="J11" i="6"/>
  <c r="BO79" i="6"/>
  <c r="BP79" i="6" s="1"/>
  <c r="R79" i="6"/>
  <c r="BO96" i="6"/>
  <c r="BP96" i="6" s="1"/>
  <c r="R96" i="6"/>
  <c r="BO31" i="6"/>
  <c r="BP31" i="6" s="1"/>
  <c r="R31" i="6"/>
  <c r="Q22" i="6"/>
  <c r="Q66" i="6"/>
  <c r="Q82" i="6"/>
  <c r="Q98" i="6"/>
  <c r="Q31" i="6"/>
  <c r="Q86" i="6"/>
  <c r="Q36" i="6"/>
  <c r="Q68" i="6"/>
  <c r="Q50" i="6"/>
  <c r="Q46" i="6"/>
  <c r="S46" i="6" s="1"/>
  <c r="Q14" i="6"/>
  <c r="CM170" i="81"/>
  <c r="Q89" i="6"/>
  <c r="Q87" i="6"/>
  <c r="Q24" i="6"/>
  <c r="S24" i="6" s="1"/>
  <c r="CQ98" i="81"/>
  <c r="Q73" i="6"/>
  <c r="Q58" i="6"/>
  <c r="S58" i="6" s="1"/>
  <c r="Q72" i="6"/>
  <c r="Q88" i="6"/>
  <c r="Q19" i="6"/>
  <c r="Q79" i="6"/>
  <c r="CE174" i="81"/>
  <c r="Q92" i="6"/>
  <c r="Q51" i="6"/>
  <c r="Q93" i="6"/>
  <c r="Q96" i="6"/>
  <c r="Q61" i="6"/>
  <c r="S61" i="6" s="1"/>
  <c r="Q47" i="6"/>
  <c r="CM118" i="81"/>
  <c r="Q44" i="6"/>
  <c r="Q47" i="108"/>
  <c r="BO93" i="6"/>
  <c r="BP93" i="6" s="1"/>
  <c r="CM121" i="81"/>
  <c r="BO92" i="6"/>
  <c r="BP92" i="6" s="1"/>
  <c r="BO51" i="6"/>
  <c r="BP51" i="6" s="1"/>
  <c r="BO47" i="6"/>
  <c r="BP47" i="6" s="1"/>
  <c r="CE164" i="81"/>
  <c r="BO44" i="6"/>
  <c r="BP44" i="6" s="1"/>
  <c r="CE170" i="81"/>
  <c r="CM166" i="81"/>
  <c r="CM167" i="81"/>
  <c r="CE141" i="81"/>
  <c r="CE168" i="81"/>
  <c r="CE149" i="81"/>
  <c r="CE172" i="81"/>
  <c r="CE86" i="81"/>
  <c r="CF139" i="81"/>
  <c r="CE166" i="81"/>
  <c r="CF164" i="81"/>
  <c r="G21" i="6"/>
  <c r="G71" i="6"/>
  <c r="G59" i="6"/>
  <c r="CE163" i="81"/>
  <c r="CE85" i="81"/>
  <c r="G89" i="108"/>
  <c r="J89" i="108" s="1"/>
  <c r="V89" i="108" s="1"/>
  <c r="CH2" i="81"/>
  <c r="CG2" i="81"/>
  <c r="CC7" i="81"/>
  <c r="CG5" i="81"/>
  <c r="CG4" i="81"/>
  <c r="CH4" i="81"/>
  <c r="CH5" i="81"/>
  <c r="CH6" i="81"/>
  <c r="CG6" i="81"/>
  <c r="E10" i="108"/>
  <c r="BO46" i="6"/>
  <c r="BP46" i="6" s="1"/>
  <c r="BO58" i="6"/>
  <c r="BP58" i="6" s="1"/>
  <c r="BO23" i="6"/>
  <c r="BP23" i="6" s="1"/>
  <c r="BO53" i="6"/>
  <c r="BP53" i="6" s="1"/>
  <c r="BO24" i="6"/>
  <c r="BP24" i="6" s="1"/>
  <c r="BO81" i="6"/>
  <c r="BP81" i="6" s="1"/>
  <c r="CH62" i="81"/>
  <c r="A64" i="111"/>
  <c r="CM153" i="81"/>
  <c r="CM155" i="81"/>
  <c r="BO52" i="6"/>
  <c r="BP52" i="6" s="1"/>
  <c r="CM105" i="81"/>
  <c r="BO43" i="6"/>
  <c r="BP43" i="6" s="1"/>
  <c r="BO50" i="6"/>
  <c r="BP50" i="6" s="1"/>
  <c r="CE140" i="81"/>
  <c r="BO39" i="6"/>
  <c r="BP39" i="6" s="1"/>
  <c r="CQ113" i="81"/>
  <c r="BO19" i="6"/>
  <c r="BP19" i="6" s="1"/>
  <c r="CM119" i="81"/>
  <c r="BO25" i="6"/>
  <c r="BP25" i="6" s="1"/>
  <c r="Q82" i="108"/>
  <c r="DB124" i="81"/>
  <c r="Q58" i="108"/>
  <c r="S58" i="108" s="1"/>
  <c r="Y66" i="108"/>
  <c r="CE158" i="81"/>
  <c r="CE97" i="81"/>
  <c r="CE132" i="81"/>
  <c r="CM162" i="81"/>
  <c r="BO95" i="6"/>
  <c r="BP95" i="6" s="1"/>
  <c r="Y90" i="108"/>
  <c r="BO88" i="6"/>
  <c r="BP88" i="6" s="1"/>
  <c r="DB129" i="81"/>
  <c r="Y52" i="108"/>
  <c r="Y57" i="108"/>
  <c r="CM117" i="81"/>
  <c r="CM88" i="81"/>
  <c r="DB105" i="81"/>
  <c r="CQ120" i="81"/>
  <c r="CM126" i="81"/>
  <c r="DB120" i="81"/>
  <c r="Y74" i="108"/>
  <c r="AK74" i="108" s="1"/>
  <c r="Y75" i="108"/>
  <c r="AK75" i="108" s="1"/>
  <c r="CM113" i="81"/>
  <c r="CF132" i="81"/>
  <c r="CE113" i="81"/>
  <c r="CM125" i="81"/>
  <c r="BO17" i="6"/>
  <c r="BP17" i="6" s="1"/>
  <c r="J39" i="108"/>
  <c r="CE93" i="81"/>
  <c r="CQ91" i="81"/>
  <c r="BO61" i="6"/>
  <c r="BP61" i="6" s="1"/>
  <c r="CM135" i="81"/>
  <c r="CQ135" i="81"/>
  <c r="BO72" i="6"/>
  <c r="BP72" i="6" s="1"/>
  <c r="Y96" i="108"/>
  <c r="AK96" i="108" s="1"/>
  <c r="CM146" i="81"/>
  <c r="J86" i="108"/>
  <c r="V86" i="108" s="1"/>
  <c r="CE169" i="81"/>
  <c r="DB97" i="81"/>
  <c r="CQ158" i="81"/>
  <c r="DB165" i="81"/>
  <c r="DB125" i="81"/>
  <c r="CE135" i="81"/>
  <c r="Q39" i="108"/>
  <c r="S39" i="108" s="1"/>
  <c r="CM132" i="81"/>
  <c r="G11" i="108"/>
  <c r="J11" i="108" s="1"/>
  <c r="V11" i="108" s="1"/>
  <c r="CM110" i="81"/>
  <c r="CE121" i="81"/>
  <c r="BO87" i="6"/>
  <c r="BP87" i="6" s="1"/>
  <c r="CE107" i="81"/>
  <c r="Y98" i="108"/>
  <c r="AK98" i="108" s="1"/>
  <c r="Y23" i="108"/>
  <c r="AK23" i="108" s="1"/>
  <c r="AP23" i="108" s="1"/>
  <c r="Q93" i="108"/>
  <c r="CM103" i="81"/>
  <c r="CE151" i="81"/>
  <c r="Y62" i="108"/>
  <c r="CQ165" i="81"/>
  <c r="CF121" i="81"/>
  <c r="CF153" i="81"/>
  <c r="DB135" i="81"/>
  <c r="CE99" i="81"/>
  <c r="DB98" i="81"/>
  <c r="CK156" i="81"/>
  <c r="DB93" i="81"/>
  <c r="CE165" i="81"/>
  <c r="CE116" i="81"/>
  <c r="BO29" i="6"/>
  <c r="BP29" i="6" s="1"/>
  <c r="J40" i="108"/>
  <c r="AF19" i="108"/>
  <c r="BO75" i="6"/>
  <c r="BP75" i="6" s="1"/>
  <c r="Q61" i="108"/>
  <c r="S61" i="108" s="1"/>
  <c r="T61" i="108" s="1"/>
  <c r="CM169" i="81"/>
  <c r="Y37" i="108"/>
  <c r="AK37" i="108" s="1"/>
  <c r="CF111" i="81"/>
  <c r="J37" i="108"/>
  <c r="V37" i="108" s="1"/>
  <c r="CF116" i="81"/>
  <c r="CK113" i="81"/>
  <c r="CF151" i="81"/>
  <c r="AF11" i="108"/>
  <c r="Q79" i="108"/>
  <c r="J43" i="108"/>
  <c r="DB103" i="81"/>
  <c r="CF167" i="81"/>
  <c r="Y28" i="108"/>
  <c r="AK28" i="108" s="1"/>
  <c r="CK172" i="81"/>
  <c r="CQ127" i="81"/>
  <c r="Q37" i="108"/>
  <c r="J64" i="108"/>
  <c r="BO91" i="6"/>
  <c r="BP91" i="6" s="1"/>
  <c r="CQ132" i="81"/>
  <c r="Q29" i="108"/>
  <c r="CP103" i="81" s="1"/>
  <c r="CK121" i="81"/>
  <c r="DB107" i="81"/>
  <c r="CM149" i="81"/>
  <c r="CE120" i="81"/>
  <c r="J19" i="108"/>
  <c r="V19" i="108" s="1"/>
  <c r="Y19" i="108"/>
  <c r="AK19" i="108" s="1"/>
  <c r="Y58" i="108"/>
  <c r="AK58" i="108" s="1"/>
  <c r="AP58" i="108" s="1"/>
  <c r="J58" i="108"/>
  <c r="Q95" i="108"/>
  <c r="CP169" i="81" s="1"/>
  <c r="DB122" i="81"/>
  <c r="DB161" i="81"/>
  <c r="CE138" i="81"/>
  <c r="CE154" i="81"/>
  <c r="CM104" i="81"/>
  <c r="CF120" i="81"/>
  <c r="CK135" i="81"/>
  <c r="BO30" i="6"/>
  <c r="BP30" i="6" s="1"/>
  <c r="CM111" i="81"/>
  <c r="Y61" i="108"/>
  <c r="AK61" i="108" s="1"/>
  <c r="AP61" i="108" s="1"/>
  <c r="DB149" i="81"/>
  <c r="J88" i="108"/>
  <c r="CM96" i="81"/>
  <c r="CM98" i="81"/>
  <c r="Q63" i="108"/>
  <c r="CP137" i="81" s="1"/>
  <c r="DB85" i="81"/>
  <c r="CE98" i="81"/>
  <c r="Q26" i="108"/>
  <c r="Q74" i="108"/>
  <c r="CP148" i="81" s="1"/>
  <c r="Y29" i="108"/>
  <c r="AK29" i="108" s="1"/>
  <c r="CE126" i="81"/>
  <c r="Q55" i="108"/>
  <c r="CP129" i="81" s="1"/>
  <c r="CE125" i="81"/>
  <c r="DB137" i="81"/>
  <c r="CK124" i="81"/>
  <c r="DB146" i="81"/>
  <c r="Y36" i="108"/>
  <c r="J36" i="108"/>
  <c r="CF110" i="81"/>
  <c r="CF103" i="81"/>
  <c r="DB106" i="81"/>
  <c r="CE152" i="81"/>
  <c r="G51" i="108"/>
  <c r="J51" i="108" s="1"/>
  <c r="CF122" i="81"/>
  <c r="CE115" i="81"/>
  <c r="CE117" i="81"/>
  <c r="CE167" i="81"/>
  <c r="CF166" i="81"/>
  <c r="CE119" i="81"/>
  <c r="CM91" i="81"/>
  <c r="Q77" i="108"/>
  <c r="S77" i="108" s="1"/>
  <c r="T77" i="108" s="1"/>
  <c r="Y20" i="108"/>
  <c r="CE128" i="81"/>
  <c r="BO74" i="6"/>
  <c r="BP74" i="6" s="1"/>
  <c r="Q24" i="108"/>
  <c r="S24" i="108" s="1"/>
  <c r="J90" i="108"/>
  <c r="CM148" i="81"/>
  <c r="CM99" i="81"/>
  <c r="CF106" i="81"/>
  <c r="Q42" i="108"/>
  <c r="CF126" i="81"/>
  <c r="CE103" i="81"/>
  <c r="CE130" i="81"/>
  <c r="CM152" i="81"/>
  <c r="Y48" i="108"/>
  <c r="Y82" i="108"/>
  <c r="AK82" i="108" s="1"/>
  <c r="J50" i="108"/>
  <c r="V50" i="108" s="1"/>
  <c r="CM107" i="81"/>
  <c r="DB96" i="81"/>
  <c r="Y93" i="108"/>
  <c r="CE143" i="81"/>
  <c r="CM124" i="81"/>
  <c r="CE156" i="81"/>
  <c r="Y92" i="108"/>
  <c r="AK92" i="108" s="1"/>
  <c r="CQ99" i="81"/>
  <c r="CK161" i="81"/>
  <c r="CE162" i="81"/>
  <c r="CE124" i="81"/>
  <c r="AF33" i="108"/>
  <c r="DB169" i="81"/>
  <c r="CF155" i="81"/>
  <c r="CM143" i="81"/>
  <c r="CE155" i="81"/>
  <c r="J42" i="108"/>
  <c r="V42" i="108" s="1"/>
  <c r="CM120" i="81"/>
  <c r="J87" i="108"/>
  <c r="CE147" i="81"/>
  <c r="J79" i="108"/>
  <c r="DB134" i="81"/>
  <c r="DB130" i="81"/>
  <c r="J24" i="108"/>
  <c r="Y24" i="108"/>
  <c r="AK24" i="108" s="1"/>
  <c r="AP24" i="108" s="1"/>
  <c r="CE106" i="81"/>
  <c r="Q32" i="108"/>
  <c r="CP106" i="81" s="1"/>
  <c r="DB111" i="81"/>
  <c r="J94" i="108"/>
  <c r="CE111" i="81"/>
  <c r="BO69" i="6"/>
  <c r="BP69" i="6" s="1"/>
  <c r="CE146" i="81"/>
  <c r="CE100" i="81"/>
  <c r="CE110" i="81"/>
  <c r="CK169" i="81"/>
  <c r="CE153" i="81"/>
  <c r="J81" i="108"/>
  <c r="CE122" i="81"/>
  <c r="DB143" i="81"/>
  <c r="CE160" i="81"/>
  <c r="CE148" i="81"/>
  <c r="CE134" i="81"/>
  <c r="Y18" i="108"/>
  <c r="AK18" i="108" s="1"/>
  <c r="AP18" i="108" s="1"/>
  <c r="J18" i="108"/>
  <c r="CM116" i="81"/>
  <c r="CE161" i="81"/>
  <c r="DB160" i="81"/>
  <c r="DB140" i="81"/>
  <c r="BO66" i="6"/>
  <c r="BP66" i="6" s="1"/>
  <c r="AF25" i="108"/>
  <c r="CM140" i="81"/>
  <c r="DB127" i="81"/>
  <c r="CM127" i="81"/>
  <c r="CE112" i="81"/>
  <c r="DB123" i="81"/>
  <c r="DB115" i="81"/>
  <c r="Y17" i="108"/>
  <c r="AK17" i="108" s="1"/>
  <c r="AP17" i="108" s="1"/>
  <c r="J17" i="108"/>
  <c r="CE127" i="81"/>
  <c r="J72" i="108"/>
  <c r="V72" i="108" s="1"/>
  <c r="Y72" i="108"/>
  <c r="AK72" i="108" s="1"/>
  <c r="Y54" i="108"/>
  <c r="J54" i="108"/>
  <c r="CE129" i="81"/>
  <c r="J95" i="108"/>
  <c r="V95" i="108" s="1"/>
  <c r="J49" i="108"/>
  <c r="V49" i="108" s="1"/>
  <c r="Y49" i="108"/>
  <c r="AK49" i="108" s="1"/>
  <c r="CE157" i="81"/>
  <c r="Q34" i="108"/>
  <c r="CP108" i="81" s="1"/>
  <c r="G78" i="108"/>
  <c r="DB154" i="81"/>
  <c r="BO86" i="6"/>
  <c r="BP86" i="6" s="1"/>
  <c r="CM160" i="81"/>
  <c r="BO41" i="6"/>
  <c r="BP41" i="6" s="1"/>
  <c r="CQ115" i="81"/>
  <c r="CM115" i="81"/>
  <c r="J80" i="108"/>
  <c r="CM165" i="81"/>
  <c r="Q66" i="108"/>
  <c r="CE104" i="81"/>
  <c r="Y65" i="108"/>
  <c r="J65" i="108"/>
  <c r="CF124" i="81"/>
  <c r="CF96" i="81"/>
  <c r="CE96" i="81"/>
  <c r="Q23" i="108"/>
  <c r="CM157" i="81"/>
  <c r="BO83" i="6"/>
  <c r="BP83" i="6" s="1"/>
  <c r="CM97" i="81"/>
  <c r="CK108" i="81"/>
  <c r="J34" i="108"/>
  <c r="V34" i="108" s="1"/>
  <c r="CE91" i="81"/>
  <c r="CM114" i="81"/>
  <c r="R40" i="108"/>
  <c r="Q85" i="108"/>
  <c r="S85" i="108" s="1"/>
  <c r="G55" i="108"/>
  <c r="CF129" i="81" s="1"/>
  <c r="CE137" i="81"/>
  <c r="BO40" i="6"/>
  <c r="BP40" i="6" s="1"/>
  <c r="CF144" i="81"/>
  <c r="CF91" i="81"/>
  <c r="Y33" i="108"/>
  <c r="Q11" i="108"/>
  <c r="DB110" i="81"/>
  <c r="Q45" i="108"/>
  <c r="CP119" i="81" s="1"/>
  <c r="CZ107" i="81"/>
  <c r="CE159" i="81"/>
  <c r="CM100" i="81"/>
  <c r="BO26" i="6"/>
  <c r="BP26" i="6" s="1"/>
  <c r="BO15" i="6"/>
  <c r="BP15" i="6" s="1"/>
  <c r="CM89" i="81"/>
  <c r="AF26" i="108"/>
  <c r="Y45" i="108"/>
  <c r="J45" i="108"/>
  <c r="BO11" i="6"/>
  <c r="BP11" i="6" s="1"/>
  <c r="CM85" i="81"/>
  <c r="CF148" i="81"/>
  <c r="CK98" i="81"/>
  <c r="CE108" i="81"/>
  <c r="CF105" i="81"/>
  <c r="Q69" i="108"/>
  <c r="Q53" i="108"/>
  <c r="S53" i="108" s="1"/>
  <c r="DB108" i="81"/>
  <c r="J26" i="108"/>
  <c r="V26" i="108" s="1"/>
  <c r="Q17" i="108"/>
  <c r="CP91" i="81" s="1"/>
  <c r="BO38" i="6"/>
  <c r="BP38" i="6" s="1"/>
  <c r="CM112" i="81"/>
  <c r="CF131" i="81"/>
  <c r="Y31" i="108"/>
  <c r="AK31" i="108" s="1"/>
  <c r="CE144" i="81"/>
  <c r="CK105" i="81"/>
  <c r="Y85" i="108"/>
  <c r="J85" i="108"/>
  <c r="CF159" i="81"/>
  <c r="J22" i="108"/>
  <c r="Y22" i="108"/>
  <c r="AK22" i="108" s="1"/>
  <c r="CF165" i="81"/>
  <c r="CK120" i="81"/>
  <c r="Q46" i="108"/>
  <c r="CZ111" i="81"/>
  <c r="AF37" i="108"/>
  <c r="CK166" i="81"/>
  <c r="Q92" i="108"/>
  <c r="AF63" i="108"/>
  <c r="CZ137" i="81"/>
  <c r="CZ126" i="81"/>
  <c r="AF52" i="108"/>
  <c r="CZ122" i="81"/>
  <c r="AF48" i="108"/>
  <c r="CZ152" i="81"/>
  <c r="AF78" i="108"/>
  <c r="CZ116" i="81"/>
  <c r="AF42" i="108"/>
  <c r="CK130" i="81"/>
  <c r="Q56" i="108"/>
  <c r="CP130" i="81" s="1"/>
  <c r="CK110" i="81"/>
  <c r="Q36" i="108"/>
  <c r="AF36" i="108"/>
  <c r="CZ110" i="81"/>
  <c r="CK126" i="81"/>
  <c r="Q52" i="108"/>
  <c r="CP126" i="81" s="1"/>
  <c r="J46" i="108"/>
  <c r="Y46" i="108"/>
  <c r="G73" i="108"/>
  <c r="CF147" i="81" s="1"/>
  <c r="CK125" i="81"/>
  <c r="Q51" i="108"/>
  <c r="CK99" i="81"/>
  <c r="Q25" i="108"/>
  <c r="CK165" i="81"/>
  <c r="Q91" i="108"/>
  <c r="CZ129" i="81"/>
  <c r="AF55" i="108"/>
  <c r="CZ138" i="81"/>
  <c r="AF64" i="108"/>
  <c r="DE138" i="81" s="1"/>
  <c r="CZ118" i="81"/>
  <c r="AF44" i="108"/>
  <c r="CZ105" i="81"/>
  <c r="AF31" i="108"/>
  <c r="CK115" i="81"/>
  <c r="Q41" i="108"/>
  <c r="CZ106" i="81"/>
  <c r="AF32" i="108"/>
  <c r="CK122" i="81"/>
  <c r="Q48" i="108"/>
  <c r="CP122" i="81" s="1"/>
  <c r="CZ91" i="81"/>
  <c r="AF17" i="108"/>
  <c r="CK118" i="81"/>
  <c r="Q44" i="108"/>
  <c r="J41" i="108"/>
  <c r="Y41" i="108"/>
  <c r="AK41" i="108" s="1"/>
  <c r="AP41" i="108" s="1"/>
  <c r="CZ172" i="81"/>
  <c r="AF98" i="108"/>
  <c r="AF23" i="108"/>
  <c r="CZ97" i="81"/>
  <c r="CK138" i="81"/>
  <c r="Q64" i="108"/>
  <c r="CP138" i="81" s="1"/>
  <c r="CZ121" i="81"/>
  <c r="AF47" i="108"/>
  <c r="Q80" i="108"/>
  <c r="CP154" i="81" s="1"/>
  <c r="CK154" i="81"/>
  <c r="CZ153" i="81"/>
  <c r="AF79" i="108"/>
  <c r="CZ132" i="81"/>
  <c r="AF58" i="108"/>
  <c r="CK93" i="81"/>
  <c r="Q19" i="108"/>
  <c r="CZ103" i="81"/>
  <c r="AF29" i="108"/>
  <c r="Q14" i="108"/>
  <c r="CK88" i="81"/>
  <c r="CZ85" i="81"/>
  <c r="CE114" i="81"/>
  <c r="CZ166" i="81"/>
  <c r="AF92" i="108"/>
  <c r="CK89" i="81"/>
  <c r="Q15" i="108"/>
  <c r="CZ117" i="81"/>
  <c r="AF43" i="108"/>
  <c r="CZ142" i="81"/>
  <c r="AF68" i="108"/>
  <c r="CZ113" i="81"/>
  <c r="AF39" i="108"/>
  <c r="CK106" i="81"/>
  <c r="J30" i="108"/>
  <c r="Y30" i="108"/>
  <c r="CE123" i="81"/>
  <c r="CZ147" i="81"/>
  <c r="AF73" i="108"/>
  <c r="CZ155" i="81"/>
  <c r="AF81" i="108"/>
  <c r="AF15" i="108"/>
  <c r="CZ89" i="81"/>
  <c r="Q33" i="108"/>
  <c r="CK107" i="81"/>
  <c r="CK117" i="81"/>
  <c r="Q43" i="108"/>
  <c r="CP117" i="81" s="1"/>
  <c r="CZ127" i="81"/>
  <c r="AF53" i="108"/>
  <c r="DE127" i="81" s="1"/>
  <c r="AF38" i="108"/>
  <c r="CZ112" i="81"/>
  <c r="CZ154" i="81"/>
  <c r="AF80" i="108"/>
  <c r="CK96" i="81"/>
  <c r="Q22" i="108"/>
  <c r="CZ161" i="81"/>
  <c r="AF87" i="108"/>
  <c r="DE161" i="81" s="1"/>
  <c r="CZ92" i="81"/>
  <c r="CE118" i="81"/>
  <c r="CZ156" i="81"/>
  <c r="AF82" i="108"/>
  <c r="CK146" i="81"/>
  <c r="Q72" i="108"/>
  <c r="CK134" i="81"/>
  <c r="Q60" i="108"/>
  <c r="CP134" i="81" s="1"/>
  <c r="CF128" i="81"/>
  <c r="CF172" i="81"/>
  <c r="V28" i="108"/>
  <c r="CZ93" i="81"/>
  <c r="CZ143" i="81"/>
  <c r="AF69" i="108"/>
  <c r="CK162" i="81"/>
  <c r="Q88" i="108"/>
  <c r="CZ146" i="81"/>
  <c r="AF72" i="108"/>
  <c r="CK149" i="81"/>
  <c r="Q75" i="108"/>
  <c r="CP149" i="81" s="1"/>
  <c r="CZ140" i="81"/>
  <c r="AF66" i="108"/>
  <c r="CK155" i="81"/>
  <c r="Q81" i="108"/>
  <c r="CP155" i="81" s="1"/>
  <c r="CK170" i="81"/>
  <c r="Q96" i="108"/>
  <c r="CZ108" i="81"/>
  <c r="AF34" i="108"/>
  <c r="CZ124" i="81"/>
  <c r="AF50" i="108"/>
  <c r="CK160" i="81"/>
  <c r="Q86" i="108"/>
  <c r="CZ88" i="81"/>
  <c r="Y44" i="108"/>
  <c r="AK44" i="108" s="1"/>
  <c r="J44" i="108"/>
  <c r="V44" i="108" s="1"/>
  <c r="CK128" i="81"/>
  <c r="Q54" i="108"/>
  <c r="S54" i="108" s="1"/>
  <c r="CZ104" i="81"/>
  <c r="AF30" i="108"/>
  <c r="DE104" i="81" s="1"/>
  <c r="CF137" i="81"/>
  <c r="CF93" i="81"/>
  <c r="CF86" i="81"/>
  <c r="J25" i="108"/>
  <c r="Y25" i="108"/>
  <c r="AK25" i="108" s="1"/>
  <c r="AP25" i="108" s="1"/>
  <c r="CE105" i="81"/>
  <c r="CZ135" i="81"/>
  <c r="AF61" i="108"/>
  <c r="CK114" i="81"/>
  <c r="Q40" i="108"/>
  <c r="CZ130" i="81"/>
  <c r="AF56" i="108"/>
  <c r="AF96" i="108"/>
  <c r="CZ170" i="81"/>
  <c r="CZ169" i="81"/>
  <c r="AF95" i="108"/>
  <c r="CZ98" i="81"/>
  <c r="AF24" i="108"/>
  <c r="CZ148" i="81"/>
  <c r="AF74" i="108"/>
  <c r="CZ114" i="81"/>
  <c r="AF40" i="108"/>
  <c r="CK152" i="81"/>
  <c r="Q78" i="108"/>
  <c r="CZ123" i="81"/>
  <c r="AF49" i="108"/>
  <c r="CK163" i="81"/>
  <c r="Q89" i="108"/>
  <c r="CE136" i="81"/>
  <c r="CZ115" i="81"/>
  <c r="AF41" i="108"/>
  <c r="CZ149" i="81"/>
  <c r="AF75" i="108"/>
  <c r="CZ134" i="81"/>
  <c r="AF60" i="108"/>
  <c r="DE134" i="81" s="1"/>
  <c r="E26" i="81"/>
  <c r="B26" i="81" s="1"/>
  <c r="Y53" i="108"/>
  <c r="AK53" i="108" s="1"/>
  <c r="AP53" i="108" s="1"/>
  <c r="J53" i="108"/>
  <c r="Y71" i="108"/>
  <c r="J71" i="108"/>
  <c r="CF146" i="81"/>
  <c r="G67" i="108"/>
  <c r="CZ119" i="81"/>
  <c r="AF45" i="108"/>
  <c r="Q18" i="108"/>
  <c r="CK92" i="81"/>
  <c r="CZ96" i="81"/>
  <c r="AF22" i="108"/>
  <c r="CZ157" i="81"/>
  <c r="AF83" i="108"/>
  <c r="Q38" i="108"/>
  <c r="CK112" i="81"/>
  <c r="CK123" i="81"/>
  <c r="Q49" i="108"/>
  <c r="CP123" i="81" s="1"/>
  <c r="CZ125" i="81"/>
  <c r="AF51" i="108"/>
  <c r="Q30" i="108"/>
  <c r="CP104" i="81" s="1"/>
  <c r="CK104" i="81"/>
  <c r="CZ160" i="81"/>
  <c r="AF86" i="108"/>
  <c r="CK157" i="81"/>
  <c r="Q83" i="108"/>
  <c r="CK147" i="81"/>
  <c r="Q73" i="108"/>
  <c r="CZ120" i="81"/>
  <c r="AF46" i="108"/>
  <c r="Q68" i="108"/>
  <c r="CK142" i="81"/>
  <c r="BO27" i="6"/>
  <c r="BP27" i="6" s="1"/>
  <c r="CM101" i="81"/>
  <c r="CO173" i="81"/>
  <c r="CO153" i="81"/>
  <c r="DD107" i="81"/>
  <c r="CO109" i="81"/>
  <c r="CF119" i="81"/>
  <c r="CM94" i="81"/>
  <c r="BO20" i="6"/>
  <c r="BP20" i="6" s="1"/>
  <c r="DD141" i="81"/>
  <c r="Q20" i="108"/>
  <c r="R20" i="108"/>
  <c r="V20" i="108" s="1"/>
  <c r="J27" i="108"/>
  <c r="V27" i="108" s="1"/>
  <c r="Y27" i="108"/>
  <c r="AK27" i="108" s="1"/>
  <c r="CF97" i="81"/>
  <c r="DD161" i="81"/>
  <c r="CO149" i="81"/>
  <c r="DD150" i="81"/>
  <c r="CO148" i="81"/>
  <c r="CO155" i="81"/>
  <c r="CO130" i="81"/>
  <c r="DD140" i="81"/>
  <c r="CO174" i="81"/>
  <c r="DD145" i="81"/>
  <c r="DD152" i="81"/>
  <c r="DD166" i="81"/>
  <c r="DD117" i="81"/>
  <c r="DD122" i="81"/>
  <c r="CO117" i="81"/>
  <c r="CO123" i="81"/>
  <c r="CO125" i="81"/>
  <c r="CO116" i="81"/>
  <c r="DD111" i="81"/>
  <c r="CO95" i="81"/>
  <c r="CO96" i="81"/>
  <c r="CO93" i="81"/>
  <c r="CF161" i="81"/>
  <c r="AG43" i="108"/>
  <c r="AF85" i="108"/>
  <c r="AF77" i="108"/>
  <c r="V96" i="108"/>
  <c r="R96" i="108"/>
  <c r="AF97" i="108"/>
  <c r="AH97" i="108" s="1"/>
  <c r="V31" i="108"/>
  <c r="R31" i="108"/>
  <c r="S31" i="108" s="1"/>
  <c r="T31" i="108" s="1"/>
  <c r="AG61" i="108"/>
  <c r="R47" i="108"/>
  <c r="AG89" i="108"/>
  <c r="R80" i="108"/>
  <c r="AF57" i="108"/>
  <c r="Q57" i="108"/>
  <c r="AG55" i="108"/>
  <c r="Q76" i="108"/>
  <c r="R11" i="108"/>
  <c r="R51" i="108"/>
  <c r="AF76" i="108"/>
  <c r="AG44" i="108"/>
  <c r="AF12" i="108"/>
  <c r="R45" i="108"/>
  <c r="CO122" i="81"/>
  <c r="DD110" i="81"/>
  <c r="DD87" i="81"/>
  <c r="CF135" i="81"/>
  <c r="AG91" i="108"/>
  <c r="AH91" i="108" s="1"/>
  <c r="AK34" i="108"/>
  <c r="AG34" i="108"/>
  <c r="AG53" i="108"/>
  <c r="DB102" i="81"/>
  <c r="AG25" i="108"/>
  <c r="AG49" i="108"/>
  <c r="AG90" i="108"/>
  <c r="R79" i="108"/>
  <c r="AG19" i="108"/>
  <c r="R63" i="108"/>
  <c r="AK42" i="108"/>
  <c r="AG42" i="108"/>
  <c r="R49" i="108"/>
  <c r="R22" i="108"/>
  <c r="AG23" i="108"/>
  <c r="R36" i="108"/>
  <c r="Q94" i="108"/>
  <c r="AG96" i="108"/>
  <c r="AG64" i="108"/>
  <c r="AK64" i="108"/>
  <c r="AG32" i="108"/>
  <c r="R78" i="108"/>
  <c r="Q90" i="108"/>
  <c r="R16" i="108"/>
  <c r="S16" i="108" s="1"/>
  <c r="CE94" i="81"/>
  <c r="DD173" i="81"/>
  <c r="CO169" i="81"/>
  <c r="CO164" i="81"/>
  <c r="DD100" i="81"/>
  <c r="DD91" i="81"/>
  <c r="CF117" i="81"/>
  <c r="DD154" i="81"/>
  <c r="CO162" i="81"/>
  <c r="DD164" i="81"/>
  <c r="DD159" i="81"/>
  <c r="DD143" i="81"/>
  <c r="DD105" i="81"/>
  <c r="DD86" i="81"/>
  <c r="Y68" i="108"/>
  <c r="AK68" i="108" s="1"/>
  <c r="J68" i="108"/>
  <c r="Q35" i="108"/>
  <c r="R35" i="108"/>
  <c r="DD148" i="81"/>
  <c r="DD133" i="81"/>
  <c r="CO142" i="81"/>
  <c r="CO121" i="81"/>
  <c r="DD114" i="81"/>
  <c r="DD85" i="81"/>
  <c r="J38" i="108"/>
  <c r="Y38" i="108"/>
  <c r="CF112" i="81"/>
  <c r="CF169" i="81"/>
  <c r="DB109" i="81"/>
  <c r="CO147" i="81"/>
  <c r="CO140" i="81"/>
  <c r="DD139" i="81"/>
  <c r="DD90" i="81"/>
  <c r="CO90" i="81"/>
  <c r="CE101" i="81"/>
  <c r="CO134" i="81"/>
  <c r="DD131" i="81"/>
  <c r="CO139" i="81"/>
  <c r="DD118" i="81"/>
  <c r="CO89" i="81"/>
  <c r="CO94" i="81"/>
  <c r="CO88" i="81"/>
  <c r="AF16" i="108"/>
  <c r="AG16" i="108"/>
  <c r="DD149" i="81"/>
  <c r="CO138" i="81"/>
  <c r="CO163" i="81"/>
  <c r="CO158" i="81"/>
  <c r="CO141" i="81"/>
  <c r="CO106" i="81"/>
  <c r="CO107" i="81"/>
  <c r="CF115" i="81"/>
  <c r="CF108" i="81"/>
  <c r="BO35" i="6"/>
  <c r="BP35" i="6" s="1"/>
  <c r="CM109" i="81"/>
  <c r="CF127" i="81"/>
  <c r="AG20" i="108"/>
  <c r="AF20" i="108"/>
  <c r="DB94" i="81"/>
  <c r="DD157" i="81"/>
  <c r="DD132" i="81"/>
  <c r="DD146" i="81"/>
  <c r="CO119" i="81"/>
  <c r="DD156" i="81"/>
  <c r="CO137" i="81"/>
  <c r="CO143" i="81"/>
  <c r="DD121" i="81"/>
  <c r="DD106" i="81"/>
  <c r="DD89" i="81"/>
  <c r="DB101" i="81"/>
  <c r="DD170" i="81"/>
  <c r="DD169" i="81"/>
  <c r="DD130" i="81"/>
  <c r="DD123" i="81"/>
  <c r="DD98" i="81"/>
  <c r="DD113" i="81"/>
  <c r="CO105" i="81"/>
  <c r="CO85" i="81"/>
  <c r="CE109" i="81"/>
  <c r="Q27" i="108"/>
  <c r="R27" i="108"/>
  <c r="CE92" i="81"/>
  <c r="Q71" i="108"/>
  <c r="CF156" i="81"/>
  <c r="CE102" i="81"/>
  <c r="CF143" i="81"/>
  <c r="J69" i="108"/>
  <c r="Y69" i="108"/>
  <c r="DB87" i="81"/>
  <c r="AF27" i="108"/>
  <c r="AG27" i="108"/>
  <c r="J35" i="108"/>
  <c r="V35" i="108" s="1"/>
  <c r="Y35" i="108"/>
  <c r="AK35" i="108" s="1"/>
  <c r="CO171" i="81"/>
  <c r="CO156" i="81"/>
  <c r="CO152" i="81"/>
  <c r="CO154" i="81"/>
  <c r="DD162" i="81"/>
  <c r="CO144" i="81"/>
  <c r="CO111" i="81"/>
  <c r="CO101" i="81"/>
  <c r="CO150" i="81"/>
  <c r="DD165" i="81"/>
  <c r="DD172" i="81"/>
  <c r="CO145" i="81"/>
  <c r="CO126" i="81"/>
  <c r="DD126" i="81"/>
  <c r="DD125" i="81"/>
  <c r="DD127" i="81"/>
  <c r="DD88" i="81"/>
  <c r="CA82" i="81"/>
  <c r="A161" i="111"/>
  <c r="DD95" i="81"/>
  <c r="DD96" i="81"/>
  <c r="CO100" i="81"/>
  <c r="J59" i="108"/>
  <c r="Y59" i="108"/>
  <c r="AF59" i="108"/>
  <c r="AH59" i="108" s="1"/>
  <c r="AF70" i="108"/>
  <c r="AG79" i="108"/>
  <c r="R72" i="108"/>
  <c r="AG39" i="108"/>
  <c r="AK39" i="108"/>
  <c r="AP39" i="108" s="1"/>
  <c r="AG29" i="108"/>
  <c r="AG66" i="108"/>
  <c r="R69" i="108"/>
  <c r="AF94" i="108"/>
  <c r="AF62" i="108"/>
  <c r="R89" i="108"/>
  <c r="AG69" i="108"/>
  <c r="Q59" i="108"/>
  <c r="S59" i="108" s="1"/>
  <c r="R14" i="108"/>
  <c r="R60" i="108"/>
  <c r="AK80" i="108"/>
  <c r="AG80" i="108"/>
  <c r="AG48" i="108"/>
  <c r="Q21" i="108"/>
  <c r="R56" i="108"/>
  <c r="AG30" i="108"/>
  <c r="R93" i="108"/>
  <c r="V93" i="108"/>
  <c r="AK50" i="108"/>
  <c r="AG50" i="108"/>
  <c r="R15" i="108"/>
  <c r="AG73" i="108"/>
  <c r="Q62" i="108"/>
  <c r="AG41" i="108"/>
  <c r="R43" i="108"/>
  <c r="AG46" i="108"/>
  <c r="R73" i="108"/>
  <c r="Q100" i="108"/>
  <c r="S100" i="108" s="1"/>
  <c r="AG72" i="108"/>
  <c r="AK40" i="108"/>
  <c r="AP40" i="108" s="1"/>
  <c r="AG40" i="108"/>
  <c r="Q84" i="108"/>
  <c r="S84" i="108" s="1"/>
  <c r="F10" i="108"/>
  <c r="CE84" i="81" s="1"/>
  <c r="F14" i="108"/>
  <c r="G14" i="108" s="1"/>
  <c r="G10" i="108"/>
  <c r="CF84" i="81" s="1"/>
  <c r="B9" i="108"/>
  <c r="R34" i="108"/>
  <c r="R28" i="108"/>
  <c r="Q28" i="108"/>
  <c r="CF171" i="81"/>
  <c r="J97" i="108"/>
  <c r="Y97" i="108"/>
  <c r="CF162" i="81"/>
  <c r="AG75" i="108"/>
  <c r="AG82" i="108"/>
  <c r="AG98" i="108"/>
  <c r="AG22" i="108"/>
  <c r="R88" i="108"/>
  <c r="AG45" i="108"/>
  <c r="AG47" i="108"/>
  <c r="R55" i="108"/>
  <c r="AG15" i="108"/>
  <c r="R32" i="108"/>
  <c r="AG37" i="108"/>
  <c r="Q70" i="108"/>
  <c r="Q97" i="108"/>
  <c r="S97" i="108" s="1"/>
  <c r="AF100" i="108"/>
  <c r="AH100" i="108" s="1"/>
  <c r="AG68" i="108"/>
  <c r="AG36" i="108"/>
  <c r="R81" i="108"/>
  <c r="Q99" i="108"/>
  <c r="R26" i="108"/>
  <c r="AF28" i="108"/>
  <c r="AG28" i="108"/>
  <c r="J47" i="108"/>
  <c r="V47" i="108" s="1"/>
  <c r="Y47" i="108"/>
  <c r="AK47" i="108" s="1"/>
  <c r="Y100" i="108"/>
  <c r="J100" i="108"/>
  <c r="CF104" i="81"/>
  <c r="J13" i="108"/>
  <c r="V13" i="108" s="1"/>
  <c r="Y13" i="108"/>
  <c r="AK13" i="108" s="1"/>
  <c r="J16" i="108"/>
  <c r="Y16" i="108"/>
  <c r="AK16" i="108" s="1"/>
  <c r="J32" i="108"/>
  <c r="V32" i="108" s="1"/>
  <c r="Y32" i="108"/>
  <c r="AK32" i="108" s="1"/>
  <c r="CO167" i="81"/>
  <c r="DD160" i="81"/>
  <c r="DD138" i="81"/>
  <c r="DD168" i="81"/>
  <c r="DD134" i="81"/>
  <c r="CO136" i="81"/>
  <c r="DD124" i="81"/>
  <c r="CO133" i="81"/>
  <c r="DD158" i="81"/>
  <c r="CO118" i="81"/>
  <c r="DD135" i="81"/>
  <c r="DD153" i="81"/>
  <c r="DD129" i="81"/>
  <c r="DD120" i="81"/>
  <c r="DD137" i="81"/>
  <c r="DD92" i="81"/>
  <c r="CO112" i="81"/>
  <c r="DD103" i="81"/>
  <c r="DD104" i="81"/>
  <c r="CA81" i="81"/>
  <c r="DD101" i="81"/>
  <c r="AG58" i="108"/>
  <c r="AG33" i="108"/>
  <c r="AG18" i="108"/>
  <c r="AG81" i="108"/>
  <c r="AK81" i="108" s="1"/>
  <c r="AG63" i="108"/>
  <c r="V75" i="108"/>
  <c r="R75" i="108"/>
  <c r="R83" i="108"/>
  <c r="R50" i="108"/>
  <c r="S50" i="108" s="1"/>
  <c r="AG31" i="108"/>
  <c r="V98" i="108"/>
  <c r="R98" i="108"/>
  <c r="U98" i="108" s="1"/>
  <c r="Q12" i="108"/>
  <c r="CP86" i="81" s="1"/>
  <c r="AG14" i="108"/>
  <c r="AH14" i="108" s="1"/>
  <c r="R33" i="108"/>
  <c r="V33" i="108" s="1"/>
  <c r="R87" i="108"/>
  <c r="S87" i="108" s="1"/>
  <c r="AG92" i="108"/>
  <c r="AG60" i="108"/>
  <c r="R48" i="108"/>
  <c r="R82" i="108"/>
  <c r="V82" i="108"/>
  <c r="BO28" i="6"/>
  <c r="BP28" i="6" s="1"/>
  <c r="CM102" i="81"/>
  <c r="J84" i="108"/>
  <c r="Y84" i="108"/>
  <c r="CF158" i="81"/>
  <c r="J83" i="108"/>
  <c r="CF157" i="81"/>
  <c r="Y83" i="108"/>
  <c r="J56" i="108"/>
  <c r="Y56" i="108"/>
  <c r="AF13" i="108"/>
  <c r="AG13" i="108"/>
  <c r="DD155" i="81"/>
  <c r="DD167" i="81"/>
  <c r="CO168" i="81"/>
  <c r="CO161" i="81"/>
  <c r="DD174" i="81"/>
  <c r="CO146" i="81"/>
  <c r="DD119" i="81"/>
  <c r="CO86" i="81"/>
  <c r="CO157" i="81"/>
  <c r="DD171" i="81"/>
  <c r="CO124" i="81"/>
  <c r="CO151" i="81"/>
  <c r="CO129" i="81"/>
  <c r="DD142" i="81"/>
  <c r="DD109" i="81"/>
  <c r="CO87" i="81"/>
  <c r="DD108" i="81"/>
  <c r="CO103" i="81"/>
  <c r="CO104" i="81"/>
  <c r="DD112" i="81"/>
  <c r="DD94" i="81"/>
  <c r="CF98" i="81"/>
  <c r="R37" i="108"/>
  <c r="AG51" i="108"/>
  <c r="AK86" i="108"/>
  <c r="AG86" i="108"/>
  <c r="AG11" i="108"/>
  <c r="AG74" i="108"/>
  <c r="AF54" i="108"/>
  <c r="R42" i="108"/>
  <c r="Q65" i="108"/>
  <c r="AK26" i="108"/>
  <c r="AG26" i="108"/>
  <c r="AG83" i="108"/>
  <c r="R86" i="108"/>
  <c r="AG87" i="108"/>
  <c r="AK87" i="108" s="1"/>
  <c r="R95" i="108"/>
  <c r="R30" i="108"/>
  <c r="Q67" i="108"/>
  <c r="AG88" i="108"/>
  <c r="AH88" i="108" s="1"/>
  <c r="AI88" i="108" s="1"/>
  <c r="AG56" i="108"/>
  <c r="AG24" i="108"/>
  <c r="R44" i="108"/>
  <c r="R74" i="108"/>
  <c r="V74" i="108"/>
  <c r="J63" i="108"/>
  <c r="V63" i="108" s="1"/>
  <c r="Y63" i="108"/>
  <c r="CE90" i="81"/>
  <c r="Q13" i="108"/>
  <c r="R13" i="108"/>
  <c r="CQ87" i="81" s="1"/>
  <c r="DB90" i="81"/>
  <c r="AG35" i="108"/>
  <c r="AF35" i="108"/>
  <c r="CF130" i="81"/>
  <c r="CO172" i="81"/>
  <c r="CO160" i="81"/>
  <c r="CO166" i="81"/>
  <c r="CO159" i="81"/>
  <c r="DD163" i="81"/>
  <c r="DD144" i="81"/>
  <c r="DD116" i="81"/>
  <c r="CO102" i="81"/>
  <c r="DD151" i="81"/>
  <c r="CO170" i="81"/>
  <c r="DD115" i="81"/>
  <c r="DD147" i="81"/>
  <c r="DD128" i="81"/>
  <c r="DD136" i="81"/>
  <c r="DD99" i="81"/>
  <c r="CO131" i="81"/>
  <c r="CO108" i="81"/>
  <c r="DD93" i="81"/>
  <c r="DD97" i="81"/>
  <c r="CO110" i="81"/>
  <c r="DD102" i="81"/>
  <c r="J91" i="108"/>
  <c r="Y91" i="108"/>
  <c r="CF150" i="81"/>
  <c r="BP12" i="6"/>
  <c r="J60" i="108"/>
  <c r="Y60" i="108"/>
  <c r="CF134" i="81"/>
  <c r="AG93" i="108"/>
  <c r="AH93" i="108" s="1"/>
  <c r="AG17" i="108"/>
  <c r="AG95" i="108"/>
  <c r="AK95" i="108"/>
  <c r="V92" i="108"/>
  <c r="R92" i="108"/>
  <c r="AF65" i="108"/>
  <c r="AG38" i="108"/>
  <c r="AF71" i="108"/>
  <c r="R29" i="108"/>
  <c r="V29" i="108"/>
  <c r="AF99" i="108"/>
  <c r="AF21" i="108"/>
  <c r="AF67" i="108"/>
  <c r="R52" i="108"/>
  <c r="AG78" i="108"/>
  <c r="R68" i="108"/>
  <c r="R19" i="108"/>
  <c r="R64" i="108"/>
  <c r="AF84" i="108"/>
  <c r="AH84" i="108" s="1"/>
  <c r="AG52" i="108"/>
  <c r="R38" i="108"/>
  <c r="R66" i="108"/>
  <c r="E28" i="81"/>
  <c r="B28" i="81" s="1"/>
  <c r="DE123" i="81" l="1"/>
  <c r="DE149" i="81"/>
  <c r="DE155" i="81"/>
  <c r="DE113" i="81"/>
  <c r="DE106" i="81"/>
  <c r="B162" i="111"/>
  <c r="CD62" i="81" s="1"/>
  <c r="E62" i="81" s="1"/>
  <c r="B62" i="81" s="1"/>
  <c r="AP13" i="6"/>
  <c r="AH18" i="6"/>
  <c r="AP27" i="6"/>
  <c r="AP14" i="6"/>
  <c r="AH75" i="6"/>
  <c r="AH32" i="6"/>
  <c r="AH72" i="6"/>
  <c r="AH51" i="6"/>
  <c r="AI51" i="6" s="1"/>
  <c r="AH95" i="6"/>
  <c r="AH39" i="6"/>
  <c r="AH86" i="6"/>
  <c r="AH81" i="6"/>
  <c r="AK51" i="6"/>
  <c r="AH45" i="6"/>
  <c r="AI45" i="6" s="1"/>
  <c r="DE112" i="81"/>
  <c r="DE142" i="81"/>
  <c r="DE114" i="81"/>
  <c r="DE156" i="81"/>
  <c r="AK57" i="6"/>
  <c r="DE116" i="81"/>
  <c r="DE153" i="81"/>
  <c r="DE91" i="81"/>
  <c r="CI171" i="81"/>
  <c r="AH11" i="6"/>
  <c r="AH44" i="6"/>
  <c r="AH66" i="6"/>
  <c r="AI66" i="6" s="1"/>
  <c r="AH26" i="6"/>
  <c r="AH96" i="6"/>
  <c r="AH49" i="6"/>
  <c r="AI49" i="6" s="1"/>
  <c r="DE166" i="81"/>
  <c r="AK36" i="6"/>
  <c r="AK66" i="6"/>
  <c r="AK45" i="6"/>
  <c r="AJ16" i="6"/>
  <c r="AK16" i="6"/>
  <c r="AI90" i="6"/>
  <c r="AK90" i="6"/>
  <c r="AJ33" i="6"/>
  <c r="AK33" i="6"/>
  <c r="AP33" i="6" s="1"/>
  <c r="AJ13" i="6"/>
  <c r="AJ24" i="6"/>
  <c r="AJ31" i="6"/>
  <c r="AJ14" i="6"/>
  <c r="AJ23" i="6"/>
  <c r="AJ36" i="6"/>
  <c r="AJ58" i="6"/>
  <c r="AJ15" i="6"/>
  <c r="AJ46" i="6"/>
  <c r="AI70" i="6"/>
  <c r="AJ27" i="6"/>
  <c r="AJ45" i="6"/>
  <c r="AH91" i="6"/>
  <c r="DE99" i="81"/>
  <c r="AJ49" i="6"/>
  <c r="AJ90" i="6"/>
  <c r="AJ70" i="6"/>
  <c r="AI12" i="6"/>
  <c r="AM12" i="6" s="1"/>
  <c r="AJ66" i="6"/>
  <c r="AJ51" i="6"/>
  <c r="AJ12" i="6"/>
  <c r="DE124" i="81"/>
  <c r="DE143" i="81"/>
  <c r="DE147" i="81"/>
  <c r="DE132" i="81"/>
  <c r="DE148" i="81"/>
  <c r="AI57" i="6"/>
  <c r="DE103" i="81"/>
  <c r="DE93" i="81"/>
  <c r="DE120" i="81"/>
  <c r="DE157" i="81"/>
  <c r="DE89" i="81"/>
  <c r="AI16" i="6"/>
  <c r="AM16" i="6" s="1"/>
  <c r="DE121" i="81"/>
  <c r="DE96" i="81"/>
  <c r="DE98" i="81"/>
  <c r="DE152" i="81"/>
  <c r="DE115" i="81"/>
  <c r="DE135" i="81"/>
  <c r="DE126" i="81"/>
  <c r="DE108" i="81"/>
  <c r="DE117" i="81"/>
  <c r="DE130" i="81"/>
  <c r="DE97" i="81"/>
  <c r="DE172" i="81"/>
  <c r="Y21" i="6"/>
  <c r="CX95" i="81" s="1"/>
  <c r="AH34" i="6"/>
  <c r="AH13" i="6"/>
  <c r="AI13" i="6" s="1"/>
  <c r="AH41" i="6"/>
  <c r="AH35" i="6"/>
  <c r="AH20" i="6"/>
  <c r="AH52" i="6"/>
  <c r="AH56" i="6"/>
  <c r="AH24" i="6"/>
  <c r="AI24" i="6" s="1"/>
  <c r="AH92" i="6"/>
  <c r="AH55" i="6"/>
  <c r="AH43" i="6"/>
  <c r="AH78" i="6"/>
  <c r="AH31" i="6"/>
  <c r="AI31" i="6" s="1"/>
  <c r="CX164" i="81"/>
  <c r="DE167" i="81"/>
  <c r="AH93" i="6"/>
  <c r="DE125" i="81"/>
  <c r="DE169" i="81"/>
  <c r="DE122" i="81"/>
  <c r="DE111" i="81"/>
  <c r="DE107" i="81"/>
  <c r="CP146" i="81"/>
  <c r="DE88" i="81"/>
  <c r="AH14" i="6"/>
  <c r="AI14" i="6" s="1"/>
  <c r="AH23" i="6"/>
  <c r="AI23" i="6" s="1"/>
  <c r="AH98" i="6"/>
  <c r="AH61" i="6"/>
  <c r="DE170" i="81"/>
  <c r="AH60" i="6"/>
  <c r="AH38" i="6"/>
  <c r="AH68" i="6"/>
  <c r="AH36" i="6"/>
  <c r="AI36" i="6" s="1"/>
  <c r="AH40" i="6"/>
  <c r="AH80" i="6"/>
  <c r="AH48" i="6"/>
  <c r="DE162" i="81"/>
  <c r="AH88" i="6"/>
  <c r="AH82" i="6"/>
  <c r="AH33" i="6"/>
  <c r="AI33" i="6" s="1"/>
  <c r="AH28" i="6"/>
  <c r="AH27" i="6"/>
  <c r="AI27" i="6" s="1"/>
  <c r="AH87" i="6"/>
  <c r="AH37" i="6"/>
  <c r="AH30" i="6"/>
  <c r="AH42" i="6"/>
  <c r="AH53" i="6"/>
  <c r="DE160" i="81"/>
  <c r="DE119" i="81"/>
  <c r="DE92" i="81"/>
  <c r="CP170" i="81"/>
  <c r="DE118" i="81"/>
  <c r="DE100" i="81"/>
  <c r="DE85" i="81"/>
  <c r="DE163" i="81"/>
  <c r="AH89" i="6"/>
  <c r="AH29" i="6"/>
  <c r="AH19" i="6"/>
  <c r="AH73" i="6"/>
  <c r="AH69" i="6"/>
  <c r="AH25" i="6"/>
  <c r="AH58" i="6"/>
  <c r="AI58" i="6" s="1"/>
  <c r="AH63" i="6"/>
  <c r="AH83" i="6"/>
  <c r="AH50" i="6"/>
  <c r="AH17" i="6"/>
  <c r="AH79" i="6"/>
  <c r="AH47" i="6"/>
  <c r="AH15" i="6"/>
  <c r="AI15" i="6" s="1"/>
  <c r="AH74" i="6"/>
  <c r="AH22" i="6"/>
  <c r="AH46" i="6"/>
  <c r="AI46" i="6" s="1"/>
  <c r="CP162" i="81"/>
  <c r="CI86" i="81"/>
  <c r="S66" i="6"/>
  <c r="T66" i="6" s="1"/>
  <c r="S50" i="6"/>
  <c r="T50" i="6" s="1"/>
  <c r="CI125" i="81"/>
  <c r="S92" i="6"/>
  <c r="T92" i="6" s="1"/>
  <c r="S68" i="6"/>
  <c r="T68" i="6" s="1"/>
  <c r="CP124" i="81"/>
  <c r="V35" i="6"/>
  <c r="Y35" i="6"/>
  <c r="T48" i="6"/>
  <c r="Y48" i="6"/>
  <c r="AJ48" i="6" s="1"/>
  <c r="T67" i="6"/>
  <c r="Y67" i="6"/>
  <c r="V42" i="6"/>
  <c r="CU116" i="81" s="1"/>
  <c r="Y42" i="6"/>
  <c r="AK42" i="6" s="1"/>
  <c r="V68" i="6"/>
  <c r="Y68" i="6"/>
  <c r="T41" i="6"/>
  <c r="Y41" i="6"/>
  <c r="CX115" i="81" s="1"/>
  <c r="V38" i="6"/>
  <c r="Y38" i="6"/>
  <c r="AK38" i="6" s="1"/>
  <c r="U99" i="6"/>
  <c r="V99" i="6" s="1"/>
  <c r="Y99" i="6"/>
  <c r="U81" i="6"/>
  <c r="Y81" i="6"/>
  <c r="CX155" i="81" s="1"/>
  <c r="V96" i="6"/>
  <c r="CU170" i="81" s="1"/>
  <c r="Y96" i="6"/>
  <c r="CX170" i="81" s="1"/>
  <c r="T94" i="6"/>
  <c r="Y94" i="6"/>
  <c r="V72" i="6"/>
  <c r="CU146" i="81" s="1"/>
  <c r="Y72" i="6"/>
  <c r="AK72" i="6" s="1"/>
  <c r="V79" i="6"/>
  <c r="Y79" i="6"/>
  <c r="V95" i="6"/>
  <c r="CU169" i="81" s="1"/>
  <c r="Y95" i="6"/>
  <c r="AK95" i="6" s="1"/>
  <c r="V43" i="6"/>
  <c r="Y43" i="6"/>
  <c r="V32" i="6"/>
  <c r="Y32" i="6"/>
  <c r="AK32" i="6" s="1"/>
  <c r="V30" i="6"/>
  <c r="Y30" i="6"/>
  <c r="T97" i="6"/>
  <c r="Y97" i="6"/>
  <c r="AJ97" i="6" s="1"/>
  <c r="V93" i="6"/>
  <c r="Y93" i="6"/>
  <c r="V78" i="6"/>
  <c r="Y78" i="6"/>
  <c r="V29" i="6"/>
  <c r="Y29" i="6"/>
  <c r="V82" i="6"/>
  <c r="CU156" i="81" s="1"/>
  <c r="Y82" i="6"/>
  <c r="S44" i="6"/>
  <c r="T44" i="6" s="1"/>
  <c r="T18" i="6"/>
  <c r="Y18" i="6"/>
  <c r="V89" i="6"/>
  <c r="Y89" i="6"/>
  <c r="V50" i="6"/>
  <c r="CU124" i="81" s="1"/>
  <c r="Y50" i="6"/>
  <c r="V74" i="6"/>
  <c r="CU148" i="81" s="1"/>
  <c r="Y74" i="6"/>
  <c r="V26" i="6"/>
  <c r="CU100" i="81" s="1"/>
  <c r="Y26" i="6"/>
  <c r="V88" i="6"/>
  <c r="Y88" i="6"/>
  <c r="AK88" i="6" s="1"/>
  <c r="T64" i="6"/>
  <c r="Y64" i="6"/>
  <c r="AK64" i="6" s="1"/>
  <c r="V60" i="6"/>
  <c r="Y60" i="6"/>
  <c r="V52" i="6"/>
  <c r="Y52" i="6"/>
  <c r="CP147" i="81"/>
  <c r="U62" i="6"/>
  <c r="V62" i="6" s="1"/>
  <c r="Y62" i="6"/>
  <c r="U65" i="6"/>
  <c r="V65" i="6" s="1"/>
  <c r="Y65" i="6"/>
  <c r="V47" i="6"/>
  <c r="Y47" i="6"/>
  <c r="V44" i="6"/>
  <c r="Y44" i="6"/>
  <c r="V19" i="6"/>
  <c r="Y19" i="6"/>
  <c r="V28" i="6"/>
  <c r="Y28" i="6"/>
  <c r="V37" i="6"/>
  <c r="Y37" i="6"/>
  <c r="T100" i="6"/>
  <c r="Y100" i="6"/>
  <c r="V63" i="6"/>
  <c r="CU137" i="81" s="1"/>
  <c r="Y63" i="6"/>
  <c r="V91" i="6"/>
  <c r="Y91" i="6"/>
  <c r="CI144" i="81"/>
  <c r="V86" i="6"/>
  <c r="Y86" i="6"/>
  <c r="U53" i="6"/>
  <c r="Y53" i="6"/>
  <c r="T40" i="6"/>
  <c r="Y40" i="6"/>
  <c r="V98" i="6"/>
  <c r="Y98" i="6"/>
  <c r="T77" i="6"/>
  <c r="Y77" i="6"/>
  <c r="U17" i="6"/>
  <c r="Y17" i="6"/>
  <c r="T85" i="6"/>
  <c r="Y85" i="6"/>
  <c r="V80" i="6"/>
  <c r="Y80" i="6"/>
  <c r="CX110" i="81"/>
  <c r="CI170" i="81"/>
  <c r="V22" i="6"/>
  <c r="Y22" i="6"/>
  <c r="T25" i="6"/>
  <c r="Y25" i="6"/>
  <c r="V87" i="6"/>
  <c r="Y87" i="6"/>
  <c r="V73" i="6"/>
  <c r="Y73" i="6"/>
  <c r="T84" i="6"/>
  <c r="Y84" i="6"/>
  <c r="AJ84" i="6" s="1"/>
  <c r="T39" i="6"/>
  <c r="Y39" i="6"/>
  <c r="V34" i="6"/>
  <c r="CU108" i="81" s="1"/>
  <c r="Y34" i="6"/>
  <c r="T76" i="6"/>
  <c r="Y76" i="6"/>
  <c r="AJ76" i="6" s="1"/>
  <c r="CI150" i="81"/>
  <c r="CI122" i="81"/>
  <c r="S72" i="6"/>
  <c r="T72" i="6" s="1"/>
  <c r="V56" i="6"/>
  <c r="Y56" i="6"/>
  <c r="V75" i="6"/>
  <c r="Y75" i="6"/>
  <c r="V92" i="6"/>
  <c r="CU166" i="81" s="1"/>
  <c r="Y92" i="6"/>
  <c r="AK92" i="6" s="1"/>
  <c r="V83" i="6"/>
  <c r="Y83" i="6"/>
  <c r="T54" i="6"/>
  <c r="Y54" i="6"/>
  <c r="T20" i="6"/>
  <c r="Y20" i="6"/>
  <c r="AJ20" i="6" s="1"/>
  <c r="V55" i="6"/>
  <c r="Y55" i="6"/>
  <c r="CI135" i="81"/>
  <c r="Y61" i="6"/>
  <c r="AK61" i="6" s="1"/>
  <c r="AP61" i="6" s="1"/>
  <c r="V69" i="6"/>
  <c r="Y69" i="6"/>
  <c r="V36" i="6"/>
  <c r="V81" i="6"/>
  <c r="S47" i="6"/>
  <c r="T47" i="6" s="1"/>
  <c r="V66" i="6"/>
  <c r="S88" i="6"/>
  <c r="T88" i="6" s="1"/>
  <c r="V31" i="6"/>
  <c r="AP31" i="6" s="1"/>
  <c r="V11" i="6"/>
  <c r="Y11" i="6"/>
  <c r="S87" i="6"/>
  <c r="T87" i="6" s="1"/>
  <c r="V51" i="6"/>
  <c r="S73" i="6"/>
  <c r="T73" i="6" s="1"/>
  <c r="S22" i="6"/>
  <c r="T22" i="6" s="1"/>
  <c r="CQ170" i="81"/>
  <c r="S89" i="6"/>
  <c r="T89" i="6" s="1"/>
  <c r="T49" i="6"/>
  <c r="V49" i="6"/>
  <c r="AP49" i="6" s="1"/>
  <c r="T15" i="6"/>
  <c r="V15" i="6"/>
  <c r="AP15" i="6" s="1"/>
  <c r="S82" i="6"/>
  <c r="T82" i="6" s="1"/>
  <c r="V48" i="6"/>
  <c r="S93" i="6"/>
  <c r="T93" i="6" s="1"/>
  <c r="V64" i="6"/>
  <c r="S51" i="6"/>
  <c r="T51" i="6" s="1"/>
  <c r="V20" i="6"/>
  <c r="T45" i="6"/>
  <c r="V45" i="6"/>
  <c r="S14" i="6"/>
  <c r="T14" i="6" s="1"/>
  <c r="T17" i="6"/>
  <c r="T91" i="6"/>
  <c r="T75" i="6"/>
  <c r="T83" i="6"/>
  <c r="T57" i="6"/>
  <c r="CI166" i="81"/>
  <c r="T35" i="6"/>
  <c r="T55" i="6"/>
  <c r="T34" i="6"/>
  <c r="CI131" i="81"/>
  <c r="CI91" i="81"/>
  <c r="U42" i="6"/>
  <c r="T13" i="6"/>
  <c r="T80" i="6"/>
  <c r="T27" i="6"/>
  <c r="T69" i="6"/>
  <c r="S36" i="6"/>
  <c r="T36" i="6" s="1"/>
  <c r="T95" i="6"/>
  <c r="T43" i="6"/>
  <c r="T32" i="6"/>
  <c r="T38" i="6"/>
  <c r="T90" i="6"/>
  <c r="U79" i="6"/>
  <c r="S86" i="6"/>
  <c r="T86" i="6" s="1"/>
  <c r="CI148" i="81"/>
  <c r="T26" i="6"/>
  <c r="T30" i="6"/>
  <c r="T78" i="6"/>
  <c r="S19" i="6"/>
  <c r="T19" i="6" s="1"/>
  <c r="U31" i="6"/>
  <c r="T60" i="6"/>
  <c r="T29" i="6"/>
  <c r="T56" i="6"/>
  <c r="CI107" i="81"/>
  <c r="CU107" i="81"/>
  <c r="U98" i="6"/>
  <c r="CT172" i="81" s="1"/>
  <c r="U49" i="6"/>
  <c r="U15" i="6"/>
  <c r="U28" i="6"/>
  <c r="T37" i="6"/>
  <c r="T63" i="6"/>
  <c r="T70" i="6"/>
  <c r="T52" i="6"/>
  <c r="T42" i="6"/>
  <c r="T28" i="6"/>
  <c r="CP163" i="81"/>
  <c r="T53" i="6"/>
  <c r="U35" i="6"/>
  <c r="U57" i="6"/>
  <c r="V57" i="6" s="1"/>
  <c r="U37" i="6"/>
  <c r="U96" i="6"/>
  <c r="T81" i="6"/>
  <c r="U36" i="6"/>
  <c r="T11" i="6"/>
  <c r="U54" i="6"/>
  <c r="U64" i="6"/>
  <c r="U68" i="6"/>
  <c r="U84" i="6"/>
  <c r="V84" i="6" s="1"/>
  <c r="U78" i="6"/>
  <c r="U24" i="6"/>
  <c r="T62" i="6"/>
  <c r="T23" i="6"/>
  <c r="T65" i="6"/>
  <c r="U56" i="6"/>
  <c r="U75" i="6"/>
  <c r="U85" i="6"/>
  <c r="V85" i="6" s="1"/>
  <c r="U48" i="6"/>
  <c r="U33" i="6"/>
  <c r="U73" i="6"/>
  <c r="U46" i="6"/>
  <c r="U91" i="6"/>
  <c r="U77" i="6"/>
  <c r="V77" i="6" s="1"/>
  <c r="CI151" i="81"/>
  <c r="U67" i="6"/>
  <c r="V67" i="6" s="1"/>
  <c r="U13" i="6"/>
  <c r="U32" i="6"/>
  <c r="U41" i="6"/>
  <c r="U80" i="6"/>
  <c r="U100" i="6"/>
  <c r="V100" i="6" s="1"/>
  <c r="U58" i="6"/>
  <c r="U34" i="6"/>
  <c r="U23" i="6"/>
  <c r="CI139" i="81"/>
  <c r="T99" i="6"/>
  <c r="U95" i="6"/>
  <c r="U43" i="6"/>
  <c r="U50" i="6"/>
  <c r="U39" i="6"/>
  <c r="U45" i="6"/>
  <c r="U38" i="6"/>
  <c r="U66" i="6"/>
  <c r="U16" i="6"/>
  <c r="V16" i="6" s="1"/>
  <c r="U63" i="6"/>
  <c r="U69" i="6"/>
  <c r="U76" i="6"/>
  <c r="V76" i="6" s="1"/>
  <c r="U18" i="6"/>
  <c r="U89" i="6"/>
  <c r="U44" i="6"/>
  <c r="U74" i="6"/>
  <c r="U26" i="6"/>
  <c r="U30" i="6"/>
  <c r="U60" i="6"/>
  <c r="U20" i="6"/>
  <c r="U90" i="6"/>
  <c r="V90" i="6" s="1"/>
  <c r="U14" i="6"/>
  <c r="U47" i="6"/>
  <c r="U51" i="6"/>
  <c r="U19" i="6"/>
  <c r="U88" i="6"/>
  <c r="U61" i="6"/>
  <c r="U27" i="6"/>
  <c r="U94" i="6"/>
  <c r="V94" i="6" s="1"/>
  <c r="U72" i="6"/>
  <c r="U86" i="6"/>
  <c r="U25" i="6"/>
  <c r="U40" i="6"/>
  <c r="U55" i="6"/>
  <c r="U29" i="6"/>
  <c r="U82" i="6"/>
  <c r="CI126" i="81"/>
  <c r="U22" i="6"/>
  <c r="U12" i="6"/>
  <c r="U92" i="6"/>
  <c r="U83" i="6"/>
  <c r="U87" i="6"/>
  <c r="U97" i="6"/>
  <c r="V97" i="6" s="1"/>
  <c r="U93" i="6"/>
  <c r="U70" i="6"/>
  <c r="V70" i="6" s="1"/>
  <c r="U52" i="6"/>
  <c r="T58" i="6"/>
  <c r="U11" i="6"/>
  <c r="CP156" i="81"/>
  <c r="CP121" i="81"/>
  <c r="T74" i="6"/>
  <c r="T33" i="6"/>
  <c r="T24" i="6"/>
  <c r="CP161" i="81"/>
  <c r="J59" i="6"/>
  <c r="J71" i="6"/>
  <c r="J21" i="6"/>
  <c r="CI95" i="81" s="1"/>
  <c r="S96" i="6"/>
  <c r="T96" i="6" s="1"/>
  <c r="T46" i="6"/>
  <c r="T61" i="6"/>
  <c r="CS135" i="81" s="1"/>
  <c r="CP118" i="81"/>
  <c r="CI164" i="81"/>
  <c r="S79" i="6"/>
  <c r="T79" i="6" s="1"/>
  <c r="CP166" i="81"/>
  <c r="S47" i="108"/>
  <c r="T47" i="108" s="1"/>
  <c r="CP105" i="81"/>
  <c r="S31" i="6"/>
  <c r="CP172" i="81"/>
  <c r="S98" i="6"/>
  <c r="T98" i="6" s="1"/>
  <c r="CP140" i="81"/>
  <c r="CP142" i="81"/>
  <c r="CP167" i="81"/>
  <c r="CF145" i="81"/>
  <c r="CF133" i="81"/>
  <c r="Y89" i="108"/>
  <c r="AK89" i="108" s="1"/>
  <c r="AP89" i="108" s="1"/>
  <c r="CH7" i="81"/>
  <c r="CC8" i="81"/>
  <c r="CH3" i="81"/>
  <c r="CF140" i="81"/>
  <c r="CP153" i="81"/>
  <c r="CP93" i="81"/>
  <c r="CI140" i="81"/>
  <c r="CP88" i="81"/>
  <c r="DF124" i="81"/>
  <c r="CX140" i="81"/>
  <c r="U82" i="108"/>
  <c r="CR113" i="81"/>
  <c r="DF93" i="81"/>
  <c r="CP132" i="81"/>
  <c r="U58" i="108"/>
  <c r="DF135" i="81"/>
  <c r="CP99" i="81"/>
  <c r="AK90" i="108"/>
  <c r="CX131" i="81"/>
  <c r="CP135" i="81"/>
  <c r="CF173" i="81"/>
  <c r="DE105" i="81"/>
  <c r="CP111" i="81"/>
  <c r="CI130" i="81"/>
  <c r="CP125" i="81"/>
  <c r="CP110" i="81"/>
  <c r="T39" i="108"/>
  <c r="CU91" i="81"/>
  <c r="CP113" i="81"/>
  <c r="CF170" i="81"/>
  <c r="U39" i="108"/>
  <c r="CP107" i="81"/>
  <c r="DE129" i="81"/>
  <c r="CI108" i="81"/>
  <c r="CX97" i="81"/>
  <c r="U93" i="108"/>
  <c r="CI153" i="81"/>
  <c r="AH11" i="108"/>
  <c r="CP116" i="81"/>
  <c r="CR98" i="81"/>
  <c r="U61" i="108"/>
  <c r="CI158" i="81"/>
  <c r="S29" i="108"/>
  <c r="T29" i="108" s="1"/>
  <c r="V79" i="108"/>
  <c r="Y11" i="108"/>
  <c r="AK11" i="108" s="1"/>
  <c r="AP11" i="108" s="1"/>
  <c r="CF85" i="81"/>
  <c r="CP96" i="81"/>
  <c r="T87" i="108"/>
  <c r="S19" i="108"/>
  <c r="T19" i="108" s="1"/>
  <c r="AK93" i="108"/>
  <c r="AP93" i="108" s="1"/>
  <c r="U37" i="108"/>
  <c r="U66" i="108"/>
  <c r="CI111" i="81"/>
  <c r="CI117" i="81"/>
  <c r="S69" i="108"/>
  <c r="T69" i="108" s="1"/>
  <c r="U77" i="108"/>
  <c r="V77" i="108" s="1"/>
  <c r="AK33" i="108"/>
  <c r="AP33" i="108" s="1"/>
  <c r="CI169" i="81"/>
  <c r="AH83" i="108"/>
  <c r="AI83" i="108" s="1"/>
  <c r="T58" i="108"/>
  <c r="V30" i="108"/>
  <c r="CI98" i="81"/>
  <c r="CP98" i="81"/>
  <c r="S60" i="108"/>
  <c r="T60" i="108" s="1"/>
  <c r="CI110" i="81"/>
  <c r="AH52" i="108"/>
  <c r="AI52" i="108" s="1"/>
  <c r="CI138" i="81"/>
  <c r="CF174" i="81"/>
  <c r="CP127" i="81"/>
  <c r="AK48" i="108"/>
  <c r="DF97" i="81"/>
  <c r="T50" i="108"/>
  <c r="T85" i="108"/>
  <c r="AH60" i="108"/>
  <c r="AI60" i="108" s="1"/>
  <c r="CI134" i="81"/>
  <c r="AP31" i="108"/>
  <c r="S63" i="108"/>
  <c r="T63" i="108" s="1"/>
  <c r="U45" i="108"/>
  <c r="U42" i="108"/>
  <c r="S38" i="108"/>
  <c r="T38" i="108" s="1"/>
  <c r="S26" i="108"/>
  <c r="T26" i="108" s="1"/>
  <c r="CI162" i="81"/>
  <c r="CI143" i="81"/>
  <c r="AK20" i="108"/>
  <c r="AP20" i="108" s="1"/>
  <c r="U95" i="108"/>
  <c r="U74" i="108"/>
  <c r="CF154" i="81"/>
  <c r="CP152" i="81"/>
  <c r="U34" i="108"/>
  <c r="Y51" i="108"/>
  <c r="CX125" i="81" s="1"/>
  <c r="CF138" i="81"/>
  <c r="S79" i="108"/>
  <c r="T79" i="108" s="1"/>
  <c r="CF125" i="81"/>
  <c r="CI116" i="81"/>
  <c r="AI93" i="108"/>
  <c r="CI104" i="81"/>
  <c r="AH15" i="108"/>
  <c r="CF107" i="81"/>
  <c r="AH38" i="108"/>
  <c r="AI38" i="108" s="1"/>
  <c r="T54" i="108"/>
  <c r="CP100" i="81"/>
  <c r="S56" i="108"/>
  <c r="T56" i="108" s="1"/>
  <c r="U53" i="108"/>
  <c r="DE146" i="81"/>
  <c r="U79" i="108"/>
  <c r="CP160" i="81"/>
  <c r="CI124" i="81"/>
  <c r="CI155" i="81"/>
  <c r="S52" i="108"/>
  <c r="T52" i="108" s="1"/>
  <c r="V45" i="108"/>
  <c r="CI146" i="81"/>
  <c r="DE140" i="81"/>
  <c r="CF149" i="81"/>
  <c r="CI154" i="81"/>
  <c r="U85" i="108"/>
  <c r="V85" i="108" s="1"/>
  <c r="U24" i="108"/>
  <c r="CX107" i="81"/>
  <c r="CI161" i="81"/>
  <c r="CP143" i="81"/>
  <c r="AH56" i="108"/>
  <c r="AI56" i="108" s="1"/>
  <c r="S75" i="108"/>
  <c r="T75" i="108" s="1"/>
  <c r="AH68" i="108"/>
  <c r="AI68" i="108" s="1"/>
  <c r="AK46" i="108"/>
  <c r="AP46" i="108" s="1"/>
  <c r="CP157" i="81"/>
  <c r="T24" i="108"/>
  <c r="CI167" i="81"/>
  <c r="CF95" i="81"/>
  <c r="CI112" i="81"/>
  <c r="DE137" i="81"/>
  <c r="AH37" i="108"/>
  <c r="AI37" i="108" s="1"/>
  <c r="AK30" i="108"/>
  <c r="CE87" i="81"/>
  <c r="S36" i="108"/>
  <c r="T36" i="108" s="1"/>
  <c r="AH43" i="108"/>
  <c r="AI43" i="108" s="1"/>
  <c r="DF99" i="81"/>
  <c r="CX98" i="81"/>
  <c r="DF96" i="81"/>
  <c r="CI119" i="81"/>
  <c r="DE154" i="81"/>
  <c r="CQ97" i="81"/>
  <c r="CI115" i="81"/>
  <c r="S68" i="108"/>
  <c r="T68" i="108" s="1"/>
  <c r="S32" i="108"/>
  <c r="T32" i="108" s="1"/>
  <c r="AH29" i="108"/>
  <c r="AI29" i="108" s="1"/>
  <c r="CI93" i="81"/>
  <c r="V80" i="108"/>
  <c r="AP80" i="108" s="1"/>
  <c r="CI100" i="81"/>
  <c r="AH47" i="108"/>
  <c r="AI47" i="108" s="1"/>
  <c r="S51" i="108"/>
  <c r="T51" i="108" s="1"/>
  <c r="Y55" i="108"/>
  <c r="CF100" i="81"/>
  <c r="CQ119" i="81"/>
  <c r="J55" i="108"/>
  <c r="V38" i="108"/>
  <c r="AH32" i="108"/>
  <c r="AI32" i="108" s="1"/>
  <c r="CI174" i="81"/>
  <c r="U41" i="108"/>
  <c r="S15" i="108"/>
  <c r="AH69" i="108"/>
  <c r="AI69" i="108" s="1"/>
  <c r="U16" i="108"/>
  <c r="V16" i="108" s="1"/>
  <c r="AP16" i="108" s="1"/>
  <c r="S43" i="108"/>
  <c r="T43" i="108" s="1"/>
  <c r="S83" i="108"/>
  <c r="T83" i="108" s="1"/>
  <c r="CP112" i="81"/>
  <c r="S14" i="108"/>
  <c r="CF160" i="81"/>
  <c r="CF113" i="81"/>
  <c r="CI168" i="81"/>
  <c r="CF168" i="81"/>
  <c r="CF163" i="81"/>
  <c r="U31" i="108"/>
  <c r="DE110" i="81"/>
  <c r="CX105" i="81"/>
  <c r="J78" i="108"/>
  <c r="U78" i="108" s="1"/>
  <c r="CF152" i="81"/>
  <c r="Y78" i="108"/>
  <c r="AJ78" i="108" s="1"/>
  <c r="CR128" i="81"/>
  <c r="S11" i="108"/>
  <c r="T11" i="108" s="1"/>
  <c r="CQ156" i="81"/>
  <c r="CQ102" i="81"/>
  <c r="U27" i="108"/>
  <c r="CQ105" i="81"/>
  <c r="S23" i="108"/>
  <c r="CR97" i="81" s="1"/>
  <c r="CP97" i="81"/>
  <c r="U23" i="108"/>
  <c r="CQ114" i="81"/>
  <c r="AJ32" i="108"/>
  <c r="AH98" i="108"/>
  <c r="AI98" i="108" s="1"/>
  <c r="CQ107" i="81"/>
  <c r="CF142" i="81"/>
  <c r="CP85" i="81"/>
  <c r="S55" i="108"/>
  <c r="CR129" i="81" s="1"/>
  <c r="T53" i="108"/>
  <c r="S93" i="108"/>
  <c r="T93" i="108" s="1"/>
  <c r="S48" i="108"/>
  <c r="T48" i="108" s="1"/>
  <c r="AJ97" i="108"/>
  <c r="AK97" i="108" s="1"/>
  <c r="S45" i="108"/>
  <c r="T45" i="108" s="1"/>
  <c r="CX119" i="81"/>
  <c r="V68" i="108"/>
  <c r="AH86" i="108"/>
  <c r="AI86" i="108" s="1"/>
  <c r="CI157" i="81"/>
  <c r="AP28" i="108"/>
  <c r="CI127" i="81"/>
  <c r="DF117" i="81"/>
  <c r="AK45" i="108"/>
  <c r="CP89" i="81"/>
  <c r="CI159" i="81"/>
  <c r="CI137" i="81"/>
  <c r="AH92" i="108"/>
  <c r="AI92" i="108" s="1"/>
  <c r="AH63" i="108"/>
  <c r="AI63" i="108" s="1"/>
  <c r="S35" i="108"/>
  <c r="T35" i="108" s="1"/>
  <c r="AK52" i="108"/>
  <c r="CH66" i="81"/>
  <c r="CI128" i="81"/>
  <c r="AP47" i="108"/>
  <c r="V22" i="108"/>
  <c r="AP22" i="108" s="1"/>
  <c r="U47" i="108"/>
  <c r="AP37" i="108"/>
  <c r="S88" i="108"/>
  <c r="T88" i="108" s="1"/>
  <c r="AM88" i="108" s="1"/>
  <c r="AJ38" i="108"/>
  <c r="S17" i="108"/>
  <c r="T17" i="108" s="1"/>
  <c r="U17" i="108"/>
  <c r="U63" i="108"/>
  <c r="U29" i="108"/>
  <c r="CI121" i="81"/>
  <c r="CQ109" i="81"/>
  <c r="U38" i="108"/>
  <c r="T16" i="108"/>
  <c r="AJ43" i="108"/>
  <c r="AH51" i="108"/>
  <c r="CQ124" i="81"/>
  <c r="AP26" i="108"/>
  <c r="DJ146" i="81"/>
  <c r="E32" i="81"/>
  <c r="B32" i="81" s="1"/>
  <c r="S86" i="108"/>
  <c r="T86" i="108" s="1"/>
  <c r="AJ60" i="108"/>
  <c r="S33" i="108"/>
  <c r="T33" i="108" s="1"/>
  <c r="AP13" i="108"/>
  <c r="U50" i="108"/>
  <c r="S78" i="108"/>
  <c r="CP128" i="81"/>
  <c r="V66" i="108"/>
  <c r="U84" i="108"/>
  <c r="V84" i="108" s="1"/>
  <c r="CI85" i="81"/>
  <c r="DF92" i="81"/>
  <c r="V43" i="108"/>
  <c r="AJ29" i="108"/>
  <c r="CI136" i="81"/>
  <c r="CF136" i="81"/>
  <c r="CF118" i="81"/>
  <c r="CF123" i="81"/>
  <c r="S91" i="108"/>
  <c r="CP165" i="81"/>
  <c r="S46" i="108"/>
  <c r="CP120" i="81"/>
  <c r="S42" i="108"/>
  <c r="T42" i="108" s="1"/>
  <c r="CI106" i="81"/>
  <c r="CQ104" i="81"/>
  <c r="CF141" i="81"/>
  <c r="Y67" i="108"/>
  <c r="J67" i="108"/>
  <c r="CI141" i="81" s="1"/>
  <c r="U54" i="108"/>
  <c r="S25" i="108"/>
  <c r="T25" i="108" s="1"/>
  <c r="U25" i="108"/>
  <c r="AP95" i="108"/>
  <c r="AH35" i="108"/>
  <c r="AI35" i="108" s="1"/>
  <c r="S74" i="108"/>
  <c r="T74" i="108" s="1"/>
  <c r="V87" i="108"/>
  <c r="AP87" i="108" s="1"/>
  <c r="AP32" i="108"/>
  <c r="AP82" i="108"/>
  <c r="CF114" i="81"/>
  <c r="S40" i="108"/>
  <c r="U40" i="108"/>
  <c r="CP114" i="81"/>
  <c r="AK83" i="108"/>
  <c r="U87" i="108"/>
  <c r="V69" i="108"/>
  <c r="E33" i="81"/>
  <c r="B33" i="81" s="1"/>
  <c r="S82" i="108"/>
  <c r="T82" i="108" s="1"/>
  <c r="AK38" i="108"/>
  <c r="CH64" i="81"/>
  <c r="S98" i="108"/>
  <c r="T98" i="108" s="1"/>
  <c r="AJ56" i="108"/>
  <c r="AK60" i="108"/>
  <c r="AK69" i="108"/>
  <c r="E43" i="81"/>
  <c r="B43" i="81" s="1"/>
  <c r="AJ86" i="108"/>
  <c r="CQ88" i="81"/>
  <c r="CQ129" i="81"/>
  <c r="AJ92" i="108"/>
  <c r="AP96" i="108"/>
  <c r="S49" i="108"/>
  <c r="T49" i="108" s="1"/>
  <c r="AP34" i="108"/>
  <c r="AK43" i="108"/>
  <c r="CP92" i="81"/>
  <c r="S18" i="108"/>
  <c r="CR92" i="81" s="1"/>
  <c r="U18" i="108"/>
  <c r="U46" i="108"/>
  <c r="E42" i="81"/>
  <c r="B42" i="81" s="1"/>
  <c r="S41" i="108"/>
  <c r="CP115" i="81"/>
  <c r="J73" i="108"/>
  <c r="V73" i="108" s="1"/>
  <c r="Y73" i="108"/>
  <c r="AK73" i="108" s="1"/>
  <c r="AH73" i="108"/>
  <c r="AP29" i="108"/>
  <c r="AH70" i="108"/>
  <c r="AI70" i="108" s="1"/>
  <c r="AJ70" i="108"/>
  <c r="T59" i="108"/>
  <c r="CQ154" i="81"/>
  <c r="CR171" i="81"/>
  <c r="CP171" i="81"/>
  <c r="U19" i="108"/>
  <c r="CQ85" i="81"/>
  <c r="AH20" i="108"/>
  <c r="DG94" i="81" s="1"/>
  <c r="AJ20" i="108"/>
  <c r="CQ163" i="81"/>
  <c r="CF101" i="81"/>
  <c r="DF109" i="81"/>
  <c r="CQ162" i="81"/>
  <c r="DF100" i="81"/>
  <c r="U75" i="108"/>
  <c r="S90" i="108"/>
  <c r="T90" i="108" s="1"/>
  <c r="U90" i="108"/>
  <c r="V90" i="108" s="1"/>
  <c r="AP27" i="108"/>
  <c r="AJ52" i="108"/>
  <c r="U88" i="108"/>
  <c r="AH44" i="108"/>
  <c r="AI44" i="108" s="1"/>
  <c r="AJ44" i="108"/>
  <c r="S76" i="108"/>
  <c r="T76" i="108" s="1"/>
  <c r="U76" i="108"/>
  <c r="V76" i="108" s="1"/>
  <c r="AH85" i="108"/>
  <c r="AI85" i="108" s="1"/>
  <c r="AJ85" i="108"/>
  <c r="DF122" i="81"/>
  <c r="CQ153" i="81"/>
  <c r="CI90" i="81"/>
  <c r="CF90" i="81"/>
  <c r="CQ172" i="81"/>
  <c r="AH54" i="108"/>
  <c r="AI54" i="108" s="1"/>
  <c r="AJ54" i="108"/>
  <c r="CU98" i="81"/>
  <c r="CQ161" i="81"/>
  <c r="DF134" i="81"/>
  <c r="S99" i="108"/>
  <c r="T99" i="108" s="1"/>
  <c r="U99" i="108"/>
  <c r="V99" i="108" s="1"/>
  <c r="AH46" i="108"/>
  <c r="AI46" i="108" s="1"/>
  <c r="AJ46" i="108"/>
  <c r="DF165" i="81"/>
  <c r="E34" i="81"/>
  <c r="B34" i="81" s="1"/>
  <c r="CP141" i="81"/>
  <c r="AH16" i="108"/>
  <c r="AI16" i="108" s="1"/>
  <c r="CQ89" i="81"/>
  <c r="DE139" i="81"/>
  <c r="DF148" i="81"/>
  <c r="DE86" i="81"/>
  <c r="DF143" i="81"/>
  <c r="AH96" i="108"/>
  <c r="AI96" i="108" s="1"/>
  <c r="AJ96" i="108"/>
  <c r="S22" i="108"/>
  <c r="T22" i="108" s="1"/>
  <c r="U22" i="108"/>
  <c r="AH19" i="108"/>
  <c r="AI19" i="108" s="1"/>
  <c r="AJ19" i="108"/>
  <c r="AH49" i="108"/>
  <c r="AI49" i="108" s="1"/>
  <c r="AJ49" i="108"/>
  <c r="AJ98" i="108"/>
  <c r="AO98" i="108" s="1"/>
  <c r="AJ53" i="108"/>
  <c r="AH53" i="108"/>
  <c r="AI53" i="108" s="1"/>
  <c r="U36" i="108"/>
  <c r="AP44" i="108"/>
  <c r="S80" i="108"/>
  <c r="T80" i="108" s="1"/>
  <c r="U80" i="108"/>
  <c r="DF111" i="81"/>
  <c r="DF140" i="81"/>
  <c r="V91" i="108"/>
  <c r="DE90" i="81"/>
  <c r="S64" i="108"/>
  <c r="T64" i="108" s="1"/>
  <c r="U64" i="108"/>
  <c r="U92" i="108"/>
  <c r="S92" i="108"/>
  <c r="T92" i="108" s="1"/>
  <c r="CQ126" i="81"/>
  <c r="DE128" i="81"/>
  <c r="AJ63" i="108"/>
  <c r="AH26" i="108"/>
  <c r="AI26" i="108" s="1"/>
  <c r="AJ26" i="108"/>
  <c r="DF112" i="81"/>
  <c r="DG171" i="81"/>
  <c r="DE171" i="81"/>
  <c r="U26" i="108"/>
  <c r="V48" i="108"/>
  <c r="AJ33" i="108"/>
  <c r="AH33" i="108"/>
  <c r="AI33" i="108" s="1"/>
  <c r="CR133" i="81"/>
  <c r="CP133" i="81"/>
  <c r="DF138" i="81"/>
  <c r="S66" i="108"/>
  <c r="T66" i="108" s="1"/>
  <c r="AP98" i="108"/>
  <c r="U97" i="108"/>
  <c r="V97" i="108" s="1"/>
  <c r="CD84" i="81"/>
  <c r="E24" i="81" s="1"/>
  <c r="B24" i="81" s="1"/>
  <c r="F15" i="108"/>
  <c r="G15" i="108" s="1"/>
  <c r="AH72" i="108"/>
  <c r="AI72" i="108" s="1"/>
  <c r="AJ72" i="108"/>
  <c r="AH30" i="108"/>
  <c r="AI30" i="108" s="1"/>
  <c r="AJ30" i="108"/>
  <c r="AH48" i="108"/>
  <c r="AI48" i="108" s="1"/>
  <c r="AJ48" i="108"/>
  <c r="AH94" i="108"/>
  <c r="AI94" i="108" s="1"/>
  <c r="AJ94" i="108"/>
  <c r="U59" i="108"/>
  <c r="V59" i="108" s="1"/>
  <c r="DE95" i="81"/>
  <c r="DF127" i="81"/>
  <c r="S71" i="108"/>
  <c r="T71" i="108" s="1"/>
  <c r="U71" i="108"/>
  <c r="V71" i="108" s="1"/>
  <c r="U48" i="108"/>
  <c r="DE94" i="81"/>
  <c r="V64" i="108"/>
  <c r="AP64" i="108" s="1"/>
  <c r="V52" i="108"/>
  <c r="AI91" i="108"/>
  <c r="DF147" i="81"/>
  <c r="DE144" i="81"/>
  <c r="S13" i="108"/>
  <c r="T13" i="108" s="1"/>
  <c r="AK56" i="108"/>
  <c r="AH74" i="108"/>
  <c r="AI74" i="108" s="1"/>
  <c r="AJ74" i="108"/>
  <c r="DF155" i="81"/>
  <c r="AJ83" i="108"/>
  <c r="S37" i="108"/>
  <c r="T37" i="108" s="1"/>
  <c r="AH31" i="108"/>
  <c r="AI31" i="108" s="1"/>
  <c r="AM31" i="108" s="1"/>
  <c r="AJ31" i="108"/>
  <c r="AK63" i="108"/>
  <c r="AP63" i="108" s="1"/>
  <c r="AH58" i="108"/>
  <c r="AI58" i="108" s="1"/>
  <c r="AJ58" i="108"/>
  <c r="DF160" i="81"/>
  <c r="U32" i="108"/>
  <c r="AJ16" i="108"/>
  <c r="U13" i="108"/>
  <c r="AJ45" i="108"/>
  <c r="AH45" i="108"/>
  <c r="AI45" i="108" s="1"/>
  <c r="AP35" i="108"/>
  <c r="S28" i="108"/>
  <c r="T28" i="108" s="1"/>
  <c r="U28" i="108"/>
  <c r="AP72" i="108"/>
  <c r="AJ80" i="108"/>
  <c r="AH80" i="108"/>
  <c r="AI80" i="108" s="1"/>
  <c r="AJ39" i="108"/>
  <c r="AH39" i="108"/>
  <c r="AI39" i="108" s="1"/>
  <c r="CI92" i="81"/>
  <c r="CF92" i="81"/>
  <c r="DF169" i="81"/>
  <c r="DF106" i="81"/>
  <c r="CQ137" i="81"/>
  <c r="U33" i="108"/>
  <c r="DF126" i="81"/>
  <c r="CQ138" i="81"/>
  <c r="DF119" i="81"/>
  <c r="DE131" i="81"/>
  <c r="DF88" i="81"/>
  <c r="U11" i="108"/>
  <c r="CQ121" i="81"/>
  <c r="AJ68" i="108"/>
  <c r="DE159" i="81"/>
  <c r="DE173" i="81"/>
  <c r="U43" i="108"/>
  <c r="S94" i="108"/>
  <c r="T94" i="108" s="1"/>
  <c r="U94" i="108"/>
  <c r="V94" i="108" s="1"/>
  <c r="AP19" i="108"/>
  <c r="AP49" i="108"/>
  <c r="S34" i="108"/>
  <c r="T34" i="108" s="1"/>
  <c r="DF110" i="81"/>
  <c r="AJ88" i="108"/>
  <c r="AH89" i="108"/>
  <c r="CQ93" i="81"/>
  <c r="DF161" i="81"/>
  <c r="CU97" i="81"/>
  <c r="CQ94" i="81"/>
  <c r="Y14" i="108"/>
  <c r="AK14" i="108" s="1"/>
  <c r="J14" i="108"/>
  <c r="V14" i="108" s="1"/>
  <c r="V56" i="108"/>
  <c r="CP145" i="81"/>
  <c r="CP144" i="81"/>
  <c r="CQ152" i="81"/>
  <c r="DF98" i="81"/>
  <c r="DF101" i="81"/>
  <c r="DJ106" i="81"/>
  <c r="DF157" i="81"/>
  <c r="CQ140" i="81"/>
  <c r="U51" i="108"/>
  <c r="DF85" i="81"/>
  <c r="DF154" i="81"/>
  <c r="CP164" i="81"/>
  <c r="AJ93" i="108"/>
  <c r="AJ25" i="108"/>
  <c r="AH25" i="108"/>
  <c r="AI25" i="108" s="1"/>
  <c r="U86" i="108"/>
  <c r="AH34" i="108"/>
  <c r="AI34" i="108" s="1"/>
  <c r="AJ34" i="108"/>
  <c r="CU135" i="81"/>
  <c r="AH76" i="108"/>
  <c r="AI76" i="108" s="1"/>
  <c r="AJ76" i="108"/>
  <c r="AH55" i="108"/>
  <c r="CQ123" i="81"/>
  <c r="DE145" i="81"/>
  <c r="CQ130" i="81"/>
  <c r="CQ148" i="81"/>
  <c r="CP94" i="81"/>
  <c r="CQ101" i="81"/>
  <c r="AH24" i="108"/>
  <c r="AI24" i="108" s="1"/>
  <c r="AJ24" i="108"/>
  <c r="CQ142" i="81"/>
  <c r="CQ122" i="81"/>
  <c r="S57" i="108"/>
  <c r="T57" i="108" s="1"/>
  <c r="U57" i="108"/>
  <c r="V57" i="108" s="1"/>
  <c r="U96" i="108"/>
  <c r="S96" i="108"/>
  <c r="T96" i="108" s="1"/>
  <c r="CQ116" i="81"/>
  <c r="S20" i="108"/>
  <c r="T20" i="108" s="1"/>
  <c r="U20" i="108"/>
  <c r="CP173" i="81"/>
  <c r="CP101" i="81"/>
  <c r="CQ112" i="81"/>
  <c r="CQ146" i="81"/>
  <c r="S81" i="108"/>
  <c r="T81" i="108" s="1"/>
  <c r="U81" i="108"/>
  <c r="AH82" i="108"/>
  <c r="AI82" i="108" s="1"/>
  <c r="AJ82" i="108"/>
  <c r="S72" i="108"/>
  <c r="T72" i="108" s="1"/>
  <c r="U72" i="108"/>
  <c r="AH67" i="108"/>
  <c r="CQ110" i="81"/>
  <c r="AK88" i="108"/>
  <c r="U56" i="108"/>
  <c r="AJ100" i="108"/>
  <c r="V81" i="108"/>
  <c r="T97" i="108"/>
  <c r="AJ41" i="108"/>
  <c r="AH41" i="108"/>
  <c r="AI41" i="108" s="1"/>
  <c r="DF125" i="81"/>
  <c r="AJ69" i="108"/>
  <c r="DF121" i="81"/>
  <c r="CQ134" i="81"/>
  <c r="CQ96" i="81"/>
  <c r="AH21" i="108"/>
  <c r="AI21" i="108" s="1"/>
  <c r="AJ21" i="108"/>
  <c r="AH17" i="108"/>
  <c r="AI17" i="108" s="1"/>
  <c r="AJ17" i="108"/>
  <c r="U60" i="108"/>
  <c r="CQ108" i="81"/>
  <c r="DE136" i="81"/>
  <c r="DF115" i="81"/>
  <c r="S67" i="108"/>
  <c r="S65" i="108"/>
  <c r="T65" i="108" s="1"/>
  <c r="U65" i="108"/>
  <c r="V65" i="108" s="1"/>
  <c r="CQ157" i="81"/>
  <c r="CP168" i="81"/>
  <c r="CE88" i="81"/>
  <c r="AJ84" i="108"/>
  <c r="S12" i="108"/>
  <c r="CR86" i="81" s="1"/>
  <c r="U12" i="108"/>
  <c r="DF103" i="81"/>
  <c r="CQ167" i="81"/>
  <c r="AI100" i="108"/>
  <c r="S95" i="108"/>
  <c r="T95" i="108" s="1"/>
  <c r="AJ47" i="108"/>
  <c r="AH36" i="108"/>
  <c r="AI36" i="108" s="1"/>
  <c r="AJ36" i="108"/>
  <c r="S70" i="108"/>
  <c r="T70" i="108" s="1"/>
  <c r="U70" i="108"/>
  <c r="V70" i="108" s="1"/>
  <c r="V88" i="108"/>
  <c r="AJ75" i="108"/>
  <c r="AH75" i="108"/>
  <c r="AI75" i="108" s="1"/>
  <c r="AP50" i="108"/>
  <c r="DF162" i="81"/>
  <c r="S21" i="108"/>
  <c r="T21" i="108" s="1"/>
  <c r="U21" i="108"/>
  <c r="V21" i="108" s="1"/>
  <c r="V60" i="108"/>
  <c r="U89" i="108"/>
  <c r="S89" i="108"/>
  <c r="T89" i="108" s="1"/>
  <c r="AH66" i="108"/>
  <c r="AI66" i="108" s="1"/>
  <c r="AJ66" i="108"/>
  <c r="AH79" i="108"/>
  <c r="AI79" i="108" s="1"/>
  <c r="AJ79" i="108"/>
  <c r="CP150" i="81"/>
  <c r="AJ35" i="108"/>
  <c r="DF87" i="81"/>
  <c r="CQ111" i="81"/>
  <c r="DF170" i="81"/>
  <c r="DF146" i="81"/>
  <c r="DF149" i="81"/>
  <c r="CQ147" i="81"/>
  <c r="E44" i="81"/>
  <c r="B44" i="81" s="1"/>
  <c r="U68" i="108"/>
  <c r="U52" i="108"/>
  <c r="V36" i="108"/>
  <c r="AJ42" i="108"/>
  <c r="AH42" i="108"/>
  <c r="AI42" i="108" s="1"/>
  <c r="AK91" i="108"/>
  <c r="V51" i="108"/>
  <c r="CQ117" i="81"/>
  <c r="DE150" i="81"/>
  <c r="DF107" i="81"/>
  <c r="CI99" i="81"/>
  <c r="CF99" i="81"/>
  <c r="DE151" i="81"/>
  <c r="AP74" i="108"/>
  <c r="DF120" i="81"/>
  <c r="AH71" i="108"/>
  <c r="AI71" i="108" s="1"/>
  <c r="AJ71" i="108"/>
  <c r="AJ91" i="108"/>
  <c r="AH87" i="108"/>
  <c r="AI87" i="108" s="1"/>
  <c r="AJ87" i="108"/>
  <c r="CR151" i="81"/>
  <c r="CP151" i="81"/>
  <c r="AJ81" i="108"/>
  <c r="AH81" i="108"/>
  <c r="AI81" i="108" s="1"/>
  <c r="DE168" i="81"/>
  <c r="AH28" i="108"/>
  <c r="AI28" i="108" s="1"/>
  <c r="AJ28" i="108"/>
  <c r="CQ100" i="81"/>
  <c r="AH27" i="108"/>
  <c r="AI27" i="108" s="1"/>
  <c r="DF123" i="81"/>
  <c r="DE101" i="81"/>
  <c r="CR158" i="81"/>
  <c r="CP158" i="81"/>
  <c r="DF105" i="81"/>
  <c r="DJ105" i="81"/>
  <c r="CP131" i="81"/>
  <c r="DF163" i="81"/>
  <c r="CQ160" i="81"/>
  <c r="S44" i="108"/>
  <c r="T44" i="108" s="1"/>
  <c r="U44" i="108"/>
  <c r="DG174" i="81"/>
  <c r="DE174" i="81"/>
  <c r="AH13" i="108"/>
  <c r="AI13" i="108" s="1"/>
  <c r="U83" i="108"/>
  <c r="AI84" i="108"/>
  <c r="AP92" i="108"/>
  <c r="AH18" i="108"/>
  <c r="AI18" i="108" s="1"/>
  <c r="AJ18" i="108"/>
  <c r="DF137" i="81"/>
  <c r="DF153" i="81"/>
  <c r="CP136" i="81"/>
  <c r="U100" i="108"/>
  <c r="V100" i="108" s="1"/>
  <c r="AK36" i="108"/>
  <c r="AP75" i="108"/>
  <c r="S73" i="108"/>
  <c r="AK66" i="108"/>
  <c r="AK79" i="108"/>
  <c r="AI59" i="108"/>
  <c r="CA83" i="81"/>
  <c r="E23" i="81" s="1"/>
  <c r="DF172" i="81"/>
  <c r="DE87" i="81"/>
  <c r="U69" i="108"/>
  <c r="CF102" i="81"/>
  <c r="S27" i="108"/>
  <c r="T27" i="108" s="1"/>
  <c r="DF113" i="81"/>
  <c r="DF89" i="81"/>
  <c r="CU127" i="81"/>
  <c r="CU115" i="81"/>
  <c r="CQ106" i="81"/>
  <c r="DF129" i="81"/>
  <c r="DF114" i="81"/>
  <c r="U49" i="108"/>
  <c r="DF164" i="81"/>
  <c r="CQ169" i="81"/>
  <c r="CF94" i="81"/>
  <c r="AP42" i="108"/>
  <c r="DF102" i="81"/>
  <c r="AJ37" i="108"/>
  <c r="AH57" i="108"/>
  <c r="AI57" i="108" s="1"/>
  <c r="AJ57" i="108"/>
  <c r="AH61" i="108"/>
  <c r="AI61" i="108" s="1"/>
  <c r="AM61" i="108" s="1"/>
  <c r="AJ61" i="108"/>
  <c r="AH77" i="108"/>
  <c r="AI77" i="108" s="1"/>
  <c r="AM77" i="108" s="1"/>
  <c r="AJ77" i="108"/>
  <c r="CP95" i="81"/>
  <c r="CR174" i="81"/>
  <c r="CP174" i="81"/>
  <c r="DJ97" i="81"/>
  <c r="AJ27" i="108"/>
  <c r="DE141" i="81"/>
  <c r="CR159" i="81"/>
  <c r="CP159" i="81"/>
  <c r="CQ166" i="81"/>
  <c r="CQ118" i="81"/>
  <c r="AJ95" i="108"/>
  <c r="AH95" i="108"/>
  <c r="AI95" i="108" s="1"/>
  <c r="AJ50" i="108"/>
  <c r="AH50" i="108"/>
  <c r="AI50" i="108" s="1"/>
  <c r="CP109" i="81"/>
  <c r="DF118" i="81"/>
  <c r="CR90" i="81"/>
  <c r="CQ90" i="81"/>
  <c r="DF166" i="81"/>
  <c r="AH78" i="108"/>
  <c r="AH99" i="108"/>
  <c r="AI99" i="108" s="1"/>
  <c r="AJ99" i="108"/>
  <c r="AH65" i="108"/>
  <c r="AI65" i="108" s="1"/>
  <c r="AJ65" i="108"/>
  <c r="U91" i="108"/>
  <c r="DF116" i="81"/>
  <c r="DF90" i="81"/>
  <c r="DF94" i="81"/>
  <c r="S30" i="108"/>
  <c r="T30" i="108" s="1"/>
  <c r="U30" i="108"/>
  <c r="AP86" i="108"/>
  <c r="CQ103" i="81"/>
  <c r="DF142" i="81"/>
  <c r="DF167" i="81"/>
  <c r="T84" i="108"/>
  <c r="CP102" i="81"/>
  <c r="V83" i="108"/>
  <c r="DG158" i="81"/>
  <c r="DE158" i="81"/>
  <c r="AJ13" i="108"/>
  <c r="T100" i="108"/>
  <c r="AH22" i="108"/>
  <c r="AI22" i="108" s="1"/>
  <c r="AJ22" i="108"/>
  <c r="AI97" i="108"/>
  <c r="AH40" i="108"/>
  <c r="AI40" i="108" s="1"/>
  <c r="AJ40" i="108"/>
  <c r="S62" i="108"/>
  <c r="T62" i="108" s="1"/>
  <c r="U62" i="108"/>
  <c r="V62" i="108" s="1"/>
  <c r="AH62" i="108"/>
  <c r="AI62" i="108" s="1"/>
  <c r="AJ62" i="108"/>
  <c r="AJ59" i="108"/>
  <c r="U35" i="108"/>
  <c r="CP87" i="81"/>
  <c r="CF109" i="81"/>
  <c r="DF130" i="81"/>
  <c r="CQ143" i="81"/>
  <c r="CF87" i="81"/>
  <c r="DF132" i="81"/>
  <c r="CP139" i="81"/>
  <c r="DF104" i="81"/>
  <c r="DF108" i="81"/>
  <c r="DE109" i="81"/>
  <c r="DG133" i="81"/>
  <c r="DE133" i="81"/>
  <c r="DF91" i="81"/>
  <c r="AH64" i="108"/>
  <c r="AI64" i="108" s="1"/>
  <c r="AJ64" i="108"/>
  <c r="AH23" i="108"/>
  <c r="AI23" i="108" s="1"/>
  <c r="AJ23" i="108"/>
  <c r="AH90" i="108"/>
  <c r="AI90" i="108" s="1"/>
  <c r="AJ90" i="108"/>
  <c r="DE102" i="81"/>
  <c r="AH12" i="108"/>
  <c r="AI12" i="108" s="1"/>
  <c r="AJ12" i="108"/>
  <c r="CQ125" i="81"/>
  <c r="DF152" i="81"/>
  <c r="CQ155" i="81"/>
  <c r="CQ149" i="81"/>
  <c r="DF156" i="81"/>
  <c r="B177" i="111" l="1"/>
  <c r="CD66" i="81" s="1"/>
  <c r="E66" i="81" s="1"/>
  <c r="B66" i="81" s="1"/>
  <c r="B168" i="111"/>
  <c r="CD64" i="81" s="1"/>
  <c r="E64" i="81" s="1"/>
  <c r="B64" i="81" s="1"/>
  <c r="V12" i="6"/>
  <c r="CR124" i="81"/>
  <c r="CU105" i="81"/>
  <c r="AP64" i="6"/>
  <c r="AP38" i="6"/>
  <c r="BN90" i="6"/>
  <c r="AP90" i="6"/>
  <c r="AP51" i="6"/>
  <c r="AP16" i="6"/>
  <c r="AP57" i="6"/>
  <c r="DJ169" i="81"/>
  <c r="AP95" i="6"/>
  <c r="AP45" i="6"/>
  <c r="AP66" i="6"/>
  <c r="AP88" i="6"/>
  <c r="AP36" i="6"/>
  <c r="AP92" i="6"/>
  <c r="DO166" i="81" s="1"/>
  <c r="AP32" i="6"/>
  <c r="AP72" i="6"/>
  <c r="DO146" i="81" s="1"/>
  <c r="AP42" i="6"/>
  <c r="AO23" i="6"/>
  <c r="AO20" i="6"/>
  <c r="AO36" i="6"/>
  <c r="AK12" i="6"/>
  <c r="AO12" i="6"/>
  <c r="AK97" i="6"/>
  <c r="AP97" i="6" s="1"/>
  <c r="AO97" i="6"/>
  <c r="AO48" i="6"/>
  <c r="AO51" i="6"/>
  <c r="AO45" i="6"/>
  <c r="AO14" i="6"/>
  <c r="AO57" i="6"/>
  <c r="AO66" i="6"/>
  <c r="AO27" i="6"/>
  <c r="AO31" i="6"/>
  <c r="AO16" i="6"/>
  <c r="AN16" i="6" s="1"/>
  <c r="AO24" i="6"/>
  <c r="AK84" i="6"/>
  <c r="AP84" i="6" s="1"/>
  <c r="AO84" i="6"/>
  <c r="AK70" i="6"/>
  <c r="AP70" i="6" s="1"/>
  <c r="AO70" i="6"/>
  <c r="AO46" i="6"/>
  <c r="AO13" i="6"/>
  <c r="AO90" i="6"/>
  <c r="AO15" i="6"/>
  <c r="AK76" i="6"/>
  <c r="AP76" i="6" s="1"/>
  <c r="AO76" i="6"/>
  <c r="AO49" i="6"/>
  <c r="AO58" i="6"/>
  <c r="AO33" i="6"/>
  <c r="DG88" i="81"/>
  <c r="AM66" i="6"/>
  <c r="AM45" i="6"/>
  <c r="AM90" i="6"/>
  <c r="AM15" i="6"/>
  <c r="AM13" i="6"/>
  <c r="AM27" i="6"/>
  <c r="AM23" i="6"/>
  <c r="AM49" i="6"/>
  <c r="AM57" i="6"/>
  <c r="AM36" i="6"/>
  <c r="AM14" i="6"/>
  <c r="AM24" i="6"/>
  <c r="AM70" i="6"/>
  <c r="DG89" i="81"/>
  <c r="DJ164" i="81"/>
  <c r="AM46" i="6"/>
  <c r="AM33" i="6"/>
  <c r="AM51" i="6"/>
  <c r="AM58" i="6"/>
  <c r="CX108" i="81"/>
  <c r="AK34" i="6"/>
  <c r="AP34" i="6" s="1"/>
  <c r="DO108" i="81" s="1"/>
  <c r="CX161" i="81"/>
  <c r="AK87" i="6"/>
  <c r="AJ80" i="6"/>
  <c r="AO80" i="6" s="1"/>
  <c r="AK80" i="6"/>
  <c r="AP80" i="6" s="1"/>
  <c r="CX172" i="81"/>
  <c r="AK98" i="6"/>
  <c r="AP98" i="6" s="1"/>
  <c r="CX134" i="81"/>
  <c r="AK60" i="6"/>
  <c r="CX148" i="81"/>
  <c r="AK74" i="6"/>
  <c r="AP74" i="6" s="1"/>
  <c r="DO148" i="81" s="1"/>
  <c r="CX143" i="81"/>
  <c r="AK69" i="6"/>
  <c r="CX130" i="81"/>
  <c r="AK56" i="6"/>
  <c r="AP56" i="6" s="1"/>
  <c r="AJ91" i="6"/>
  <c r="AO91" i="6" s="1"/>
  <c r="AK91" i="6"/>
  <c r="AP91" i="6" s="1"/>
  <c r="AJ28" i="6"/>
  <c r="AO28" i="6" s="1"/>
  <c r="AK28" i="6"/>
  <c r="AP28" i="6" s="1"/>
  <c r="AJ82" i="6"/>
  <c r="AK82" i="6"/>
  <c r="AI96" i="6"/>
  <c r="AM96" i="6" s="1"/>
  <c r="AK96" i="6"/>
  <c r="AP96" i="6" s="1"/>
  <c r="AJ41" i="6"/>
  <c r="AO41" i="6" s="1"/>
  <c r="AK41" i="6"/>
  <c r="AI39" i="6"/>
  <c r="AM39" i="6" s="1"/>
  <c r="AK39" i="6"/>
  <c r="AP39" i="6" s="1"/>
  <c r="AJ25" i="6"/>
  <c r="AO25" i="6" s="1"/>
  <c r="AK25" i="6"/>
  <c r="AP25" i="6" s="1"/>
  <c r="AJ40" i="6"/>
  <c r="AO40" i="6" s="1"/>
  <c r="AK40" i="6"/>
  <c r="AP40" i="6" s="1"/>
  <c r="CX124" i="81"/>
  <c r="AK50" i="6"/>
  <c r="CX122" i="81"/>
  <c r="CX157" i="81"/>
  <c r="AK83" i="6"/>
  <c r="CX137" i="81"/>
  <c r="AK63" i="6"/>
  <c r="AP63" i="6" s="1"/>
  <c r="DO137" i="81" s="1"/>
  <c r="AJ19" i="6"/>
  <c r="AO19" i="6" s="1"/>
  <c r="AK19" i="6"/>
  <c r="AP19" i="6" s="1"/>
  <c r="CX103" i="81"/>
  <c r="AK29" i="6"/>
  <c r="CX104" i="81"/>
  <c r="AK30" i="6"/>
  <c r="AP30" i="6" s="1"/>
  <c r="CX153" i="81"/>
  <c r="AK79" i="6"/>
  <c r="AP79" i="6" s="1"/>
  <c r="CX142" i="81"/>
  <c r="AK68" i="6"/>
  <c r="AJ35" i="6"/>
  <c r="AO35" i="6" s="1"/>
  <c r="AK35" i="6"/>
  <c r="AP35" i="6" s="1"/>
  <c r="CX96" i="81"/>
  <c r="AK22" i="6"/>
  <c r="AP22" i="6" s="1"/>
  <c r="CX91" i="81"/>
  <c r="AK17" i="6"/>
  <c r="AP17" i="6" s="1"/>
  <c r="DO91" i="81" s="1"/>
  <c r="CX127" i="81"/>
  <c r="AK53" i="6"/>
  <c r="AP53" i="6" s="1"/>
  <c r="DO127" i="81" s="1"/>
  <c r="AJ89" i="6"/>
  <c r="AO89" i="6" s="1"/>
  <c r="AK89" i="6"/>
  <c r="AP89" i="6" s="1"/>
  <c r="AK81" i="6"/>
  <c r="AJ55" i="6"/>
  <c r="AO55" i="6" s="1"/>
  <c r="AK55" i="6"/>
  <c r="AP55" i="6" s="1"/>
  <c r="AI44" i="6"/>
  <c r="AM44" i="6" s="1"/>
  <c r="AK44" i="6"/>
  <c r="AP44" i="6" s="1"/>
  <c r="AJ78" i="6"/>
  <c r="AO78" i="6" s="1"/>
  <c r="AK78" i="6"/>
  <c r="AP78" i="6" s="1"/>
  <c r="CX156" i="81"/>
  <c r="AJ73" i="6"/>
  <c r="AO73" i="6" s="1"/>
  <c r="AK73" i="6"/>
  <c r="AI86" i="6"/>
  <c r="AM86" i="6" s="1"/>
  <c r="AK86" i="6"/>
  <c r="AP86" i="6" s="1"/>
  <c r="CX126" i="81"/>
  <c r="AK52" i="6"/>
  <c r="CX100" i="81"/>
  <c r="AK26" i="6"/>
  <c r="AP26" i="6" s="1"/>
  <c r="AI18" i="6"/>
  <c r="AM18" i="6" s="1"/>
  <c r="AK18" i="6"/>
  <c r="AP18" i="6" s="1"/>
  <c r="AK48" i="6"/>
  <c r="AJ75" i="6"/>
  <c r="AO75" i="6" s="1"/>
  <c r="AK75" i="6"/>
  <c r="CX111" i="81"/>
  <c r="AK37" i="6"/>
  <c r="CX121" i="81"/>
  <c r="AK47" i="6"/>
  <c r="CX167" i="81"/>
  <c r="AK93" i="6"/>
  <c r="CX117" i="81"/>
  <c r="AK43" i="6"/>
  <c r="AP43" i="6" s="1"/>
  <c r="AK20" i="6"/>
  <c r="AP20" i="6" s="1"/>
  <c r="AI89" i="6"/>
  <c r="AM89" i="6" s="1"/>
  <c r="AN89" i="6" s="1"/>
  <c r="AJ68" i="6"/>
  <c r="AJ74" i="6"/>
  <c r="AO74" i="6" s="1"/>
  <c r="AJ43" i="6"/>
  <c r="AO43" i="6" s="1"/>
  <c r="AJ17" i="6"/>
  <c r="AJ93" i="6"/>
  <c r="AO93" i="6" s="1"/>
  <c r="AI35" i="6"/>
  <c r="AM35" i="6" s="1"/>
  <c r="AJ63" i="6"/>
  <c r="AO63" i="6" s="1"/>
  <c r="AI11" i="6"/>
  <c r="AM11" i="6" s="1"/>
  <c r="AK11" i="6"/>
  <c r="AI43" i="6"/>
  <c r="AM43" i="6" s="1"/>
  <c r="AJ21" i="6"/>
  <c r="AJ69" i="6"/>
  <c r="AO69" i="6" s="1"/>
  <c r="AI73" i="6"/>
  <c r="AM73" i="6" s="1"/>
  <c r="AI80" i="6"/>
  <c r="AM80" i="6" s="1"/>
  <c r="AJ81" i="6"/>
  <c r="AO81" i="6" s="1"/>
  <c r="AJ29" i="6"/>
  <c r="AO29" i="6" s="1"/>
  <c r="AJ30" i="6"/>
  <c r="AO30" i="6" s="1"/>
  <c r="AJ11" i="6"/>
  <c r="AJ18" i="6"/>
  <c r="AO18" i="6" s="1"/>
  <c r="AI64" i="6"/>
  <c r="AM64" i="6" s="1"/>
  <c r="AJ64" i="6"/>
  <c r="AO64" i="6" s="1"/>
  <c r="CX135" i="81"/>
  <c r="AJ61" i="6"/>
  <c r="AO61" i="6" s="1"/>
  <c r="CX136" i="81"/>
  <c r="AJ62" i="6"/>
  <c r="AI17" i="6"/>
  <c r="AM17" i="6" s="1"/>
  <c r="AJ26" i="6"/>
  <c r="AO26" i="6" s="1"/>
  <c r="AJ47" i="6"/>
  <c r="AJ37" i="6"/>
  <c r="AO37" i="6" s="1"/>
  <c r="AJ60" i="6"/>
  <c r="CX159" i="81"/>
  <c r="AJ85" i="6"/>
  <c r="DI159" i="81" s="1"/>
  <c r="CX162" i="81"/>
  <c r="AJ88" i="6"/>
  <c r="AI29" i="6"/>
  <c r="AM29" i="6" s="1"/>
  <c r="AJ79" i="6"/>
  <c r="AJ87" i="6"/>
  <c r="AO87" i="6" s="1"/>
  <c r="AJ98" i="6"/>
  <c r="AO98" i="6" s="1"/>
  <c r="CX174" i="81"/>
  <c r="AJ100" i="6"/>
  <c r="CX146" i="81"/>
  <c r="AJ72" i="6"/>
  <c r="CX116" i="81"/>
  <c r="AJ42" i="6"/>
  <c r="CX151" i="81"/>
  <c r="AJ77" i="6"/>
  <c r="DI151" i="81" s="1"/>
  <c r="AJ96" i="6"/>
  <c r="AJ44" i="6"/>
  <c r="AO44" i="6" s="1"/>
  <c r="AJ50" i="6"/>
  <c r="AJ56" i="6"/>
  <c r="CX166" i="81"/>
  <c r="AJ92" i="6"/>
  <c r="CX106" i="81"/>
  <c r="AJ32" i="6"/>
  <c r="CX173" i="81"/>
  <c r="AJ99" i="6"/>
  <c r="CX168" i="81"/>
  <c r="AJ94" i="6"/>
  <c r="CX112" i="81"/>
  <c r="AJ38" i="6"/>
  <c r="AI67" i="6"/>
  <c r="AM67" i="6" s="1"/>
  <c r="AJ67" i="6"/>
  <c r="AJ83" i="6"/>
  <c r="AO83" i="6" s="1"/>
  <c r="AJ86" i="6"/>
  <c r="AO86" i="6" s="1"/>
  <c r="AJ52" i="6"/>
  <c r="AJ34" i="6"/>
  <c r="CX128" i="81"/>
  <c r="AJ54" i="6"/>
  <c r="CX139" i="81"/>
  <c r="AJ65" i="6"/>
  <c r="DI139" i="81" s="1"/>
  <c r="CX169" i="81"/>
  <c r="AJ95" i="6"/>
  <c r="AI69" i="6"/>
  <c r="AM69" i="6" s="1"/>
  <c r="AI91" i="6"/>
  <c r="AM91" i="6" s="1"/>
  <c r="AJ39" i="6"/>
  <c r="AJ22" i="6"/>
  <c r="AO22" i="6" s="1"/>
  <c r="AJ53" i="6"/>
  <c r="AO53" i="6" s="1"/>
  <c r="AI41" i="6"/>
  <c r="AM41" i="6" s="1"/>
  <c r="AI48" i="6"/>
  <c r="AM48" i="6" s="1"/>
  <c r="AI78" i="6"/>
  <c r="AM78" i="6" s="1"/>
  <c r="AI50" i="6"/>
  <c r="AM50" i="6" s="1"/>
  <c r="AI28" i="6"/>
  <c r="AI93" i="6"/>
  <c r="AM93" i="6" s="1"/>
  <c r="AI62" i="6"/>
  <c r="AI55" i="6"/>
  <c r="AM55" i="6" s="1"/>
  <c r="AI83" i="6"/>
  <c r="AM83" i="6" s="1"/>
  <c r="AI68" i="6"/>
  <c r="AM68" i="6" s="1"/>
  <c r="AI63" i="6"/>
  <c r="AM63" i="6" s="1"/>
  <c r="AI54" i="6"/>
  <c r="CX138" i="81"/>
  <c r="AI53" i="6"/>
  <c r="AM53" i="6" s="1"/>
  <c r="AI82" i="6"/>
  <c r="AI38" i="6"/>
  <c r="AM38" i="6" s="1"/>
  <c r="AI56" i="6"/>
  <c r="AM56" i="6" s="1"/>
  <c r="AI19" i="6"/>
  <c r="AM19" i="6" s="1"/>
  <c r="AI40" i="6"/>
  <c r="AM40" i="6" s="1"/>
  <c r="AI61" i="6"/>
  <c r="AI74" i="6"/>
  <c r="AM74" i="6" s="1"/>
  <c r="AN74" i="6" s="1"/>
  <c r="AI42" i="6"/>
  <c r="AM42" i="6" s="1"/>
  <c r="AI88" i="6"/>
  <c r="AI60" i="6"/>
  <c r="AM60" i="6" s="1"/>
  <c r="AI52" i="6"/>
  <c r="AI30" i="6"/>
  <c r="AM30" i="6" s="1"/>
  <c r="AI20" i="6"/>
  <c r="AM20" i="6" s="1"/>
  <c r="CX150" i="81"/>
  <c r="AI76" i="6"/>
  <c r="AM76" i="6" s="1"/>
  <c r="AI21" i="6"/>
  <c r="AI65" i="6"/>
  <c r="AM65" i="6" s="1"/>
  <c r="AI77" i="6"/>
  <c r="AI25" i="6"/>
  <c r="AM25" i="6" s="1"/>
  <c r="AI72" i="6"/>
  <c r="AM72" i="6" s="1"/>
  <c r="AI87" i="6"/>
  <c r="AM87" i="6" s="1"/>
  <c r="AI98" i="6"/>
  <c r="AM98" i="6" s="1"/>
  <c r="AI34" i="6"/>
  <c r="CX171" i="81"/>
  <c r="AI97" i="6"/>
  <c r="AM97" i="6" s="1"/>
  <c r="AI47" i="6"/>
  <c r="AM47" i="6" s="1"/>
  <c r="AI22" i="6"/>
  <c r="AM22" i="6" s="1"/>
  <c r="AI99" i="6"/>
  <c r="AM99" i="6" s="1"/>
  <c r="CX149" i="81"/>
  <c r="AI75" i="6"/>
  <c r="AM75" i="6" s="1"/>
  <c r="AI79" i="6"/>
  <c r="AM79" i="6" s="1"/>
  <c r="AI95" i="6"/>
  <c r="AM95" i="6" s="1"/>
  <c r="AI37" i="6"/>
  <c r="AM37" i="6" s="1"/>
  <c r="AI32" i="6"/>
  <c r="AM32" i="6" s="1"/>
  <c r="AI100" i="6"/>
  <c r="AM100" i="6" s="1"/>
  <c r="CX158" i="81"/>
  <c r="AI84" i="6"/>
  <c r="AI81" i="6"/>
  <c r="AM81" i="6" s="1"/>
  <c r="DG162" i="81"/>
  <c r="AI26" i="6"/>
  <c r="AM26" i="6" s="1"/>
  <c r="AN26" i="6" s="1"/>
  <c r="AI85" i="6"/>
  <c r="AI92" i="6"/>
  <c r="AM92" i="6" s="1"/>
  <c r="AI94" i="6"/>
  <c r="AM94" i="6" s="1"/>
  <c r="CX129" i="81"/>
  <c r="CX141" i="81"/>
  <c r="CT166" i="81"/>
  <c r="CI145" i="81"/>
  <c r="Y71" i="6"/>
  <c r="AJ71" i="6" s="1"/>
  <c r="T59" i="6"/>
  <c r="CS133" i="81" s="1"/>
  <c r="Y59" i="6"/>
  <c r="AJ59" i="6" s="1"/>
  <c r="DI133" i="81" s="1"/>
  <c r="CT148" i="81"/>
  <c r="CI133" i="81"/>
  <c r="U71" i="6"/>
  <c r="V71" i="6" s="1"/>
  <c r="CU145" i="81" s="1"/>
  <c r="U21" i="6"/>
  <c r="V21" i="6" s="1"/>
  <c r="AJ89" i="108"/>
  <c r="AO89" i="108" s="1"/>
  <c r="AI89" i="108"/>
  <c r="AM89" i="108" s="1"/>
  <c r="U59" i="6"/>
  <c r="T21" i="6"/>
  <c r="CS95" i="81" s="1"/>
  <c r="T71" i="6"/>
  <c r="CS145" i="81" s="1"/>
  <c r="CR105" i="81"/>
  <c r="T31" i="6"/>
  <c r="CS105" i="81" s="1"/>
  <c r="CI7" i="81"/>
  <c r="CI3" i="81"/>
  <c r="CI2" i="81"/>
  <c r="CI8" i="81"/>
  <c r="CI5" i="81"/>
  <c r="CC9" i="81"/>
  <c r="CI6" i="81"/>
  <c r="CI4" i="81"/>
  <c r="CJ5" i="81"/>
  <c r="CJ4" i="81"/>
  <c r="CU167" i="81"/>
  <c r="DO135" i="81"/>
  <c r="DJ166" i="81"/>
  <c r="CU112" i="81"/>
  <c r="CU172" i="81"/>
  <c r="CU125" i="81"/>
  <c r="CU130" i="81"/>
  <c r="DJ112" i="81"/>
  <c r="DJ110" i="81"/>
  <c r="CU134" i="81"/>
  <c r="CU120" i="81"/>
  <c r="CU132" i="81"/>
  <c r="CU114" i="81"/>
  <c r="CS113" i="81"/>
  <c r="CT156" i="81"/>
  <c r="AO82" i="108"/>
  <c r="AO58" i="108"/>
  <c r="CT112" i="81"/>
  <c r="CT121" i="81"/>
  <c r="AP90" i="108"/>
  <c r="AM85" i="108"/>
  <c r="AM39" i="108"/>
  <c r="CT103" i="81"/>
  <c r="AO39" i="108"/>
  <c r="CT91" i="81"/>
  <c r="AO37" i="108"/>
  <c r="AJ11" i="108"/>
  <c r="AO11" i="108" s="1"/>
  <c r="CU103" i="81"/>
  <c r="CX85" i="81"/>
  <c r="AO61" i="108"/>
  <c r="AN61" i="108" s="1"/>
  <c r="CT126" i="81"/>
  <c r="AO95" i="108"/>
  <c r="AM87" i="108"/>
  <c r="CT155" i="81"/>
  <c r="CR135" i="81"/>
  <c r="CT140" i="81"/>
  <c r="AO66" i="108"/>
  <c r="CS132" i="81"/>
  <c r="CS98" i="81"/>
  <c r="AP79" i="108"/>
  <c r="CT167" i="81"/>
  <c r="AO93" i="108"/>
  <c r="DI122" i="81"/>
  <c r="DO97" i="81"/>
  <c r="CR127" i="81"/>
  <c r="CU153" i="81"/>
  <c r="AI11" i="108"/>
  <c r="AM11" i="108" s="1"/>
  <c r="CI132" i="81"/>
  <c r="CT135" i="81"/>
  <c r="AM75" i="108"/>
  <c r="AM36" i="108"/>
  <c r="AM52" i="108"/>
  <c r="DJ116" i="81"/>
  <c r="AM50" i="108"/>
  <c r="CX132" i="81"/>
  <c r="AM29" i="108"/>
  <c r="CT132" i="81"/>
  <c r="AI55" i="108"/>
  <c r="CT111" i="81"/>
  <c r="CT108" i="81"/>
  <c r="CT105" i="81"/>
  <c r="AO34" i="108"/>
  <c r="AO27" i="108"/>
  <c r="AO31" i="108"/>
  <c r="AN31" i="108" s="1"/>
  <c r="CR165" i="81"/>
  <c r="CU168" i="81"/>
  <c r="CR149" i="81"/>
  <c r="CR132" i="81"/>
  <c r="CT127" i="81"/>
  <c r="CT119" i="81"/>
  <c r="AM58" i="108"/>
  <c r="AM19" i="108"/>
  <c r="CU104" i="81"/>
  <c r="AP30" i="108"/>
  <c r="AJ51" i="108"/>
  <c r="DI125" i="81" s="1"/>
  <c r="AI51" i="108"/>
  <c r="AM51" i="108" s="1"/>
  <c r="CR88" i="81"/>
  <c r="CU140" i="81"/>
  <c r="AK51" i="108"/>
  <c r="DJ125" i="81" s="1"/>
  <c r="DO105" i="81"/>
  <c r="AO42" i="108"/>
  <c r="AO79" i="108"/>
  <c r="CT153" i="81"/>
  <c r="CT142" i="81"/>
  <c r="CR117" i="81"/>
  <c r="AO74" i="108"/>
  <c r="CS96" i="81"/>
  <c r="DI110" i="81"/>
  <c r="CT96" i="81"/>
  <c r="AO45" i="108"/>
  <c r="CU155" i="81"/>
  <c r="AO53" i="108"/>
  <c r="CS124" i="81"/>
  <c r="DJ135" i="81"/>
  <c r="AM79" i="108"/>
  <c r="CT143" i="81"/>
  <c r="CT149" i="81"/>
  <c r="CR106" i="81"/>
  <c r="CS149" i="81"/>
  <c r="CT124" i="81"/>
  <c r="DH101" i="81"/>
  <c r="CT169" i="81"/>
  <c r="CI149" i="81"/>
  <c r="DG126" i="81"/>
  <c r="CT116" i="81"/>
  <c r="AM38" i="108"/>
  <c r="AP48" i="108"/>
  <c r="CU154" i="81"/>
  <c r="CT115" i="81"/>
  <c r="AM54" i="108"/>
  <c r="CT110" i="81"/>
  <c r="CS136" i="81"/>
  <c r="CU161" i="81"/>
  <c r="AM43" i="108"/>
  <c r="AP45" i="108"/>
  <c r="AO16" i="108"/>
  <c r="CT120" i="81"/>
  <c r="AO43" i="108"/>
  <c r="AM93" i="108"/>
  <c r="CS122" i="81"/>
  <c r="CU119" i="81"/>
  <c r="AO18" i="108"/>
  <c r="CR89" i="81"/>
  <c r="AK55" i="108"/>
  <c r="AP68" i="108"/>
  <c r="CR109" i="81"/>
  <c r="AJ55" i="108"/>
  <c r="AM37" i="108"/>
  <c r="DI107" i="81"/>
  <c r="CT137" i="81"/>
  <c r="AO25" i="108"/>
  <c r="AO92" i="108"/>
  <c r="AO90" i="108"/>
  <c r="DG170" i="81"/>
  <c r="AO86" i="108"/>
  <c r="AO24" i="108"/>
  <c r="CT98" i="81"/>
  <c r="AM26" i="108"/>
  <c r="AM59" i="108"/>
  <c r="CT93" i="81"/>
  <c r="AM22" i="108"/>
  <c r="CT100" i="81"/>
  <c r="CT104" i="81"/>
  <c r="CT101" i="81"/>
  <c r="AM86" i="108"/>
  <c r="CS127" i="81"/>
  <c r="CI120" i="81"/>
  <c r="CX120" i="81"/>
  <c r="CR102" i="81"/>
  <c r="AO41" i="108"/>
  <c r="CX154" i="81"/>
  <c r="U67" i="108"/>
  <c r="V67" i="108" s="1"/>
  <c r="AM24" i="108"/>
  <c r="AM53" i="108"/>
  <c r="CR96" i="81"/>
  <c r="CX93" i="81"/>
  <c r="AM64" i="108"/>
  <c r="DG117" i="81"/>
  <c r="AP38" i="108"/>
  <c r="AO47" i="108"/>
  <c r="AM42" i="108"/>
  <c r="AO40" i="108"/>
  <c r="AM60" i="108"/>
  <c r="CT118" i="81"/>
  <c r="AO23" i="108"/>
  <c r="AM82" i="108"/>
  <c r="AO50" i="108"/>
  <c r="AJ67" i="108"/>
  <c r="T55" i="108"/>
  <c r="CS129" i="81" s="1"/>
  <c r="AI67" i="108"/>
  <c r="AO64" i="108"/>
  <c r="CS169" i="81"/>
  <c r="CT97" i="81"/>
  <c r="CT157" i="81"/>
  <c r="CU117" i="81"/>
  <c r="AP83" i="108"/>
  <c r="DG109" i="81"/>
  <c r="AP66" i="108"/>
  <c r="AM17" i="108"/>
  <c r="CS117" i="81"/>
  <c r="CI129" i="81"/>
  <c r="V55" i="108"/>
  <c r="AM32" i="108"/>
  <c r="CR111" i="81"/>
  <c r="DO169" i="81"/>
  <c r="U55" i="108"/>
  <c r="CT129" i="81" s="1"/>
  <c r="CS111" i="81"/>
  <c r="AM83" i="108"/>
  <c r="AO38" i="108"/>
  <c r="CS87" i="81"/>
  <c r="AM69" i="108"/>
  <c r="AO60" i="108"/>
  <c r="AM45" i="108"/>
  <c r="AI78" i="108"/>
  <c r="AM16" i="108"/>
  <c r="CT138" i="81"/>
  <c r="DG102" i="81"/>
  <c r="CT113" i="81"/>
  <c r="CI113" i="81"/>
  <c r="CX113" i="81"/>
  <c r="CX160" i="81"/>
  <c r="AP43" i="108"/>
  <c r="DJ119" i="81"/>
  <c r="T78" i="108"/>
  <c r="CU160" i="81"/>
  <c r="CI160" i="81"/>
  <c r="AJ73" i="108"/>
  <c r="AM56" i="108"/>
  <c r="AO75" i="108"/>
  <c r="CT106" i="81"/>
  <c r="DG99" i="81"/>
  <c r="AM13" i="108"/>
  <c r="DG129" i="81"/>
  <c r="DG168" i="81"/>
  <c r="T67" i="108"/>
  <c r="AM48" i="108"/>
  <c r="CI96" i="81"/>
  <c r="AP52" i="108"/>
  <c r="AO63" i="108"/>
  <c r="CR122" i="81"/>
  <c r="AM98" i="108"/>
  <c r="AN98" i="108" s="1"/>
  <c r="AM47" i="108"/>
  <c r="CX163" i="81"/>
  <c r="CT107" i="81"/>
  <c r="AM49" i="108"/>
  <c r="CI163" i="81"/>
  <c r="CU163" i="81"/>
  <c r="CT160" i="81"/>
  <c r="AP91" i="108"/>
  <c r="CT90" i="81"/>
  <c r="CX152" i="81"/>
  <c r="AK78" i="108"/>
  <c r="CU126" i="81"/>
  <c r="AO13" i="108"/>
  <c r="CU122" i="81"/>
  <c r="CS131" i="81"/>
  <c r="T18" i="108"/>
  <c r="AM18" i="108" s="1"/>
  <c r="T23" i="108"/>
  <c r="CS97" i="81" s="1"/>
  <c r="CI152" i="81"/>
  <c r="V78" i="108"/>
  <c r="CU152" i="81" s="1"/>
  <c r="CT114" i="81"/>
  <c r="CT125" i="81"/>
  <c r="CT87" i="81"/>
  <c r="AO29" i="108"/>
  <c r="AM63" i="108"/>
  <c r="DG141" i="81"/>
  <c r="AM68" i="108"/>
  <c r="AP97" i="108"/>
  <c r="CU136" i="81"/>
  <c r="AO87" i="108"/>
  <c r="AO17" i="108"/>
  <c r="AO88" i="108"/>
  <c r="AN88" i="108" s="1"/>
  <c r="AI20" i="108"/>
  <c r="CT162" i="81"/>
  <c r="AM99" i="108"/>
  <c r="DG156" i="81"/>
  <c r="CS106" i="81"/>
  <c r="CU128" i="81"/>
  <c r="CT94" i="81"/>
  <c r="CS170" i="81"/>
  <c r="CU157" i="81"/>
  <c r="CS128" i="81"/>
  <c r="CR94" i="81"/>
  <c r="CS104" i="81"/>
  <c r="AM97" i="108"/>
  <c r="DI98" i="81"/>
  <c r="CT161" i="81"/>
  <c r="T91" i="108"/>
  <c r="AM91" i="108" s="1"/>
  <c r="AO56" i="108"/>
  <c r="AM92" i="108"/>
  <c r="AM35" i="108"/>
  <c r="AO46" i="108"/>
  <c r="CI142" i="81"/>
  <c r="T73" i="108"/>
  <c r="AI73" i="108"/>
  <c r="CU162" i="81"/>
  <c r="CR87" i="81"/>
  <c r="T14" i="108"/>
  <c r="AM62" i="108"/>
  <c r="CU147" i="81"/>
  <c r="CT170" i="81"/>
  <c r="AM34" i="108"/>
  <c r="DG144" i="81"/>
  <c r="AM33" i="108"/>
  <c r="CR91" i="81"/>
  <c r="CS109" i="81"/>
  <c r="AM84" i="108"/>
  <c r="CR101" i="81"/>
  <c r="CR145" i="81"/>
  <c r="DH90" i="81"/>
  <c r="AP69" i="108"/>
  <c r="CS91" i="81"/>
  <c r="DH105" i="81"/>
  <c r="CS174" i="81"/>
  <c r="U73" i="108"/>
  <c r="CT147" i="81" s="1"/>
  <c r="CS158" i="81"/>
  <c r="AM25" i="108"/>
  <c r="AM74" i="108"/>
  <c r="AM65" i="108"/>
  <c r="DG128" i="81"/>
  <c r="CT117" i="81"/>
  <c r="CS159" i="81"/>
  <c r="AP60" i="108"/>
  <c r="T12" i="108"/>
  <c r="AM12" i="108" s="1"/>
  <c r="CR168" i="81"/>
  <c r="AO69" i="108"/>
  <c r="CT92" i="81"/>
  <c r="AO30" i="108"/>
  <c r="CX114" i="81"/>
  <c r="CT165" i="81"/>
  <c r="DG95" i="81"/>
  <c r="CX123" i="81"/>
  <c r="AM57" i="108"/>
  <c r="AO83" i="108"/>
  <c r="CI147" i="81"/>
  <c r="CI123" i="81"/>
  <c r="CU123" i="81"/>
  <c r="CR99" i="81"/>
  <c r="CR139" i="81"/>
  <c r="CS94" i="81"/>
  <c r="CT123" i="81"/>
  <c r="E35" i="81"/>
  <c r="B35" i="81" s="1"/>
  <c r="AO78" i="108"/>
  <c r="CT122" i="81"/>
  <c r="AO81" i="108"/>
  <c r="E45" i="81"/>
  <c r="B45" i="81" s="1"/>
  <c r="AO68" i="108"/>
  <c r="AP56" i="108"/>
  <c r="CU143" i="81"/>
  <c r="T40" i="108"/>
  <c r="AM40" i="108" s="1"/>
  <c r="CR114" i="81"/>
  <c r="CX147" i="81"/>
  <c r="CX165" i="81"/>
  <c r="CI118" i="81"/>
  <c r="CU118" i="81"/>
  <c r="CT163" i="81"/>
  <c r="CR131" i="81"/>
  <c r="CU138" i="81"/>
  <c r="CT130" i="81"/>
  <c r="DG108" i="81"/>
  <c r="DG93" i="81"/>
  <c r="AM94" i="108"/>
  <c r="CI165" i="81"/>
  <c r="CI114" i="81"/>
  <c r="CX118" i="81"/>
  <c r="DG139" i="81"/>
  <c r="T41" i="108"/>
  <c r="CS115" i="81" s="1"/>
  <c r="CR115" i="81"/>
  <c r="DG145" i="81"/>
  <c r="CR136" i="81"/>
  <c r="AM27" i="108"/>
  <c r="DG149" i="81"/>
  <c r="AO36" i="108"/>
  <c r="AM76" i="108"/>
  <c r="AJ14" i="108"/>
  <c r="DG131" i="81"/>
  <c r="AM80" i="108"/>
  <c r="AO48" i="108"/>
  <c r="DI119" i="81"/>
  <c r="DG92" i="81"/>
  <c r="AM44" i="108"/>
  <c r="CS171" i="81"/>
  <c r="AP73" i="108"/>
  <c r="T46" i="108"/>
  <c r="CR120" i="81"/>
  <c r="B23" i="81"/>
  <c r="CT85" i="81"/>
  <c r="CR155" i="81"/>
  <c r="CS155" i="81"/>
  <c r="AM90" i="108"/>
  <c r="DG132" i="81"/>
  <c r="CX87" i="81"/>
  <c r="AO62" i="108"/>
  <c r="AK62" i="108"/>
  <c r="AP62" i="108" s="1"/>
  <c r="DG97" i="81"/>
  <c r="DG118" i="81"/>
  <c r="DG122" i="81"/>
  <c r="DG114" i="81"/>
  <c r="DG163" i="81"/>
  <c r="CR100" i="81"/>
  <c r="CS100" i="81"/>
  <c r="AO71" i="108"/>
  <c r="AK71" i="108"/>
  <c r="AP71" i="108" s="1"/>
  <c r="CR104" i="81"/>
  <c r="AM100" i="108"/>
  <c r="CS168" i="81"/>
  <c r="DG96" i="81"/>
  <c r="AO100" i="108"/>
  <c r="AK100" i="108"/>
  <c r="AP100" i="108" s="1"/>
  <c r="AP88" i="108"/>
  <c r="CR116" i="81"/>
  <c r="CS116" i="81"/>
  <c r="CR142" i="81"/>
  <c r="CS142" i="81"/>
  <c r="DG154" i="81"/>
  <c r="CR140" i="81"/>
  <c r="CS140" i="81"/>
  <c r="AI14" i="108"/>
  <c r="DG161" i="81"/>
  <c r="DG173" i="81"/>
  <c r="CR121" i="81"/>
  <c r="CS121" i="81"/>
  <c r="DO98" i="81"/>
  <c r="DJ98" i="81"/>
  <c r="CX92" i="81"/>
  <c r="AM30" i="108"/>
  <c r="DO116" i="81"/>
  <c r="DG119" i="81"/>
  <c r="DI140" i="81"/>
  <c r="DG104" i="81"/>
  <c r="AO20" i="108"/>
  <c r="CT134" i="81"/>
  <c r="DG107" i="81"/>
  <c r="CS144" i="81"/>
  <c r="DH131" i="81"/>
  <c r="CR137" i="81"/>
  <c r="CS137" i="81"/>
  <c r="CU85" i="81"/>
  <c r="DG160" i="81"/>
  <c r="AO94" i="108"/>
  <c r="AK94" i="108"/>
  <c r="AP94" i="108" s="1"/>
  <c r="AO72" i="108"/>
  <c r="DG112" i="81"/>
  <c r="DG111" i="81"/>
  <c r="AO96" i="108"/>
  <c r="DG86" i="81"/>
  <c r="CR161" i="81"/>
  <c r="CS161" i="81"/>
  <c r="AO85" i="108"/>
  <c r="AK85" i="108"/>
  <c r="AP85" i="108" s="1"/>
  <c r="CR156" i="81"/>
  <c r="CS156" i="81"/>
  <c r="DI101" i="81"/>
  <c r="CR154" i="81"/>
  <c r="CS154" i="81"/>
  <c r="AO76" i="108"/>
  <c r="AK76" i="108"/>
  <c r="AP76" i="108" s="1"/>
  <c r="CT144" i="81"/>
  <c r="CU144" i="81"/>
  <c r="DG155" i="81"/>
  <c r="DG127" i="81"/>
  <c r="AM72" i="108"/>
  <c r="AM96" i="108"/>
  <c r="CR172" i="81"/>
  <c r="CS172" i="81"/>
  <c r="AO12" i="108"/>
  <c r="AK12" i="108" a="1"/>
  <c r="AK12" i="108" s="1"/>
  <c r="DJ140" i="81"/>
  <c r="DG147" i="81"/>
  <c r="J15" i="108"/>
  <c r="V15" i="108" s="1"/>
  <c r="Y15" i="108"/>
  <c r="AK15" i="108" s="1"/>
  <c r="DG138" i="81"/>
  <c r="CR170" i="81"/>
  <c r="CR169" i="81"/>
  <c r="DG140" i="81"/>
  <c r="AO49" i="108"/>
  <c r="DG165" i="81"/>
  <c r="DG134" i="81"/>
  <c r="CR153" i="81"/>
  <c r="CS153" i="81"/>
  <c r="AO52" i="108"/>
  <c r="CS101" i="81"/>
  <c r="AM70" i="108"/>
  <c r="CT139" i="81"/>
  <c r="CU139" i="81"/>
  <c r="DI87" i="81"/>
  <c r="CR103" i="81"/>
  <c r="CS103" i="81"/>
  <c r="AO77" i="108"/>
  <c r="AN77" i="108" s="1"/>
  <c r="AK77" i="108"/>
  <c r="AP77" i="108" s="1"/>
  <c r="CI102" i="81"/>
  <c r="DG137" i="81"/>
  <c r="DI117" i="81"/>
  <c r="DI144" i="81"/>
  <c r="DI86" i="81"/>
  <c r="CR141" i="81"/>
  <c r="AO54" i="108"/>
  <c r="AK54" i="108"/>
  <c r="CR143" i="81"/>
  <c r="CS143" i="81"/>
  <c r="CR147" i="81"/>
  <c r="DG103" i="81"/>
  <c r="CR110" i="81"/>
  <c r="CS110" i="81"/>
  <c r="DG164" i="81"/>
  <c r="CT158" i="81"/>
  <c r="CU158" i="81"/>
  <c r="CT99" i="81"/>
  <c r="AM21" i="108"/>
  <c r="CT173" i="81"/>
  <c r="DG123" i="81"/>
  <c r="DG135" i="81"/>
  <c r="AO21" i="108"/>
  <c r="AK21" i="108"/>
  <c r="AP21" i="108" s="1"/>
  <c r="DG125" i="81"/>
  <c r="CT150" i="81"/>
  <c r="CU150" i="81"/>
  <c r="DG98" i="81"/>
  <c r="CI94" i="81"/>
  <c r="CU94" i="81"/>
  <c r="DG148" i="81"/>
  <c r="AP36" i="108"/>
  <c r="DG153" i="81"/>
  <c r="AM28" i="108"/>
  <c r="AM81" i="108"/>
  <c r="AO32" i="108"/>
  <c r="CS99" i="81"/>
  <c r="AO84" i="108"/>
  <c r="AK84" i="108"/>
  <c r="AP84" i="108" s="1"/>
  <c r="CR157" i="81"/>
  <c r="CS157" i="81"/>
  <c r="CR146" i="81"/>
  <c r="CS146" i="81"/>
  <c r="CR130" i="81"/>
  <c r="CS130" i="81"/>
  <c r="CT164" i="81"/>
  <c r="CR144" i="81"/>
  <c r="U14" i="108"/>
  <c r="DG110" i="81"/>
  <c r="CR138" i="81"/>
  <c r="CS138" i="81"/>
  <c r="DG106" i="81"/>
  <c r="AO80" i="108"/>
  <c r="DI171" i="81"/>
  <c r="AO26" i="108"/>
  <c r="DG143" i="81"/>
  <c r="CR162" i="81"/>
  <c r="CS162" i="81"/>
  <c r="CX101" i="81"/>
  <c r="DG124" i="81"/>
  <c r="AO70" i="108"/>
  <c r="AK70" i="108"/>
  <c r="AP70" i="108" s="1"/>
  <c r="DI150" i="81"/>
  <c r="CR150" i="81"/>
  <c r="CS150" i="81"/>
  <c r="CR152" i="81"/>
  <c r="DI131" i="81"/>
  <c r="DI92" i="81"/>
  <c r="E36" i="81"/>
  <c r="B36" i="81" s="1"/>
  <c r="AP81" i="108"/>
  <c r="AM95" i="108"/>
  <c r="CS102" i="81"/>
  <c r="CT131" i="81"/>
  <c r="CU131" i="81"/>
  <c r="DI123" i="81"/>
  <c r="AO35" i="108"/>
  <c r="DI154" i="81"/>
  <c r="DG136" i="81"/>
  <c r="DH119" i="81"/>
  <c r="DG152" i="81"/>
  <c r="DJ162" i="81"/>
  <c r="AO65" i="108"/>
  <c r="AK65" i="108"/>
  <c r="AP65" i="108" s="1"/>
  <c r="CR166" i="81"/>
  <c r="CS166" i="81"/>
  <c r="CT146" i="81"/>
  <c r="DJ104" i="81"/>
  <c r="AM66" i="108"/>
  <c r="CR108" i="81"/>
  <c r="CS108" i="81"/>
  <c r="DG121" i="81"/>
  <c r="DI164" i="81"/>
  <c r="CS164" i="81"/>
  <c r="AO22" i="108"/>
  <c r="DG130" i="81"/>
  <c r="CX109" i="81"/>
  <c r="AO59" i="108"/>
  <c r="AK59" i="108"/>
  <c r="AP59" i="108" s="1"/>
  <c r="DG142" i="81"/>
  <c r="DG166" i="81"/>
  <c r="CR118" i="81"/>
  <c r="CS118" i="81"/>
  <c r="CR95" i="81"/>
  <c r="AO57" i="108"/>
  <c r="AK57" i="108"/>
  <c r="AP57" i="108" s="1"/>
  <c r="CT102" i="81"/>
  <c r="CT151" i="81"/>
  <c r="CU151" i="81"/>
  <c r="DG120" i="81"/>
  <c r="DI99" i="81"/>
  <c r="DG150" i="81"/>
  <c r="CF88" i="81"/>
  <c r="DG115" i="81"/>
  <c r="CR134" i="81"/>
  <c r="CS134" i="81"/>
  <c r="E46" i="81"/>
  <c r="B46" i="81" s="1"/>
  <c r="DG157" i="81"/>
  <c r="CR126" i="81"/>
  <c r="CR93" i="81"/>
  <c r="CS93" i="81"/>
  <c r="AO33" i="108"/>
  <c r="DG90" i="81"/>
  <c r="AO19" i="108"/>
  <c r="CX90" i="81"/>
  <c r="CI101" i="81"/>
  <c r="CU101" i="81"/>
  <c r="CT171" i="81"/>
  <c r="CU171" i="81"/>
  <c r="DH97" i="81"/>
  <c r="DI90" i="81"/>
  <c r="DI94" i="81"/>
  <c r="CE89" i="81"/>
  <c r="E29" i="81" s="1"/>
  <c r="DG101" i="81"/>
  <c r="AM71" i="108"/>
  <c r="CR167" i="81"/>
  <c r="CS167" i="81"/>
  <c r="CR173" i="81"/>
  <c r="CS173" i="81"/>
  <c r="CR148" i="81"/>
  <c r="CS148" i="81"/>
  <c r="DI97" i="81"/>
  <c r="DG87" i="81"/>
  <c r="CR119" i="81"/>
  <c r="CS119" i="81"/>
  <c r="DG146" i="81"/>
  <c r="CI109" i="81"/>
  <c r="CU109" i="81"/>
  <c r="DI158" i="81"/>
  <c r="DG167" i="81"/>
  <c r="DG116" i="81"/>
  <c r="CX94" i="81"/>
  <c r="AO28" i="108"/>
  <c r="DI135" i="81"/>
  <c r="CR112" i="81"/>
  <c r="CS112" i="81"/>
  <c r="CR123" i="81"/>
  <c r="CS123" i="81"/>
  <c r="AP14" i="108"/>
  <c r="CR107" i="81"/>
  <c r="CS107" i="81"/>
  <c r="CT174" i="81"/>
  <c r="CU174" i="81"/>
  <c r="DG91" i="81"/>
  <c r="CR125" i="81"/>
  <c r="CS125" i="81"/>
  <c r="CS139" i="81"/>
  <c r="CI87" i="81"/>
  <c r="CU87" i="81"/>
  <c r="AO99" i="108"/>
  <c r="AK99" i="108"/>
  <c r="CT159" i="81"/>
  <c r="CU159" i="81"/>
  <c r="CX102" i="81"/>
  <c r="DG172" i="81"/>
  <c r="CR160" i="81"/>
  <c r="CS160" i="81"/>
  <c r="CU110" i="81"/>
  <c r="DI105" i="81"/>
  <c r="DG113" i="81"/>
  <c r="CS151" i="81"/>
  <c r="AO91" i="108"/>
  <c r="DG151" i="81"/>
  <c r="CX99" i="81"/>
  <c r="DG85" i="81"/>
  <c r="CT86" i="81"/>
  <c r="V12" i="108"/>
  <c r="CT154" i="81"/>
  <c r="CR164" i="81"/>
  <c r="CT152" i="81"/>
  <c r="DG159" i="81"/>
  <c r="DG169" i="81"/>
  <c r="DG100" i="81"/>
  <c r="DG105" i="81"/>
  <c r="CS90" i="81"/>
  <c r="AO44" i="108"/>
  <c r="CR163" i="81"/>
  <c r="CS163" i="81"/>
  <c r="CR85" i="81"/>
  <c r="AO97" i="108"/>
  <c r="DI111" i="81" l="1"/>
  <c r="DO112" i="81"/>
  <c r="DI167" i="81"/>
  <c r="DI127" i="81"/>
  <c r="DJ137" i="81"/>
  <c r="DJ117" i="81"/>
  <c r="DI137" i="81"/>
  <c r="DI155" i="81"/>
  <c r="DI152" i="81"/>
  <c r="DH104" i="81"/>
  <c r="DI157" i="81"/>
  <c r="DI115" i="81"/>
  <c r="DJ130" i="81"/>
  <c r="DO130" i="81"/>
  <c r="DI172" i="81"/>
  <c r="DJ172" i="81"/>
  <c r="DJ108" i="81"/>
  <c r="DJ165" i="81"/>
  <c r="DO110" i="81"/>
  <c r="DI109" i="81"/>
  <c r="AN12" i="6"/>
  <c r="D10" i="109"/>
  <c r="AP12" i="6"/>
  <c r="C10" i="109"/>
  <c r="DI129" i="81"/>
  <c r="D8" i="109"/>
  <c r="AO11" i="6"/>
  <c r="AN11" i="6" s="1"/>
  <c r="DJ93" i="81"/>
  <c r="AN20" i="6"/>
  <c r="AN97" i="6"/>
  <c r="C8" i="109"/>
  <c r="DJ127" i="81"/>
  <c r="DH149" i="81"/>
  <c r="DI118" i="81"/>
  <c r="DH113" i="81"/>
  <c r="DI104" i="81"/>
  <c r="DI102" i="81"/>
  <c r="DI103" i="81"/>
  <c r="AN81" i="6"/>
  <c r="AN55" i="6"/>
  <c r="AN27" i="6"/>
  <c r="AN45" i="6"/>
  <c r="CT95" i="81"/>
  <c r="DI160" i="81"/>
  <c r="AN76" i="6"/>
  <c r="AN91" i="6"/>
  <c r="AN25" i="6"/>
  <c r="AN80" i="6"/>
  <c r="AN35" i="6"/>
  <c r="DJ91" i="81"/>
  <c r="AN57" i="6"/>
  <c r="AN66" i="6"/>
  <c r="AN43" i="6"/>
  <c r="AN18" i="6"/>
  <c r="AN30" i="6"/>
  <c r="DI114" i="81"/>
  <c r="AN37" i="6"/>
  <c r="DJ167" i="81"/>
  <c r="AP93" i="6"/>
  <c r="DO167" i="81" s="1"/>
  <c r="DN111" i="81"/>
  <c r="DJ147" i="81"/>
  <c r="AP73" i="6"/>
  <c r="DO147" i="81" s="1"/>
  <c r="DJ157" i="81"/>
  <c r="AP83" i="6"/>
  <c r="DO157" i="81" s="1"/>
  <c r="DJ121" i="81"/>
  <c r="AP47" i="6"/>
  <c r="DO121" i="81" s="1"/>
  <c r="DJ155" i="81"/>
  <c r="AP81" i="6"/>
  <c r="DO155" i="81" s="1"/>
  <c r="DJ161" i="81"/>
  <c r="AP87" i="6"/>
  <c r="DO161" i="81" s="1"/>
  <c r="AN23" i="6"/>
  <c r="DJ122" i="81"/>
  <c r="AP48" i="6"/>
  <c r="DO122" i="81" s="1"/>
  <c r="DJ156" i="81"/>
  <c r="AP82" i="6"/>
  <c r="DO156" i="81" s="1"/>
  <c r="DI143" i="81"/>
  <c r="AN75" i="6"/>
  <c r="DJ103" i="81"/>
  <c r="AP29" i="6"/>
  <c r="DO103" i="81" s="1"/>
  <c r="DJ143" i="81"/>
  <c r="AP69" i="6"/>
  <c r="DO143" i="81" s="1"/>
  <c r="DI149" i="81"/>
  <c r="DI161" i="81"/>
  <c r="DJ153" i="81"/>
  <c r="DN164" i="81"/>
  <c r="DJ111" i="81"/>
  <c r="AP37" i="6"/>
  <c r="DO111" i="81" s="1"/>
  <c r="DJ124" i="81"/>
  <c r="AP50" i="6"/>
  <c r="DO124" i="81" s="1"/>
  <c r="DJ115" i="81"/>
  <c r="AP41" i="6"/>
  <c r="DO115" i="81" s="1"/>
  <c r="DJ134" i="81"/>
  <c r="AP60" i="6"/>
  <c r="DO134" i="81" s="1"/>
  <c r="AN13" i="6"/>
  <c r="DH168" i="81"/>
  <c r="DJ126" i="81"/>
  <c r="AP52" i="6"/>
  <c r="DO126" i="81" s="1"/>
  <c r="DJ142" i="81"/>
  <c r="AP68" i="6"/>
  <c r="DJ149" i="81"/>
  <c r="AP75" i="6"/>
  <c r="AN49" i="6"/>
  <c r="AN98" i="6"/>
  <c r="AN69" i="6"/>
  <c r="DJ85" i="81"/>
  <c r="AP11" i="6"/>
  <c r="AN19" i="6"/>
  <c r="AN44" i="6"/>
  <c r="AN51" i="6"/>
  <c r="AN36" i="6"/>
  <c r="AN86" i="6"/>
  <c r="DI130" i="81"/>
  <c r="AO56" i="6"/>
  <c r="AN56" i="6" s="1"/>
  <c r="AK71" i="6"/>
  <c r="AP71" i="6" s="1"/>
  <c r="AO71" i="6"/>
  <c r="DN145" i="81" s="1"/>
  <c r="AN53" i="6"/>
  <c r="AN93" i="6"/>
  <c r="DI113" i="81"/>
  <c r="AO39" i="6"/>
  <c r="DN113" i="81" s="1"/>
  <c r="AN29" i="6"/>
  <c r="AK21" i="6"/>
  <c r="AP21" i="6" s="1"/>
  <c r="AO21" i="6"/>
  <c r="DN95" i="81" s="1"/>
  <c r="DI156" i="81"/>
  <c r="AO82" i="6"/>
  <c r="DN156" i="81" s="1"/>
  <c r="AN46" i="6"/>
  <c r="DI108" i="81"/>
  <c r="AO34" i="6"/>
  <c r="DN108" i="81" s="1"/>
  <c r="DI146" i="81"/>
  <c r="AO72" i="6"/>
  <c r="AN72" i="6" s="1"/>
  <c r="DN148" i="81"/>
  <c r="DI126" i="81"/>
  <c r="AO52" i="6"/>
  <c r="DN126" i="81" s="1"/>
  <c r="DI124" i="81"/>
  <c r="AO50" i="6"/>
  <c r="AN50" i="6" s="1"/>
  <c r="AK62" i="6"/>
  <c r="AP62" i="6" s="1"/>
  <c r="DO136" i="81" s="1"/>
  <c r="AO62" i="6"/>
  <c r="DI142" i="81"/>
  <c r="AO68" i="6"/>
  <c r="AN68" i="6" s="1"/>
  <c r="AN87" i="6"/>
  <c r="AN40" i="6"/>
  <c r="AN63" i="6"/>
  <c r="AN78" i="6"/>
  <c r="DI169" i="81"/>
  <c r="AO95" i="6"/>
  <c r="AN95" i="6" s="1"/>
  <c r="AK99" i="6"/>
  <c r="AO99" i="6"/>
  <c r="AN99" i="6" s="1"/>
  <c r="AK100" i="6"/>
  <c r="AP100" i="6" s="1"/>
  <c r="DO174" i="81" s="1"/>
  <c r="AO100" i="6"/>
  <c r="DN174" i="81" s="1"/>
  <c r="AK85" i="6"/>
  <c r="AP85" i="6" s="1"/>
  <c r="DO159" i="81" s="1"/>
  <c r="AO85" i="6"/>
  <c r="DN159" i="81" s="1"/>
  <c r="AN70" i="6"/>
  <c r="DI148" i="81"/>
  <c r="AN48" i="6"/>
  <c r="DI170" i="81"/>
  <c r="AO96" i="6"/>
  <c r="DN170" i="81" s="1"/>
  <c r="AN24" i="6"/>
  <c r="AN15" i="6"/>
  <c r="DH93" i="81"/>
  <c r="AN22" i="6"/>
  <c r="AN83" i="6"/>
  <c r="AN41" i="6"/>
  <c r="AK65" i="6"/>
  <c r="AO65" i="6"/>
  <c r="AN65" i="6" s="1"/>
  <c r="AK67" i="6"/>
  <c r="AP67" i="6" s="1"/>
  <c r="AO67" i="6"/>
  <c r="AN67" i="6" s="1"/>
  <c r="DI106" i="81"/>
  <c r="AO32" i="6"/>
  <c r="AN32" i="6" s="1"/>
  <c r="AK77" i="6"/>
  <c r="AP77" i="6" s="1"/>
  <c r="DO151" i="81" s="1"/>
  <c r="AO77" i="6"/>
  <c r="DN151" i="81" s="1"/>
  <c r="DI134" i="81"/>
  <c r="AO60" i="6"/>
  <c r="AN60" i="6" s="1"/>
  <c r="AN58" i="6"/>
  <c r="AN14" i="6"/>
  <c r="AN90" i="6"/>
  <c r="AK59" i="6"/>
  <c r="DJ133" i="81" s="1"/>
  <c r="AO59" i="6"/>
  <c r="DN133" i="81" s="1"/>
  <c r="AN73" i="6"/>
  <c r="AK94" i="6"/>
  <c r="AO94" i="6"/>
  <c r="AN94" i="6" s="1"/>
  <c r="DI162" i="81"/>
  <c r="AO88" i="6"/>
  <c r="DN162" i="81" s="1"/>
  <c r="AK54" i="6"/>
  <c r="AP54" i="6" s="1"/>
  <c r="AO54" i="6"/>
  <c r="DN128" i="81" s="1"/>
  <c r="DI112" i="81"/>
  <c r="AO38" i="6"/>
  <c r="AN38" i="6" s="1"/>
  <c r="DI166" i="81"/>
  <c r="AO92" i="6"/>
  <c r="AN92" i="6" s="1"/>
  <c r="DI116" i="81"/>
  <c r="AO42" i="6"/>
  <c r="AN42" i="6" s="1"/>
  <c r="DI153" i="81"/>
  <c r="AO79" i="6"/>
  <c r="AN79" i="6" s="1"/>
  <c r="DI121" i="81"/>
  <c r="AO47" i="6"/>
  <c r="AN47" i="6" s="1"/>
  <c r="AN64" i="6"/>
  <c r="DI91" i="81"/>
  <c r="AO17" i="6"/>
  <c r="AN17" i="6" s="1"/>
  <c r="AN33" i="6"/>
  <c r="DH99" i="81"/>
  <c r="DI141" i="81"/>
  <c r="DH124" i="81"/>
  <c r="DH174" i="81"/>
  <c r="AM21" i="6"/>
  <c r="DH117" i="81"/>
  <c r="DI145" i="81"/>
  <c r="DH151" i="81"/>
  <c r="AM77" i="6"/>
  <c r="DL151" i="81" s="1"/>
  <c r="DH136" i="81"/>
  <c r="AM62" i="6"/>
  <c r="DH108" i="81"/>
  <c r="AM34" i="6"/>
  <c r="DH102" i="81"/>
  <c r="AM28" i="6"/>
  <c r="AN28" i="6" s="1"/>
  <c r="DH162" i="81"/>
  <c r="AM88" i="6"/>
  <c r="DL162" i="81" s="1"/>
  <c r="DH135" i="81"/>
  <c r="AM61" i="6"/>
  <c r="DH128" i="81"/>
  <c r="AM54" i="6"/>
  <c r="DL128" i="81" s="1"/>
  <c r="DH158" i="81"/>
  <c r="AM84" i="6"/>
  <c r="AN84" i="6" s="1"/>
  <c r="DH100" i="81"/>
  <c r="DH159" i="81"/>
  <c r="AM85" i="6"/>
  <c r="DH156" i="81"/>
  <c r="AM82" i="6"/>
  <c r="DH126" i="81"/>
  <c r="AM52" i="6"/>
  <c r="AM31" i="6"/>
  <c r="DH129" i="81"/>
  <c r="CT145" i="81"/>
  <c r="DI163" i="81"/>
  <c r="CX133" i="81"/>
  <c r="AI59" i="6"/>
  <c r="AM59" i="6" s="1"/>
  <c r="CX145" i="81"/>
  <c r="AI71" i="6"/>
  <c r="CT133" i="81"/>
  <c r="V59" i="6"/>
  <c r="CU133" i="81" s="1"/>
  <c r="CJ6" i="81"/>
  <c r="CJ8" i="81"/>
  <c r="CC10" i="81"/>
  <c r="CJ9" i="81"/>
  <c r="CJ3" i="81"/>
  <c r="CK2" i="81"/>
  <c r="CJ2" i="81"/>
  <c r="CK4" i="81"/>
  <c r="CJ7" i="81"/>
  <c r="AN13" i="108"/>
  <c r="DJ138" i="81"/>
  <c r="CU92" i="81"/>
  <c r="DJ148" i="81"/>
  <c r="DJ129" i="81"/>
  <c r="CU102" i="81"/>
  <c r="CU93" i="81"/>
  <c r="DO170" i="81"/>
  <c r="CU96" i="81"/>
  <c r="CU113" i="81"/>
  <c r="DO106" i="81"/>
  <c r="CU106" i="81"/>
  <c r="CU121" i="81"/>
  <c r="CU165" i="81"/>
  <c r="DO132" i="81"/>
  <c r="CU99" i="81"/>
  <c r="CU111" i="81"/>
  <c r="DO100" i="81"/>
  <c r="DO172" i="81"/>
  <c r="AN82" i="108"/>
  <c r="DL113" i="81"/>
  <c r="DN132" i="81"/>
  <c r="AN58" i="108"/>
  <c r="DI173" i="81"/>
  <c r="DI85" i="81"/>
  <c r="AN85" i="108"/>
  <c r="AN39" i="108"/>
  <c r="DH170" i="81"/>
  <c r="AN87" i="108"/>
  <c r="AN36" i="108"/>
  <c r="AN95" i="108"/>
  <c r="DI174" i="81"/>
  <c r="AN37" i="108"/>
  <c r="DI132" i="81"/>
  <c r="CT168" i="81"/>
  <c r="AN93" i="108"/>
  <c r="AO51" i="108"/>
  <c r="AN51" i="108" s="1"/>
  <c r="DI128" i="81"/>
  <c r="AN66" i="108"/>
  <c r="DO104" i="81"/>
  <c r="DO138" i="81"/>
  <c r="AN75" i="108"/>
  <c r="CS88" i="81"/>
  <c r="AN97" i="108"/>
  <c r="AP51" i="108"/>
  <c r="DO125" i="81" s="1"/>
  <c r="DO153" i="81"/>
  <c r="DI95" i="81"/>
  <c r="AN19" i="108"/>
  <c r="AM55" i="108"/>
  <c r="DL129" i="81" s="1"/>
  <c r="AN52" i="108"/>
  <c r="AN29" i="108"/>
  <c r="AN50" i="108"/>
  <c r="AN27" i="108"/>
  <c r="DL149" i="81"/>
  <c r="AK67" i="108"/>
  <c r="DL124" i="81"/>
  <c r="AN25" i="108"/>
  <c r="AN34" i="108"/>
  <c r="DI138" i="81"/>
  <c r="D126" i="108"/>
  <c r="F126" i="108" s="1"/>
  <c r="CT141" i="81"/>
  <c r="AN26" i="108"/>
  <c r="DL96" i="81"/>
  <c r="DJ107" i="81"/>
  <c r="DO107" i="81"/>
  <c r="AN74" i="108"/>
  <c r="AN42" i="108"/>
  <c r="AN79" i="108"/>
  <c r="AN35" i="108"/>
  <c r="AN45" i="108"/>
  <c r="AN22" i="108"/>
  <c r="DI168" i="81"/>
  <c r="DI120" i="81"/>
  <c r="DI100" i="81"/>
  <c r="DN107" i="81"/>
  <c r="AN53" i="108"/>
  <c r="DO119" i="81"/>
  <c r="AN43" i="108"/>
  <c r="CU141" i="81"/>
  <c r="AO73" i="108"/>
  <c r="DN147" i="81" s="1"/>
  <c r="AN16" i="108"/>
  <c r="AO67" i="108"/>
  <c r="DO117" i="81"/>
  <c r="DI147" i="81"/>
  <c r="AN54" i="108"/>
  <c r="DN149" i="81"/>
  <c r="DL117" i="81"/>
  <c r="DL170" i="81"/>
  <c r="AN38" i="108"/>
  <c r="AN47" i="108"/>
  <c r="DN120" i="81"/>
  <c r="AN32" i="108"/>
  <c r="CS141" i="81"/>
  <c r="AN18" i="108"/>
  <c r="AN24" i="108"/>
  <c r="AN86" i="108"/>
  <c r="AN92" i="108"/>
  <c r="AN59" i="108"/>
  <c r="CS152" i="81"/>
  <c r="DI136" i="81"/>
  <c r="AN81" i="108"/>
  <c r="AN90" i="108"/>
  <c r="AM67" i="108"/>
  <c r="AN57" i="108"/>
  <c r="DN98" i="81"/>
  <c r="DH96" i="81"/>
  <c r="CU90" i="81"/>
  <c r="AN44" i="108"/>
  <c r="CS120" i="81"/>
  <c r="DN93" i="81"/>
  <c r="AN80" i="108"/>
  <c r="AN60" i="108"/>
  <c r="AN64" i="108"/>
  <c r="C107" i="108"/>
  <c r="AN40" i="108"/>
  <c r="DO154" i="81"/>
  <c r="DJ154" i="81"/>
  <c r="AN49" i="108"/>
  <c r="AN99" i="108"/>
  <c r="AN33" i="108"/>
  <c r="D107" i="108"/>
  <c r="DO140" i="81"/>
  <c r="DI93" i="81"/>
  <c r="AN69" i="108"/>
  <c r="AM73" i="108"/>
  <c r="CS147" i="81"/>
  <c r="AN48" i="108"/>
  <c r="DL87" i="81"/>
  <c r="AN17" i="108"/>
  <c r="AN28" i="108"/>
  <c r="AN30" i="108"/>
  <c r="CT109" i="81"/>
  <c r="DL100" i="81"/>
  <c r="AN83" i="108"/>
  <c r="AO55" i="108"/>
  <c r="DL131" i="81"/>
  <c r="CT128" i="81"/>
  <c r="AN62" i="108"/>
  <c r="AP55" i="108"/>
  <c r="DO129" i="81" s="1"/>
  <c r="CU129" i="81"/>
  <c r="DH94" i="81"/>
  <c r="DL174" i="81"/>
  <c r="AN56" i="108"/>
  <c r="AN63" i="108"/>
  <c r="AM78" i="108"/>
  <c r="AN78" i="108" s="1"/>
  <c r="AM20" i="108"/>
  <c r="AN20" i="108" s="1"/>
  <c r="AO14" i="108"/>
  <c r="CT136" i="81"/>
  <c r="CS92" i="81"/>
  <c r="DO162" i="81"/>
  <c r="DO113" i="81"/>
  <c r="DJ113" i="81"/>
  <c r="DH87" i="81"/>
  <c r="DJ160" i="81"/>
  <c r="DO160" i="81"/>
  <c r="DI96" i="81"/>
  <c r="DO163" i="81"/>
  <c r="DJ163" i="81"/>
  <c r="T15" i="108"/>
  <c r="T103" i="108" s="1"/>
  <c r="DL168" i="81"/>
  <c r="D117" i="108"/>
  <c r="F117" i="108" s="1"/>
  <c r="DJ96" i="81"/>
  <c r="DO96" i="81"/>
  <c r="AM23" i="108"/>
  <c r="AN23" i="108" s="1"/>
  <c r="CS114" i="81"/>
  <c r="CS165" i="81"/>
  <c r="DJ152" i="81"/>
  <c r="AP78" i="108"/>
  <c r="DO152" i="81" s="1"/>
  <c r="AN94" i="108"/>
  <c r="DN103" i="81"/>
  <c r="AN68" i="108"/>
  <c r="AN91" i="108"/>
  <c r="AN65" i="108"/>
  <c r="CS86" i="81"/>
  <c r="AN84" i="108"/>
  <c r="AM14" i="108"/>
  <c r="AN76" i="108"/>
  <c r="DN122" i="81"/>
  <c r="DN102" i="81"/>
  <c r="AM46" i="108"/>
  <c r="AN46" i="108" s="1"/>
  <c r="DL104" i="81"/>
  <c r="AN89" i="108"/>
  <c r="DL93" i="81"/>
  <c r="AN100" i="108"/>
  <c r="AM41" i="108"/>
  <c r="AN41" i="108" s="1"/>
  <c r="AJ15" i="108"/>
  <c r="AJ103" i="108" s="1"/>
  <c r="DI165" i="81"/>
  <c r="DN165" i="81"/>
  <c r="DO165" i="81"/>
  <c r="DI88" i="81"/>
  <c r="AI15" i="108"/>
  <c r="AI103" i="108" s="1"/>
  <c r="AN12" i="108"/>
  <c r="DN157" i="81"/>
  <c r="DO118" i="81"/>
  <c r="DJ118" i="81"/>
  <c r="DJ123" i="81"/>
  <c r="DO123" i="81"/>
  <c r="AN72" i="108"/>
  <c r="AN71" i="108"/>
  <c r="DO114" i="81"/>
  <c r="DJ114" i="81"/>
  <c r="B29" i="81"/>
  <c r="DN97" i="81"/>
  <c r="DH164" i="81"/>
  <c r="DH88" i="81"/>
  <c r="DN86" i="81"/>
  <c r="CU86" i="81"/>
  <c r="V103" i="108"/>
  <c r="AP54" i="108"/>
  <c r="DO144" i="81"/>
  <c r="BN70" i="6"/>
  <c r="DJ144" i="81"/>
  <c r="DL134" i="81"/>
  <c r="DH134" i="81"/>
  <c r="DL154" i="81"/>
  <c r="DH154" i="81"/>
  <c r="DH169" i="81"/>
  <c r="DL91" i="81"/>
  <c r="DH91" i="81"/>
  <c r="DH146" i="81"/>
  <c r="DN154" i="81"/>
  <c r="DO131" i="81"/>
  <c r="BN57" i="6"/>
  <c r="DJ131" i="81"/>
  <c r="DL143" i="81"/>
  <c r="DH143" i="81"/>
  <c r="DN117" i="81"/>
  <c r="DN114" i="81"/>
  <c r="DN127" i="81"/>
  <c r="DL90" i="81"/>
  <c r="DL110" i="81"/>
  <c r="DH110" i="81"/>
  <c r="DH148" i="81"/>
  <c r="CU173" i="81"/>
  <c r="CS85" i="81"/>
  <c r="AP99" i="108"/>
  <c r="DL167" i="81"/>
  <c r="DH167" i="81"/>
  <c r="DH157" i="81"/>
  <c r="DH152" i="81"/>
  <c r="DN123" i="81"/>
  <c r="DO150" i="81"/>
  <c r="DJ150" i="81"/>
  <c r="BN76" i="6"/>
  <c r="DN163" i="81"/>
  <c r="DL153" i="81"/>
  <c r="DH153" i="81"/>
  <c r="U15" i="108"/>
  <c r="U103" i="108" s="1"/>
  <c r="DO145" i="81"/>
  <c r="DL144" i="81"/>
  <c r="DH144" i="81"/>
  <c r="DL161" i="81"/>
  <c r="DH161" i="81"/>
  <c r="DL171" i="81"/>
  <c r="DH171" i="81"/>
  <c r="DL123" i="81"/>
  <c r="DH123" i="81"/>
  <c r="DL107" i="81"/>
  <c r="DH107" i="81"/>
  <c r="DN94" i="81"/>
  <c r="DN137" i="81"/>
  <c r="AN11" i="108"/>
  <c r="DN144" i="81"/>
  <c r="DL137" i="81"/>
  <c r="DH137" i="81"/>
  <c r="BN67" i="6"/>
  <c r="DH165" i="81"/>
  <c r="DL138" i="81"/>
  <c r="DH138" i="81"/>
  <c r="DH147" i="81"/>
  <c r="AN96" i="108"/>
  <c r="DL163" i="81"/>
  <c r="DH163" i="81"/>
  <c r="DL118" i="81"/>
  <c r="DH118" i="81"/>
  <c r="DO87" i="81"/>
  <c r="D129" i="108"/>
  <c r="DJ87" i="81"/>
  <c r="DL116" i="81"/>
  <c r="DH116" i="81"/>
  <c r="E129" i="108"/>
  <c r="DN87" i="81"/>
  <c r="DH122" i="81"/>
  <c r="DH111" i="81"/>
  <c r="DL101" i="81"/>
  <c r="DH121" i="81"/>
  <c r="CU95" i="81"/>
  <c r="DN118" i="81"/>
  <c r="DL160" i="81"/>
  <c r="DH160" i="81"/>
  <c r="DN143" i="81"/>
  <c r="DH103" i="81"/>
  <c r="AP12" i="108"/>
  <c r="DL155" i="81"/>
  <c r="DH155" i="81"/>
  <c r="DN140" i="81"/>
  <c r="DH115" i="81"/>
  <c r="DL109" i="81"/>
  <c r="DH109" i="81"/>
  <c r="DN131" i="81"/>
  <c r="DH106" i="81"/>
  <c r="DN135" i="81"/>
  <c r="DL125" i="81"/>
  <c r="DH125" i="81"/>
  <c r="E37" i="81"/>
  <c r="B37" i="81" s="1"/>
  <c r="DH120" i="81"/>
  <c r="DH141" i="81"/>
  <c r="E47" i="81"/>
  <c r="B47" i="81" s="1"/>
  <c r="DL172" i="81"/>
  <c r="DH172" i="81"/>
  <c r="CI88" i="81"/>
  <c r="DN172" i="81"/>
  <c r="DN138" i="81"/>
  <c r="DN150" i="81"/>
  <c r="BN12" i="6"/>
  <c r="DJ86" i="81"/>
  <c r="DO99" i="81"/>
  <c r="D128" i="108"/>
  <c r="DJ99" i="81"/>
  <c r="DO94" i="81"/>
  <c r="DJ94" i="81"/>
  <c r="DN152" i="81"/>
  <c r="CX88" i="81"/>
  <c r="DL150" i="81"/>
  <c r="DH150" i="81"/>
  <c r="DL99" i="81"/>
  <c r="DL119" i="81"/>
  <c r="AN70" i="108"/>
  <c r="DN171" i="81"/>
  <c r="DL92" i="81"/>
  <c r="DH92" i="81"/>
  <c r="DL114" i="81"/>
  <c r="DH114" i="81"/>
  <c r="DH132" i="81"/>
  <c r="DN115" i="81"/>
  <c r="DN101" i="81"/>
  <c r="DL112" i="81"/>
  <c r="DH112" i="81"/>
  <c r="DO92" i="81"/>
  <c r="D118" i="108"/>
  <c r="F118" i="108" s="1"/>
  <c r="DJ92" i="81"/>
  <c r="DH142" i="81"/>
  <c r="DO101" i="81"/>
  <c r="DJ101" i="81"/>
  <c r="DH85" i="81"/>
  <c r="DN155" i="81"/>
  <c r="DO171" i="81"/>
  <c r="BN97" i="6"/>
  <c r="DJ171" i="81"/>
  <c r="DN167" i="81"/>
  <c r="DO158" i="81"/>
  <c r="DJ158" i="81"/>
  <c r="BN84" i="6"/>
  <c r="DO109" i="81"/>
  <c r="DJ109" i="81"/>
  <c r="DN109" i="81"/>
  <c r="DH98" i="81"/>
  <c r="AN21" i="108"/>
  <c r="DH86" i="81"/>
  <c r="DN105" i="81"/>
  <c r="DO102" i="81"/>
  <c r="DJ102" i="81"/>
  <c r="DN158" i="81"/>
  <c r="CF89" i="81"/>
  <c r="E30" i="81" s="1"/>
  <c r="DJ90" i="81"/>
  <c r="CS126" i="81"/>
  <c r="CU88" i="81"/>
  <c r="DL166" i="81"/>
  <c r="DH166" i="81"/>
  <c r="DL130" i="81"/>
  <c r="DH130" i="81"/>
  <c r="DN104" i="81"/>
  <c r="DL139" i="81"/>
  <c r="DH139" i="81"/>
  <c r="DH95" i="81"/>
  <c r="CU164" i="81"/>
  <c r="DO164" i="81"/>
  <c r="DN110" i="81"/>
  <c r="DL140" i="81"/>
  <c r="DH140" i="81"/>
  <c r="AP15" i="108"/>
  <c r="DL127" i="81"/>
  <c r="DH127" i="81"/>
  <c r="DN119" i="81"/>
  <c r="DN161" i="81"/>
  <c r="DN160" i="81"/>
  <c r="DH173" i="81"/>
  <c r="DN100" i="81"/>
  <c r="D122" i="108" l="1"/>
  <c r="DO85" i="81"/>
  <c r="DN146" i="81"/>
  <c r="D15" i="109"/>
  <c r="C15" i="109"/>
  <c r="D13" i="109"/>
  <c r="DN85" i="81"/>
  <c r="DN139" i="81"/>
  <c r="C13" i="109"/>
  <c r="DL95" i="81"/>
  <c r="DJ128" i="81"/>
  <c r="E10" i="109"/>
  <c r="F10" i="109" s="1"/>
  <c r="D9" i="109"/>
  <c r="C9" i="109"/>
  <c r="D123" i="108"/>
  <c r="F123" i="108" s="1"/>
  <c r="E8" i="109"/>
  <c r="BN77" i="6"/>
  <c r="DJ151" i="81"/>
  <c r="DN166" i="81"/>
  <c r="DN130" i="81"/>
  <c r="DJ145" i="81"/>
  <c r="DN106" i="81"/>
  <c r="BN71" i="6"/>
  <c r="AN62" i="6"/>
  <c r="DM136" i="81" s="1"/>
  <c r="DN91" i="81"/>
  <c r="E122" i="108"/>
  <c r="BN54" i="6"/>
  <c r="D121" i="108"/>
  <c r="DL102" i="81"/>
  <c r="DN116" i="81"/>
  <c r="DN173" i="81"/>
  <c r="DL158" i="81"/>
  <c r="DJ136" i="81"/>
  <c r="BN62" i="6"/>
  <c r="DN124" i="81"/>
  <c r="DN142" i="81"/>
  <c r="AN34" i="6"/>
  <c r="DM108" i="81" s="1"/>
  <c r="AN88" i="6"/>
  <c r="DM162" i="81" s="1"/>
  <c r="DN169" i="81"/>
  <c r="AN85" i="6"/>
  <c r="DM159" i="81" s="1"/>
  <c r="E117" i="108"/>
  <c r="DN141" i="81"/>
  <c r="DJ141" i="81"/>
  <c r="D124" i="108"/>
  <c r="E116" i="108"/>
  <c r="DN153" i="81"/>
  <c r="BN59" i="6"/>
  <c r="F122" i="108" s="1"/>
  <c r="AP59" i="6"/>
  <c r="DO133" i="81" s="1"/>
  <c r="AN52" i="6"/>
  <c r="DM126" i="81" s="1"/>
  <c r="BN99" i="6"/>
  <c r="AP99" i="6"/>
  <c r="DO173" i="81" s="1"/>
  <c r="DJ139" i="81"/>
  <c r="AP65" i="6"/>
  <c r="DO139" i="81" s="1"/>
  <c r="DJ159" i="81"/>
  <c r="AN21" i="6"/>
  <c r="DM95" i="81" s="1"/>
  <c r="AN100" i="6"/>
  <c r="DM174" i="81" s="1"/>
  <c r="AN82" i="6"/>
  <c r="DM156" i="81" s="1"/>
  <c r="BN94" i="6"/>
  <c r="AP94" i="6"/>
  <c r="DO168" i="81" s="1"/>
  <c r="BN85" i="6"/>
  <c r="AN96" i="6"/>
  <c r="DM170" i="81" s="1"/>
  <c r="DL108" i="81"/>
  <c r="DN134" i="81"/>
  <c r="E118" i="108"/>
  <c r="E119" i="108"/>
  <c r="AN59" i="6"/>
  <c r="DM133" i="81" s="1"/>
  <c r="AN39" i="6"/>
  <c r="DM113" i="81" s="1"/>
  <c r="DN168" i="81"/>
  <c r="DN112" i="81"/>
  <c r="DJ168" i="81"/>
  <c r="D116" i="108"/>
  <c r="AN77" i="6"/>
  <c r="DM151" i="81" s="1"/>
  <c r="DN121" i="81"/>
  <c r="DJ173" i="81"/>
  <c r="D125" i="108"/>
  <c r="BN65" i="6"/>
  <c r="DL159" i="81"/>
  <c r="AN54" i="6"/>
  <c r="DM128" i="81" s="1"/>
  <c r="DL135" i="81"/>
  <c r="AN61" i="6"/>
  <c r="DM135" i="81" s="1"/>
  <c r="DL136" i="81"/>
  <c r="DH133" i="81"/>
  <c r="DL133" i="81"/>
  <c r="DL105" i="81"/>
  <c r="AN31" i="6"/>
  <c r="DM105" i="81" s="1"/>
  <c r="DH145" i="81"/>
  <c r="AM71" i="6"/>
  <c r="G107" i="108" s="1"/>
  <c r="AI103" i="6"/>
  <c r="C112" i="108"/>
  <c r="K112" i="108" s="1"/>
  <c r="CK10" i="81"/>
  <c r="CC11" i="81"/>
  <c r="CK7" i="81"/>
  <c r="CK6" i="81"/>
  <c r="CK9" i="81"/>
  <c r="CK5" i="81"/>
  <c r="CK3" i="81"/>
  <c r="CK8" i="81"/>
  <c r="DO128" i="81"/>
  <c r="DO93" i="81"/>
  <c r="DJ100" i="81"/>
  <c r="DJ132" i="81"/>
  <c r="DJ170" i="81"/>
  <c r="DJ120" i="81"/>
  <c r="DO120" i="81"/>
  <c r="DO142" i="81"/>
  <c r="CU142" i="81"/>
  <c r="CU149" i="81"/>
  <c r="DO149" i="81"/>
  <c r="DO88" i="81"/>
  <c r="DN125" i="81"/>
  <c r="AK103" i="108"/>
  <c r="D112" i="108"/>
  <c r="DN96" i="81"/>
  <c r="BN100" i="6"/>
  <c r="DJ174" i="81"/>
  <c r="DJ95" i="81"/>
  <c r="BN21" i="6"/>
  <c r="DO95" i="81"/>
  <c r="D119" i="108"/>
  <c r="DM124" i="81"/>
  <c r="E125" i="108"/>
  <c r="AP67" i="108"/>
  <c r="DO141" i="81" s="1"/>
  <c r="DM149" i="81"/>
  <c r="DM96" i="81"/>
  <c r="DN92" i="81"/>
  <c r="DM131" i="81"/>
  <c r="DN90" i="81"/>
  <c r="DM104" i="81"/>
  <c r="E128" i="108"/>
  <c r="DM117" i="81"/>
  <c r="AN73" i="108"/>
  <c r="E126" i="108"/>
  <c r="E123" i="108"/>
  <c r="AN67" i="108"/>
  <c r="DO90" i="81"/>
  <c r="DL141" i="81"/>
  <c r="E121" i="108"/>
  <c r="E107" i="108"/>
  <c r="F107" i="108" s="1"/>
  <c r="L107" i="108"/>
  <c r="F128" i="108"/>
  <c r="DM87" i="81"/>
  <c r="DL94" i="81"/>
  <c r="DN99" i="81"/>
  <c r="DM167" i="81"/>
  <c r="DM93" i="81"/>
  <c r="DL152" i="81"/>
  <c r="DM100" i="81"/>
  <c r="DL147" i="81"/>
  <c r="CT89" i="81"/>
  <c r="K107" i="108"/>
  <c r="DN136" i="81"/>
  <c r="DL115" i="81"/>
  <c r="DN129" i="81"/>
  <c r="AN55" i="108"/>
  <c r="DM129" i="81" s="1"/>
  <c r="DM97" i="81"/>
  <c r="AN14" i="108"/>
  <c r="DM158" i="81"/>
  <c r="DM160" i="81"/>
  <c r="DM110" i="81"/>
  <c r="E124" i="108"/>
  <c r="DM168" i="81"/>
  <c r="DM94" i="81"/>
  <c r="DM152" i="81"/>
  <c r="AM15" i="108"/>
  <c r="AM103" i="108" s="1"/>
  <c r="DL97" i="81"/>
  <c r="DL88" i="81"/>
  <c r="DM90" i="81"/>
  <c r="DM138" i="81"/>
  <c r="DM172" i="81"/>
  <c r="DM116" i="81"/>
  <c r="F129" i="108"/>
  <c r="DM144" i="81"/>
  <c r="DM154" i="81"/>
  <c r="DM115" i="81"/>
  <c r="DM107" i="81"/>
  <c r="DM139" i="81"/>
  <c r="DM140" i="81"/>
  <c r="DM130" i="81"/>
  <c r="DM123" i="81"/>
  <c r="DM125" i="81"/>
  <c r="DM127" i="81"/>
  <c r="DM92" i="81"/>
  <c r="DM166" i="81"/>
  <c r="DM109" i="81"/>
  <c r="DM118" i="81"/>
  <c r="DM112" i="81"/>
  <c r="DM119" i="81"/>
  <c r="DM137" i="81"/>
  <c r="B30" i="81"/>
  <c r="DL169" i="81"/>
  <c r="DM169" i="81"/>
  <c r="DM134" i="81"/>
  <c r="DL165" i="81"/>
  <c r="DM165" i="81"/>
  <c r="DL156" i="81"/>
  <c r="DM86" i="81"/>
  <c r="CI89" i="81"/>
  <c r="E31" i="81" s="1"/>
  <c r="B31" i="81" s="1"/>
  <c r="C110" i="108"/>
  <c r="DM101" i="81"/>
  <c r="DL103" i="81"/>
  <c r="DM103" i="81"/>
  <c r="DL146" i="81"/>
  <c r="DM146" i="81"/>
  <c r="DL157" i="81"/>
  <c r="DM157" i="81"/>
  <c r="DL148" i="81"/>
  <c r="DM148" i="81"/>
  <c r="DL173" i="81"/>
  <c r="DM173" i="81"/>
  <c r="DM155" i="81"/>
  <c r="DM171" i="81"/>
  <c r="DL122" i="81"/>
  <c r="DM122" i="81"/>
  <c r="DM85" i="81"/>
  <c r="DM91" i="81"/>
  <c r="DO86" i="81"/>
  <c r="D120" i="108"/>
  <c r="F120" i="108" s="1"/>
  <c r="DJ88" i="81"/>
  <c r="DL106" i="81"/>
  <c r="DM106" i="81"/>
  <c r="CT88" i="81"/>
  <c r="U103" i="6"/>
  <c r="C105" i="108"/>
  <c r="DL132" i="81"/>
  <c r="DM132" i="81"/>
  <c r="DL120" i="81"/>
  <c r="DM120" i="81"/>
  <c r="DL111" i="81"/>
  <c r="DM111" i="81"/>
  <c r="AO15" i="108"/>
  <c r="DL98" i="81"/>
  <c r="DM98" i="81"/>
  <c r="DL142" i="81"/>
  <c r="DM142" i="81"/>
  <c r="DM150" i="81"/>
  <c r="DH89" i="81"/>
  <c r="DL85" i="81"/>
  <c r="CX89" i="81"/>
  <c r="E41" i="81" s="1"/>
  <c r="B41" i="81" s="1"/>
  <c r="DM163" i="81"/>
  <c r="DM153" i="81"/>
  <c r="DM161" i="81"/>
  <c r="DL126" i="81"/>
  <c r="DL86" i="81"/>
  <c r="DM99" i="81"/>
  <c r="DM143" i="81"/>
  <c r="DL121" i="81"/>
  <c r="DM121" i="81"/>
  <c r="DM102" i="81"/>
  <c r="DM114" i="81"/>
  <c r="DL164" i="81"/>
  <c r="DM164" i="81"/>
  <c r="E15" i="109" l="1"/>
  <c r="F15" i="109" s="1"/>
  <c r="E13" i="109"/>
  <c r="F13" i="109" s="1"/>
  <c r="D14" i="109"/>
  <c r="C14" i="109"/>
  <c r="G10" i="109"/>
  <c r="O107" i="108" s="1"/>
  <c r="F8" i="109"/>
  <c r="E9" i="109"/>
  <c r="F9" i="109" s="1"/>
  <c r="F124" i="108"/>
  <c r="G8" i="109"/>
  <c r="F121" i="108"/>
  <c r="F125" i="108"/>
  <c r="F116" i="108"/>
  <c r="DL145" i="81"/>
  <c r="AN71" i="6"/>
  <c r="DM145" i="81" s="1"/>
  <c r="E48" i="81"/>
  <c r="B48" i="81" s="1"/>
  <c r="CM11" i="81"/>
  <c r="CL11" i="81"/>
  <c r="CM8" i="81"/>
  <c r="CL6" i="81"/>
  <c r="CL9" i="81"/>
  <c r="CL3" i="81"/>
  <c r="CL2" i="81"/>
  <c r="CL8" i="81"/>
  <c r="CL5" i="81"/>
  <c r="CL7" i="81"/>
  <c r="CL10" i="81"/>
  <c r="CL4" i="81"/>
  <c r="CM7" i="81"/>
  <c r="CM9" i="81"/>
  <c r="CC12" i="81"/>
  <c r="CM4" i="81" s="1"/>
  <c r="CM10" i="81"/>
  <c r="CH61" i="81"/>
  <c r="B159" i="111" s="1"/>
  <c r="E112" i="108"/>
  <c r="F112" i="108" s="1"/>
  <c r="L112" i="108"/>
  <c r="F119" i="108"/>
  <c r="DM141" i="81"/>
  <c r="DM147" i="81"/>
  <c r="AP103" i="108"/>
  <c r="M107" i="108"/>
  <c r="E39" i="81"/>
  <c r="B39" i="81" s="1"/>
  <c r="N107" i="108"/>
  <c r="DN88" i="81"/>
  <c r="DM88" i="81"/>
  <c r="E120" i="108"/>
  <c r="DL89" i="81"/>
  <c r="E51" i="81" s="1"/>
  <c r="B51" i="81" s="1"/>
  <c r="C111" i="108"/>
  <c r="AM103" i="6"/>
  <c r="E110" i="108"/>
  <c r="D127" i="108"/>
  <c r="F127" i="108" s="1"/>
  <c r="DJ89" i="81"/>
  <c r="E50" i="81" s="1"/>
  <c r="B50" i="81" s="1"/>
  <c r="AK103" i="6"/>
  <c r="C106" i="108"/>
  <c r="K106" i="108" s="1"/>
  <c r="K105" i="108"/>
  <c r="G105" i="108"/>
  <c r="AN15" i="108"/>
  <c r="AN103" i="108" s="1"/>
  <c r="AO103" i="108"/>
  <c r="CU89" i="81"/>
  <c r="E40" i="81" s="1"/>
  <c r="B40" i="81" s="1"/>
  <c r="DI89" i="81"/>
  <c r="E49" i="81" s="1"/>
  <c r="B49" i="81" s="1"/>
  <c r="D105" i="108"/>
  <c r="AJ103" i="6"/>
  <c r="CS89" i="81"/>
  <c r="E38" i="81" s="1"/>
  <c r="B38" i="81" s="1"/>
  <c r="T103" i="6"/>
  <c r="D110" i="108"/>
  <c r="V103" i="6"/>
  <c r="E14" i="109" l="1"/>
  <c r="F14" i="109" s="1"/>
  <c r="H10" i="109"/>
  <c r="G9" i="109"/>
  <c r="H8" i="109"/>
  <c r="CD61" i="81"/>
  <c r="E61" i="81" s="1"/>
  <c r="B61" i="81" s="1"/>
  <c r="H107" i="108"/>
  <c r="CM12" i="81"/>
  <c r="CM2" i="81"/>
  <c r="CM3" i="81"/>
  <c r="CM6" i="81"/>
  <c r="CM5" i="81"/>
  <c r="CC13" i="81"/>
  <c r="F131" i="108"/>
  <c r="F132" i="108" s="1"/>
  <c r="CH67" i="81" s="1"/>
  <c r="CD67" i="81" s="1"/>
  <c r="E67" i="81" s="1"/>
  <c r="B67" i="81" s="1"/>
  <c r="N112" i="108"/>
  <c r="M112" i="108"/>
  <c r="D131" i="108"/>
  <c r="D132" i="108" s="1"/>
  <c r="CH63" i="81" s="1"/>
  <c r="CD63" i="81" s="1"/>
  <c r="E63" i="81" s="1"/>
  <c r="B63" i="81" s="1"/>
  <c r="DO89" i="81"/>
  <c r="E54" i="81" s="1"/>
  <c r="B54" i="81" s="1"/>
  <c r="M110" i="108"/>
  <c r="G106" i="108"/>
  <c r="O106" i="108" s="1"/>
  <c r="O105" i="108"/>
  <c r="L105" i="108"/>
  <c r="D106" i="108"/>
  <c r="L106" i="108" s="1"/>
  <c r="D111" i="108"/>
  <c r="L111" i="108" s="1"/>
  <c r="L110" i="108"/>
  <c r="AP103" i="6"/>
  <c r="K111" i="108"/>
  <c r="E111" i="108"/>
  <c r="F110" i="108"/>
  <c r="K110" i="108"/>
  <c r="E127" i="108"/>
  <c r="E131" i="108" s="1"/>
  <c r="E132" i="108" s="1"/>
  <c r="CH65" i="81" s="1"/>
  <c r="CD65" i="81" s="1"/>
  <c r="E65" i="81" s="1"/>
  <c r="B65" i="81" s="1"/>
  <c r="DN89" i="81"/>
  <c r="E53" i="81" s="1"/>
  <c r="B53" i="81" s="1"/>
  <c r="AO103" i="6"/>
  <c r="E105" i="108"/>
  <c r="H9" i="109" l="1"/>
  <c r="P107" i="108"/>
  <c r="E57" i="81" s="1"/>
  <c r="B57" i="81" s="1"/>
  <c r="CO6" i="81"/>
  <c r="CN13" i="81"/>
  <c r="CO13" i="81"/>
  <c r="CN3" i="81"/>
  <c r="CN2" i="81"/>
  <c r="CC14" i="81"/>
  <c r="CN5" i="81"/>
  <c r="CO11" i="81"/>
  <c r="CN4" i="81"/>
  <c r="CN6" i="81"/>
  <c r="CN11" i="81"/>
  <c r="CN8" i="81"/>
  <c r="CN9" i="81"/>
  <c r="CO10" i="81"/>
  <c r="CN10" i="81"/>
  <c r="CN7" i="81"/>
  <c r="CO9" i="81"/>
  <c r="CN12" i="81"/>
  <c r="E60" i="81"/>
  <c r="B60" i="81" s="1"/>
  <c r="F111" i="108"/>
  <c r="DM89" i="81"/>
  <c r="E52" i="81" s="1"/>
  <c r="B52" i="81" s="1"/>
  <c r="AN103" i="6"/>
  <c r="H105" i="108"/>
  <c r="N110" i="108"/>
  <c r="E58" i="81" s="1"/>
  <c r="B58" i="81" s="1"/>
  <c r="M105" i="108"/>
  <c r="E106" i="108"/>
  <c r="F105" i="108"/>
  <c r="CO14" i="81" l="1"/>
  <c r="CC15" i="81"/>
  <c r="CP8" i="81" s="1"/>
  <c r="CO2" i="81"/>
  <c r="CO5" i="81"/>
  <c r="CO4" i="81"/>
  <c r="CO3" i="81"/>
  <c r="CO12" i="81"/>
  <c r="CO8" i="81"/>
  <c r="CO7" i="81"/>
  <c r="N111" i="108"/>
  <c r="N105" i="108"/>
  <c r="F106" i="108"/>
  <c r="N106" i="108" s="1"/>
  <c r="M106" i="108"/>
  <c r="P105" i="108"/>
  <c r="H106" i="108"/>
  <c r="P106" i="108" s="1"/>
  <c r="M111" i="108"/>
  <c r="CP14" i="81" l="1"/>
  <c r="CP11" i="81"/>
  <c r="CP15" i="81"/>
  <c r="CP3" i="81"/>
  <c r="CP2" i="81"/>
  <c r="CP4" i="81"/>
  <c r="CP5" i="81"/>
  <c r="CP6" i="81"/>
  <c r="CP12" i="81"/>
  <c r="CP9" i="81"/>
  <c r="CP7" i="81"/>
  <c r="CP13" i="81"/>
  <c r="CP10" i="81"/>
  <c r="E59" i="81"/>
  <c r="B59" i="81" s="1"/>
  <c r="E55" i="81"/>
  <c r="B55" i="81" s="1"/>
  <c r="E56" i="81"/>
  <c r="B56" i="81" s="1"/>
  <c r="B17" i="8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0E15F7D9-2248-8C4E-9D46-67DC120AC1F6}">
      <text>
        <r>
          <rPr>
            <b/>
            <sz val="10"/>
            <color rgb="FF000000"/>
            <rFont val="+mn-lt"/>
            <charset val="1"/>
          </rPr>
          <t>Use the TODAY function to get today's date.</t>
        </r>
        <r>
          <rPr>
            <sz val="10"/>
            <color rgb="FF000000"/>
            <rFont val="+mn-lt"/>
            <charset val="1"/>
          </rPr>
          <t xml:space="preserve">
</t>
        </r>
      </text>
    </comment>
    <comment ref="B5" authorId="0" shapeId="0" xr:uid="{770F38FE-19A6-1540-806E-93494A4DE245}">
      <text>
        <r>
          <rPr>
            <b/>
            <sz val="10"/>
            <color rgb="FF000000"/>
            <rFont val="+mn-lt"/>
            <charset val="1"/>
          </rPr>
          <t xml:space="preserve">Use DATE, MONTH and YEAR functions to calculate based on Today's Date. First Day of FY is July 1
</t>
        </r>
      </text>
    </comment>
    <comment ref="B6" authorId="0" shapeId="0" xr:uid="{14D960AE-E6C7-9E4A-9145-277608568386}">
      <text>
        <r>
          <rPr>
            <b/>
            <sz val="10"/>
            <color rgb="FF000000"/>
            <rFont val="+mn-lt"/>
            <charset val="1"/>
          </rPr>
          <t xml:space="preserve">Use DATE, MONTH and YEAR functions to calculate based on Today's Date.  Last day is June 30th. 
</t>
        </r>
      </text>
    </comment>
    <comment ref="B7" authorId="0" shapeId="0" xr:uid="{AF765395-B378-584A-A0DB-DAAECBE75695}">
      <text>
        <r>
          <rPr>
            <b/>
            <sz val="10"/>
            <color rgb="FF000000"/>
            <rFont val="+mn-lt"/>
            <charset val="1"/>
          </rPr>
          <t xml:space="preserve">Use the NETWORKDAYS function to find the number of work days between the First Day of FY and Last Day of FY
</t>
        </r>
      </text>
    </comment>
    <comment ref="B8" authorId="0" shapeId="0" xr:uid="{DB2065C8-051C-984E-953A-BC94BF47C229}">
      <text>
        <r>
          <rPr>
            <b/>
            <sz val="10"/>
            <color rgb="FF000000"/>
            <rFont val="+mn-lt"/>
            <charset val="1"/>
          </rPr>
          <t>Current Fiscal Year presented as 'YY"</t>
        </r>
      </text>
    </comment>
    <comment ref="B9" authorId="0" shapeId="0" xr:uid="{FA1F0B8E-4CDF-A646-9593-223A899CAAA4}">
      <text>
        <r>
          <rPr>
            <b/>
            <sz val="10"/>
            <color rgb="FF000000"/>
            <rFont val="+mn-lt"/>
            <charset val="1"/>
          </rPr>
          <t>Prior Fiscal Year presented as YY</t>
        </r>
      </text>
    </comment>
    <comment ref="B10" authorId="0" shapeId="0" xr:uid="{FAA3B641-D1E6-414B-951D-B7F455AEEECD}">
      <text>
        <r>
          <rPr>
            <b/>
            <sz val="10"/>
            <color rgb="FF000000"/>
            <rFont val="Calibri"/>
            <family val="2"/>
          </rPr>
          <t>Use a Reference Function to Update from the Position Master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C10" authorId="0" shapeId="0" xr:uid="{3BF7789F-2CE5-1B44-9209-690815F66549}">
      <text>
        <r>
          <rPr>
            <b/>
            <sz val="10"/>
            <color rgb="FF000000"/>
            <rFont val="+mn-lt"/>
            <charset val="1"/>
          </rPr>
          <t>Use Reference Functions to create 'Second Name, First Name' from the Employee Master. You will need to concatenate multiple text strings.</t>
        </r>
      </text>
    </comment>
    <comment ref="D10" authorId="0" shapeId="0" xr:uid="{A2C5F954-C2C1-1445-B5EB-B8FE7E16D8EE}">
      <text>
        <r>
          <rPr>
            <b/>
            <sz val="10"/>
            <color rgb="FF000000"/>
            <rFont val="Tahoma"/>
            <family val="2"/>
          </rPr>
          <t>Use a Reference Function to Update from the Position Master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0" authorId="0" shapeId="0" xr:uid="{83A78398-E252-1242-BBA3-25A60A6A9CB1}">
      <text>
        <r>
          <rPr>
            <b/>
            <sz val="10"/>
            <color rgb="FF000000"/>
            <rFont val="+mn-lt"/>
            <charset val="1"/>
          </rPr>
          <t>Modify the Note so the YY is the current fiscal year. Entries below should be either "Yes" or "No".</t>
        </r>
        <r>
          <rPr>
            <sz val="10"/>
            <color rgb="FF000000"/>
            <rFont val="+mn-lt"/>
            <charset val="1"/>
          </rPr>
          <t xml:space="preserve">
</t>
        </r>
      </text>
    </comment>
    <comment ref="G10" authorId="0" shapeId="0" xr:uid="{48F1AA47-778D-1640-8577-81E53B3E5899}">
      <text>
        <r>
          <rPr>
            <b/>
            <sz val="10"/>
            <color rgb="FF000000"/>
            <rFont val="Calibri"/>
            <family val="2"/>
          </rPr>
          <t>Modify the Note so the YY is the current fiscal year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H10" authorId="0" shapeId="0" xr:uid="{205BC44D-AA54-7547-B6BA-4871D2D1A2FF}">
      <text>
        <r>
          <rPr>
            <b/>
            <sz val="10"/>
            <color rgb="FF000000"/>
            <rFont val="+mn-lt"/>
            <charset val="1"/>
          </rPr>
          <t xml:space="preserve">The DUMMY entry is here because you cannot create a PivotTable  with blanks in the title row.  You can change the font to white so it does not show.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W10" authorId="0" shapeId="0" xr:uid="{7FF287EA-1BC7-124F-A68F-5730D129155F}">
      <text>
        <r>
          <rPr>
            <b/>
            <sz val="10"/>
            <color rgb="FF000000"/>
            <rFont val="Calibri"/>
            <family val="2"/>
          </rPr>
          <t>The DUMMY entry is here because you cannot create a PivotTable  with blanks in the title row.  You can change the font to white so it does not show.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L10" authorId="0" shapeId="0" xr:uid="{033787F9-0DD8-9C45-A5C8-B11415C07734}">
      <text>
        <r>
          <rPr>
            <b/>
            <sz val="10"/>
            <color rgb="FF000000"/>
            <rFont val="Calibri"/>
            <family val="2"/>
          </rPr>
          <t>The DUMMY entry is here because you cannot create a PivotTable  with blanks in the title row.  You can change the font to white so it does not show.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237E038D-EF1C-D64C-B6CC-2C1B377FEAFA}">
      <text>
        <r>
          <rPr>
            <b/>
            <sz val="10"/>
            <color rgb="FF000000"/>
            <rFont val="+mn-lt"/>
            <charset val="1"/>
          </rPr>
          <t>Use the TODAY function to get today's date.</t>
        </r>
        <r>
          <rPr>
            <sz val="10"/>
            <color rgb="FF000000"/>
            <rFont val="+mn-lt"/>
            <charset val="1"/>
          </rPr>
          <t xml:space="preserve">
</t>
        </r>
      </text>
    </comment>
    <comment ref="B5" authorId="0" shapeId="0" xr:uid="{7514EDD8-E327-E442-B7EE-D71EF09A2EB8}">
      <text>
        <r>
          <rPr>
            <b/>
            <sz val="10"/>
            <color rgb="FF000000"/>
            <rFont val="+mn-lt"/>
            <charset val="1"/>
          </rPr>
          <t xml:space="preserve">Use DATE, MONTH and YEAR functions to calculate based on Today's Date. First Day of FY is July 1
</t>
        </r>
      </text>
    </comment>
    <comment ref="B6" authorId="0" shapeId="0" xr:uid="{665675F6-9971-B346-A9B5-1B6BD0CFD35A}">
      <text>
        <r>
          <rPr>
            <b/>
            <sz val="10"/>
            <color rgb="FF000000"/>
            <rFont val="+mn-lt"/>
            <charset val="1"/>
          </rPr>
          <t xml:space="preserve">Use DATE, MONTH and YEAR functions to calculate based on Today's Date.  Last day is June 30th. 
</t>
        </r>
      </text>
    </comment>
    <comment ref="B7" authorId="0" shapeId="0" xr:uid="{23C63ABD-F62D-794E-898F-E50A9711E1FF}">
      <text>
        <r>
          <rPr>
            <b/>
            <sz val="10"/>
            <color rgb="FF000000"/>
            <rFont val="+mn-lt"/>
            <charset val="1"/>
          </rPr>
          <t xml:space="preserve">Use the NETWORKDAYS function to find the number of work days between the First Day of FY and Last Day of FY
</t>
        </r>
      </text>
    </comment>
    <comment ref="B8" authorId="0" shapeId="0" xr:uid="{5EB426BA-D80E-2B46-8BCC-7F01FEAAB0E3}">
      <text>
        <r>
          <rPr>
            <b/>
            <sz val="10"/>
            <color rgb="FF000000"/>
            <rFont val="+mn-lt"/>
            <charset val="1"/>
          </rPr>
          <t>Current Fiscal Year presented as 'YY"</t>
        </r>
      </text>
    </comment>
    <comment ref="B9" authorId="0" shapeId="0" xr:uid="{4DF46B0F-19E6-FF46-B262-92AA5F1E2D09}">
      <text>
        <r>
          <rPr>
            <b/>
            <sz val="10"/>
            <color rgb="FF000000"/>
            <rFont val="+mn-lt"/>
            <charset val="1"/>
          </rPr>
          <t>Prior Fiscal Year presented as YY</t>
        </r>
      </text>
    </comment>
    <comment ref="B10" authorId="0" shapeId="0" xr:uid="{E6FE87D7-783A-204E-A506-4AB5039F24C0}">
      <text>
        <r>
          <rPr>
            <b/>
            <sz val="10"/>
            <color rgb="FF000000"/>
            <rFont val="Calibri"/>
            <family val="2"/>
          </rPr>
          <t>Use a Reference Function to Update from the Position Master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C10" authorId="0" shapeId="0" xr:uid="{CAB7BCDC-2065-E249-B328-502240FCE282}">
      <text>
        <r>
          <rPr>
            <b/>
            <sz val="10"/>
            <color rgb="FF000000"/>
            <rFont val="+mn-lt"/>
            <charset val="1"/>
          </rPr>
          <t>Use Reference Functions to create 'Second Name, First Name' from the Employee Master. You will need to concatinate multiple text strings.</t>
        </r>
      </text>
    </comment>
    <comment ref="D10" authorId="0" shapeId="0" xr:uid="{E1B35B83-C5E2-BC48-97DF-C4475496E082}">
      <text>
        <r>
          <rPr>
            <b/>
            <sz val="10"/>
            <color rgb="FF000000"/>
            <rFont val="Tahoma"/>
            <family val="2"/>
          </rPr>
          <t>Use a Reference Function to Update from the Position Master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0" shapeId="0" xr:uid="{1FBD1B5F-5728-0746-93FE-789509C03586}">
      <text>
        <r>
          <rPr>
            <b/>
            <sz val="10"/>
            <color rgb="FF000000"/>
            <rFont val="+mn-lt"/>
            <charset val="1"/>
          </rPr>
          <t>Modify the Note so that the YY is the Prior Fiscal Year</t>
        </r>
      </text>
    </comment>
    <comment ref="F10" authorId="0" shapeId="0" xr:uid="{60884445-7FAC-8F4E-8BC8-86AED1ED99B4}">
      <text>
        <r>
          <rPr>
            <b/>
            <sz val="10"/>
            <color rgb="FF000000"/>
            <rFont val="+mn-lt"/>
            <charset val="1"/>
          </rPr>
          <t>Modify the Note so the YY is the current fiscal year. Entries below should be either "Yes" or "No".</t>
        </r>
        <r>
          <rPr>
            <sz val="10"/>
            <color rgb="FF000000"/>
            <rFont val="+mn-lt"/>
            <charset val="1"/>
          </rPr>
          <t xml:space="preserve">
</t>
        </r>
      </text>
    </comment>
    <comment ref="G10" authorId="0" shapeId="0" xr:uid="{BC44134E-56DD-094B-BB0E-C5E809E47148}">
      <text>
        <r>
          <rPr>
            <b/>
            <sz val="10"/>
            <color rgb="FF000000"/>
            <rFont val="Calibri"/>
            <family val="2"/>
          </rPr>
          <t>Modify the Note so the YY is the current fiscal year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H10" authorId="0" shapeId="0" xr:uid="{3B6C3097-1D80-CE46-8BEF-5AFCB132F690}">
      <text>
        <r>
          <rPr>
            <b/>
            <sz val="10"/>
            <color rgb="FF000000"/>
            <rFont val="+mn-lt"/>
            <charset val="1"/>
          </rPr>
          <t xml:space="preserve">The DUMMY entry is here because you cannot create a PivotTable  with blanks in the title row.  You can change the font to white so it does not show.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W10" authorId="0" shapeId="0" xr:uid="{F96AB51E-80C4-B34A-89A1-A799F6FEC3F9}">
      <text>
        <r>
          <rPr>
            <b/>
            <sz val="10"/>
            <color rgb="FF000000"/>
            <rFont val="Calibri"/>
            <family val="2"/>
          </rPr>
          <t>The DUMMY entry is here because you cannot create a PivotTable  with blanks in the title row.  You can change the font to white so it does not show.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L10" authorId="0" shapeId="0" xr:uid="{5702D9BF-D569-FB42-A9DB-7439BEC6A696}">
      <text>
        <r>
          <rPr>
            <b/>
            <sz val="10"/>
            <color rgb="FF000000"/>
            <rFont val="Calibri"/>
            <family val="2"/>
          </rPr>
          <t>The DUMMY entry is here because you cannot create a PivotTable  with blanks in the title row.  You can change the font to white so it does not show.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<sst xmlns="http://schemas.openxmlformats.org/spreadsheetml/2006/main" count="2177" uniqueCount="679">
  <si>
    <t>F</t>
  </si>
  <si>
    <t>A</t>
  </si>
  <si>
    <t>D</t>
  </si>
  <si>
    <t>K</t>
  </si>
  <si>
    <t>M</t>
  </si>
  <si>
    <t>T</t>
  </si>
  <si>
    <t>V</t>
  </si>
  <si>
    <t>Match</t>
  </si>
  <si>
    <t>Workbook #</t>
  </si>
  <si>
    <t>X</t>
  </si>
  <si>
    <t>Version</t>
  </si>
  <si>
    <t>Financial Statement Analysis (Workbook 3)</t>
  </si>
  <si>
    <t>Cash Flow Statement (Workbook 6)</t>
  </si>
  <si>
    <t>Balance Sheet (Workbook 5)</t>
  </si>
  <si>
    <t>Income Statement (Workbook 4)</t>
  </si>
  <si>
    <t>Financial Statement Analysis (Section III, Workbooks 3-6)</t>
  </si>
  <si>
    <t>Modeling &amp; Forecasting (Section IV, Workbooks 7-10)</t>
  </si>
  <si>
    <t>Developing a Model (Workbook 7)</t>
  </si>
  <si>
    <t>Strategic Forecasting (Workbook 9)</t>
  </si>
  <si>
    <t>Forecasting Disruptions (Workbook 10)</t>
  </si>
  <si>
    <t>Data Analysis (Workbook 2)</t>
  </si>
  <si>
    <t>Required Score</t>
  </si>
  <si>
    <t>Required Potential</t>
  </si>
  <si>
    <t>Challenge Score</t>
  </si>
  <si>
    <t>Challenge Potential</t>
  </si>
  <si>
    <t>SFAM ID</t>
  </si>
  <si>
    <t>B</t>
  </si>
  <si>
    <t>C</t>
  </si>
  <si>
    <t>G</t>
  </si>
  <si>
    <t>H</t>
  </si>
  <si>
    <t>I</t>
  </si>
  <si>
    <t>J</t>
  </si>
  <si>
    <t>L</t>
  </si>
  <si>
    <t>N</t>
  </si>
  <si>
    <t>O</t>
  </si>
  <si>
    <t>P</t>
  </si>
  <si>
    <t>Q</t>
  </si>
  <si>
    <t>R</t>
  </si>
  <si>
    <t>S</t>
  </si>
  <si>
    <t>U</t>
  </si>
  <si>
    <t>W</t>
  </si>
  <si>
    <t>Y</t>
  </si>
  <si>
    <t>Z</t>
  </si>
  <si>
    <t>Enter your SFAM ID (For CUNY enter your Employee Code)</t>
  </si>
  <si>
    <t>Warning:</t>
  </si>
  <si>
    <t>If you change your SFAM ID after you have begun working on the Workbook you will alter the randomization.</t>
  </si>
  <si>
    <t>Processing Time</t>
  </si>
  <si>
    <t>E</t>
  </si>
  <si>
    <t>Part I Review (Workbook 1)</t>
  </si>
  <si>
    <t>Forecasting (Workbook 8)</t>
  </si>
  <si>
    <t>Equity Valuation (Workbook 11)</t>
  </si>
  <si>
    <t>Mergers &amp; Acquisitions (Workbook 12)</t>
  </si>
  <si>
    <t>Fixed Income Valuation (Workbook 13)</t>
  </si>
  <si>
    <t>Risk Management (Workbook 14)</t>
  </si>
  <si>
    <t>Portfolio Construction (Workbook 15)</t>
  </si>
  <si>
    <t>Yes</t>
  </si>
  <si>
    <t>No</t>
  </si>
  <si>
    <t>As a result your answers will be wrong.</t>
  </si>
  <si>
    <t>Financial Modeling</t>
  </si>
  <si>
    <t>Budget</t>
  </si>
  <si>
    <t xml:space="preserve">Varaiance </t>
  </si>
  <si>
    <t>First Name</t>
  </si>
  <si>
    <t>Start Date</t>
  </si>
  <si>
    <t>Rate Variance</t>
  </si>
  <si>
    <t>Usage (Vacancy) Variance</t>
  </si>
  <si>
    <t>Subtotal</t>
  </si>
  <si>
    <t>Employee Id</t>
  </si>
  <si>
    <t>Department</t>
  </si>
  <si>
    <t>Position Title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</si>
  <si>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</si>
  <si>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</si>
  <si>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</si>
  <si>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</si>
  <si>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</si>
  <si>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</si>
  <si>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</si>
  <si>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</si>
  <si>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</si>
  <si>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</si>
  <si>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</si>
  <si>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</si>
  <si>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</si>
  <si>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</si>
  <si>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</si>
  <si>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</si>
  <si>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</si>
  <si>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</si>
  <si>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</si>
  <si>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</si>
  <si>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Position 21</t>
  </si>
  <si>
    <t>Position 22</t>
  </si>
  <si>
    <t>Position 23</t>
  </si>
  <si>
    <t>Position 24</t>
  </si>
  <si>
    <t>Position 25</t>
  </si>
  <si>
    <t>Position 26</t>
  </si>
  <si>
    <t>Position 27</t>
  </si>
  <si>
    <t>Position 28</t>
  </si>
  <si>
    <t>Position 29</t>
  </si>
  <si>
    <t>Position 30</t>
  </si>
  <si>
    <t>Position 31</t>
  </si>
  <si>
    <t>Position 32</t>
  </si>
  <si>
    <t>Position 33</t>
  </si>
  <si>
    <t>Position 34</t>
  </si>
  <si>
    <t>Position 35</t>
  </si>
  <si>
    <t>Position 36</t>
  </si>
  <si>
    <t>Position 37</t>
  </si>
  <si>
    <t>Position 38</t>
  </si>
  <si>
    <t>Position 39</t>
  </si>
  <si>
    <t>Position 40</t>
  </si>
  <si>
    <t>Position 41</t>
  </si>
  <si>
    <t>Position 42</t>
  </si>
  <si>
    <t>Position 43</t>
  </si>
  <si>
    <t>Position 44</t>
  </si>
  <si>
    <t>Position 45</t>
  </si>
  <si>
    <t>Position 46</t>
  </si>
  <si>
    <t>Position 47</t>
  </si>
  <si>
    <t>Position 48</t>
  </si>
  <si>
    <t>Position 49</t>
  </si>
  <si>
    <t>Position 50</t>
  </si>
  <si>
    <t>Position 51</t>
  </si>
  <si>
    <t>Position 52</t>
  </si>
  <si>
    <t>Position 53</t>
  </si>
  <si>
    <t>Position 54</t>
  </si>
  <si>
    <t>Position 55</t>
  </si>
  <si>
    <t>Position 56</t>
  </si>
  <si>
    <t>Position 57</t>
  </si>
  <si>
    <t>Position 58</t>
  </si>
  <si>
    <t>Position 59</t>
  </si>
  <si>
    <t>Position 60</t>
  </si>
  <si>
    <t>Position 61</t>
  </si>
  <si>
    <t>Position 62</t>
  </si>
  <si>
    <t>Position 63</t>
  </si>
  <si>
    <t>Position 64</t>
  </si>
  <si>
    <t>Position 65</t>
  </si>
  <si>
    <t>Position 66</t>
  </si>
  <si>
    <t>Position 67</t>
  </si>
  <si>
    <t>Position 68</t>
  </si>
  <si>
    <t>Position 69</t>
  </si>
  <si>
    <t>Position 70</t>
  </si>
  <si>
    <t>Position 71</t>
  </si>
  <si>
    <t>Position 72</t>
  </si>
  <si>
    <t>Position 73</t>
  </si>
  <si>
    <t>Position 74</t>
  </si>
  <si>
    <t>Position 75</t>
  </si>
  <si>
    <t>Position 76</t>
  </si>
  <si>
    <t>Position 77</t>
  </si>
  <si>
    <t>Position 78</t>
  </si>
  <si>
    <t>Position 79</t>
  </si>
  <si>
    <t>Position 80</t>
  </si>
  <si>
    <t>Position 81</t>
  </si>
  <si>
    <t>Position 82</t>
  </si>
  <si>
    <t>Position 83</t>
  </si>
  <si>
    <t>Position 84</t>
  </si>
  <si>
    <t>Position 85</t>
  </si>
  <si>
    <t>Position 86</t>
  </si>
  <si>
    <t>Position 87</t>
  </si>
  <si>
    <t>Position 88</t>
  </si>
  <si>
    <t>Position 89</t>
  </si>
  <si>
    <t>Position 90</t>
  </si>
  <si>
    <t>Position</t>
  </si>
  <si>
    <t>Surname</t>
  </si>
  <si>
    <t>Employee ID</t>
  </si>
  <si>
    <t>John</t>
  </si>
  <si>
    <t>Abraham</t>
  </si>
  <si>
    <t>Alford</t>
  </si>
  <si>
    <t>Anderson</t>
  </si>
  <si>
    <t>Andrade</t>
  </si>
  <si>
    <t>Bajrami</t>
  </si>
  <si>
    <t>Baro</t>
  </si>
  <si>
    <t>Barua</t>
  </si>
  <si>
    <t>Bershan</t>
  </si>
  <si>
    <t>Bertolotti</t>
  </si>
  <si>
    <t>Bhandari</t>
  </si>
  <si>
    <t>Bhuiyan</t>
  </si>
  <si>
    <t>Biswas</t>
  </si>
  <si>
    <t>Bulchandani</t>
  </si>
  <si>
    <t>Cando</t>
  </si>
  <si>
    <t>Chand</t>
  </si>
  <si>
    <t>Cheema</t>
  </si>
  <si>
    <t>Chen</t>
  </si>
  <si>
    <t>Chikovani</t>
  </si>
  <si>
    <t>Cumbe</t>
  </si>
  <si>
    <t>Davidov</t>
  </si>
  <si>
    <t>Feng</t>
  </si>
  <si>
    <t>Figueroa</t>
  </si>
  <si>
    <t>Flores</t>
  </si>
  <si>
    <t>Gao</t>
  </si>
  <si>
    <t>Gayle</t>
  </si>
  <si>
    <t>Guan</t>
  </si>
  <si>
    <t>He</t>
  </si>
  <si>
    <t>Hua</t>
  </si>
  <si>
    <t>Huang</t>
  </si>
  <si>
    <t>Isabella</t>
  </si>
  <si>
    <t>Jacques</t>
  </si>
  <si>
    <t>Jahmi</t>
  </si>
  <si>
    <t>Jogani</t>
  </si>
  <si>
    <t>Joseph</t>
  </si>
  <si>
    <t>Kazi</t>
  </si>
  <si>
    <t>Kemelman</t>
  </si>
  <si>
    <t>Khaim</t>
  </si>
  <si>
    <t>Khan</t>
  </si>
  <si>
    <t>Khanna</t>
  </si>
  <si>
    <t>Kobzarenko</t>
  </si>
  <si>
    <t>Kumar</t>
  </si>
  <si>
    <t>Lao</t>
  </si>
  <si>
    <t>Lavi</t>
  </si>
  <si>
    <t>Lee</t>
  </si>
  <si>
    <t>Lei</t>
  </si>
  <si>
    <t>Leung</t>
  </si>
  <si>
    <t>Li</t>
  </si>
  <si>
    <t>Lian</t>
  </si>
  <si>
    <t>Liang</t>
  </si>
  <si>
    <t>Lieberman</t>
  </si>
  <si>
    <t>Lin</t>
  </si>
  <si>
    <t>Louadah</t>
  </si>
  <si>
    <t>Martin</t>
  </si>
  <si>
    <t>Mathur</t>
  </si>
  <si>
    <t>Mei</t>
  </si>
  <si>
    <t>Moon</t>
  </si>
  <si>
    <t>Nabatian</t>
  </si>
  <si>
    <t>Nguyen</t>
  </si>
  <si>
    <t>Patel</t>
  </si>
  <si>
    <t>Petillo</t>
  </si>
  <si>
    <t>Qasim</t>
  </si>
  <si>
    <t>Quizhpe</t>
  </si>
  <si>
    <t>Rios</t>
  </si>
  <si>
    <t>Rowe</t>
  </si>
  <si>
    <t>Ruan</t>
  </si>
  <si>
    <t>Sanghavi</t>
  </si>
  <si>
    <t>Sanoulis</t>
  </si>
  <si>
    <t>Santos</t>
  </si>
  <si>
    <t>Schwartz</t>
  </si>
  <si>
    <t>Shankar</t>
  </si>
  <si>
    <t>Shemesh</t>
  </si>
  <si>
    <t>Romero</t>
  </si>
  <si>
    <t>Qian</t>
  </si>
  <si>
    <t>Xiaowen</t>
  </si>
  <si>
    <t>Akosua</t>
  </si>
  <si>
    <t>Nazedul</t>
  </si>
  <si>
    <t>Abdullah</t>
  </si>
  <si>
    <t>Yusuf</t>
  </si>
  <si>
    <t>Zain</t>
  </si>
  <si>
    <t>Samuel</t>
  </si>
  <si>
    <t>Gavin</t>
  </si>
  <si>
    <t>Abdul</t>
  </si>
  <si>
    <t>Aaron</t>
  </si>
  <si>
    <t>Max</t>
  </si>
  <si>
    <t>Akheem</t>
  </si>
  <si>
    <t>Asher</t>
  </si>
  <si>
    <t>Miguel</t>
  </si>
  <si>
    <t>Gadil</t>
  </si>
  <si>
    <t>Rafael</t>
  </si>
  <si>
    <t>Nathali</t>
  </si>
  <si>
    <t>Yingying</t>
  </si>
  <si>
    <t>Hao Ren</t>
  </si>
  <si>
    <t>Sudipta</t>
  </si>
  <si>
    <t>Adam</t>
  </si>
  <si>
    <t>David</t>
  </si>
  <si>
    <t>Wolfe</t>
  </si>
  <si>
    <t>Elvis</t>
  </si>
  <si>
    <t>Victor</t>
  </si>
  <si>
    <t>Veronica</t>
  </si>
  <si>
    <t>Leslie</t>
  </si>
  <si>
    <t>Emely</t>
  </si>
  <si>
    <t>Ashley</t>
  </si>
  <si>
    <t>Yamina</t>
  </si>
  <si>
    <t>Huiying</t>
  </si>
  <si>
    <t>Iqra</t>
  </si>
  <si>
    <t>Danielle</t>
  </si>
  <si>
    <t>Victoria</t>
  </si>
  <si>
    <t>Jing Wen</t>
  </si>
  <si>
    <t>Ting Ting</t>
  </si>
  <si>
    <t>Qetsiyah</t>
  </si>
  <si>
    <t>Yllana</t>
  </si>
  <si>
    <t>Rebecca</t>
  </si>
  <si>
    <t>Jose</t>
  </si>
  <si>
    <t>George</t>
  </si>
  <si>
    <t>Wei Bin</t>
  </si>
  <si>
    <t>Andres</t>
  </si>
  <si>
    <t>Ndeye</t>
  </si>
  <si>
    <t>Fechar</t>
  </si>
  <si>
    <t>Romel</t>
  </si>
  <si>
    <t>Bellamy</t>
  </si>
  <si>
    <t>Shirley</t>
  </si>
  <si>
    <t>Joel</t>
  </si>
  <si>
    <t>Laura</t>
  </si>
  <si>
    <t>Shadman</t>
  </si>
  <si>
    <t>Amanda</t>
  </si>
  <si>
    <t>Prokhor</t>
  </si>
  <si>
    <t>Janet</t>
  </si>
  <si>
    <t>Andy</t>
  </si>
  <si>
    <t>Patrycja</t>
  </si>
  <si>
    <t>Xu</t>
  </si>
  <si>
    <t>Kristen</t>
  </si>
  <si>
    <t>Muhammad</t>
  </si>
  <si>
    <t>Muqsiteen</t>
  </si>
  <si>
    <t>Anjali</t>
  </si>
  <si>
    <t>Fidencio</t>
  </si>
  <si>
    <t>Denzel</t>
  </si>
  <si>
    <t>Stefan</t>
  </si>
  <si>
    <t>Aminata</t>
  </si>
  <si>
    <t>Hillary</t>
  </si>
  <si>
    <t>Kevin</t>
  </si>
  <si>
    <t>Igua</t>
  </si>
  <si>
    <t>Syed</t>
  </si>
  <si>
    <t>Years Employed</t>
  </si>
  <si>
    <t>Dept 13</t>
  </si>
  <si>
    <t>Dept 8</t>
  </si>
  <si>
    <t>Dept 14</t>
  </si>
  <si>
    <t>Dept 5</t>
  </si>
  <si>
    <t>Dept 12</t>
  </si>
  <si>
    <t>Dept 4</t>
  </si>
  <si>
    <t>Dept 7</t>
  </si>
  <si>
    <t>Dept 3</t>
  </si>
  <si>
    <t>Dept 11</t>
  </si>
  <si>
    <t>Dept 6</t>
  </si>
  <si>
    <t>Dept 9</t>
  </si>
  <si>
    <t>Dept 2</t>
  </si>
  <si>
    <t>Dept 1</t>
  </si>
  <si>
    <t>Dept 10</t>
  </si>
  <si>
    <t>Maximum</t>
  </si>
  <si>
    <t>In Column D use the COUNTIF function to count the number of Rows with the same Position number as that on the Row.</t>
  </si>
  <si>
    <t>Is there any Position to which more than one EMPLOYEE IDs have been assigned.</t>
  </si>
  <si>
    <r>
      <rPr>
        <i/>
        <sz val="12"/>
        <color theme="1"/>
        <rFont val="Calibri"/>
        <family val="2"/>
        <scheme val="minor"/>
      </rPr>
      <t>Hint</t>
    </r>
    <r>
      <rPr>
        <sz val="12"/>
        <color theme="1"/>
        <rFont val="Calibri"/>
        <family val="2"/>
        <scheme val="minor"/>
      </rPr>
      <t>: You will have to use '$' to copy the formula down.</t>
    </r>
  </si>
  <si>
    <t xml:space="preserve">In Cell D103 write a function that calculates the maximim value of the COUNTIF results you calculated.  </t>
  </si>
  <si>
    <t>Today's Date</t>
  </si>
  <si>
    <t>For positions that are currently filled need to link the employee to the position</t>
  </si>
  <si>
    <t>Budget Increase Date</t>
  </si>
  <si>
    <t>Budget End Date</t>
  </si>
  <si>
    <t>Budget Days Before Increase</t>
  </si>
  <si>
    <t>Budget Days After Increase</t>
  </si>
  <si>
    <t>Budget Start Date</t>
  </si>
  <si>
    <t>Total Variance</t>
  </si>
  <si>
    <t>Budget Total Days</t>
  </si>
  <si>
    <t>Actual Start Deate</t>
  </si>
  <si>
    <t>Actual Increase Date</t>
  </si>
  <si>
    <t>Actual End Date</t>
  </si>
  <si>
    <t>Actual Days Before Increase</t>
  </si>
  <si>
    <t>Actual Days After Increase</t>
  </si>
  <si>
    <t>Actual Total Days</t>
  </si>
  <si>
    <t>Revised Budget</t>
  </si>
  <si>
    <t>Salary Prior Year Increase</t>
  </si>
  <si>
    <t>Date of Last Increase</t>
  </si>
  <si>
    <t>Workbook 5: Financial Planning &amp; Analysis</t>
  </si>
  <si>
    <t>© All rights reserved, 2022, Richard Horwitz &amp; Mustapha Camara</t>
  </si>
  <si>
    <t>End Date</t>
  </si>
  <si>
    <t>Prior Fiscal Year</t>
  </si>
  <si>
    <t>Dummy 1</t>
  </si>
  <si>
    <t>Dummy 2</t>
  </si>
  <si>
    <t>Dummy 3</t>
  </si>
  <si>
    <t xml:space="preserve">Budgeting is a major component of Financial Planning &amp; Analysis in almost all organizations.  </t>
  </si>
  <si>
    <r>
      <t>Financial planning and analysis (FP&amp;A) is </t>
    </r>
    <r>
      <rPr>
        <sz val="12"/>
        <color rgb="FF040C28"/>
        <rFont val="Arial"/>
        <family val="2"/>
      </rPr>
      <t>a set of activities that supports financial management and improve decision-making</t>
    </r>
    <r>
      <rPr>
        <sz val="12"/>
        <color rgb="FF202124"/>
        <rFont val="Arial"/>
        <family val="2"/>
      </rPr>
      <t>. </t>
    </r>
  </si>
  <si>
    <t xml:space="preserve">Organizations rely on FP&amp;A to achieve operational, financial and strategic goals. </t>
  </si>
  <si>
    <t>Financial analysts develop forecasts designed to reflect how the business will perform.</t>
  </si>
  <si>
    <t>Financial Planning &amp; Analysis</t>
  </si>
  <si>
    <t>Budgeting</t>
  </si>
  <si>
    <t>A budget is both a forecast of expected performance and a baseline against which actual performance can be reported.</t>
  </si>
  <si>
    <t>Name</t>
  </si>
  <si>
    <t>Days in Fiscal Year</t>
  </si>
  <si>
    <t>Current Fiscal Year</t>
  </si>
  <si>
    <t>Budgeting is almost always done on an annual cycle, known as the 'fiscal year':</t>
  </si>
  <si>
    <t>Actual Results - Throughout the year the actual results are accumulated.</t>
  </si>
  <si>
    <t>Budget - before the year is done a budget is created and frozen.</t>
  </si>
  <si>
    <t>Employee Master - a file of each employee with the following information</t>
  </si>
  <si>
    <t>For vacant positions need to allocate budget to the position based on when it is expected to be filled</t>
  </si>
  <si>
    <t>Beget Reporting - On a regular basis (almost always monthly) actual results are compared to the Budget.</t>
  </si>
  <si>
    <t>Revised Budget - Organizations periodically revise budgets to incorporate year-to-date actual performance into the forecasts.</t>
  </si>
  <si>
    <t>Variance Analysis - decomposes budget variance into its component causes (see below).</t>
  </si>
  <si>
    <t>The primary causes if variance are:</t>
  </si>
  <si>
    <t>Usage (vacancy) variance - the under of over utilization of a resource</t>
  </si>
  <si>
    <t>Rate variance - paying more or less than budgeted for a resrouce</t>
  </si>
  <si>
    <t>Budgeting is performed by organizational entiity.</t>
  </si>
  <si>
    <t>The fiscal year is a year selected that is appropriate for the business in which an organization operates.</t>
  </si>
  <si>
    <t>Fiscal years from January 1 to December 31 is by far the most common</t>
  </si>
  <si>
    <t>Educational organizations use fiscal years from July 1 through June 30.</t>
  </si>
  <si>
    <t>Retail companies use a fiscal year from February 1 though January 31.</t>
  </si>
  <si>
    <t>Japan use a fiscal year from April 1 to March 31.</t>
  </si>
  <si>
    <t>The US government uses a fiscal year from October 1 through September 30.</t>
  </si>
  <si>
    <t>Actual rsults are accumulated into periodic buckets.</t>
  </si>
  <si>
    <t>The buskets are normally months.</t>
  </si>
  <si>
    <t>However, some organizations try to make financial reporting align with weekly buckets.</t>
  </si>
  <si>
    <t xml:space="preserve">To do that, they create groupings of 4 weeks, 4 weeks and then 5 weeks to create quarters that cover the full 52 weeks of the year. </t>
  </si>
  <si>
    <t>In the budget you are going to create and manage, we have grouped employees into Departments.</t>
  </si>
  <si>
    <t>In large organizations a higherarch of organizational units is often used to 'roll up' results to different levels of management responsibility.</t>
  </si>
  <si>
    <t>If you budgeted to fill a position with a person earning $80,000 annually and you filled it with a person earnint $90,000 you will have an unfavorable rate variance.</t>
  </si>
  <si>
    <t>If you budgeted to fill a position with a person earning $80,000 annually and you filled it with a person earnint $70,000 you will have a favorable rate variance.</t>
  </si>
  <si>
    <t>If you budgeted to fill a position for 9 months of the year and the emplyee ended up working 11 months you will have an unfavorable usage variance.</t>
  </si>
  <si>
    <t>If you budgeted to fill a position for 9 months of the year and the emplyee ended up working 6 months you will have a favorable usage variance.</t>
  </si>
  <si>
    <t>The ojective of variance analysis is to decompose the variance of actual financial performance from budgeted financial performance  into it causal factors.</t>
  </si>
  <si>
    <t>Variance Analysis</t>
  </si>
  <si>
    <t>General Ledger System</t>
  </si>
  <si>
    <t>The General Ledger System is designed to support Budgeting and Financial Reporting.</t>
  </si>
  <si>
    <t>The organizational units are structured as a hierarchy, permitting units to be aggregated or rolled up.</t>
  </si>
  <si>
    <t>The accounts are structured as a hierarchy permitting revenues and expenses to be rolled up and ultimately netted.</t>
  </si>
  <si>
    <t>The general ledge tracks the following information b;y account by organizational unit:</t>
  </si>
  <si>
    <t>Budgeted values</t>
  </si>
  <si>
    <t>Actual values</t>
  </si>
  <si>
    <t>Revised budged value</t>
  </si>
  <si>
    <t>The General Ledger System provides extremely flexible reporting to monitor financial performance and create exception reporting.</t>
  </si>
  <si>
    <t>Actual Expense for the FY</t>
  </si>
  <si>
    <t>Actual Salary Increase During FY</t>
  </si>
  <si>
    <t>Budget Salary Increase During FY</t>
  </si>
  <si>
    <t>Budget Expenses for the FY</t>
  </si>
  <si>
    <t>Salary Data</t>
  </si>
  <si>
    <t>Calendar Data and Calculations</t>
  </si>
  <si>
    <t>Workdays Data and Calculations</t>
  </si>
  <si>
    <t>Variance Calculations</t>
  </si>
  <si>
    <t>Annual Rate and Expense Calculations</t>
  </si>
  <si>
    <t>Actual Salary End FY YY</t>
  </si>
  <si>
    <t>Budget Salary End of FY</t>
  </si>
  <si>
    <t>If the Increase Date is blank use the NETWORKDAYS function to calculate the number of days between and including the Start Date and the (End Date - 1)</t>
  </si>
  <si>
    <t>If the Increase Date is not blank use the NETWORKDAYS function to calculate the number of days between and including the Start Date the End Date</t>
  </si>
  <si>
    <t>Sum of the Days Before Increase and the Days After Increase</t>
  </si>
  <si>
    <t>If the Increase Date is blank zero (0)</t>
  </si>
  <si>
    <t>If the Increase Date is not blank use the NETWORKDAYS function to calculate the number of days between and including the Increase Date the End Date</t>
  </si>
  <si>
    <t>Budget Overide Start Date</t>
  </si>
  <si>
    <t>Actual Overide Start Date</t>
  </si>
  <si>
    <t>Actual Overide Increase Date</t>
  </si>
  <si>
    <t>Budget Overide Increase Date</t>
  </si>
  <si>
    <t>Budget Overide End Date</t>
  </si>
  <si>
    <t>Actual Overide End Date</t>
  </si>
  <si>
    <t>Actual Annualized Rate for the FY</t>
  </si>
  <si>
    <t>Budget Annualized Rate for the FY</t>
  </si>
  <si>
    <t>Salary Increase During FY</t>
  </si>
  <si>
    <t>Salary End of FY</t>
  </si>
  <si>
    <t>Increase Date</t>
  </si>
  <si>
    <t>Days Before Increase</t>
  </si>
  <si>
    <t>Days After Increase</t>
  </si>
  <si>
    <t>Total Days</t>
  </si>
  <si>
    <t>Annualized Rate for the FY</t>
  </si>
  <si>
    <t>Expenses for the FY</t>
  </si>
  <si>
    <t>Fiscal Year Begin Date</t>
  </si>
  <si>
    <t>You can enter an Increase Date</t>
  </si>
  <si>
    <t>Actual Expenses for the FY - Budget Expenses for the FY</t>
  </si>
  <si>
    <t>Total Variance - Rate Variance</t>
  </si>
  <si>
    <t>If the Position is not 'Vacant':</t>
  </si>
  <si>
    <t>Actual Annualized Rate for the FY - Budget Annualized Rate for the FY</t>
  </si>
  <si>
    <t>Use the TODAY function to get the current date</t>
  </si>
  <si>
    <r>
      <t xml:space="preserve">Salary Beginning FY </t>
    </r>
    <r>
      <rPr>
        <sz val="11"/>
        <color rgb="FFFF0000"/>
        <rFont val="Calibri (Body)"/>
      </rPr>
      <t>YY</t>
    </r>
  </si>
  <si>
    <t>Use DATE, MONTH and YEAR functions to calculate based on Today's Date. First Day of FY is July 1</t>
  </si>
  <si>
    <t xml:space="preserve">Use DATE, MONTH and YEAR functions to calculate based on Today's Date.  Last day is June 30th. </t>
  </si>
  <si>
    <t>Use the NETWORKDAYS function to find the number of work days between the First Day of FY and Last Day of FY</t>
  </si>
  <si>
    <t>Fiscal Year End Date</t>
  </si>
  <si>
    <t>Current Fiscal Year Presented as 'YY"</t>
  </si>
  <si>
    <t>Prior Fiscal Year Presented as 'YY"</t>
  </si>
  <si>
    <t>Position/Employee Data</t>
  </si>
  <si>
    <t>Key to data in the Position Master</t>
  </si>
  <si>
    <t>Name of Employee presented as Last Name, First Name</t>
  </si>
  <si>
    <t>Unique identifier of the Employee</t>
  </si>
  <si>
    <t>"Vacant" if it is an unfilled Position</t>
  </si>
  <si>
    <t>Enter % Increase if expected before the end of the current fiscal year.</t>
  </si>
  <si>
    <t>Salary after the Salary Increase During FY if applicable</t>
  </si>
  <si>
    <t>Enter the Salary Increase During the FY</t>
  </si>
  <si>
    <t>This section of the model calculates the number of workdays before and after the Salary Increase</t>
  </si>
  <si>
    <t>The difference between Actual and Budget results is decomposed into Rate and Usage components</t>
  </si>
  <si>
    <t>This is the salary that would be received if the employee worked for the full year.</t>
  </si>
  <si>
    <t>The various salaries and number of days before and after salary increases are combined</t>
  </si>
  <si>
    <t>Use IFERROR to set errors to blanks</t>
  </si>
  <si>
    <t>If the Position is currently filled, the Current Salary adjusted for % Increase Before  FY YY</t>
  </si>
  <si>
    <t>The following data is separately calculated for the Budget and the Revised Budget</t>
  </si>
  <si>
    <t>Use Data Validation to limit values to after the Fiscal Year Begin Date</t>
  </si>
  <si>
    <t>Use Data Validation to limit values to after the Start Date and before the End Date</t>
  </si>
  <si>
    <t>Use Conditional Formatting to limit values to before the Fiscal Year End Date</t>
  </si>
  <si>
    <t>Prior FY</t>
  </si>
  <si>
    <t>Current FY</t>
  </si>
  <si>
    <r>
      <t xml:space="preserve">Increase Before  FY </t>
    </r>
    <r>
      <rPr>
        <sz val="11"/>
        <color rgb="FFFF0000"/>
        <rFont val="Calibri (Body)"/>
      </rPr>
      <t>YY</t>
    </r>
  </si>
  <si>
    <t>Else if  Today's Date &lt;  Date of Last Increase on the Employee Master + 365 &lt; Fiscal Year End Date then "Yes" else "No"</t>
  </si>
  <si>
    <t>Budget Expenses Balance of FY</t>
  </si>
  <si>
    <t>Actual</t>
  </si>
  <si>
    <t>Variance</t>
  </si>
  <si>
    <t xml:space="preserve">Total </t>
  </si>
  <si>
    <t>Rate</t>
  </si>
  <si>
    <t>Usage</t>
  </si>
  <si>
    <t>Filled Positions</t>
  </si>
  <si>
    <t>Vacant Positions</t>
  </si>
  <si>
    <t>Expenses Balance of FY</t>
  </si>
  <si>
    <t>This is the salary increase guideline established for the prior fiscal year</t>
  </si>
  <si>
    <t>This is the salary increase guideline established for the current fiscal year</t>
  </si>
  <si>
    <t>Summary Report</t>
  </si>
  <si>
    <t>Expense for the FY</t>
  </si>
  <si>
    <t>Actual Expenses Balance FY</t>
  </si>
  <si>
    <t>Balance FY</t>
  </si>
  <si>
    <t>Expenses Balance FY</t>
  </si>
  <si>
    <t>This is the most complex formula in this workbook</t>
  </si>
  <si>
    <t>If Today's Date &gt; End Date then 0</t>
  </si>
  <si>
    <t>Else if Increase Date = blank or Start Date &gt; Today's Date then Actual Annualized Rate for the FY</t>
  </si>
  <si>
    <t>Percent</t>
  </si>
  <si>
    <t>Create the formulas necessary to populate the Summary Report</t>
  </si>
  <si>
    <t>First calculate the values for the FY</t>
  </si>
  <si>
    <t>Total Variance Balance FY</t>
  </si>
  <si>
    <t>Total Variance for the FY</t>
  </si>
  <si>
    <t>Usage (Vacancy) Variance for the FY</t>
  </si>
  <si>
    <t>Rate Variance for the FY</t>
  </si>
  <si>
    <t>Actual Expenses Balance FY - Budget Expenses Balance FY</t>
  </si>
  <si>
    <t>Then calculate the values for Balance of the FY</t>
  </si>
  <si>
    <t>Total</t>
  </si>
  <si>
    <t>Else End of Fiscal Year</t>
  </si>
  <si>
    <t>Else if the Employee ID is not in the Employee Master (this includes Vacant Positions) then blank</t>
  </si>
  <si>
    <t>Average Salary Increase</t>
  </si>
  <si>
    <t>Average Salary Increases</t>
  </si>
  <si>
    <t>Increases will be either above or below this guideline based on the performance of the individual employee.</t>
  </si>
  <si>
    <t>Increases are granted annually (365 days after the last increase)</t>
  </si>
  <si>
    <t>Organizations generally set guidelines for the average salary increase.</t>
  </si>
  <si>
    <t>This data links the Positions to the Employees to the Departments.</t>
  </si>
  <si>
    <t>Budget for Vacant positions</t>
  </si>
  <si>
    <t>If the Position is 'Vacant' the Fiscal Year Begin Date + 90 Days</t>
  </si>
  <si>
    <t/>
  </si>
  <si>
    <t>Budget Model</t>
  </si>
  <si>
    <t>Column B</t>
  </si>
  <si>
    <t>Column C</t>
  </si>
  <si>
    <t>Column D</t>
  </si>
  <si>
    <t>Column E</t>
  </si>
  <si>
    <t>Column F</t>
  </si>
  <si>
    <t>Column G</t>
  </si>
  <si>
    <t>Column J</t>
  </si>
  <si>
    <t>Column L</t>
  </si>
  <si>
    <t>Column N</t>
  </si>
  <si>
    <t>Column P</t>
  </si>
  <si>
    <t>Column Q</t>
  </si>
  <si>
    <t>Column R</t>
  </si>
  <si>
    <t>Column S</t>
  </si>
  <si>
    <t>Column T</t>
  </si>
  <si>
    <t>Column U</t>
  </si>
  <si>
    <t>Column V</t>
  </si>
  <si>
    <t>Column Y</t>
  </si>
  <si>
    <t>Column AA</t>
  </si>
  <si>
    <t>Column AC</t>
  </si>
  <si>
    <t>Column AE</t>
  </si>
  <si>
    <t>Column AF</t>
  </si>
  <si>
    <t>Column AG</t>
  </si>
  <si>
    <t>Column AH</t>
  </si>
  <si>
    <t>Column AI</t>
  </si>
  <si>
    <t>Column AJ</t>
  </si>
  <si>
    <t>Column AK</t>
  </si>
  <si>
    <t>Column AM</t>
  </si>
  <si>
    <t>Column AN</t>
  </si>
  <si>
    <t>Column AO</t>
  </si>
  <si>
    <t>Column AP</t>
  </si>
  <si>
    <t>Developing Model</t>
  </si>
  <si>
    <t>Dates (4-9)</t>
  </si>
  <si>
    <t>Total Variance for Fy</t>
  </si>
  <si>
    <t>Vacancy Balacne Fy actual expenses</t>
  </si>
  <si>
    <t>You are going to have to perform some ad hoc analyses.</t>
  </si>
  <si>
    <t>Unprotected Workspace</t>
  </si>
  <si>
    <t>You can utilize:</t>
  </si>
  <si>
    <t>PivotTables which you create on the unprotected 'Ad hoc Analysis' Sheet.</t>
  </si>
  <si>
    <t>There is generally no single approach to Ad hoc Analyses as Excel has provided a variety of tools.</t>
  </si>
  <si>
    <t>Ad hoc Analyses</t>
  </si>
  <si>
    <t>Vacant</t>
  </si>
  <si>
    <t>Column Titles</t>
  </si>
  <si>
    <t>n</t>
  </si>
  <si>
    <t>will be zero</t>
  </si>
  <si>
    <t>Unprotected Workspace in Columns AR to BF of the 'Budget Model' Sheet to create additional columns using formulas you write.</t>
  </si>
  <si>
    <t>Filtering on the 'Budget Model' Sheet on which we have added a SUBTOTAL row at the bottom to sum all of the values in each Column that are visible after any filtering.</t>
  </si>
  <si>
    <t>Variances are always reported as Actual - Budget.</t>
  </si>
  <si>
    <t>Which Department has the smallest unfavorable Total Variance For the FY?</t>
  </si>
  <si>
    <t>Which is the Department with the smallest Actual Expenses Balance FY?</t>
  </si>
  <si>
    <t>Which Department has the largest percent of Actual Expenses Balance FY being Vacant?</t>
  </si>
  <si>
    <t>How many employees have Budget Increase Dates in March?</t>
  </si>
  <si>
    <t>What is the average Current Salary of employees who have Budget Increase Dates in between and including November and February?</t>
  </si>
  <si>
    <t>Position Master - maintains all of the budgeted positions</t>
  </si>
  <si>
    <t>Titles of all Positions within the organization</t>
  </si>
  <si>
    <t>The organizational unit of the Position</t>
  </si>
  <si>
    <t>Key to Employee Master</t>
  </si>
  <si>
    <r>
      <t>You need to create the headlines by modifying the cells in yellow to display the appropriate fiscal year (FY) where it is currently '</t>
    </r>
    <r>
      <rPr>
        <sz val="11"/>
        <color rgb="FFFF0000"/>
        <rFont val="Calibri (Body)"/>
      </rPr>
      <t>YY</t>
    </r>
    <r>
      <rPr>
        <sz val="11"/>
        <color theme="1"/>
        <rFont val="Calibri (Body)"/>
      </rPr>
      <t>'</t>
    </r>
  </si>
  <si>
    <t>Organizations often increase salaries based on the anniversary date of each employee.</t>
  </si>
  <si>
    <t>However, organizations advance or postpone salary increases based on the performance of each employee.</t>
  </si>
  <si>
    <t>Organizations can also award salary increases larger or smaller than the guideline increase for the year based on the employees performance.</t>
  </si>
  <si>
    <t>This data presents the salary from the current salary and the  salary at the beginning of the new fiscal year.</t>
  </si>
  <si>
    <t>If Employee Name = "Vacant" then the result is "No"</t>
  </si>
  <si>
    <t>If the Position is "Vacant", the Budget from the Position Master</t>
  </si>
  <si>
    <t>Override Start Date</t>
  </si>
  <si>
    <t>You can enter an Override Start Date</t>
  </si>
  <si>
    <t>If the Override Start Date is not blank use the Override Start Date</t>
  </si>
  <si>
    <t>If the Override Start Date is blank:</t>
  </si>
  <si>
    <t>If Override Start Date is not blank use the Override Start Date</t>
  </si>
  <si>
    <t>If Override Start Date is blank use the Fiscal Year Begin Date</t>
  </si>
  <si>
    <t>Override Increase Date</t>
  </si>
  <si>
    <t>Each year the organization establishes a guideline for the average percent salary increase.</t>
  </si>
  <si>
    <t>If the Override Increase Date is not blank use the Override Increase Date</t>
  </si>
  <si>
    <t>Else Date of Last Increase in the Employee Master + 365 days</t>
  </si>
  <si>
    <t>Override End Date</t>
  </si>
  <si>
    <t>You can enter an Override End Date</t>
  </si>
  <si>
    <t>If the Override End Date is not blank use the Override End Date</t>
  </si>
  <si>
    <t>Salary Beginning of Fiscal Year x Days Before Increase / Total Days + Salary End of Fiscal Year x Days After Increase / Total Days</t>
  </si>
  <si>
    <t>This is the salary paid based on the periods the employ planned (budgeted) or actually worked</t>
  </si>
  <si>
    <t>Salary Beginning of Fiscal Year x Days Before Increase / Days in Fiscal Year + Salary End of Fiscal Year x Days After Increase / Days in Fiscal Year</t>
  </si>
  <si>
    <t>Else if Today's Date . Increase Date then NETWORKDAYS(Toady's Date, Increase Date) x Salary Begin Fiscal Year/Days in Fiscal Year + Days After Increase * Salary End Fiscal Year/Days in Fiscal Year</t>
  </si>
  <si>
    <t>Else NETWORK DAYS(Today's Date, End Date) * Salary End Date / Days in Fiscal Year</t>
  </si>
  <si>
    <t>When reporting expenses positive variances are unfavorable (Actual &gt; Budget) and negative variances are favorable (Budget &lt; Actual).</t>
  </si>
  <si>
    <t>How many Positions are currently Vacant?</t>
  </si>
  <si>
    <t>Favorable variances when reporting expenses are negative (Actual Expenses are greater than Budget Expenses).</t>
  </si>
  <si>
    <t>Unfavorable variances when reporting expenses are positive (Actual Expenses are greater than Budget Expenses).</t>
  </si>
  <si>
    <t xml:space="preserve">Variance </t>
  </si>
  <si>
    <t>Budget Override Start Date</t>
  </si>
  <si>
    <t>Budget Override Increase Date</t>
  </si>
  <si>
    <t>Budget Override End Date</t>
  </si>
  <si>
    <t>Actual Override Start Date</t>
  </si>
  <si>
    <t>Actual Start Date</t>
  </si>
  <si>
    <t>Actual Override Increase Date</t>
  </si>
  <si>
    <t>Actual Override End Date</t>
  </si>
  <si>
    <t>Salary from Employee Master as of the date that the budget was based</t>
  </si>
  <si>
    <t>Increase Before  FY YY</t>
  </si>
  <si>
    <t>Salary Beginning FY YY</t>
  </si>
  <si>
    <t>Row Labels</t>
  </si>
  <si>
    <t>Anderson, Akosua</t>
  </si>
  <si>
    <t>Andrade, Nazedul</t>
  </si>
  <si>
    <t>Bajrami, Abdullah</t>
  </si>
  <si>
    <t>Baro, Yusuf</t>
  </si>
  <si>
    <t>Barua, Zain</t>
  </si>
  <si>
    <t>Bershan, Samuel</t>
  </si>
  <si>
    <t>Bertolotti, Gavin</t>
  </si>
  <si>
    <t>Bhandari, Abdul</t>
  </si>
  <si>
    <t>Bhuiyan, Aaron</t>
  </si>
  <si>
    <t>Biswas, Max</t>
  </si>
  <si>
    <t>Bulchandani, Akheem</t>
  </si>
  <si>
    <t>Cando, Asher</t>
  </si>
  <si>
    <t>Chand, John</t>
  </si>
  <si>
    <t>Cheema, Miguel</t>
  </si>
  <si>
    <t>Chen, Gadil</t>
  </si>
  <si>
    <t>Chikovani, Rafael</t>
  </si>
  <si>
    <t>Cumbe, Nathali</t>
  </si>
  <si>
    <t>Davidov, Yingying</t>
  </si>
  <si>
    <t>Feng, Hao Ren</t>
  </si>
  <si>
    <t>Figueroa, Sudipta</t>
  </si>
  <si>
    <t>Flores, Abdullah</t>
  </si>
  <si>
    <t>Gao, Adam</t>
  </si>
  <si>
    <t>Gayle, David</t>
  </si>
  <si>
    <t>Guan, Wolfe</t>
  </si>
  <si>
    <t>He, Elvis</t>
  </si>
  <si>
    <t>Hua, Victor</t>
  </si>
  <si>
    <t>Huang, Veronica</t>
  </si>
  <si>
    <t>Igua, Leslie</t>
  </si>
  <si>
    <t>Isabella, Emely</t>
  </si>
  <si>
    <t>Jacques, Ashley</t>
  </si>
  <si>
    <t>Jahmi, Yamina</t>
  </si>
  <si>
    <t>Jogani, Huiying</t>
  </si>
  <si>
    <t>Joseph, Huiying</t>
  </si>
  <si>
    <t>Kazi, Iqra</t>
  </si>
  <si>
    <t>Kemelman, Danielle</t>
  </si>
  <si>
    <t>Khaim, Victoria</t>
  </si>
  <si>
    <t>Khan, Jing Wen</t>
  </si>
  <si>
    <t>Khanna, Ting Ting</t>
  </si>
  <si>
    <t>Kobzarenko, Qetsiyah</t>
  </si>
  <si>
    <t>Kumar, Yllana</t>
  </si>
  <si>
    <t>Lao, Rebecca</t>
  </si>
  <si>
    <t>Lavi, Jose</t>
  </si>
  <si>
    <t>Lee, George</t>
  </si>
  <si>
    <t>Lei, Wei Bin</t>
  </si>
  <si>
    <t>Leung, Andres</t>
  </si>
  <si>
    <t>Li, Ndeye</t>
  </si>
  <si>
    <t>Lian, Fechar</t>
  </si>
  <si>
    <t>Liang, Romel</t>
  </si>
  <si>
    <t>Lieberman, Bellamy</t>
  </si>
  <si>
    <t>Lin, Shirley</t>
  </si>
  <si>
    <t>Louadah, Joel</t>
  </si>
  <si>
    <t>Martin, Laura</t>
  </si>
  <si>
    <t>Mathur, Shadman</t>
  </si>
  <si>
    <t>Mei, Amanda</t>
  </si>
  <si>
    <t>Moon, Prokhor</t>
  </si>
  <si>
    <t>Nabatian, David</t>
  </si>
  <si>
    <t>Nguyen, Janet</t>
  </si>
  <si>
    <t>Patel, Andy</t>
  </si>
  <si>
    <t>Petillo, Patrycja</t>
  </si>
  <si>
    <t>Qasim, Xu</t>
  </si>
  <si>
    <t>Quizhpe, Kristen</t>
  </si>
  <si>
    <t>Rios, Syed</t>
  </si>
  <si>
    <t>Romero, Muhammad</t>
  </si>
  <si>
    <t>Rowe, Muqsiteen</t>
  </si>
  <si>
    <t>Ruan, Anjali</t>
  </si>
  <si>
    <t>Sanghavi, Fidencio</t>
  </si>
  <si>
    <t>Sanoulis, Denzel</t>
  </si>
  <si>
    <t>Santos, Stefan</t>
  </si>
  <si>
    <t>Schwartz, Aminata</t>
  </si>
  <si>
    <t>Shankar, Hillary</t>
  </si>
  <si>
    <t>Shemesh, Kevin</t>
  </si>
  <si>
    <t>Grand Total</t>
  </si>
  <si>
    <t>(All)</t>
  </si>
  <si>
    <t>Count of 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</si>
</sst>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  <numFmt numFmtId="167" formatCode="_(&quot;$&quot;* #,##0.0_);_(&quot;$&quot;* \(#,##0.0\);_(&quot;$&quot;* &quot;-&quot;?_);_(@_)"/>
  </numFmts>
  <fonts count="84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 (Body)_x0000_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b/>
      <sz val="14"/>
      <color indexed="8"/>
      <name val="Calibri"/>
      <family val="2"/>
    </font>
    <font>
      <sz val="10"/>
      <color rgb="FFFF0000"/>
      <name val="Calibri"/>
      <family val="2"/>
    </font>
    <font>
      <sz val="12"/>
      <color indexed="8"/>
      <name val="Calibri"/>
      <family val="2"/>
    </font>
    <font>
      <sz val="8"/>
      <color indexed="8"/>
      <name val="Calibri"/>
      <family val="2"/>
    </font>
    <font>
      <u/>
      <sz val="12"/>
      <color indexed="30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0"/>
      <color theme="1"/>
      <name val="Arial"/>
      <family val="2"/>
    </font>
    <font>
      <b/>
      <sz val="10"/>
      <color rgb="FFFF0000"/>
      <name val="Calibri"/>
      <family val="2"/>
    </font>
    <font>
      <b/>
      <sz val="16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 Unicode MS"/>
      <family val="2"/>
    </font>
    <font>
      <sz val="12"/>
      <name val="Calibri"/>
      <family val="2"/>
      <scheme val="minor"/>
    </font>
    <font>
      <b/>
      <sz val="10"/>
      <color rgb="FF000000"/>
      <name val="+mn-lt"/>
      <charset val="1"/>
    </font>
    <font>
      <sz val="10"/>
      <color rgb="FF000000"/>
      <name val="+mn-lt"/>
      <charset val="1"/>
    </font>
    <font>
      <sz val="10"/>
      <color rgb="FF000000"/>
      <name val="Calibri"/>
      <family val="2"/>
      <scheme val="minor"/>
    </font>
    <font>
      <sz val="12"/>
      <color rgb="FF202124"/>
      <name val="Arial"/>
      <family val="2"/>
    </font>
    <font>
      <sz val="12"/>
      <color rgb="FF040C28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  <font>
      <b/>
      <sz val="11"/>
      <color theme="1"/>
      <name val="Calibri (Body)"/>
    </font>
    <font>
      <sz val="11"/>
      <color rgb="FFFF0000"/>
      <name val="Calibri (Body)"/>
    </font>
    <font>
      <sz val="11"/>
      <color rgb="FF000000"/>
      <name val="Calibri (Body)"/>
    </font>
    <font>
      <b/>
      <sz val="16"/>
      <color theme="1"/>
      <name val="Calibri"/>
      <family val="2"/>
      <scheme val="minor"/>
    </font>
    <font>
      <b/>
      <sz val="10"/>
      <color theme="1"/>
      <name val="Calibri (Body)"/>
    </font>
    <font>
      <sz val="10"/>
      <color theme="1"/>
      <name val="Calibri (Body)"/>
    </font>
    <font>
      <b/>
      <sz val="10"/>
      <color rgb="FFFF0000"/>
      <name val="Calibri (Body)"/>
    </font>
    <font>
      <sz val="11"/>
      <color theme="0"/>
      <name val="Times New Roman"/>
      <family val="1"/>
    </font>
    <font>
      <b/>
      <sz val="14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rgb="FF2021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D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20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30" fillId="0" borderId="0" applyNumberFormat="0" applyFill="0" applyBorder="0" applyAlignment="0" applyProtection="0"/>
    <xf numFmtId="44" fontId="21" fillId="0" borderId="0" applyFont="0" applyFill="0" applyBorder="0" applyAlignment="0" applyProtection="0"/>
    <xf numFmtId="0" fontId="31" fillId="0" borderId="0"/>
    <xf numFmtId="0" fontId="20" fillId="0" borderId="0"/>
    <xf numFmtId="0" fontId="18" fillId="0" borderId="0"/>
    <xf numFmtId="43" fontId="20" fillId="0" borderId="0" applyFont="0" applyFill="0" applyBorder="0" applyAlignment="0" applyProtection="0"/>
    <xf numFmtId="0" fontId="17" fillId="0" borderId="0"/>
    <xf numFmtId="43" fontId="18" fillId="0" borderId="0" applyFont="0" applyFill="0" applyBorder="0" applyAlignment="0" applyProtection="0"/>
    <xf numFmtId="0" fontId="18" fillId="0" borderId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0" fontId="15" fillId="0" borderId="0"/>
    <xf numFmtId="0" fontId="24" fillId="0" borderId="0" applyNumberFormat="0" applyFill="0" applyBorder="0" applyAlignment="0" applyProtection="0"/>
    <xf numFmtId="0" fontId="14" fillId="0" borderId="0"/>
    <xf numFmtId="0" fontId="13" fillId="0" borderId="0"/>
    <xf numFmtId="43" fontId="28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37" fillId="3" borderId="0" applyNumberFormat="0" applyBorder="0" applyAlignment="0" applyProtection="0"/>
  </cellStyleXfs>
  <cellXfs count="279">
    <xf numFmtId="0" fontId="0" fillId="0" borderId="0" xfId="0"/>
    <xf numFmtId="0" fontId="18" fillId="0" borderId="0" xfId="0" applyFont="1" applyProtection="1">
      <protection hidden="1"/>
    </xf>
    <xf numFmtId="0" fontId="29" fillId="0" borderId="0" xfId="0" applyFont="1"/>
    <xf numFmtId="0" fontId="17" fillId="0" borderId="0" xfId="11"/>
    <xf numFmtId="0" fontId="25" fillId="0" borderId="0" xfId="9" applyFont="1"/>
    <xf numFmtId="0" fontId="18" fillId="0" borderId="0" xfId="0" applyFont="1"/>
    <xf numFmtId="0" fontId="16" fillId="0" borderId="0" xfId="0" applyFont="1"/>
    <xf numFmtId="0" fontId="27" fillId="0" borderId="0" xfId="0" applyFont="1"/>
    <xf numFmtId="0" fontId="33" fillId="0" borderId="0" xfId="0" applyFont="1"/>
    <xf numFmtId="0" fontId="36" fillId="0" borderId="0" xfId="0" applyFont="1"/>
    <xf numFmtId="0" fontId="39" fillId="0" borderId="0" xfId="0" applyFont="1"/>
    <xf numFmtId="0" fontId="27" fillId="0" borderId="0" xfId="0" applyFont="1" applyProtection="1">
      <protection hidden="1"/>
    </xf>
    <xf numFmtId="0" fontId="39" fillId="0" borderId="0" xfId="0" applyFont="1" applyProtection="1">
      <protection hidden="1"/>
    </xf>
    <xf numFmtId="0" fontId="12" fillId="0" borderId="0" xfId="9" applyFont="1"/>
    <xf numFmtId="43" fontId="18" fillId="0" borderId="0" xfId="2" applyFont="1"/>
    <xf numFmtId="0" fontId="18" fillId="0" borderId="0" xfId="16" applyFont="1"/>
    <xf numFmtId="0" fontId="18" fillId="0" borderId="0" xfId="9"/>
    <xf numFmtId="0" fontId="12" fillId="0" borderId="0" xfId="13" applyFont="1"/>
    <xf numFmtId="0" fontId="40" fillId="0" borderId="0" xfId="7" applyFont="1"/>
    <xf numFmtId="0" fontId="40" fillId="0" borderId="0" xfId="7" applyFont="1" applyAlignment="1">
      <alignment horizontal="center"/>
    </xf>
    <xf numFmtId="0" fontId="12" fillId="0" borderId="0" xfId="0" applyFont="1"/>
    <xf numFmtId="0" fontId="22" fillId="0" borderId="0" xfId="0" applyFont="1" applyProtection="1">
      <protection hidden="1"/>
    </xf>
    <xf numFmtId="0" fontId="12" fillId="0" borderId="0" xfId="0" applyFont="1" applyProtection="1">
      <protection hidden="1"/>
    </xf>
    <xf numFmtId="9" fontId="22" fillId="0" borderId="0" xfId="3" applyFont="1" applyFill="1" applyBorder="1" applyProtection="1">
      <protection hidden="1"/>
    </xf>
    <xf numFmtId="164" fontId="18" fillId="0" borderId="0" xfId="3" applyNumberFormat="1" applyFont="1" applyFill="1" applyBorder="1" applyProtection="1">
      <protection hidden="1"/>
    </xf>
    <xf numFmtId="164" fontId="22" fillId="0" borderId="0" xfId="3" applyNumberFormat="1" applyFont="1" applyFill="1" applyBorder="1" applyProtection="1">
      <protection hidden="1"/>
    </xf>
    <xf numFmtId="164" fontId="18" fillId="0" borderId="0" xfId="3" applyNumberFormat="1" applyFont="1" applyFill="1" applyProtection="1">
      <protection hidden="1"/>
    </xf>
    <xf numFmtId="165" fontId="18" fillId="0" borderId="0" xfId="2" applyNumberFormat="1" applyFont="1" applyFill="1" applyBorder="1" applyProtection="1">
      <protection hidden="1"/>
    </xf>
    <xf numFmtId="165" fontId="22" fillId="0" borderId="0" xfId="2" applyNumberFormat="1" applyFont="1" applyFill="1" applyBorder="1" applyProtection="1">
      <protection hidden="1"/>
    </xf>
    <xf numFmtId="43" fontId="18" fillId="0" borderId="0" xfId="2" applyFont="1" applyFill="1" applyBorder="1" applyProtection="1">
      <protection hidden="1"/>
    </xf>
    <xf numFmtId="43" fontId="22" fillId="0" borderId="0" xfId="2" applyFont="1" applyFill="1" applyBorder="1" applyProtection="1">
      <protection hidden="1"/>
    </xf>
    <xf numFmtId="0" fontId="18" fillId="0" borderId="0" xfId="9" applyAlignment="1">
      <alignment horizontal="center"/>
    </xf>
    <xf numFmtId="0" fontId="12" fillId="0" borderId="0" xfId="11" applyFont="1"/>
    <xf numFmtId="0" fontId="12" fillId="0" borderId="0" xfId="20" applyFont="1"/>
    <xf numFmtId="0" fontId="12" fillId="0" borderId="0" xfId="20" applyFont="1" applyProtection="1">
      <protection hidden="1"/>
    </xf>
    <xf numFmtId="49" fontId="40" fillId="0" borderId="0" xfId="6" applyNumberFormat="1" applyFont="1" applyFill="1" applyBorder="1"/>
    <xf numFmtId="14" fontId="12" fillId="0" borderId="0" xfId="9" applyNumberFormat="1" applyFont="1"/>
    <xf numFmtId="14" fontId="12" fillId="0" borderId="0" xfId="0" applyNumberFormat="1" applyFont="1"/>
    <xf numFmtId="43" fontId="12" fillId="0" borderId="0" xfId="12" applyFont="1" applyFill="1"/>
    <xf numFmtId="165" fontId="12" fillId="0" borderId="0" xfId="12" applyNumberFormat="1" applyFont="1" applyFill="1"/>
    <xf numFmtId="43" fontId="18" fillId="0" borderId="0" xfId="2" applyFont="1" applyFill="1" applyProtection="1">
      <protection hidden="1"/>
    </xf>
    <xf numFmtId="9" fontId="18" fillId="0" borderId="0" xfId="3" applyFont="1" applyFill="1" applyProtection="1">
      <protection hidden="1"/>
    </xf>
    <xf numFmtId="0" fontId="31" fillId="0" borderId="0" xfId="7"/>
    <xf numFmtId="0" fontId="31" fillId="0" borderId="0" xfId="7" applyAlignment="1">
      <alignment horizontal="center"/>
    </xf>
    <xf numFmtId="43" fontId="18" fillId="0" borderId="0" xfId="12" applyFont="1"/>
    <xf numFmtId="0" fontId="11" fillId="0" borderId="0" xfId="13" applyFont="1"/>
    <xf numFmtId="0" fontId="11" fillId="0" borderId="0" xfId="9" applyFont="1"/>
    <xf numFmtId="49" fontId="12" fillId="0" borderId="0" xfId="9" applyNumberFormat="1" applyFont="1"/>
    <xf numFmtId="0" fontId="12" fillId="0" borderId="0" xfId="12" applyNumberFormat="1" applyFont="1" applyFill="1" applyBorder="1"/>
    <xf numFmtId="0" fontId="23" fillId="0" borderId="0" xfId="7" applyFont="1"/>
    <xf numFmtId="0" fontId="19" fillId="0" borderId="0" xfId="9" applyFont="1"/>
    <xf numFmtId="0" fontId="10" fillId="0" borderId="0" xfId="13" applyFont="1"/>
    <xf numFmtId="49" fontId="10" fillId="0" borderId="0" xfId="13" applyNumberFormat="1" applyFont="1" applyAlignment="1">
      <alignment horizontal="right"/>
    </xf>
    <xf numFmtId="0" fontId="10" fillId="0" borderId="0" xfId="13" applyFont="1" applyAlignment="1">
      <alignment horizontal="right"/>
    </xf>
    <xf numFmtId="0" fontId="9" fillId="0" borderId="0" xfId="11" applyFont="1"/>
    <xf numFmtId="0" fontId="9" fillId="0" borderId="0" xfId="0" applyFont="1"/>
    <xf numFmtId="0" fontId="8" fillId="0" borderId="0" xfId="16" applyFont="1"/>
    <xf numFmtId="9" fontId="18" fillId="0" borderId="0" xfId="3" applyFont="1" applyFill="1" applyBorder="1" applyProtection="1">
      <protection hidden="1"/>
    </xf>
    <xf numFmtId="164" fontId="22" fillId="0" borderId="0" xfId="3" applyNumberFormat="1" applyFont="1" applyFill="1" applyProtection="1">
      <protection hidden="1"/>
    </xf>
    <xf numFmtId="166" fontId="18" fillId="0" borderId="0" xfId="6" applyNumberFormat="1" applyFont="1" applyFill="1" applyBorder="1" applyProtection="1">
      <protection hidden="1"/>
    </xf>
    <xf numFmtId="0" fontId="7" fillId="0" borderId="0" xfId="9" applyFont="1"/>
    <xf numFmtId="49" fontId="6" fillId="0" borderId="0" xfId="13" applyNumberFormat="1" applyFont="1" applyAlignment="1">
      <alignment horizontal="right"/>
    </xf>
    <xf numFmtId="0" fontId="5" fillId="0" borderId="0" xfId="0" applyFont="1"/>
    <xf numFmtId="0" fontId="4" fillId="0" borderId="0" xfId="9" applyFont="1"/>
    <xf numFmtId="0" fontId="4" fillId="0" borderId="0" xfId="13" applyFont="1"/>
    <xf numFmtId="0" fontId="2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/>
    <xf numFmtId="164" fontId="12" fillId="0" borderId="0" xfId="3" applyNumberFormat="1" applyFont="1" applyFill="1" applyBorder="1" applyProtection="1">
      <protection hidden="1"/>
    </xf>
    <xf numFmtId="0" fontId="1" fillId="0" borderId="0" xfId="9" applyFont="1"/>
    <xf numFmtId="0" fontId="1" fillId="0" borderId="0" xfId="13" applyFont="1"/>
    <xf numFmtId="0" fontId="15" fillId="0" borderId="0" xfId="0" applyFont="1"/>
    <xf numFmtId="0" fontId="1" fillId="5" borderId="4" xfId="0" applyFont="1" applyFill="1" applyBorder="1"/>
    <xf numFmtId="0" fontId="43" fillId="0" borderId="0" xfId="0" applyFont="1"/>
    <xf numFmtId="166" fontId="44" fillId="0" borderId="0" xfId="0" applyNumberFormat="1" applyFont="1"/>
    <xf numFmtId="14" fontId="44" fillId="0" borderId="0" xfId="0" applyNumberFormat="1" applyFont="1"/>
    <xf numFmtId="0" fontId="44" fillId="0" borderId="0" xfId="0" applyFont="1"/>
    <xf numFmtId="0" fontId="43" fillId="5" borderId="4" xfId="0" applyFont="1" applyFill="1" applyBorder="1"/>
    <xf numFmtId="0" fontId="45" fillId="5" borderId="4" xfId="0" applyFont="1" applyFill="1" applyBorder="1"/>
    <xf numFmtId="14" fontId="43" fillId="0" borderId="0" xfId="0" applyNumberFormat="1" applyFont="1"/>
    <xf numFmtId="0" fontId="44" fillId="0" borderId="5" xfId="0" applyFont="1" applyBorder="1"/>
    <xf numFmtId="166" fontId="44" fillId="0" borderId="5" xfId="0" applyNumberFormat="1" applyFont="1" applyBorder="1"/>
    <xf numFmtId="166" fontId="44" fillId="0" borderId="6" xfId="0" applyNumberFormat="1" applyFont="1" applyBorder="1"/>
    <xf numFmtId="0" fontId="32" fillId="0" borderId="0" xfId="0" applyFont="1" applyAlignment="1">
      <alignment horizontal="right"/>
    </xf>
    <xf numFmtId="166" fontId="46" fillId="0" borderId="0" xfId="0" applyNumberFormat="1" applyFont="1"/>
    <xf numFmtId="0" fontId="47" fillId="0" borderId="0" xfId="0" applyFont="1" applyAlignment="1">
      <alignment horizontal="right"/>
    </xf>
    <xf numFmtId="166" fontId="48" fillId="0" borderId="0" xfId="0" applyNumberFormat="1" applyFont="1"/>
    <xf numFmtId="0" fontId="32" fillId="5" borderId="4" xfId="0" applyFont="1" applyFill="1" applyBorder="1"/>
    <xf numFmtId="0" fontId="16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26" fillId="0" borderId="0" xfId="16" applyFont="1" applyAlignment="1" applyProtection="1">
      <alignment horizontal="left"/>
      <protection hidden="1"/>
    </xf>
    <xf numFmtId="0" fontId="18" fillId="0" borderId="0" xfId="0" applyFont="1" applyAlignment="1" applyProtection="1">
      <alignment horizontal="left"/>
      <protection hidden="1"/>
    </xf>
    <xf numFmtId="0" fontId="25" fillId="0" borderId="0" xfId="9" applyFont="1" applyAlignment="1">
      <alignment horizontal="left"/>
    </xf>
    <xf numFmtId="14" fontId="36" fillId="6" borderId="1" xfId="0" applyNumberFormat="1" applyFont="1" applyFill="1" applyBorder="1" applyAlignment="1">
      <alignment horizontal="center"/>
    </xf>
    <xf numFmtId="0" fontId="38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1" xfId="0" applyFill="1" applyBorder="1"/>
    <xf numFmtId="0" fontId="0" fillId="0" borderId="0" xfId="0" applyAlignment="1">
      <alignment horizontal="left" indent="2"/>
    </xf>
    <xf numFmtId="167" fontId="18" fillId="0" borderId="0" xfId="9" applyNumberFormat="1"/>
    <xf numFmtId="166" fontId="18" fillId="0" borderId="0" xfId="9" applyNumberFormat="1"/>
    <xf numFmtId="44" fontId="18" fillId="0" borderId="0" xfId="9" applyNumberFormat="1"/>
    <xf numFmtId="9" fontId="22" fillId="0" borderId="0" xfId="0" applyNumberFormat="1" applyFont="1" applyProtection="1">
      <protection hidden="1"/>
    </xf>
    <xf numFmtId="9" fontId="18" fillId="0" borderId="0" xfId="0" applyNumberFormat="1" applyFont="1" applyProtection="1">
      <protection hidden="1"/>
    </xf>
    <xf numFmtId="0" fontId="1" fillId="0" borderId="0" xfId="0" applyFont="1" applyProtection="1">
      <protection hidden="1"/>
    </xf>
    <xf numFmtId="164" fontId="22" fillId="0" borderId="0" xfId="0" applyNumberFormat="1" applyFont="1" applyProtection="1">
      <protection hidden="1"/>
    </xf>
    <xf numFmtId="10" fontId="22" fillId="0" borderId="0" xfId="0" applyNumberFormat="1" applyFont="1" applyProtection="1"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/>
      <protection hidden="1"/>
    </xf>
    <xf numFmtId="0" fontId="13" fillId="0" borderId="0" xfId="20"/>
    <xf numFmtId="0" fontId="13" fillId="0" borderId="0" xfId="0" applyFont="1" applyProtection="1">
      <protection locked="0"/>
    </xf>
    <xf numFmtId="0" fontId="1" fillId="0" borderId="0" xfId="11" applyFont="1"/>
    <xf numFmtId="0" fontId="54" fillId="0" borderId="0" xfId="0" applyFont="1" applyAlignment="1">
      <alignment wrapText="1"/>
    </xf>
    <xf numFmtId="0" fontId="55" fillId="0" borderId="0" xfId="0" applyFont="1" applyAlignment="1">
      <alignment horizontal="center"/>
    </xf>
    <xf numFmtId="0" fontId="32" fillId="0" borderId="0" xfId="0" applyFont="1"/>
    <xf numFmtId="0" fontId="35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2"/>
    </xf>
    <xf numFmtId="0" fontId="0" fillId="0" borderId="0" xfId="0" applyAlignment="1">
      <alignment horizontal="left" indent="4"/>
    </xf>
    <xf numFmtId="0" fontId="38" fillId="6" borderId="2" xfId="0" applyFont="1" applyFill="1" applyBorder="1" applyAlignment="1">
      <alignment horizontal="center"/>
    </xf>
    <xf numFmtId="0" fontId="43" fillId="5" borderId="9" xfId="0" applyFont="1" applyFill="1" applyBorder="1"/>
    <xf numFmtId="0" fontId="1" fillId="5" borderId="8" xfId="0" applyFont="1" applyFill="1" applyBorder="1"/>
    <xf numFmtId="14" fontId="44" fillId="6" borderId="1" xfId="0" applyNumberFormat="1" applyFont="1" applyFill="1" applyBorder="1"/>
    <xf numFmtId="9" fontId="44" fillId="0" borderId="0" xfId="0" applyNumberFormat="1" applyFont="1"/>
    <xf numFmtId="0" fontId="43" fillId="5" borderId="0" xfId="0" applyFont="1" applyFill="1"/>
    <xf numFmtId="166" fontId="44" fillId="6" borderId="1" xfId="0" applyNumberFormat="1" applyFont="1" applyFill="1" applyBorder="1"/>
    <xf numFmtId="0" fontId="44" fillId="6" borderId="1" xfId="0" applyFont="1" applyFill="1" applyBorder="1"/>
    <xf numFmtId="0" fontId="45" fillId="5" borderId="7" xfId="0" applyFont="1" applyFill="1" applyBorder="1"/>
    <xf numFmtId="14" fontId="36" fillId="2" borderId="1" xfId="0" applyNumberFormat="1" applyFont="1" applyFill="1" applyBorder="1" applyAlignment="1">
      <alignment horizontal="center"/>
    </xf>
    <xf numFmtId="0" fontId="32" fillId="0" borderId="0" xfId="0" applyFont="1" applyAlignment="1">
      <alignment horizontal="left"/>
    </xf>
    <xf numFmtId="43" fontId="0" fillId="0" borderId="0" xfId="2" applyFont="1"/>
    <xf numFmtId="165" fontId="0" fillId="0" borderId="0" xfId="2" applyNumberFormat="1" applyFont="1"/>
    <xf numFmtId="0" fontId="63" fillId="0" borderId="0" xfId="16" applyFont="1" applyAlignment="1" applyProtection="1">
      <alignment horizontal="left"/>
      <protection hidden="1"/>
    </xf>
    <xf numFmtId="0" fontId="64" fillId="0" borderId="0" xfId="0" applyFont="1"/>
    <xf numFmtId="0" fontId="65" fillId="0" borderId="0" xfId="0" applyFont="1"/>
    <xf numFmtId="0" fontId="64" fillId="0" borderId="0" xfId="0" applyFont="1" applyAlignment="1" applyProtection="1">
      <alignment horizontal="left"/>
      <protection hidden="1"/>
    </xf>
    <xf numFmtId="0" fontId="65" fillId="0" borderId="0" xfId="9" applyFont="1" applyAlignment="1">
      <alignment horizontal="left"/>
    </xf>
    <xf numFmtId="0" fontId="66" fillId="0" borderId="0" xfId="0" applyFont="1"/>
    <xf numFmtId="0" fontId="64" fillId="0" borderId="0" xfId="0" applyFont="1" applyAlignment="1">
      <alignment horizontal="left" indent="2"/>
    </xf>
    <xf numFmtId="0" fontId="64" fillId="0" borderId="0" xfId="0" applyFont="1" applyAlignment="1">
      <alignment horizontal="left"/>
    </xf>
    <xf numFmtId="0" fontId="68" fillId="0" borderId="0" xfId="0" applyFont="1"/>
    <xf numFmtId="0" fontId="64" fillId="0" borderId="0" xfId="0" applyFont="1" applyAlignment="1">
      <alignment horizontal="center"/>
    </xf>
    <xf numFmtId="0" fontId="58" fillId="0" borderId="0" xfId="0" applyFont="1" applyAlignment="1">
      <alignment horizontal="left" vertical="center" readingOrder="1"/>
    </xf>
    <xf numFmtId="14" fontId="0" fillId="0" borderId="0" xfId="0" applyNumberFormat="1"/>
    <xf numFmtId="14" fontId="43" fillId="0" borderId="9" xfId="0" applyNumberFormat="1" applyFont="1" applyBorder="1"/>
    <xf numFmtId="14" fontId="44" fillId="0" borderId="9" xfId="0" applyNumberFormat="1" applyFont="1" applyBorder="1"/>
    <xf numFmtId="9" fontId="1" fillId="6" borderId="1" xfId="0" applyNumberFormat="1" applyFont="1" applyFill="1" applyBorder="1"/>
    <xf numFmtId="0" fontId="70" fillId="0" borderId="0" xfId="0" applyFont="1" applyAlignment="1">
      <alignment horizontal="center"/>
    </xf>
    <xf numFmtId="9" fontId="1" fillId="0" borderId="0" xfId="0" applyNumberFormat="1" applyFont="1"/>
    <xf numFmtId="0" fontId="70" fillId="0" borderId="0" xfId="0" applyFont="1" applyAlignment="1">
      <alignment horizontal="center" wrapText="1"/>
    </xf>
    <xf numFmtId="0" fontId="70" fillId="6" borderId="1" xfId="0" applyFont="1" applyFill="1" applyBorder="1" applyAlignment="1">
      <alignment horizontal="center" wrapText="1"/>
    </xf>
    <xf numFmtId="166" fontId="44" fillId="6" borderId="3" xfId="0" applyNumberFormat="1" applyFont="1" applyFill="1" applyBorder="1"/>
    <xf numFmtId="14" fontId="44" fillId="6" borderId="3" xfId="0" applyNumberFormat="1" applyFont="1" applyFill="1" applyBorder="1" applyAlignment="1">
      <alignment horizontal="center"/>
    </xf>
    <xf numFmtId="166" fontId="43" fillId="6" borderId="3" xfId="0" applyNumberFormat="1" applyFont="1" applyFill="1" applyBorder="1"/>
    <xf numFmtId="0" fontId="66" fillId="0" borderId="0" xfId="0" applyFont="1" applyAlignment="1">
      <alignment horizontal="left"/>
    </xf>
    <xf numFmtId="0" fontId="71" fillId="0" borderId="0" xfId="0" applyFont="1" applyAlignment="1">
      <alignment horizontal="left" indent="2"/>
    </xf>
    <xf numFmtId="0" fontId="23" fillId="0" borderId="0" xfId="0" applyFont="1" applyAlignment="1">
      <alignment horizontal="center"/>
    </xf>
    <xf numFmtId="0" fontId="35" fillId="8" borderId="10" xfId="0" applyFont="1" applyFill="1" applyBorder="1"/>
    <xf numFmtId="0" fontId="35" fillId="8" borderId="9" xfId="0" applyFont="1" applyFill="1" applyBorder="1"/>
    <xf numFmtId="0" fontId="72" fillId="8" borderId="8" xfId="0" applyFont="1" applyFill="1" applyBorder="1" applyAlignment="1">
      <alignment horizontal="center"/>
    </xf>
    <xf numFmtId="9" fontId="0" fillId="6" borderId="2" xfId="0" applyNumberFormat="1" applyFill="1" applyBorder="1"/>
    <xf numFmtId="0" fontId="70" fillId="6" borderId="2" xfId="0" applyFont="1" applyFill="1" applyBorder="1" applyAlignment="1">
      <alignment horizontal="center" wrapText="1"/>
    </xf>
    <xf numFmtId="0" fontId="36" fillId="8" borderId="10" xfId="0" applyFont="1" applyFill="1" applyBorder="1"/>
    <xf numFmtId="0" fontId="36" fillId="8" borderId="9" xfId="0" applyFont="1" applyFill="1" applyBorder="1"/>
    <xf numFmtId="0" fontId="72" fillId="8" borderId="8" xfId="0" applyFont="1" applyFill="1" applyBorder="1" applyAlignment="1">
      <alignment horizontal="center" wrapText="1"/>
    </xf>
    <xf numFmtId="166" fontId="0" fillId="0" borderId="0" xfId="0" applyNumberFormat="1"/>
    <xf numFmtId="164" fontId="0" fillId="6" borderId="1" xfId="3" applyNumberFormat="1" applyFont="1" applyFill="1" applyBorder="1"/>
    <xf numFmtId="166" fontId="73" fillId="0" borderId="0" xfId="0" applyNumberFormat="1" applyFont="1"/>
    <xf numFmtId="0" fontId="27" fillId="0" borderId="0" xfId="0" applyFont="1" applyAlignment="1" applyProtection="1">
      <alignment horizontal="center"/>
      <protection hidden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 applyProtection="1">
      <alignment horizontal="center"/>
      <protection hidden="1"/>
    </xf>
    <xf numFmtId="165" fontId="0" fillId="0" borderId="0" xfId="0" applyNumberFormat="1"/>
    <xf numFmtId="9" fontId="0" fillId="0" borderId="0" xfId="3" applyFont="1"/>
    <xf numFmtId="43" fontId="0" fillId="0" borderId="0" xfId="0" applyNumberFormat="1"/>
    <xf numFmtId="0" fontId="23" fillId="0" borderId="0" xfId="0" applyFont="1" applyAlignment="1">
      <alignment horizontal="left"/>
    </xf>
    <xf numFmtId="0" fontId="43" fillId="5" borderId="7" xfId="0" applyFont="1" applyFill="1" applyBorder="1"/>
    <xf numFmtId="9" fontId="44" fillId="0" borderId="9" xfId="0" applyNumberFormat="1" applyFont="1" applyBorder="1"/>
    <xf numFmtId="9" fontId="43" fillId="0" borderId="9" xfId="3" applyFont="1" applyBorder="1"/>
    <xf numFmtId="166" fontId="44" fillId="6" borderId="1" xfId="0" applyNumberFormat="1" applyFont="1" applyFill="1" applyBorder="1" applyProtection="1">
      <protection locked="0"/>
    </xf>
    <xf numFmtId="0" fontId="18" fillId="7" borderId="0" xfId="9" applyFill="1"/>
    <xf numFmtId="9" fontId="64" fillId="6" borderId="1" xfId="0" applyNumberFormat="1" applyFont="1" applyFill="1" applyBorder="1" applyAlignment="1" applyProtection="1">
      <alignment horizontal="center"/>
      <protection locked="0"/>
    </xf>
    <xf numFmtId="164" fontId="0" fillId="6" borderId="1" xfId="3" applyNumberFormat="1" applyFont="1" applyFill="1" applyBorder="1" applyProtection="1">
      <protection locked="0"/>
    </xf>
    <xf numFmtId="9" fontId="18" fillId="0" borderId="0" xfId="9" applyNumberFormat="1"/>
    <xf numFmtId="0" fontId="1" fillId="0" borderId="0" xfId="0" applyFont="1" applyAlignment="1">
      <alignment horizontal="left"/>
    </xf>
    <xf numFmtId="1" fontId="64" fillId="6" borderId="1" xfId="0" applyNumberFormat="1" applyFont="1" applyFill="1" applyBorder="1" applyAlignment="1" applyProtection="1">
      <alignment horizontal="center"/>
      <protection locked="0"/>
    </xf>
    <xf numFmtId="0" fontId="64" fillId="6" borderId="1" xfId="0" applyFont="1" applyFill="1" applyBorder="1" applyAlignment="1" applyProtection="1">
      <alignment horizontal="center"/>
      <protection locked="0"/>
    </xf>
    <xf numFmtId="1" fontId="64" fillId="6" borderId="1" xfId="2" applyNumberFormat="1" applyFont="1" applyFill="1" applyBorder="1" applyAlignment="1" applyProtection="1">
      <alignment horizontal="center"/>
      <protection locked="0"/>
    </xf>
    <xf numFmtId="166" fontId="64" fillId="6" borderId="1" xfId="0" applyNumberFormat="1" applyFont="1" applyFill="1" applyBorder="1" applyAlignment="1" applyProtection="1">
      <alignment horizontal="center"/>
      <protection locked="0"/>
    </xf>
    <xf numFmtId="166" fontId="43" fillId="9" borderId="0" xfId="0" applyNumberFormat="1" applyFont="1" applyFill="1" applyProtection="1">
      <protection locked="0"/>
    </xf>
    <xf numFmtId="0" fontId="74" fillId="0" borderId="0" xfId="16" applyFont="1" applyAlignment="1" applyProtection="1">
      <alignment horizontal="left"/>
      <protection hidden="1"/>
    </xf>
    <xf numFmtId="0" fontId="21" fillId="0" borderId="0" xfId="0" applyFont="1"/>
    <xf numFmtId="0" fontId="75" fillId="0" borderId="0" xfId="0" applyFont="1"/>
    <xf numFmtId="44" fontId="21" fillId="0" borderId="0" xfId="0" applyNumberFormat="1" applyFont="1"/>
    <xf numFmtId="0" fontId="76" fillId="0" borderId="0" xfId="0" applyFont="1" applyProtection="1">
      <protection hidden="1"/>
    </xf>
    <xf numFmtId="0" fontId="77" fillId="0" borderId="0" xfId="9" applyFont="1" applyAlignment="1">
      <alignment horizontal="left"/>
    </xf>
    <xf numFmtId="0" fontId="18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14" fontId="15" fillId="2" borderId="1" xfId="0" applyNumberFormat="1" applyFont="1" applyFill="1" applyBorder="1" applyAlignment="1" applyProtection="1">
      <alignment horizontal="center"/>
      <protection locked="0"/>
    </xf>
    <xf numFmtId="0" fontId="19" fillId="0" borderId="0" xfId="0" applyFont="1" applyAlignment="1">
      <alignment horizontal="left"/>
    </xf>
    <xf numFmtId="14" fontId="21" fillId="0" borderId="0" xfId="0" applyNumberFormat="1" applyFont="1"/>
    <xf numFmtId="0" fontId="21" fillId="0" borderId="0" xfId="0" applyFont="1" applyAlignment="1">
      <alignment wrapText="1"/>
    </xf>
    <xf numFmtId="0" fontId="79" fillId="0" borderId="0" xfId="0" applyFont="1"/>
    <xf numFmtId="14" fontId="15" fillId="6" borderId="1" xfId="0" applyNumberFormat="1" applyFont="1" applyFill="1" applyBorder="1" applyAlignment="1" applyProtection="1">
      <alignment horizontal="center"/>
      <protection locked="0"/>
    </xf>
    <xf numFmtId="0" fontId="19" fillId="0" borderId="0" xfId="0" applyFont="1" applyAlignment="1">
      <alignment horizontal="center"/>
    </xf>
    <xf numFmtId="0" fontId="15" fillId="8" borderId="10" xfId="0" applyFont="1" applyFill="1" applyBorder="1"/>
    <xf numFmtId="0" fontId="79" fillId="8" borderId="10" xfId="0" applyFont="1" applyFill="1" applyBorder="1"/>
    <xf numFmtId="0" fontId="80" fillId="6" borderId="1" xfId="0" applyFont="1" applyFill="1" applyBorder="1" applyAlignment="1" applyProtection="1">
      <alignment horizontal="center"/>
      <protection locked="0"/>
    </xf>
    <xf numFmtId="0" fontId="15" fillId="8" borderId="9" xfId="0" applyFont="1" applyFill="1" applyBorder="1"/>
    <xf numFmtId="0" fontId="79" fillId="8" borderId="9" xfId="0" applyFont="1" applyFill="1" applyBorder="1"/>
    <xf numFmtId="9" fontId="18" fillId="0" borderId="0" xfId="0" applyNumberFormat="1" applyFont="1"/>
    <xf numFmtId="9" fontId="21" fillId="0" borderId="12" xfId="0" applyNumberFormat="1" applyFont="1" applyBorder="1"/>
    <xf numFmtId="0" fontId="15" fillId="8" borderId="12" xfId="0" applyFont="1" applyFill="1" applyBorder="1"/>
    <xf numFmtId="43" fontId="21" fillId="0" borderId="0" xfId="2" applyFont="1"/>
    <xf numFmtId="165" fontId="21" fillId="0" borderId="0" xfId="2" applyNumberFormat="1" applyFont="1"/>
    <xf numFmtId="0" fontId="18" fillId="0" borderId="13" xfId="0" applyFont="1" applyBorder="1"/>
    <xf numFmtId="0" fontId="19" fillId="0" borderId="0" xfId="0" applyFont="1"/>
    <xf numFmtId="0" fontId="19" fillId="0" borderId="0" xfId="0" applyFont="1" applyAlignment="1">
      <alignment horizontal="center" wrapText="1"/>
    </xf>
    <xf numFmtId="0" fontId="19" fillId="6" borderId="1" xfId="0" applyFont="1" applyFill="1" applyBorder="1" applyAlignment="1" applyProtection="1">
      <alignment horizontal="center" wrapText="1"/>
      <protection locked="0"/>
    </xf>
    <xf numFmtId="0" fontId="19" fillId="6" borderId="2" xfId="0" applyFont="1" applyFill="1" applyBorder="1" applyAlignment="1" applyProtection="1">
      <alignment horizontal="center" wrapText="1"/>
      <protection locked="0"/>
    </xf>
    <xf numFmtId="0" fontId="81" fillId="8" borderId="8" xfId="0" applyFont="1" applyFill="1" applyBorder="1" applyAlignment="1">
      <alignment horizontal="center" wrapText="1"/>
    </xf>
    <xf numFmtId="0" fontId="81" fillId="8" borderId="8" xfId="0" applyFont="1" applyFill="1" applyBorder="1" applyAlignment="1">
      <alignment horizontal="center"/>
    </xf>
    <xf numFmtId="0" fontId="21" fillId="6" borderId="1" xfId="0" applyFont="1" applyFill="1" applyBorder="1" applyProtection="1">
      <protection locked="0"/>
    </xf>
    <xf numFmtId="0" fontId="15" fillId="0" borderId="0" xfId="0" applyFont="1" applyAlignment="1">
      <alignment horizontal="center"/>
    </xf>
    <xf numFmtId="0" fontId="80" fillId="6" borderId="2" xfId="0" applyFont="1" applyFill="1" applyBorder="1" applyAlignment="1" applyProtection="1">
      <alignment horizontal="center"/>
      <protection locked="0"/>
    </xf>
    <xf numFmtId="166" fontId="80" fillId="6" borderId="3" xfId="0" applyNumberFormat="1" applyFont="1" applyFill="1" applyBorder="1" applyProtection="1">
      <protection locked="0"/>
    </xf>
    <xf numFmtId="14" fontId="80" fillId="6" borderId="3" xfId="0" applyNumberFormat="1" applyFont="1" applyFill="1" applyBorder="1" applyAlignment="1" applyProtection="1">
      <alignment horizontal="center"/>
      <protection locked="0"/>
    </xf>
    <xf numFmtId="0" fontId="15" fillId="5" borderId="10" xfId="0" applyFont="1" applyFill="1" applyBorder="1"/>
    <xf numFmtId="9" fontId="80" fillId="0" borderId="0" xfId="0" applyNumberFormat="1" applyFont="1"/>
    <xf numFmtId="166" fontId="80" fillId="6" borderId="1" xfId="0" applyNumberFormat="1" applyFont="1" applyFill="1" applyBorder="1" applyProtection="1">
      <protection locked="0"/>
    </xf>
    <xf numFmtId="14" fontId="15" fillId="0" borderId="9" xfId="0" applyNumberFormat="1" applyFont="1" applyBorder="1"/>
    <xf numFmtId="14" fontId="80" fillId="6" borderId="1" xfId="0" applyNumberFormat="1" applyFont="1" applyFill="1" applyBorder="1" applyProtection="1">
      <protection locked="0"/>
    </xf>
    <xf numFmtId="14" fontId="80" fillId="0" borderId="9" xfId="0" applyNumberFormat="1" applyFont="1" applyBorder="1"/>
    <xf numFmtId="0" fontId="80" fillId="6" borderId="1" xfId="0" applyFont="1" applyFill="1" applyBorder="1" applyProtection="1">
      <protection locked="0"/>
    </xf>
    <xf numFmtId="166" fontId="15" fillId="6" borderId="3" xfId="0" applyNumberFormat="1" applyFont="1" applyFill="1" applyBorder="1" applyProtection="1">
      <protection locked="0"/>
    </xf>
    <xf numFmtId="0" fontId="15" fillId="5" borderId="0" xfId="0" applyFont="1" applyFill="1"/>
    <xf numFmtId="9" fontId="80" fillId="0" borderId="10" xfId="0" applyNumberFormat="1" applyFont="1" applyBorder="1"/>
    <xf numFmtId="0" fontId="15" fillId="0" borderId="9" xfId="0" applyFont="1" applyBorder="1"/>
    <xf numFmtId="0" fontId="79" fillId="5" borderId="7" xfId="0" applyFont="1" applyFill="1" applyBorder="1"/>
    <xf numFmtId="166" fontId="80" fillId="0" borderId="0" xfId="0" applyNumberFormat="1" applyFont="1"/>
    <xf numFmtId="0" fontId="21" fillId="4" borderId="0" xfId="0" applyFont="1" applyFill="1"/>
    <xf numFmtId="0" fontId="15" fillId="5" borderId="9" xfId="0" applyFont="1" applyFill="1" applyBorder="1"/>
    <xf numFmtId="0" fontId="15" fillId="5" borderId="7" xfId="0" applyFont="1" applyFill="1" applyBorder="1"/>
    <xf numFmtId="9" fontId="80" fillId="0" borderId="9" xfId="0" applyNumberFormat="1" applyFont="1" applyBorder="1"/>
    <xf numFmtId="0" fontId="79" fillId="5" borderId="4" xfId="0" applyFont="1" applyFill="1" applyBorder="1"/>
    <xf numFmtId="14" fontId="15" fillId="0" borderId="0" xfId="0" applyNumberFormat="1" applyFont="1"/>
    <xf numFmtId="14" fontId="80" fillId="0" borderId="0" xfId="0" applyNumberFormat="1" applyFont="1"/>
    <xf numFmtId="0" fontId="80" fillId="0" borderId="0" xfId="0" applyFont="1"/>
    <xf numFmtId="0" fontId="15" fillId="5" borderId="4" xfId="0" applyFont="1" applyFill="1" applyBorder="1"/>
    <xf numFmtId="9" fontId="80" fillId="0" borderId="7" xfId="0" applyNumberFormat="1" applyFont="1" applyBorder="1"/>
    <xf numFmtId="0" fontId="80" fillId="0" borderId="5" xfId="0" applyFont="1" applyBorder="1"/>
    <xf numFmtId="166" fontId="80" fillId="0" borderId="5" xfId="0" applyNumberFormat="1" applyFont="1" applyBorder="1"/>
    <xf numFmtId="166" fontId="80" fillId="0" borderId="6" xfId="0" applyNumberFormat="1" applyFont="1" applyBorder="1"/>
    <xf numFmtId="166" fontId="82" fillId="0" borderId="0" xfId="0" applyNumberFormat="1" applyFont="1"/>
    <xf numFmtId="0" fontId="15" fillId="5" borderId="8" xfId="0" applyFont="1" applyFill="1" applyBorder="1"/>
    <xf numFmtId="0" fontId="79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166" fontId="15" fillId="0" borderId="0" xfId="0" applyNumberFormat="1" applyFont="1"/>
    <xf numFmtId="0" fontId="76" fillId="0" borderId="0" xfId="0" applyFont="1"/>
    <xf numFmtId="166" fontId="33" fillId="0" borderId="0" xfId="0" applyNumberFormat="1" applyFont="1"/>
    <xf numFmtId="0" fontId="83" fillId="0" borderId="0" xfId="0" applyFont="1"/>
    <xf numFmtId="0" fontId="41" fillId="0" borderId="0" xfId="0" applyFont="1"/>
    <xf numFmtId="0" fontId="5" fillId="0" borderId="0" xfId="0" applyFont="1" applyAlignment="1">
      <alignment horizontal="center"/>
    </xf>
    <xf numFmtId="0" fontId="21" fillId="0" borderId="0" xfId="1" applyFont="1"/>
    <xf numFmtId="0" fontId="20" fillId="0" borderId="0" xfId="1"/>
    <xf numFmtId="0" fontId="3" fillId="2" borderId="2" xfId="16" applyFont="1" applyFill="1" applyBorder="1" applyAlignment="1" applyProtection="1">
      <alignment horizontal="center"/>
      <protection locked="0"/>
    </xf>
    <xf numFmtId="0" fontId="3" fillId="2" borderId="3" xfId="16" applyFont="1" applyFill="1" applyBorder="1" applyAlignment="1" applyProtection="1">
      <alignment horizontal="center"/>
      <protection locked="0"/>
    </xf>
    <xf numFmtId="0" fontId="19" fillId="0" borderId="0" xfId="0" applyFont="1" applyAlignment="1">
      <alignment horizontal="center"/>
    </xf>
    <xf numFmtId="0" fontId="69" fillId="0" borderId="0" xfId="0" applyFont="1" applyAlignment="1">
      <alignment horizontal="left"/>
    </xf>
    <xf numFmtId="0" fontId="69" fillId="0" borderId="11" xfId="0" applyFont="1" applyBorder="1" applyAlignment="1">
      <alignment horizontal="left"/>
    </xf>
    <xf numFmtId="0" fontId="70" fillId="0" borderId="0" xfId="0" applyFont="1" applyAlignment="1">
      <alignment horizontal="center"/>
    </xf>
    <xf numFmtId="0" fontId="42" fillId="0" borderId="11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0" fillId="0" borderId="0" xfId="0" pivotButton="1"/>
    <xf numFmtId="0" fontId="0" fillId="0" borderId="0" xfId="0" applyNumberFormat="1"/>
  </cellXfs>
  <cellStyles count="25">
    <cellStyle name="Comma" xfId="2" builtinId="3"/>
    <cellStyle name="Comma 2" xfId="10" xr:uid="{FD791432-DB31-2744-829B-3A2281BFAB09}"/>
    <cellStyle name="Comma 2 2" xfId="23" xr:uid="{9C91A8D8-6B4C-B348-9B2A-B5DFB7F2D696}"/>
    <cellStyle name="Comma 3" xfId="12" xr:uid="{992B348D-32F7-084E-AD3C-6690AF73E528}"/>
    <cellStyle name="Comma 4" xfId="21" xr:uid="{1E4C6C7B-3E95-7344-AE95-BCCA9D4A65CA}"/>
    <cellStyle name="Currency" xfId="6" builtinId="4"/>
    <cellStyle name="Good 2" xfId="24" xr:uid="{50026D62-A9C7-C949-9506-2F907DF0DB87}"/>
    <cellStyle name="Hyperlink 2" xfId="5" xr:uid="{F8914A8A-1FA2-A544-AFE5-4DCDAC306BEC}"/>
    <cellStyle name="Hyperlink 2 2" xfId="18" xr:uid="{1BC926E6-A79F-E543-A535-89A7EFEDCF27}"/>
    <cellStyle name="Normal" xfId="0" builtinId="0"/>
    <cellStyle name="Normal 2" xfId="1" xr:uid="{00000000-0005-0000-0000-000003000000}"/>
    <cellStyle name="Normal 2 2" xfId="7" xr:uid="{502ED804-1BC4-7645-8FCA-0C3CEE2A1F2E}"/>
    <cellStyle name="Normal 2 3" xfId="17" xr:uid="{936879E2-7A65-DF4D-B83F-E562BFCBFCF1}"/>
    <cellStyle name="Normal 3" xfId="4" xr:uid="{AA0F86A3-3CAC-3C49-A1E8-A7A660CDE746}"/>
    <cellStyle name="Normal 3 2" xfId="8" xr:uid="{233672B3-DECB-D643-9DE8-C2E85D41D375}"/>
    <cellStyle name="Normal 3 3" xfId="14" xr:uid="{EFF8CC15-B500-4FB4-A3DC-47848277E3CC}"/>
    <cellStyle name="Normal 4" xfId="9" xr:uid="{15956D78-77A0-574B-AA2D-62E686ABC0C8}"/>
    <cellStyle name="Normal 5" xfId="11" xr:uid="{BAB93D5C-6EF3-E14D-B873-31985A0D7132}"/>
    <cellStyle name="Normal 5 2" xfId="16" xr:uid="{31FDFF2C-0C10-C944-A955-D3E5D30449AC}"/>
    <cellStyle name="Normal 5 3" xfId="20" xr:uid="{DA4BBAA3-4A1B-5044-AFBA-A3C555E5538B}"/>
    <cellStyle name="Normal 5 4" xfId="22" xr:uid="{E4578F7B-12B4-8244-97EE-504A3117ECAE}"/>
    <cellStyle name="Normal 6" xfId="19" xr:uid="{03CA8B80-130C-B844-B51F-2AAD9F1AAC0D}"/>
    <cellStyle name="Normal 7" xfId="13" xr:uid="{BA89AD31-CBC9-D84A-9A07-1C0DB052E6C8}"/>
    <cellStyle name="Percent" xfId="3" builtinId="5"/>
    <cellStyle name="Percent 3" xfId="15" xr:uid="{4F1B38BF-FFA7-4DCD-95DD-6EBC52D962F2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D78"/>
      <color rgb="FFFFFDA9"/>
      <color rgb="FFFFD8FF"/>
      <color rgb="FFFFAFFF"/>
      <color rgb="FFFF52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ch\Dropbox%20(CMRA)\CMRA%20Team%20Folder\RH%20Personal\TEACHING\ONLINE\Master%20Data\Company%20Data%20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cker info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Guzman Silva" refreshedDate="45041.845296064814" createdVersion="8" refreshedVersion="8" minRefreshableVersion="3" recordCount="90" xr:uid="{8B7E2C49-6C0C-4C00-A3AC-913617616CC3}">
  <cacheSource type="worksheet">
    <worksheetSource ref="A10:AP100" sheet="Budgeting Model"/>
  </cacheSource>
  <cacheFields count="42">
    <cacheField name="Position Title" numFmtId="0">
      <sharedItems count="90">
        <s v="Position 1"/>
        <s v="Position 2"/>
        <s v="Position 3"/>
        <s v="Position 4"/>
        <s v="Position 5"/>
        <s v="Position 6"/>
        <s v="Position 7"/>
        <s v="Position 8"/>
        <s v="Position 9"/>
        <s v="Position 10"/>
        <s v="Position 11"/>
        <s v="Position 12"/>
        <s v="Position 13"/>
        <s v="Position 14"/>
        <s v="Position 15"/>
        <s v="Position 16"/>
        <s v="Position 17"/>
        <s v="Position 18"/>
        <s v="Position 19"/>
        <s v="Position 20"/>
        <s v="Position 21"/>
        <s v="Position 22"/>
        <s v="Position 23"/>
        <s v="Position 24"/>
        <s v="Position 25"/>
        <s v="Position 26"/>
        <s v="Position 27"/>
        <s v="Position 28"/>
        <s v="Position 29"/>
        <s v="Position 30"/>
        <s v="Position 31"/>
        <s v="Position 32"/>
        <s v="Position 33"/>
        <s v="Position 34"/>
        <s v="Position 35"/>
        <s v="Position 36"/>
        <s v="Position 37"/>
        <s v="Position 38"/>
        <s v="Position 39"/>
        <s v="Position 40"/>
        <s v="Position 41"/>
        <s v="Position 42"/>
        <s v="Position 43"/>
        <s v="Position 44"/>
        <s v="Position 45"/>
        <s v="Position 46"/>
        <s v="Position 47"/>
        <s v="Position 48"/>
        <s v="Position 49"/>
        <s v="Position 50"/>
        <s v="Position 51"/>
        <s v="Position 52"/>
        <s v="Position 53"/>
        <s v="Position 54"/>
        <s v="Position 55"/>
        <s v="Position 56"/>
        <s v="Position 57"/>
        <s v="Position 58"/>
        <s v="Position 59"/>
        <s v="Position 60"/>
        <s v="Position 61"/>
        <s v="Position 62"/>
        <s v="Position 63"/>
        <s v="Position 64"/>
        <s v="Position 65"/>
        <s v="Position 66"/>
        <s v="Position 67"/>
        <s v="Position 68"/>
        <s v="Position 69"/>
        <s v="Position 70"/>
        <s v="Position 71"/>
        <s v="Position 72"/>
        <s v="Position 73"/>
        <s v="Position 74"/>
        <s v="Position 75"/>
        <s v="Position 76"/>
        <s v="Position 77"/>
        <s v="Position 78"/>
        <s v="Position 79"/>
        <s v="Position 80"/>
        <s v="Position 81"/>
        <s v="Position 82"/>
        <s v="Position 83"/>
        <s v="Position 84"/>
        <s v="Position 85"/>
        <s v="Position 86"/>
        <s v="Position 87"/>
        <s v="Position 88"/>
        <s v="Position 89"/>
        <s v="Position 90"/>
      </sharedItems>
    </cacheField>
    <cacheField name="Department" numFmtId="0">
      <sharedItems/>
    </cacheField>
    <cacheField name="Name" numFmtId="0">
      <sharedItems count="72">
        <s v="Bhuiyan, Aaron"/>
        <s v="Vacant"/>
        <s v="Anderson, Akosua"/>
        <s v="Andrade, Nazedul"/>
        <s v="Bajrami, Abdullah"/>
        <s v="Baro, Yusuf"/>
        <s v="Barua, Zain"/>
        <s v="Bershan, Samuel"/>
        <s v="Bertolotti, Gavin"/>
        <s v="Bhandari, Abdul"/>
        <s v="Biswas, Max"/>
        <s v="Bulchandani, Akheem"/>
        <s v="Cando, Asher"/>
        <s v="Chand, John"/>
        <s v="Cheema, Miguel"/>
        <s v="Chen, Gadil"/>
        <s v="Chikovani, Rafael"/>
        <s v="Cumbe, Nathali"/>
        <s v="Davidov, Yingying"/>
        <s v="Feng, Hao Ren"/>
        <s v="Figueroa, Sudipta"/>
        <s v="Flores, Abdullah"/>
        <s v="Gao, Adam"/>
        <s v="Gayle, David"/>
        <s v="Guan, Wolfe"/>
        <s v="He, Elvis"/>
        <s v="Hua, Victor"/>
        <s v="Huang, Veronica"/>
        <s v="Igua, Leslie"/>
        <s v="Isabella, Emely"/>
        <s v="Jacques, Ashley"/>
        <s v="Jahmi, Yamina"/>
        <s v="Jogani, Huiying"/>
        <s v="Joseph, Huiying"/>
        <s v="Kazi, Iqra"/>
        <s v="Kemelman, Danielle"/>
        <s v="Khaim, Victoria"/>
        <s v="Khan, Jing Wen"/>
        <s v="Khanna, Ting Ting"/>
        <s v="Kobzarenko, Qetsiyah"/>
        <s v="Kumar, Yllana"/>
        <s v="Lao, Rebecca"/>
        <s v="Lavi, Jose"/>
        <s v="Lee, George"/>
        <s v="Lei, Wei Bin"/>
        <s v="Leung, Andres"/>
        <s v="Li, Ndeye"/>
        <s v="Lian, Fechar"/>
        <s v="Liang, Romel"/>
        <s v="Lieberman, Bellamy"/>
        <s v="Lin, Shirley"/>
        <s v="Louadah, Joel"/>
        <s v="Martin, Laura"/>
        <s v="Mathur, Shadman"/>
        <s v="Mei, Amanda"/>
        <s v="Moon, Prokhor"/>
        <s v="Nabatian, David"/>
        <s v="Nguyen, Janet"/>
        <s v="Patel, Andy"/>
        <s v="Petillo, Patrycja"/>
        <s v="Qasim, Xu"/>
        <s v="Quizhpe, Kristen"/>
        <s v="Romero, Muhammad"/>
        <s v="Rios, Syed"/>
        <s v="Rowe, Muqsiteen"/>
        <s v="Ruan, Anjali"/>
        <s v="Sanghavi, Fidencio"/>
        <s v="Sanoulis, Denzel"/>
        <s v="Santos, Stefan"/>
        <s v="Schwartz, Aminata"/>
        <s v="Shankar, Hillary"/>
        <s v="Shemesh, Kevin"/>
      </sharedItems>
    </cacheField>
    <cacheField name="Employee Id" numFmtId="0">
      <sharedItems containsMixedTypes="1" containsNumber="1" containsInteger="1" minValue="1185463" maxValue="9886381" count="72">
        <n v="2206493"/>
        <s v="Vacant"/>
        <n v="1185463"/>
        <n v="1365738"/>
        <n v="1534820"/>
        <n v="1563356"/>
        <n v="1618548"/>
        <n v="1731520"/>
        <n v="1817452"/>
        <n v="1976625"/>
        <n v="2260929"/>
        <n v="2544715"/>
        <n v="2779782"/>
        <n v="2964540"/>
        <n v="3386954"/>
        <n v="3399129"/>
        <n v="3560203"/>
        <n v="3815904"/>
        <n v="3940809"/>
        <n v="3949158"/>
        <n v="4083848"/>
        <n v="4140234"/>
        <n v="4363461"/>
        <n v="4487721"/>
        <n v="4682694"/>
        <n v="4697834"/>
        <n v="4750210"/>
        <n v="4795506"/>
        <n v="4814734"/>
        <n v="4840103"/>
        <n v="4971553"/>
        <n v="5033643"/>
        <n v="5161953"/>
        <n v="5284637"/>
        <n v="5320193"/>
        <n v="5360868"/>
        <n v="5369503"/>
        <n v="5606287"/>
        <n v="5610062"/>
        <n v="5857397"/>
        <n v="5937943"/>
        <n v="5992705"/>
        <n v="6182382"/>
        <n v="6191433"/>
        <n v="6349261"/>
        <n v="6540916"/>
        <n v="6584356"/>
        <n v="6606821"/>
        <n v="6669387"/>
        <n v="6768299"/>
        <n v="6878675"/>
        <n v="7068036"/>
        <n v="7151567"/>
        <n v="7158061"/>
        <n v="7481703"/>
        <n v="7684611"/>
        <n v="7777919"/>
        <n v="7839723"/>
        <n v="8406505"/>
        <n v="8694735"/>
        <n v="8723688"/>
        <n v="8841428"/>
        <n v="9015512"/>
        <n v="9072661"/>
        <n v="9078679"/>
        <n v="9238859"/>
        <n v="9246666"/>
        <n v="9495233"/>
        <n v="9599390"/>
        <n v="9785047"/>
        <n v="9791948"/>
        <n v="9886381"/>
      </sharedItems>
    </cacheField>
    <cacheField name="Salary as of 06/28/22" numFmtId="166">
      <sharedItems containsMixedTypes="1" containsNumber="1" minValue="41554.187361475633" maxValue="89748.843404155748"/>
    </cacheField>
    <cacheField name="Increase Before  FY YY" numFmtId="14">
      <sharedItems/>
    </cacheField>
    <cacheField name="Salary Beginning FY YY" numFmtId="166">
      <sharedItems containsSemiMixedTypes="0" containsString="0" containsNumber="1" minValue="42800.812982319905" maxValue="99968.854654944385"/>
    </cacheField>
    <cacheField name="Dummy 1" numFmtId="0">
      <sharedItems containsNonDate="0" containsString="0" containsBlank="1"/>
    </cacheField>
    <cacheField name="Budget Salary Increase During FY" numFmtId="9">
      <sharedItems containsNonDate="0" containsString="0" containsBlank="1"/>
    </cacheField>
    <cacheField name="Budget Salary End of FY" numFmtId="166">
      <sharedItems containsSemiMixedTypes="0" containsString="0" containsNumber="1" minValue="44512.845501612705" maxValue="103967.60884114217"/>
    </cacheField>
    <cacheField name="Budget Override Start Date" numFmtId="14">
      <sharedItems containsNonDate="0" containsDate="1" containsString="0" containsBlank="1" minDate="2023-06-01T00:00:00" maxDate="2023-06-02T00:00:00"/>
    </cacheField>
    <cacheField name="Budget Start Date" numFmtId="14">
      <sharedItems containsSemiMixedTypes="0" containsNonDate="0" containsDate="1" containsString="0" minDate="2022-07-01T00:00:00" maxDate="2023-06-02T00:00:00"/>
    </cacheField>
    <cacheField name="Budget Override Increase Date" numFmtId="14">
      <sharedItems containsNonDate="0" containsDate="1" containsString="0" containsBlank="1" minDate="2022-12-15T00:00:00" maxDate="2023-06-16T00:00:00"/>
    </cacheField>
    <cacheField name="Budget Increase Date" numFmtId="14">
      <sharedItems containsDate="1" containsMixedTypes="1" minDate="2022-07-07T00:00:00" maxDate="2023-06-29T00:00:00" count="67">
        <d v="2022-12-11T00:00:00"/>
        <s v=""/>
        <d v="2023-01-23T00:00:00"/>
        <d v="2023-01-16T00:00:00"/>
        <d v="2022-09-22T00:00:00"/>
        <d v="2023-06-15T00:00:00"/>
        <d v="2023-01-10T00:00:00"/>
        <d v="2022-12-15T00:00:00"/>
        <d v="2022-10-23T00:00:00"/>
        <d v="2023-06-02T00:00:00"/>
        <d v="2023-03-04T00:00:00"/>
        <d v="2022-07-07T00:00:00"/>
        <d v="2023-02-25T00:00:00"/>
        <d v="2023-01-31T00:00:00"/>
        <d v="2022-09-30T00:00:00"/>
        <d v="2023-04-05T00:00:00"/>
        <d v="2023-01-03T00:00:00"/>
        <d v="2023-04-06T00:00:00"/>
        <d v="2023-04-11T00:00:00"/>
        <d v="2022-10-10T00:00:00"/>
        <d v="2022-08-06T00:00:00"/>
        <d v="2023-06-28T00:00:00"/>
        <d v="2022-12-29T00:00:00"/>
        <d v="2022-09-16T00:00:00"/>
        <d v="2023-05-30T00:00:00"/>
        <d v="2022-11-30T00:00:00"/>
        <d v="2023-02-17T00:00:00"/>
        <d v="2022-08-11T00:00:00"/>
        <d v="2022-09-23T00:00:00"/>
        <d v="2023-03-10T00:00:00"/>
        <d v="2023-04-07T00:00:00"/>
        <d v="2022-09-18T00:00:00"/>
        <d v="2023-05-21T00:00:00"/>
        <d v="2022-12-22T00:00:00"/>
        <d v="2023-02-10T00:00:00"/>
        <d v="2023-05-13T00:00:00"/>
        <d v="2022-10-14T00:00:00"/>
        <d v="2023-01-11T00:00:00"/>
        <d v="2023-05-23T00:00:00"/>
        <d v="2022-08-24T00:00:00"/>
        <d v="2023-04-04T00:00:00"/>
        <d v="2022-07-15T00:00:00"/>
        <d v="2022-09-08T00:00:00"/>
        <d v="2023-06-10T00:00:00"/>
        <d v="2023-06-23T00:00:00"/>
        <d v="2023-02-23T00:00:00"/>
        <d v="2022-10-29T00:00:00"/>
        <d v="2023-01-08T00:00:00"/>
        <d v="2022-09-13T00:00:00"/>
        <d v="2023-01-30T00:00:00"/>
        <d v="2022-07-19T00:00:00"/>
        <d v="2022-08-13T00:00:00"/>
        <d v="2023-04-10T00:00:00"/>
        <d v="2022-12-24T00:00:00"/>
        <d v="2023-05-29T00:00:00"/>
        <d v="2022-07-28T00:00:00"/>
        <d v="2022-08-09T00:00:00"/>
        <d v="2023-02-21T00:00:00"/>
        <d v="2023-04-17T00:00:00"/>
        <d v="2023-04-27T00:00:00"/>
        <d v="2022-11-04T00:00:00"/>
        <d v="2022-10-28T00:00:00"/>
        <d v="2022-12-27T00:00:00"/>
        <d v="2022-11-18T00:00:00"/>
        <d v="2023-01-25T00:00:00"/>
        <d v="2022-07-21T00:00:00"/>
        <d v="2022-08-27T00:00:00"/>
      </sharedItems>
    </cacheField>
    <cacheField name="Budget Override End Date" numFmtId="0">
      <sharedItems containsNonDate="0" containsDate="1" containsString="0" containsBlank="1" minDate="2022-12-29T00:00:00" maxDate="2023-06-01T00:00:00"/>
    </cacheField>
    <cacheField name="Budget End Date" numFmtId="14">
      <sharedItems containsSemiMixedTypes="0" containsNonDate="0" containsDate="1" containsString="0" minDate="2022-12-29T00:00:00" maxDate="2023-07-01T00:00:00"/>
    </cacheField>
    <cacheField name="Budget Days Before Increase" numFmtId="0">
      <sharedItems containsSemiMixedTypes="0" containsString="0" containsNumber="1" containsInteger="1" minValue="4" maxValue="258"/>
    </cacheField>
    <cacheField name="Budget Days After Increase" numFmtId="0">
      <sharedItems containsSemiMixedTypes="0" containsString="0" containsNumber="1" containsInteger="1" minValue="-7" maxValue="249"/>
    </cacheField>
    <cacheField name="Budget Total Days" numFmtId="0">
      <sharedItems containsSemiMixedTypes="0" containsString="0" containsNumber="1" containsInteger="1" minValue="22" maxValue="261"/>
    </cacheField>
    <cacheField name="Budget Annualized Rate for the FY" numFmtId="166">
      <sharedItems containsSemiMixedTypes="0" containsString="0" containsNumber="1" minValue="43522.359254818788" maxValue="99968.8546549444"/>
    </cacheField>
    <cacheField name="Budget Expenses for the FY" numFmtId="166">
      <sharedItems containsSemiMixedTypes="0" containsString="0" containsNumber="1" minValue="5372.2815767287839" maxValue="94339.72025672358"/>
    </cacheField>
    <cacheField name="Budget Expenses Balance of FY" numFmtId="166">
      <sharedItems containsSemiMixedTypes="0" containsString="0" containsNumber="1" minValue="0" maxValue="75455.419030743462"/>
    </cacheField>
    <cacheField name="Dummy 2" numFmtId="0">
      <sharedItems containsNonDate="0" containsString="0" containsBlank="1"/>
    </cacheField>
    <cacheField name="Actual Salary Increase During FY" numFmtId="9">
      <sharedItems containsString="0" containsBlank="1" containsNumber="1" minValue="0.04" maxValue="0.06"/>
    </cacheField>
    <cacheField name="Actual Salary End FY YY" numFmtId="166">
      <sharedItems containsSemiMixedTypes="0" containsString="0" containsNumber="1" minValue="44512.845501612705" maxValue="103967.60884114217"/>
    </cacheField>
    <cacheField name="Actual Override Start Date" numFmtId="0">
      <sharedItems containsNonDate="0" containsDate="1" containsString="0" containsBlank="1" minDate="2022-07-05T00:00:00" maxDate="2022-10-04T00:00:00"/>
    </cacheField>
    <cacheField name="Actual Start Date" numFmtId="14">
      <sharedItems containsSemiMixedTypes="0" containsNonDate="0" containsDate="1" containsString="0" minDate="2022-07-01T00:00:00" maxDate="2022-10-04T00:00:00"/>
    </cacheField>
    <cacheField name="Actual Override Increase Date" numFmtId="0">
      <sharedItems containsNonDate="0" containsDate="1" containsString="0" containsBlank="1" minDate="2022-10-10T00:00:00" maxDate="2022-11-02T00:00:00"/>
    </cacheField>
    <cacheField name="Actual Increase Date" numFmtId="14">
      <sharedItems containsDate="1" containsMixedTypes="1" minDate="2022-07-07T00:00:00" maxDate="2023-06-29T00:00:00"/>
    </cacheField>
    <cacheField name="Actual Override End Date" numFmtId="14">
      <sharedItems containsNonDate="0" containsString="0" containsBlank="1"/>
    </cacheField>
    <cacheField name="Actual End Date" numFmtId="14">
      <sharedItems containsSemiMixedTypes="0" containsNonDate="0" containsDate="1" containsString="0" minDate="2023-06-30T00:00:00" maxDate="2023-07-01T00:00:00"/>
    </cacheField>
    <cacheField name="Actual Days Before Increase" numFmtId="0">
      <sharedItems containsSemiMixedTypes="0" containsString="0" containsNumber="1" containsInteger="1" minValue="4" maxValue="258"/>
    </cacheField>
    <cacheField name="Actual Days After Increase" numFmtId="0">
      <sharedItems containsSemiMixedTypes="0" containsString="0" containsNumber="1" containsInteger="1" minValue="0" maxValue="257"/>
    </cacheField>
    <cacheField name="Actual Total Days" numFmtId="0">
      <sharedItems containsSemiMixedTypes="0" containsString="0" containsNumber="1" containsInteger="1" minValue="195" maxValue="261"/>
    </cacheField>
    <cacheField name="Actual Annualized Rate for the FY" numFmtId="166">
      <sharedItems containsSemiMixedTypes="0" containsString="0" containsNumber="1" minValue="43522.359254818788" maxValue="99968.8546549444"/>
    </cacheField>
    <cacheField name="Actual Expense for the FY" numFmtId="166">
      <sharedItems containsSemiMixedTypes="0" containsString="0" containsNumber="1" minValue="33422.757587074564" maxValue="94339.72025672358"/>
    </cacheField>
    <cacheField name="Actual Expenses Balance FY" numFmtId="166">
      <sharedItems containsSemiMixedTypes="0" containsString="0" containsNumber="1" minValue="8356.8177378506607" maxValue="75455.419030743462"/>
    </cacheField>
    <cacheField name="Dummy 3" numFmtId="0">
      <sharedItems containsNonDate="0" containsString="0" containsBlank="1"/>
    </cacheField>
    <cacheField name="Rate Variance" numFmtId="166">
      <sharedItems containsSemiMixedTypes="0" containsString="0" containsNumber="1" minValue="0" maxValue="2191.6484487713315"/>
    </cacheField>
    <cacheField name="Usage (Vacancy) Variance" numFmtId="166">
      <sharedItems containsSemiMixedTypes="0" containsString="0" containsNumber="1" minValue="-15895.785166169939" maxValue="58362.513492644517"/>
    </cacheField>
    <cacheField name="Total Variance" numFmtId="166">
      <sharedItems containsSemiMixedTypes="0" containsString="0" containsNumber="1" minValue="-15751.333908859422" maxValue="60270.881390169001"/>
    </cacheField>
    <cacheField name="Total Variance2" numFmtId="166">
      <sharedItems containsSemiMixedTypes="0" containsString="0" containsNumber="1" minValue="-39115.235037544451" maxValue="43552.953478420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s v="Dept 8"/>
    <x v="0"/>
    <x v="0"/>
    <n v="54049.903506884861"/>
    <s v="No"/>
    <n v="54049.903506884861"/>
    <m/>
    <m/>
    <n v="56211.899647160259"/>
    <m/>
    <d v="2022-07-01T00:00:00"/>
    <m/>
    <x v="0"/>
    <m/>
    <d v="2023-06-30T00:00:00"/>
    <n v="116"/>
    <n v="145"/>
    <n v="261"/>
    <n v="55251.012473704526"/>
    <n v="55251.012473704526"/>
    <n v="10553.191887781046"/>
    <m/>
    <m/>
    <n v="56211.899647160259"/>
    <m/>
    <d v="2022-07-01T00:00:00"/>
    <m/>
    <d v="2022-12-11T00:00:00"/>
    <m/>
    <d v="2023-06-30T00:00:00"/>
    <n v="116"/>
    <n v="145"/>
    <n v="261"/>
    <n v="55251.012473704526"/>
    <n v="55251.012473704526"/>
    <n v="10553.191887781046"/>
    <m/>
    <n v="0"/>
    <n v="0"/>
    <n v="0"/>
    <n v="0"/>
  </r>
  <r>
    <x v="1"/>
    <s v="Dept 8"/>
    <x v="1"/>
    <x v="1"/>
    <s v=""/>
    <s v="No"/>
    <n v="56644.13241433927"/>
    <m/>
    <m/>
    <n v="58909.897710912846"/>
    <m/>
    <d v="2022-09-29T00:00:00"/>
    <m/>
    <x v="1"/>
    <m/>
    <d v="2023-06-30T00:00:00"/>
    <n v="197"/>
    <n v="0"/>
    <n v="197"/>
    <n v="56644.13241433927"/>
    <n v="42754.383469826957"/>
    <n v="42754.383469826957"/>
    <m/>
    <n v="0.05"/>
    <n v="59476.339035056233"/>
    <m/>
    <d v="2022-09-29T00:00:00"/>
    <m/>
    <s v=""/>
    <m/>
    <d v="2023-06-30T00:00:00"/>
    <n v="197"/>
    <n v="0"/>
    <n v="197"/>
    <n v="56644.13241433927"/>
    <n v="42754.383469826957"/>
    <n v="42754.383469826957"/>
    <m/>
    <n v="0"/>
    <n v="0"/>
    <n v="0"/>
    <n v="0"/>
  </r>
  <r>
    <x v="2"/>
    <s v="Dept 14"/>
    <x v="2"/>
    <x v="2"/>
    <n v="51989.131597492778"/>
    <s v="No"/>
    <n v="51989.131597492778"/>
    <m/>
    <m/>
    <n v="54068.696861392491"/>
    <m/>
    <d v="2022-07-01T00:00:00"/>
    <m/>
    <x v="2"/>
    <m/>
    <d v="2023-06-30T00:00:00"/>
    <n v="146"/>
    <n v="115"/>
    <n v="261"/>
    <n v="52905.415142889207"/>
    <n v="52905.415142889207"/>
    <n v="10150.828146391694"/>
    <m/>
    <n v="0.05"/>
    <n v="54588.588177367419"/>
    <m/>
    <d v="2022-07-01T00:00:00"/>
    <m/>
    <d v="2023-01-23T00:00:00"/>
    <m/>
    <d v="2023-06-30T00:00:00"/>
    <n v="146"/>
    <n v="115"/>
    <n v="261"/>
    <n v="53134.486029238309"/>
    <n v="53134.486029238309"/>
    <n v="10248.43226318392"/>
    <m/>
    <n v="229.07088634910178"/>
    <n v="0"/>
    <n v="229.07088634910178"/>
    <n v="97.604116792226705"/>
  </r>
  <r>
    <x v="3"/>
    <s v="Dept 5"/>
    <x v="3"/>
    <x v="3"/>
    <n v="49972.587920321836"/>
    <s v="Yes"/>
    <n v="51471.765557931489"/>
    <m/>
    <m/>
    <n v="53530.636180248752"/>
    <m/>
    <d v="2022-07-01T00:00:00"/>
    <m/>
    <x v="3"/>
    <m/>
    <d v="2023-06-30T00:00:00"/>
    <n v="141"/>
    <n v="120"/>
    <n v="261"/>
    <n v="52418.372740606093"/>
    <n v="52418.372740606093"/>
    <n v="10049.812922728692"/>
    <m/>
    <n v="0.05"/>
    <n v="54045.353835828064"/>
    <m/>
    <d v="2022-07-01T00:00:00"/>
    <m/>
    <d v="2023-01-16T00:00:00"/>
    <m/>
    <d v="2023-06-30T00:00:00"/>
    <n v="141"/>
    <n v="120"/>
    <n v="261"/>
    <n v="52655.024536274745"/>
    <n v="52655.024536274745"/>
    <n v="10146.445739293391"/>
    <m/>
    <n v="236.65179566865118"/>
    <n v="0"/>
    <n v="236.65179566865118"/>
    <n v="96.632816564699169"/>
  </r>
  <r>
    <x v="4"/>
    <s v="Dept 12"/>
    <x v="4"/>
    <x v="4"/>
    <n v="49871.398122626713"/>
    <s v="No"/>
    <n v="49871.398122626713"/>
    <m/>
    <m/>
    <n v="51866.25404753178"/>
    <m/>
    <d v="2022-07-01T00:00:00"/>
    <m/>
    <x v="4"/>
    <m/>
    <d v="2023-06-30T00:00:00"/>
    <n v="59"/>
    <n v="202"/>
    <n v="261"/>
    <n v="51415.309604737151"/>
    <n v="51415.309604737151"/>
    <n v="9737.3427139044325"/>
    <m/>
    <n v="0.05"/>
    <n v="52364.968028758049"/>
    <m/>
    <d v="2022-07-01T00:00:00"/>
    <m/>
    <d v="2022-09-22T00:00:00"/>
    <m/>
    <d v="2023-06-30T00:00:00"/>
    <n v="59"/>
    <n v="202"/>
    <n v="261"/>
    <n v="51801.287475264762"/>
    <n v="51801.287475264762"/>
    <n v="9830.9710092304376"/>
    <m/>
    <n v="385.97787052761123"/>
    <n v="0"/>
    <n v="385.97787052761123"/>
    <n v="93.628295326005173"/>
  </r>
  <r>
    <x v="5"/>
    <s v="Dept 4"/>
    <x v="5"/>
    <x v="5"/>
    <n v="60557.193946991174"/>
    <s v="Yes"/>
    <n v="62373.909765400909"/>
    <m/>
    <m/>
    <n v="64868.866156016949"/>
    <d v="2023-06-01T00:00:00"/>
    <d v="2023-06-01T00:00:00"/>
    <d v="2023-06-15T00:00:00"/>
    <x v="5"/>
    <m/>
    <d v="2023-06-30T00:00:00"/>
    <n v="10"/>
    <n v="12"/>
    <n v="22"/>
    <n v="63734.7950693733"/>
    <n v="5372.2815767287839"/>
    <n v="5372.2815767287839"/>
    <m/>
    <n v="0.06"/>
    <n v="66116.344351324966"/>
    <m/>
    <d v="2022-07-01T00:00:00"/>
    <m/>
    <d v="2022-08-17T00:00:00"/>
    <m/>
    <d v="2023-06-30T00:00:00"/>
    <n v="33"/>
    <n v="228"/>
    <n v="261"/>
    <n v="65643.162966897784"/>
    <n v="65643.162966897784"/>
    <n v="12412.647023811967"/>
    <m/>
    <n v="1908.3678975244839"/>
    <n v="58362.513492644517"/>
    <n v="60270.881390169001"/>
    <n v="7040.3654470831834"/>
  </r>
  <r>
    <x v="6"/>
    <s v="Dept 7"/>
    <x v="6"/>
    <x v="6"/>
    <n v="79262.386964937265"/>
    <s v="Yes"/>
    <n v="81640.258573885381"/>
    <m/>
    <m/>
    <n v="84905.868916840802"/>
    <m/>
    <d v="2022-07-01T00:00:00"/>
    <m/>
    <x v="6"/>
    <d v="2023-01-01T00:00:00"/>
    <d v="2023-01-01T00:00:00"/>
    <n v="137"/>
    <n v="-7"/>
    <n v="130"/>
    <n v="81464.418016957017"/>
    <n v="40576.146904997746"/>
    <n v="0"/>
    <m/>
    <m/>
    <n v="84905.868916840802"/>
    <m/>
    <d v="2022-07-01T00:00:00"/>
    <m/>
    <d v="2023-01-10T00:00:00"/>
    <m/>
    <d v="2023-06-30T00:00:00"/>
    <n v="137"/>
    <n v="124"/>
    <n v="261"/>
    <n v="83191.736284714774"/>
    <n v="83191.736284714774"/>
    <n v="15940.182287069731"/>
    <m/>
    <n v="1727.318267757757"/>
    <n v="40888.271111959271"/>
    <n v="42615.589379717028"/>
    <n v="15940.182287069731"/>
  </r>
  <r>
    <x v="7"/>
    <s v="Dept 3"/>
    <x v="7"/>
    <x v="7"/>
    <n v="85921.924388323634"/>
    <s v="Yes"/>
    <n v="88499.582119973347"/>
    <m/>
    <m/>
    <n v="92039.565404772278"/>
    <m/>
    <d v="2022-07-01T00:00:00"/>
    <d v="2022-12-15T00:00:00"/>
    <x v="7"/>
    <d v="2023-01-01T00:00:00"/>
    <d v="2023-01-01T00:00:00"/>
    <n v="119"/>
    <n v="12"/>
    <n v="131"/>
    <n v="88823.855397970197"/>
    <n v="44582.088341509938"/>
    <n v="0"/>
    <m/>
    <m/>
    <n v="92039.565404772278"/>
    <m/>
    <d v="2022-07-01T00:00:00"/>
    <m/>
    <d v="2023-01-02T00:00:00"/>
    <m/>
    <d v="2023-06-30T00:00:00"/>
    <n v="131"/>
    <n v="130"/>
    <n v="261"/>
    <n v="90262.792185198865"/>
    <n v="90262.792185198865"/>
    <n v="17279.458639210123"/>
    <m/>
    <n v="1438.9367872286675"/>
    <n v="44241.767056460259"/>
    <n v="45680.703843688927"/>
    <n v="17279.458639210123"/>
  </r>
  <r>
    <x v="8"/>
    <s v="Dept 11"/>
    <x v="8"/>
    <x v="8"/>
    <n v="75399.03799363377"/>
    <s v="Yes"/>
    <n v="77661.009133442785"/>
    <m/>
    <m/>
    <n v="80767.449498780494"/>
    <m/>
    <d v="2022-07-01T00:00:00"/>
    <m/>
    <x v="8"/>
    <m/>
    <d v="2023-06-30T00:00:00"/>
    <n v="81"/>
    <n v="180"/>
    <n v="261"/>
    <n v="79803.381799192925"/>
    <n v="79803.381799192925"/>
    <n v="15163.237645364919"/>
    <m/>
    <m/>
    <n v="80767.449498780494"/>
    <m/>
    <d v="2022-07-01T00:00:00"/>
    <m/>
    <d v="2022-10-23T00:00:00"/>
    <m/>
    <d v="2023-06-30T00:00:00"/>
    <n v="81"/>
    <n v="180"/>
    <n v="261"/>
    <n v="79803.381799192925"/>
    <n v="79803.381799192925"/>
    <n v="15163.237645364919"/>
    <m/>
    <n v="0"/>
    <n v="0"/>
    <n v="0"/>
    <n v="0"/>
  </r>
  <r>
    <x v="9"/>
    <s v="Dept 6"/>
    <x v="9"/>
    <x v="9"/>
    <n v="68850.314571758063"/>
    <s v="No"/>
    <n v="68850.314571758063"/>
    <m/>
    <m/>
    <n v="71604.327154628394"/>
    <m/>
    <d v="2022-07-01T00:00:00"/>
    <m/>
    <x v="9"/>
    <m/>
    <d v="2023-06-30T00:00:00"/>
    <n v="240"/>
    <n v="21"/>
    <n v="261"/>
    <n v="69071.901791069467"/>
    <n v="69071.901791069467"/>
    <n v="13147.508345810045"/>
    <m/>
    <m/>
    <n v="71604.327154628394"/>
    <m/>
    <d v="2022-07-01T00:00:00"/>
    <m/>
    <d v="2023-06-02T00:00:00"/>
    <m/>
    <d v="2023-06-30T00:00:00"/>
    <n v="240"/>
    <n v="21"/>
    <n v="261"/>
    <n v="69071.901791069467"/>
    <n v="69071.901791069467"/>
    <n v="13147.508345810045"/>
    <m/>
    <n v="0"/>
    <n v="0"/>
    <n v="0"/>
    <n v="0"/>
  </r>
  <r>
    <x v="10"/>
    <s v="Dept 9"/>
    <x v="1"/>
    <x v="1"/>
    <s v=""/>
    <s v="No"/>
    <n v="65707.056981894959"/>
    <m/>
    <m/>
    <n v="68335.339261170753"/>
    <d v="2023-06-01T00:00:00"/>
    <d v="2023-06-01T00:00:00"/>
    <m/>
    <x v="1"/>
    <m/>
    <d v="2023-06-30T00:00:00"/>
    <n v="22"/>
    <n v="0"/>
    <n v="22"/>
    <n v="65707.056981894959"/>
    <n v="5538.5258758685404"/>
    <n v="5538.5258758685404"/>
    <m/>
    <n v="0.05"/>
    <n v="68992.409830989709"/>
    <d v="2022-10-03T00:00:00"/>
    <d v="2022-10-03T00:00:00"/>
    <m/>
    <s v=""/>
    <m/>
    <d v="2023-06-30T00:00:00"/>
    <n v="195"/>
    <n v="0"/>
    <n v="195"/>
    <n v="65707.056981894959"/>
    <n v="49091.479354289339"/>
    <n v="49091.479354289339"/>
    <m/>
    <n v="0"/>
    <n v="43552.953478420801"/>
    <n v="43552.953478420801"/>
    <n v="43552.953478420801"/>
  </r>
  <r>
    <x v="11"/>
    <s v="Dept 2"/>
    <x v="10"/>
    <x v="10"/>
    <n v="82026.203262027353"/>
    <s v="Yes"/>
    <n v="84486.989359888175"/>
    <m/>
    <m/>
    <n v="87866.468934283708"/>
    <m/>
    <d v="2022-07-01T00:00:00"/>
    <m/>
    <x v="10"/>
    <m/>
    <d v="2023-06-30T00:00:00"/>
    <n v="176"/>
    <n v="85"/>
    <n v="261"/>
    <n v="85587.586156147256"/>
    <n v="85587.586156147256"/>
    <n v="16496.003746283146"/>
    <m/>
    <m/>
    <n v="87866.468934283708"/>
    <m/>
    <d v="2022-07-01T00:00:00"/>
    <m/>
    <d v="2023-03-04T00:00:00"/>
    <m/>
    <d v="2023-06-30T00:00:00"/>
    <n v="176"/>
    <n v="85"/>
    <n v="261"/>
    <n v="85587.586156147256"/>
    <n v="85587.586156147256"/>
    <n v="16496.003746283146"/>
    <m/>
    <n v="0"/>
    <n v="0"/>
    <n v="0"/>
    <n v="0"/>
  </r>
  <r>
    <x v="12"/>
    <s v="Dept 1"/>
    <x v="11"/>
    <x v="11"/>
    <n v="43963.486619237963"/>
    <s v="Yes"/>
    <n v="45282.3912178151"/>
    <m/>
    <m/>
    <n v="47093.686866527707"/>
    <m/>
    <d v="2022-07-01T00:00:00"/>
    <m/>
    <x v="11"/>
    <d v="2023-01-03T00:00:00"/>
    <d v="2023-01-03T00:00:00"/>
    <n v="4"/>
    <n v="129"/>
    <n v="133"/>
    <n v="47039.21180942357"/>
    <n v="23970.173067637297"/>
    <n v="0"/>
    <m/>
    <n v="0.06"/>
    <n v="47999.334690884003"/>
    <m/>
    <d v="2022-07-01T00:00:00"/>
    <m/>
    <d v="2022-07-07T00:00:00"/>
    <m/>
    <d v="2023-06-30T00:00:00"/>
    <n v="4"/>
    <n v="257"/>
    <n v="261"/>
    <n v="47957.695710453831"/>
    <n v="47957.695710453831"/>
    <n v="9011.369348096996"/>
    <m/>
    <n v="918.48390103026031"/>
    <n v="23069.038741786273"/>
    <n v="23987.522642816533"/>
    <n v="9011.369348096996"/>
  </r>
  <r>
    <x v="13"/>
    <s v="Dept 10"/>
    <x v="12"/>
    <x v="12"/>
    <n v="85969.511225440612"/>
    <s v="Yes"/>
    <n v="88548.596562203835"/>
    <m/>
    <m/>
    <n v="92090.540424691993"/>
    <m/>
    <d v="2022-07-01T00:00:00"/>
    <m/>
    <x v="12"/>
    <d v="2023-03-30T00:00:00"/>
    <d v="2023-03-30T00:00:00"/>
    <n v="171"/>
    <n v="24"/>
    <n v="195"/>
    <n v="88984.52811451006"/>
    <n v="66482.693418886833"/>
    <n v="0"/>
    <m/>
    <m/>
    <n v="92090.540424691993"/>
    <m/>
    <d v="2022-07-01T00:00:00"/>
    <m/>
    <d v="2023-02-25T00:00:00"/>
    <m/>
    <d v="2023-06-30T00:00:00"/>
    <n v="171"/>
    <n v="90"/>
    <n v="261"/>
    <n v="89769.956514785954"/>
    <n v="89769.956514785954"/>
    <n v="17289.028662106924"/>
    <m/>
    <n v="785.42840027589409"/>
    <n v="22501.834695623227"/>
    <n v="23287.263095899121"/>
    <n v="17289.028662106924"/>
  </r>
  <r>
    <x v="14"/>
    <s v="Dept 13"/>
    <x v="13"/>
    <x v="13"/>
    <n v="55749.884338851087"/>
    <s v="Yes"/>
    <n v="57422.380869016619"/>
    <m/>
    <m/>
    <n v="59719.276103777287"/>
    <m/>
    <d v="2022-07-01T00:00:00"/>
    <m/>
    <x v="13"/>
    <d v="2023-04-01T00:00:00"/>
    <d v="2023-04-01T00:00:00"/>
    <n v="152"/>
    <n v="44"/>
    <n v="196"/>
    <n v="57938.010411513904"/>
    <n v="43509.003987190517"/>
    <n v="0"/>
    <m/>
    <m/>
    <n v="59719.276103777287"/>
    <m/>
    <d v="2022-07-01T00:00:00"/>
    <m/>
    <d v="2023-01-31T00:00:00"/>
    <m/>
    <d v="2023-06-30T00:00:00"/>
    <n v="152"/>
    <n v="109"/>
    <n v="261"/>
    <n v="58381.620641387934"/>
    <n v="58381.620641387934"/>
    <n v="11211.66486239497"/>
    <m/>
    <n v="443.61022987402976"/>
    <n v="14429.006424323386"/>
    <n v="14872.616654197416"/>
    <n v="11211.66486239497"/>
  </r>
  <r>
    <x v="15"/>
    <s v="Dept 8"/>
    <x v="14"/>
    <x v="14"/>
    <n v="48382.873099681347"/>
    <s v="Yes"/>
    <n v="49834.35929267179"/>
    <m/>
    <m/>
    <n v="51827.733664378662"/>
    <m/>
    <d v="2022-07-01T00:00:00"/>
    <m/>
    <x v="14"/>
    <m/>
    <d v="2023-06-30T00:00:00"/>
    <n v="65"/>
    <n v="196"/>
    <n v="261"/>
    <n v="51331.299433876957"/>
    <n v="51331.299433876957"/>
    <n v="9730.1109178335428"/>
    <m/>
    <m/>
    <n v="51827.733664378662"/>
    <m/>
    <d v="2022-07-01T00:00:00"/>
    <m/>
    <d v="2022-09-30T00:00:00"/>
    <m/>
    <d v="2023-06-30T00:00:00"/>
    <n v="65"/>
    <n v="196"/>
    <n v="261"/>
    <n v="51331.299433876957"/>
    <n v="51331.299433876957"/>
    <n v="9730.1109178335428"/>
    <m/>
    <n v="0"/>
    <n v="0"/>
    <n v="0"/>
    <n v="0"/>
  </r>
  <r>
    <x v="16"/>
    <s v="Dept 14"/>
    <x v="15"/>
    <x v="15"/>
    <n v="58013.448483875982"/>
    <s v="Yes"/>
    <n v="59753.851938392261"/>
    <m/>
    <m/>
    <n v="62144.006015927953"/>
    <m/>
    <d v="2022-07-01T00:00:00"/>
    <m/>
    <x v="15"/>
    <m/>
    <d v="2023-06-30T00:00:00"/>
    <n v="198"/>
    <n v="63"/>
    <n v="261"/>
    <n v="60330.785681245703"/>
    <n v="60330.785681245703"/>
    <n v="11666.882355480726"/>
    <m/>
    <n v="0.06"/>
    <n v="63339.083054695795"/>
    <m/>
    <d v="2022-07-01T00:00:00"/>
    <m/>
    <d v="2023-04-05T00:00:00"/>
    <m/>
    <d v="2023-06-30T00:00:00"/>
    <n v="198"/>
    <n v="63"/>
    <n v="261"/>
    <n v="60619.252552672428"/>
    <n v="60619.252552672428"/>
    <n v="11891.245477701508"/>
    <m/>
    <n v="288.46687142672454"/>
    <n v="0"/>
    <n v="288.46687142672454"/>
    <n v="224.36312222078232"/>
  </r>
  <r>
    <x v="17"/>
    <s v="Dept 5"/>
    <x v="16"/>
    <x v="16"/>
    <n v="76801.477439874972"/>
    <s v="Yes"/>
    <n v="79105.521763071229"/>
    <m/>
    <m/>
    <n v="82269.742633594084"/>
    <m/>
    <d v="2022-07-01T00:00:00"/>
    <m/>
    <x v="16"/>
    <m/>
    <d v="2023-06-30T00:00:00"/>
    <n v="132"/>
    <n v="129"/>
    <n v="261"/>
    <n v="80669.447020915861"/>
    <n v="80669.447020915861"/>
    <n v="15445.277352667088"/>
    <m/>
    <m/>
    <n v="82269.742633594084"/>
    <m/>
    <d v="2022-07-01T00:00:00"/>
    <m/>
    <d v="2023-01-03T00:00:00"/>
    <m/>
    <d v="2023-06-30T00:00:00"/>
    <n v="132"/>
    <n v="129"/>
    <n v="261"/>
    <n v="80669.447020915861"/>
    <n v="80669.447020915861"/>
    <n v="15445.277352667088"/>
    <m/>
    <n v="0"/>
    <n v="0"/>
    <n v="0"/>
    <n v="0"/>
  </r>
  <r>
    <x v="18"/>
    <s v="Dept 12"/>
    <x v="17"/>
    <x v="17"/>
    <n v="44173.621818609732"/>
    <s v="Yes"/>
    <n v="45498.830473168025"/>
    <m/>
    <m/>
    <n v="47318.783692094745"/>
    <m/>
    <d v="2022-07-01T00:00:00"/>
    <m/>
    <x v="17"/>
    <m/>
    <d v="2023-06-30T00:00:00"/>
    <n v="199"/>
    <n v="62"/>
    <n v="261"/>
    <n v="45931.15652517361"/>
    <n v="45931.15652517361"/>
    <n v="8883.603068630815"/>
    <m/>
    <m/>
    <n v="47318.783692094745"/>
    <m/>
    <d v="2022-07-01T00:00:00"/>
    <m/>
    <d v="2023-04-06T00:00:00"/>
    <m/>
    <d v="2023-06-30T00:00:00"/>
    <n v="199"/>
    <n v="62"/>
    <n v="261"/>
    <n v="45931.15652517361"/>
    <n v="45931.15652517361"/>
    <n v="8883.603068630815"/>
    <m/>
    <n v="0"/>
    <n v="0"/>
    <n v="0"/>
    <n v="0"/>
  </r>
  <r>
    <x v="19"/>
    <s v="Dept 4"/>
    <x v="18"/>
    <x v="18"/>
    <n v="52879.475273945864"/>
    <s v="Yes"/>
    <n v="54465.859532164242"/>
    <m/>
    <m/>
    <n v="56644.493913450817"/>
    <m/>
    <d v="2022-07-01T00:00:00"/>
    <m/>
    <x v="18"/>
    <m/>
    <d v="2023-06-30T00:00:00"/>
    <n v="202"/>
    <n v="59"/>
    <n v="261"/>
    <n v="54958.347763949329"/>
    <n v="54958.347763949329"/>
    <n v="10634.406903291534"/>
    <m/>
    <m/>
    <n v="56644.493913450817"/>
    <m/>
    <d v="2022-07-01T00:00:00"/>
    <m/>
    <d v="2023-04-11T00:00:00"/>
    <m/>
    <d v="2023-06-30T00:00:00"/>
    <n v="202"/>
    <n v="59"/>
    <n v="261"/>
    <n v="54958.347763949329"/>
    <n v="54958.347763949329"/>
    <n v="10634.406903291534"/>
    <m/>
    <n v="0"/>
    <n v="0"/>
    <n v="0"/>
    <n v="0"/>
  </r>
  <r>
    <x v="20"/>
    <s v="Dept 7"/>
    <x v="19"/>
    <x v="19"/>
    <n v="86821.407646079475"/>
    <s v="Yes"/>
    <n v="89426.04987546186"/>
    <m/>
    <m/>
    <n v="93003.091870480333"/>
    <m/>
    <d v="2022-07-01T00:00:00"/>
    <m/>
    <x v="19"/>
    <m/>
    <d v="2023-06-30T00:00:00"/>
    <n v="71"/>
    <n v="190"/>
    <n v="261"/>
    <n v="92030.026806701353"/>
    <n v="92030.026806701353"/>
    <n v="17460.350581048031"/>
    <m/>
    <n v="0.05"/>
    <n v="93897.352369234955"/>
    <m/>
    <d v="2022-07-01T00:00:00"/>
    <m/>
    <d v="2022-10-10T00:00:00"/>
    <m/>
    <d v="2023-06-30T00:00:00"/>
    <n v="71"/>
    <n v="190"/>
    <n v="261"/>
    <n v="92681.021039511223"/>
    <n v="92681.021039511223"/>
    <n v="17628.238567404263"/>
    <m/>
    <n v="650.99423280986957"/>
    <n v="0"/>
    <n v="650.99423280986957"/>
    <n v="167.88798635623243"/>
  </r>
  <r>
    <x v="21"/>
    <s v="Dept 3"/>
    <x v="20"/>
    <x v="20"/>
    <n v="86557.799160448121"/>
    <s v="Yes"/>
    <n v="89154.533135261561"/>
    <m/>
    <m/>
    <n v="92720.714460672025"/>
    <m/>
    <d v="2022-07-01T00:00:00"/>
    <m/>
    <x v="20"/>
    <m/>
    <d v="2023-06-30T00:00:00"/>
    <n v="26"/>
    <n v="235"/>
    <n v="261"/>
    <n v="92365.462681129226"/>
    <n v="92365.462681129226"/>
    <n v="17407.33719759743"/>
    <m/>
    <m/>
    <n v="92720.714460672025"/>
    <m/>
    <d v="2022-07-01T00:00:00"/>
    <m/>
    <d v="2022-08-06T00:00:00"/>
    <m/>
    <d v="2023-06-30T00:00:00"/>
    <n v="26"/>
    <n v="235"/>
    <n v="261"/>
    <n v="92365.462681129226"/>
    <n v="92365.462681129226"/>
    <n v="17407.33719759743"/>
    <m/>
    <n v="0"/>
    <n v="0"/>
    <n v="0"/>
    <n v="0"/>
  </r>
  <r>
    <x v="22"/>
    <s v="Dept 11"/>
    <x v="21"/>
    <x v="21"/>
    <n v="60876.596203873938"/>
    <s v="No"/>
    <n v="60876.596203873938"/>
    <m/>
    <m/>
    <n v="63311.660052028899"/>
    <m/>
    <d v="2022-07-01T00:00:00"/>
    <m/>
    <x v="21"/>
    <m/>
    <d v="2023-06-30T00:00:00"/>
    <n v="258"/>
    <n v="3"/>
    <n v="261"/>
    <n v="60904.585443507902"/>
    <n v="60904.585443507902"/>
    <n v="11456.928756836352"/>
    <m/>
    <n v="0.04"/>
    <n v="63311.660052028892"/>
    <m/>
    <d v="2022-07-01T00:00:00"/>
    <m/>
    <d v="2023-06-28T00:00:00"/>
    <m/>
    <d v="2023-06-30T00:00:00"/>
    <n v="258"/>
    <n v="3"/>
    <n v="261"/>
    <n v="60904.585443507902"/>
    <n v="60904.585443507902"/>
    <n v="11456.928756836351"/>
    <m/>
    <n v="0"/>
    <n v="0"/>
    <n v="0"/>
    <n v="0"/>
  </r>
  <r>
    <x v="23"/>
    <s v="Dept 6"/>
    <x v="22"/>
    <x v="22"/>
    <n v="72275.926003060493"/>
    <s v="Yes"/>
    <n v="74444.203783152305"/>
    <m/>
    <m/>
    <n v="77421.971934478395"/>
    <m/>
    <d v="2022-07-01T00:00:00"/>
    <m/>
    <x v="22"/>
    <m/>
    <d v="2023-06-30T00:00:00"/>
    <n v="129"/>
    <n v="132"/>
    <n v="261"/>
    <n v="75950.201468880434"/>
    <n v="75950.201468880434"/>
    <n v="14535.159481951883"/>
    <m/>
    <m/>
    <n v="77421.971934478395"/>
    <m/>
    <d v="2022-07-01T00:00:00"/>
    <m/>
    <d v="2022-12-29T00:00:00"/>
    <m/>
    <d v="2023-06-30T00:00:00"/>
    <n v="129"/>
    <n v="132"/>
    <n v="261"/>
    <n v="75950.201468880434"/>
    <n v="75950.201468880434"/>
    <n v="14535.159481951883"/>
    <m/>
    <n v="0"/>
    <n v="0"/>
    <n v="0"/>
    <n v="0"/>
  </r>
  <r>
    <x v="24"/>
    <s v="Dept 9"/>
    <x v="23"/>
    <x v="23"/>
    <n v="74319.469346280952"/>
    <s v="Yes"/>
    <n v="76549.053426669387"/>
    <m/>
    <m/>
    <n v="79611.01556373616"/>
    <m/>
    <d v="2022-07-01T00:00:00"/>
    <m/>
    <x v="23"/>
    <m/>
    <d v="2023-06-30T00:00:00"/>
    <n v="55"/>
    <n v="206"/>
    <n v="261"/>
    <n v="78965.774500369604"/>
    <n v="78965.774500369604"/>
    <n v="14946.129358709088"/>
    <m/>
    <m/>
    <n v="79611.01556373616"/>
    <m/>
    <d v="2022-07-01T00:00:00"/>
    <m/>
    <d v="2022-09-16T00:00:00"/>
    <m/>
    <d v="2023-06-30T00:00:00"/>
    <n v="55"/>
    <n v="206"/>
    <n v="261"/>
    <n v="78965.774500369604"/>
    <n v="78965.774500369604"/>
    <n v="14946.129358709088"/>
    <m/>
    <n v="0"/>
    <n v="0"/>
    <n v="0"/>
    <n v="0"/>
  </r>
  <r>
    <x v="25"/>
    <s v="Dept 2"/>
    <x v="24"/>
    <x v="24"/>
    <n v="60149.893046202844"/>
    <s v="No"/>
    <n v="60149.893046202844"/>
    <m/>
    <m/>
    <n v="62555.888768050958"/>
    <m/>
    <d v="2022-07-01T00:00:00"/>
    <m/>
    <x v="24"/>
    <m/>
    <d v="2023-06-30T00:00:00"/>
    <n v="237"/>
    <n v="24"/>
    <n v="261"/>
    <n v="60371.134032119917"/>
    <n v="60371.134032119917"/>
    <n v="11513.749642100744"/>
    <m/>
    <m/>
    <n v="62555.888768050958"/>
    <m/>
    <d v="2022-07-01T00:00:00"/>
    <m/>
    <d v="2023-05-30T00:00:00"/>
    <m/>
    <d v="2023-06-30T00:00:00"/>
    <n v="237"/>
    <n v="24"/>
    <n v="261"/>
    <n v="60371.134032119917"/>
    <n v="60371.134032119917"/>
    <n v="11513.749642100744"/>
    <m/>
    <n v="0"/>
    <n v="0"/>
    <n v="0"/>
    <n v="0"/>
  </r>
  <r>
    <x v="26"/>
    <s v="Dept 1"/>
    <x v="25"/>
    <x v="25"/>
    <n v="64897.526683318953"/>
    <s v="Yes"/>
    <n v="66844.452483818517"/>
    <m/>
    <m/>
    <n v="69518.230583171258"/>
    <m/>
    <d v="2022-07-01T00:00:00"/>
    <m/>
    <x v="25"/>
    <m/>
    <d v="2023-06-30T00:00:00"/>
    <n v="108"/>
    <n v="153"/>
    <n v="261"/>
    <n v="68411.839645508051"/>
    <n v="68411.839645508051"/>
    <n v="13051.315320212228"/>
    <m/>
    <m/>
    <n v="69518.230583171258"/>
    <m/>
    <d v="2022-07-01T00:00:00"/>
    <m/>
    <d v="2022-11-30T00:00:00"/>
    <m/>
    <d v="2023-06-30T00:00:00"/>
    <n v="108"/>
    <n v="153"/>
    <n v="261"/>
    <n v="68411.839645508051"/>
    <n v="68411.839645508051"/>
    <n v="13051.315320212228"/>
    <m/>
    <n v="0"/>
    <n v="0"/>
    <n v="0"/>
    <n v="0"/>
  </r>
  <r>
    <x v="27"/>
    <s v="Dept 10"/>
    <x v="26"/>
    <x v="26"/>
    <n v="68923.331851023249"/>
    <s v="Yes"/>
    <n v="70991.031806553947"/>
    <m/>
    <m/>
    <n v="73830.673078816108"/>
    <m/>
    <d v="2022-07-01T00:00:00"/>
    <m/>
    <x v="26"/>
    <m/>
    <d v="2023-06-30T00:00:00"/>
    <n v="165"/>
    <n v="96"/>
    <n v="261"/>
    <n v="72035.49756186876"/>
    <n v="72035.49756186876"/>
    <n v="13860.930961157048"/>
    <m/>
    <m/>
    <n v="73830.673078816108"/>
    <m/>
    <d v="2022-07-01T00:00:00"/>
    <m/>
    <d v="2023-02-17T00:00:00"/>
    <m/>
    <d v="2023-06-30T00:00:00"/>
    <n v="165"/>
    <n v="96"/>
    <n v="261"/>
    <n v="72035.49756186876"/>
    <n v="72035.49756186876"/>
    <n v="13860.930961157048"/>
    <m/>
    <n v="0"/>
    <n v="0"/>
    <n v="0"/>
    <n v="0"/>
  </r>
  <r>
    <x v="28"/>
    <s v="Dept 13"/>
    <x v="27"/>
    <x v="27"/>
    <n v="64348.253342896169"/>
    <s v="Yes"/>
    <n v="66278.700943183052"/>
    <m/>
    <m/>
    <n v="68929.848980910378"/>
    <m/>
    <d v="2022-07-01T00:00:00"/>
    <m/>
    <x v="27"/>
    <d v="2022-12-29T00:00:00"/>
    <d v="2022-12-29T00:00:00"/>
    <n v="29"/>
    <n v="101"/>
    <n v="130"/>
    <n v="68338.439034032737"/>
    <n v="34038.302967142743"/>
    <n v="0"/>
    <m/>
    <m/>
    <n v="68929.848980910378"/>
    <m/>
    <d v="2022-07-01T00:00:00"/>
    <m/>
    <d v="2022-08-11T00:00:00"/>
    <m/>
    <d v="2023-06-30T00:00:00"/>
    <n v="29"/>
    <n v="232"/>
    <n v="261"/>
    <n v="68635.276976718451"/>
    <n v="68635.276976718451"/>
    <n v="12940.85287381076"/>
    <m/>
    <n v="296.83794268571364"/>
    <n v="34300.136066889994"/>
    <n v="34596.974009575708"/>
    <n v="12940.85287381076"/>
  </r>
  <r>
    <x v="29"/>
    <s v="Dept 8"/>
    <x v="28"/>
    <x v="28"/>
    <n v="42477.48042516753"/>
    <s v="Yes"/>
    <n v="43751.804837922558"/>
    <m/>
    <m/>
    <n v="45501.877031439464"/>
    <m/>
    <d v="2022-07-01T00:00:00"/>
    <m/>
    <x v="28"/>
    <d v="2022-12-30T00:00:00"/>
    <d v="2022-12-30T00:00:00"/>
    <n v="60"/>
    <n v="71"/>
    <n v="131"/>
    <n v="44700.31724814928"/>
    <n v="22435.79141573776"/>
    <n v="0"/>
    <m/>
    <m/>
    <n v="45501.877031439464"/>
    <m/>
    <d v="2022-07-01T00:00:00"/>
    <m/>
    <d v="2022-09-23T00:00:00"/>
    <m/>
    <d v="2023-06-30T00:00:00"/>
    <n v="60"/>
    <n v="201"/>
    <n v="261"/>
    <n v="45099.561584653966"/>
    <n v="45099.561584653966"/>
    <n v="8542.4979867453403"/>
    <m/>
    <n v="399.24433650468563"/>
    <n v="22264.52583241152"/>
    <n v="22663.770168916206"/>
    <n v="8542.4979867453403"/>
  </r>
  <r>
    <x v="30"/>
    <s v="Dept 14"/>
    <x v="29"/>
    <x v="29"/>
    <n v="62083.631667331894"/>
    <s v="Yes"/>
    <n v="63946.140617351855"/>
    <m/>
    <m/>
    <n v="66503.986242045925"/>
    <m/>
    <d v="2022-07-01T00:00:00"/>
    <m/>
    <x v="23"/>
    <d v="2022-12-31T00:00:00"/>
    <d v="2022-12-31T00:00:00"/>
    <n v="55"/>
    <n v="76"/>
    <n v="131"/>
    <n v="65430.081590456815"/>
    <n v="32840.385779118173"/>
    <n v="0"/>
    <m/>
    <m/>
    <n v="66503.986242045925"/>
    <m/>
    <d v="2022-07-01T00:00:00"/>
    <m/>
    <d v="2022-09-16T00:00:00"/>
    <m/>
    <d v="2023-06-30T00:00:00"/>
    <n v="55"/>
    <n v="206"/>
    <n v="261"/>
    <n v="65964.9766276468"/>
    <n v="65964.9766276468"/>
    <n v="12485.422704445404"/>
    <m/>
    <n v="534.89503718998458"/>
    <n v="32589.695811338643"/>
    <n v="33124.590848528627"/>
    <n v="12485.422704445404"/>
  </r>
  <r>
    <x v="31"/>
    <s v="Dept 5"/>
    <x v="30"/>
    <x v="30"/>
    <n v="80701.102767306322"/>
    <s v="Yes"/>
    <n v="83122.135850325518"/>
    <m/>
    <m/>
    <n v="86447.021284338538"/>
    <m/>
    <d v="2022-07-01T00:00:00"/>
    <m/>
    <x v="29"/>
    <m/>
    <d v="2023-06-30T00:00:00"/>
    <n v="180"/>
    <n v="81"/>
    <n v="261"/>
    <n v="84153.996847088172"/>
    <n v="84153.996847088172"/>
    <n v="16229.517405871988"/>
    <m/>
    <m/>
    <n v="86447.021284338538"/>
    <m/>
    <d v="2022-07-01T00:00:00"/>
    <m/>
    <d v="2023-03-10T00:00:00"/>
    <m/>
    <d v="2023-06-30T00:00:00"/>
    <n v="180"/>
    <n v="81"/>
    <n v="261"/>
    <n v="84153.996847088172"/>
    <n v="84153.996847088172"/>
    <n v="16229.517405871988"/>
    <m/>
    <n v="0"/>
    <n v="0"/>
    <n v="0"/>
    <n v="0"/>
  </r>
  <r>
    <x v="32"/>
    <s v="Dept 12"/>
    <x v="31"/>
    <x v="31"/>
    <n v="57783.197486306555"/>
    <s v="Yes"/>
    <n v="59516.69341089575"/>
    <m/>
    <m/>
    <n v="61897.361147331583"/>
    <m/>
    <d v="2022-07-01T00:00:00"/>
    <m/>
    <x v="30"/>
    <m/>
    <d v="2023-06-30T00:00:00"/>
    <n v="200"/>
    <n v="61"/>
    <n v="261"/>
    <n v="60073.094682629788"/>
    <n v="60073.094682629788"/>
    <n v="11620.577380150375"/>
    <m/>
    <m/>
    <n v="61897.361147331583"/>
    <m/>
    <d v="2022-07-01T00:00:00"/>
    <m/>
    <d v="2023-04-07T00:00:00"/>
    <m/>
    <d v="2023-06-30T00:00:00"/>
    <n v="200"/>
    <n v="61"/>
    <n v="261"/>
    <n v="60073.094682629788"/>
    <n v="60073.094682629788"/>
    <n v="11620.577380150375"/>
    <m/>
    <n v="0"/>
    <n v="0"/>
    <n v="0"/>
    <n v="0"/>
  </r>
  <r>
    <x v="33"/>
    <s v="Dept 4"/>
    <x v="32"/>
    <x v="32"/>
    <n v="67546.230069506331"/>
    <s v="Yes"/>
    <n v="69572.616971591517"/>
    <m/>
    <m/>
    <n v="72355.521650455179"/>
    <m/>
    <d v="2022-07-01T00:00:00"/>
    <m/>
    <x v="31"/>
    <m/>
    <d v="2023-06-30T00:00:00"/>
    <n v="56"/>
    <n v="205"/>
    <n v="261"/>
    <n v="71758.423328553399"/>
    <n v="71758.423328553399"/>
    <n v="13583.986823265532"/>
    <m/>
    <m/>
    <n v="72355.521650455179"/>
    <m/>
    <d v="2022-07-01T00:00:00"/>
    <m/>
    <d v="2022-09-18T00:00:00"/>
    <m/>
    <d v="2023-06-30T00:00:00"/>
    <n v="56"/>
    <n v="205"/>
    <n v="261"/>
    <n v="71758.423328553399"/>
    <n v="71758.423328553399"/>
    <n v="13583.986823265532"/>
    <m/>
    <n v="0"/>
    <n v="0"/>
    <n v="0"/>
    <n v="0"/>
  </r>
  <r>
    <x v="34"/>
    <s v="Dept 7"/>
    <x v="33"/>
    <x v="33"/>
    <n v="55965.731511299135"/>
    <s v="No"/>
    <n v="55965.731511299135"/>
    <m/>
    <m/>
    <n v="58204.360771751104"/>
    <m/>
    <d v="2022-07-01T00:00:00"/>
    <m/>
    <x v="32"/>
    <m/>
    <d v="2023-06-30T00:00:00"/>
    <n v="231"/>
    <n v="30"/>
    <n v="261"/>
    <n v="56223.045219397056"/>
    <n v="56223.045219397056"/>
    <n v="10764.290122096616"/>
    <m/>
    <m/>
    <n v="58204.360771751104"/>
    <m/>
    <d v="2022-07-01T00:00:00"/>
    <m/>
    <d v="2023-05-21T00:00:00"/>
    <m/>
    <d v="2023-06-30T00:00:00"/>
    <n v="231"/>
    <n v="30"/>
    <n v="261"/>
    <n v="56223.045219397056"/>
    <n v="56223.045219397056"/>
    <n v="10764.290122096616"/>
    <m/>
    <n v="0"/>
    <n v="0"/>
    <n v="0"/>
    <n v="0"/>
  </r>
  <r>
    <x v="35"/>
    <s v="Dept 3"/>
    <x v="34"/>
    <x v="34"/>
    <n v="44171.151181219713"/>
    <s v="Yes"/>
    <n v="45496.285716656304"/>
    <m/>
    <m/>
    <n v="47316.137145322558"/>
    <m/>
    <d v="2022-07-01T00:00:00"/>
    <m/>
    <x v="33"/>
    <d v="2022-12-31T00:00:00"/>
    <d v="2022-12-31T00:00:00"/>
    <n v="124"/>
    <n v="7"/>
    <n v="131"/>
    <n v="45593.529686127018"/>
    <n v="22884.108769665283"/>
    <n v="0"/>
    <m/>
    <m/>
    <n v="47316.137145322558"/>
    <m/>
    <d v="2022-07-01T00:00:00"/>
    <m/>
    <d v="2022-12-22T00:00:00"/>
    <m/>
    <d v="2023-06-30T00:00:00"/>
    <n v="124"/>
    <n v="137"/>
    <n v="261"/>
    <n v="46451.533401435139"/>
    <n v="46451.533401435139"/>
    <n v="8883.1062073594076"/>
    <m/>
    <n v="858.00371530812117"/>
    <n v="22709.420916461735"/>
    <n v="23567.424631769856"/>
    <n v="8883.1062073594076"/>
  </r>
  <r>
    <x v="36"/>
    <s v="Dept 11"/>
    <x v="35"/>
    <x v="35"/>
    <n v="86853.015231473124"/>
    <s v="Yes"/>
    <n v="89458.605688417316"/>
    <m/>
    <m/>
    <n v="93036.949915954014"/>
    <m/>
    <d v="2022-07-01T00:00:00"/>
    <m/>
    <x v="34"/>
    <m/>
    <d v="2023-06-30T00:00:00"/>
    <n v="160"/>
    <n v="101"/>
    <n v="261"/>
    <n v="90843.32893355604"/>
    <n v="90843.32893355604"/>
    <n v="17466.707072343856"/>
    <m/>
    <m/>
    <n v="93036.949915954014"/>
    <m/>
    <d v="2022-07-01T00:00:00"/>
    <m/>
    <d v="2023-02-10T00:00:00"/>
    <m/>
    <d v="2023-06-30T00:00:00"/>
    <n v="160"/>
    <n v="101"/>
    <n v="261"/>
    <n v="90843.32893355604"/>
    <n v="90843.32893355604"/>
    <n v="17466.707072343856"/>
    <m/>
    <n v="0"/>
    <n v="0"/>
    <n v="0"/>
    <n v="0"/>
  </r>
  <r>
    <x v="37"/>
    <s v="Dept 6"/>
    <x v="36"/>
    <x v="36"/>
    <n v="63737.153101434677"/>
    <s v="No"/>
    <n v="63737.153101434677"/>
    <m/>
    <m/>
    <n v="66286.639225492065"/>
    <m/>
    <d v="2022-07-01T00:00:00"/>
    <m/>
    <x v="35"/>
    <m/>
    <d v="2023-06-30T00:00:00"/>
    <n v="226"/>
    <n v="35"/>
    <n v="261"/>
    <n v="64079.038213856162"/>
    <n v="64079.038213856162"/>
    <n v="12307.864047173593"/>
    <m/>
    <m/>
    <n v="66286.639225492065"/>
    <m/>
    <d v="2022-07-01T00:00:00"/>
    <m/>
    <d v="2023-05-13T00:00:00"/>
    <m/>
    <d v="2023-06-30T00:00:00"/>
    <n v="226"/>
    <n v="35"/>
    <n v="261"/>
    <n v="64079.038213856162"/>
    <n v="64079.038213856162"/>
    <n v="12307.864047173593"/>
    <m/>
    <n v="0"/>
    <n v="0"/>
    <n v="0"/>
    <n v="0"/>
  </r>
  <r>
    <x v="38"/>
    <s v="Dept 9"/>
    <x v="37"/>
    <x v="37"/>
    <n v="75033.756688150315"/>
    <s v="Yes"/>
    <n v="77284.769388794826"/>
    <m/>
    <m/>
    <n v="80376.160164346627"/>
    <m/>
    <d v="2022-07-01T00:00:00"/>
    <m/>
    <x v="36"/>
    <m/>
    <d v="2023-06-30T00:00:00"/>
    <n v="75"/>
    <n v="186"/>
    <n v="261"/>
    <n v="79487.829481716792"/>
    <n v="79487.829481716792"/>
    <n v="15089.777195605306"/>
    <m/>
    <m/>
    <n v="80376.160164346627"/>
    <m/>
    <d v="2022-07-01T00:00:00"/>
    <m/>
    <d v="2022-10-14T00:00:00"/>
    <m/>
    <d v="2023-06-30T00:00:00"/>
    <n v="75"/>
    <n v="186"/>
    <n v="261"/>
    <n v="79487.829481716792"/>
    <n v="79487.829481716792"/>
    <n v="15089.777195605306"/>
    <m/>
    <n v="0"/>
    <n v="0"/>
    <n v="0"/>
    <n v="0"/>
  </r>
  <r>
    <x v="39"/>
    <s v="Dept 2"/>
    <x v="38"/>
    <x v="38"/>
    <n v="50194.454600207377"/>
    <s v="Yes"/>
    <n v="51700.288238213601"/>
    <m/>
    <m/>
    <n v="53768.299767742144"/>
    <m/>
    <d v="2022-07-01T00:00:00"/>
    <m/>
    <x v="37"/>
    <m/>
    <d v="2023-06-30T00:00:00"/>
    <n v="138"/>
    <n v="123"/>
    <n v="261"/>
    <n v="52674.86838431326"/>
    <n v="52674.86838431326"/>
    <n v="10094.431757162318"/>
    <m/>
    <m/>
    <n v="53768.299767742144"/>
    <m/>
    <d v="2022-07-01T00:00:00"/>
    <m/>
    <d v="2023-01-11T00:00:00"/>
    <m/>
    <d v="2023-06-30T00:00:00"/>
    <n v="138"/>
    <n v="123"/>
    <n v="261"/>
    <n v="52674.86838431326"/>
    <n v="52674.86838431326"/>
    <n v="10094.431757162318"/>
    <m/>
    <n v="0"/>
    <n v="0"/>
    <n v="0"/>
    <n v="0"/>
  </r>
  <r>
    <x v="40"/>
    <s v="Dept 1"/>
    <x v="39"/>
    <x v="39"/>
    <n v="83056.168204901012"/>
    <s v="No"/>
    <n v="83056.168204901012"/>
    <m/>
    <m/>
    <n v="86378.414933097054"/>
    <m/>
    <d v="2022-07-01T00:00:00"/>
    <m/>
    <x v="38"/>
    <m/>
    <d v="2023-06-30T00:00:00"/>
    <n v="232"/>
    <n v="29"/>
    <n v="261"/>
    <n v="83425.306730256125"/>
    <n v="83425.306730256125"/>
    <n v="15962.058992941897"/>
    <m/>
    <m/>
    <n v="86378.414933097054"/>
    <m/>
    <d v="2022-07-01T00:00:00"/>
    <m/>
    <d v="2023-05-23T00:00:00"/>
    <m/>
    <d v="2023-06-30T00:00:00"/>
    <n v="232"/>
    <n v="29"/>
    <n v="261"/>
    <n v="83425.306730256125"/>
    <n v="83425.306730256125"/>
    <n v="15962.058992941897"/>
    <m/>
    <n v="0"/>
    <n v="0"/>
    <n v="0"/>
    <n v="0"/>
  </r>
  <r>
    <x v="41"/>
    <s v="Dept 10"/>
    <x v="40"/>
    <x v="40"/>
    <n v="73182.260557611007"/>
    <s v="Yes"/>
    <n v="75377.728374339335"/>
    <m/>
    <m/>
    <n v="78392.837509312914"/>
    <m/>
    <d v="2022-07-01T00:00:00"/>
    <m/>
    <x v="18"/>
    <m/>
    <d v="2023-06-30T00:00:00"/>
    <n v="202"/>
    <n v="59"/>
    <n v="261"/>
    <n v="76059.304768835282"/>
    <n v="76059.304768835282"/>
    <n v="14717.429264200509"/>
    <m/>
    <m/>
    <n v="78392.837509312914"/>
    <m/>
    <d v="2022-07-01T00:00:00"/>
    <m/>
    <d v="2023-04-11T00:00:00"/>
    <m/>
    <d v="2023-06-30T00:00:00"/>
    <n v="202"/>
    <n v="59"/>
    <n v="261"/>
    <n v="76059.304768835282"/>
    <n v="76059.304768835282"/>
    <n v="14717.429264200509"/>
    <m/>
    <n v="0"/>
    <n v="0"/>
    <n v="0"/>
    <n v="0"/>
  </r>
  <r>
    <x v="42"/>
    <s v="Dept 13"/>
    <x v="41"/>
    <x v="41"/>
    <n v="47227.207773976283"/>
    <s v="Yes"/>
    <n v="48644.02400719557"/>
    <m/>
    <m/>
    <n v="50589.784967483392"/>
    <m/>
    <d v="2022-07-01T00:00:00"/>
    <m/>
    <x v="39"/>
    <d v="2022-12-31T00:00:00"/>
    <d v="2022-12-31T00:00:00"/>
    <n v="38"/>
    <n v="93"/>
    <n v="131"/>
    <n v="50025.365757628912"/>
    <n v="25108.5169128329"/>
    <n v="0"/>
    <m/>
    <m/>
    <n v="50589.784967483392"/>
    <m/>
    <d v="2022-07-01T00:00:00"/>
    <m/>
    <d v="2022-08-24T00:00:00"/>
    <m/>
    <d v="2023-06-30T00:00:00"/>
    <n v="38"/>
    <n v="223"/>
    <n v="261"/>
    <n v="50306.494099702024"/>
    <n v="50306.494099702024"/>
    <n v="9497.6990935122085"/>
    <m/>
    <n v="281.12834207311244"/>
    <n v="24916.848844796012"/>
    <n v="25197.977186869124"/>
    <n v="9497.6990935122085"/>
  </r>
  <r>
    <x v="43"/>
    <s v="Dept 8"/>
    <x v="1"/>
    <x v="1"/>
    <s v=""/>
    <s v="No"/>
    <n v="44280.91233617493"/>
    <m/>
    <m/>
    <n v="46052.148829621925"/>
    <m/>
    <d v="2022-09-29T00:00:00"/>
    <m/>
    <x v="1"/>
    <d v="2023-01-01T00:00:00"/>
    <d v="2023-01-01T00:00:00"/>
    <n v="67"/>
    <n v="0"/>
    <n v="67"/>
    <n v="44280.91233617493"/>
    <n v="11367.130752964445"/>
    <n v="0"/>
    <m/>
    <m/>
    <n v="46052.148829621925"/>
    <m/>
    <d v="2022-09-29T00:00:00"/>
    <m/>
    <s v=""/>
    <m/>
    <d v="2023-06-30T00:00:00"/>
    <n v="197"/>
    <n v="0"/>
    <n v="197"/>
    <n v="44280.91233617493"/>
    <n v="33422.757587074564"/>
    <n v="33422.757587074564"/>
    <m/>
    <n v="0"/>
    <n v="22055.626834110117"/>
    <n v="22055.626834110117"/>
    <n v="33422.757587074564"/>
  </r>
  <r>
    <x v="44"/>
    <s v="Dept 14"/>
    <x v="42"/>
    <x v="42"/>
    <n v="68558.35810588504"/>
    <s v="Yes"/>
    <n v="70615.108849061595"/>
    <m/>
    <m/>
    <n v="73439.713203024061"/>
    <m/>
    <d v="2022-07-01T00:00:00"/>
    <m/>
    <x v="40"/>
    <m/>
    <d v="2023-06-30T00:00:00"/>
    <n v="197"/>
    <n v="64"/>
    <n v="261"/>
    <n v="71307.732138922118"/>
    <n v="71307.732138922118"/>
    <n v="13787.532363786127"/>
    <m/>
    <m/>
    <n v="73439.713203024061"/>
    <m/>
    <d v="2022-07-01T00:00:00"/>
    <m/>
    <d v="2023-04-04T00:00:00"/>
    <m/>
    <d v="2023-06-30T00:00:00"/>
    <n v="197"/>
    <n v="64"/>
    <n v="261"/>
    <n v="71307.732138922118"/>
    <n v="71307.732138922118"/>
    <n v="13787.532363786127"/>
    <m/>
    <n v="0"/>
    <n v="0"/>
    <n v="0"/>
    <n v="0"/>
  </r>
  <r>
    <x v="45"/>
    <s v="Dept 5"/>
    <x v="43"/>
    <x v="43"/>
    <n v="79376.45668273553"/>
    <s v="Yes"/>
    <n v="81757.750383217601"/>
    <m/>
    <m/>
    <n v="85028.060398546309"/>
    <m/>
    <d v="2022-07-01T00:00:00"/>
    <m/>
    <x v="36"/>
    <m/>
    <d v="2023-06-30T00:00:00"/>
    <n v="75"/>
    <n v="186"/>
    <n v="261"/>
    <n v="84088.316141267947"/>
    <n v="84088.316141267947"/>
    <n v="15963.122450301798"/>
    <m/>
    <m/>
    <n v="85028.060398546309"/>
    <m/>
    <d v="2022-07-01T00:00:00"/>
    <m/>
    <d v="2022-10-14T00:00:00"/>
    <m/>
    <d v="2023-06-30T00:00:00"/>
    <n v="75"/>
    <n v="186"/>
    <n v="261"/>
    <n v="84088.316141267947"/>
    <n v="84088.316141267947"/>
    <n v="15963.122450301798"/>
    <m/>
    <n v="0"/>
    <n v="0"/>
    <n v="0"/>
    <n v="0"/>
  </r>
  <r>
    <x v="46"/>
    <s v="Dept 12"/>
    <x v="1"/>
    <x v="1"/>
    <s v=""/>
    <s v="No"/>
    <n v="66397.974881596252"/>
    <m/>
    <m/>
    <n v="69053.893876860107"/>
    <m/>
    <d v="2022-09-29T00:00:00"/>
    <m/>
    <x v="1"/>
    <m/>
    <d v="2023-06-30T00:00:00"/>
    <n v="197"/>
    <n v="0"/>
    <n v="197"/>
    <n v="66397.974881596252"/>
    <n v="50116.479125189508"/>
    <n v="50116.479125189508"/>
    <m/>
    <m/>
    <n v="69053.893876860107"/>
    <m/>
    <d v="2022-09-29T00:00:00"/>
    <m/>
    <s v=""/>
    <m/>
    <d v="2023-06-30T00:00:00"/>
    <n v="197"/>
    <n v="0"/>
    <n v="197"/>
    <n v="66397.974881596252"/>
    <n v="50116.479125189508"/>
    <n v="50116.479125189508"/>
    <m/>
    <n v="0"/>
    <n v="0"/>
    <n v="0"/>
    <n v="0"/>
  </r>
  <r>
    <x v="47"/>
    <s v="Dept 4"/>
    <x v="44"/>
    <x v="44"/>
    <n v="68262.60991382091"/>
    <s v="Yes"/>
    <n v="70310.488211235541"/>
    <m/>
    <m/>
    <n v="73122.907739684961"/>
    <m/>
    <d v="2022-07-01T00:00:00"/>
    <m/>
    <x v="41"/>
    <d v="2022-12-31T00:00:00"/>
    <d v="2022-12-31T00:00:00"/>
    <n v="10"/>
    <n v="121"/>
    <n v="131"/>
    <n v="72908.219226062851"/>
    <n v="36593.780531089025"/>
    <n v="0"/>
    <m/>
    <m/>
    <n v="73122.907739684961"/>
    <m/>
    <d v="2022-07-01T00:00:00"/>
    <m/>
    <d v="2022-07-15T00:00:00"/>
    <m/>
    <d v="2023-06-30T00:00:00"/>
    <n v="10"/>
    <n v="251"/>
    <n v="261"/>
    <n v="73015.152202196492"/>
    <n v="73015.152202196492"/>
    <n v="13728.055476032809"/>
    <m/>
    <n v="106.9329761336412"/>
    <n v="36314.438694973825"/>
    <n v="36421.371671107467"/>
    <n v="13728.055476032809"/>
  </r>
  <r>
    <x v="48"/>
    <s v="Dept 7"/>
    <x v="1"/>
    <x v="1"/>
    <s v=""/>
    <s v="No"/>
    <n v="86380.567725529385"/>
    <m/>
    <m/>
    <n v="89835.790434550567"/>
    <m/>
    <d v="2022-09-29T00:00:00"/>
    <m/>
    <x v="1"/>
    <m/>
    <d v="2023-06-30T00:00:00"/>
    <n v="197"/>
    <n v="0"/>
    <n v="197"/>
    <n v="86380.567725529399"/>
    <n v="65199.12583114671"/>
    <n v="65199.12583114671"/>
    <m/>
    <m/>
    <n v="89835.790434550567"/>
    <m/>
    <d v="2022-09-29T00:00:00"/>
    <m/>
    <s v=""/>
    <m/>
    <d v="2023-06-30T00:00:00"/>
    <n v="197"/>
    <n v="0"/>
    <n v="197"/>
    <n v="86380.567725529399"/>
    <n v="65199.12583114671"/>
    <n v="65199.12583114671"/>
    <m/>
    <n v="0"/>
    <n v="0"/>
    <n v="0"/>
    <n v="0"/>
  </r>
  <r>
    <x v="49"/>
    <s v="Dept 3"/>
    <x v="45"/>
    <x v="45"/>
    <n v="69912.163925211236"/>
    <s v="Yes"/>
    <n v="72009.528842967571"/>
    <m/>
    <m/>
    <n v="74889.90999668627"/>
    <m/>
    <d v="2022-07-01T00:00:00"/>
    <m/>
    <x v="42"/>
    <m/>
    <d v="2023-06-30T00:00:00"/>
    <n v="49"/>
    <n v="212"/>
    <n v="261"/>
    <n v="74349.148783919154"/>
    <n v="74349.148783919154"/>
    <n v="14059.791531944933"/>
    <m/>
    <m/>
    <n v="74889.90999668627"/>
    <m/>
    <d v="2022-07-01T00:00:00"/>
    <m/>
    <d v="2022-09-08T00:00:00"/>
    <m/>
    <d v="2023-06-30T00:00:00"/>
    <n v="49"/>
    <n v="212"/>
    <n v="261"/>
    <n v="74349.148783919154"/>
    <n v="74349.148783919154"/>
    <n v="14059.791531944933"/>
    <m/>
    <n v="0"/>
    <n v="0"/>
    <n v="0"/>
    <n v="0"/>
  </r>
  <r>
    <x v="50"/>
    <s v="Dept 11"/>
    <x v="46"/>
    <x v="46"/>
    <n v="65677.255370302213"/>
    <s v="Yes"/>
    <n v="67647.573031411288"/>
    <m/>
    <m/>
    <n v="70353.475952667737"/>
    <m/>
    <d v="2022-07-01T00:00:00"/>
    <m/>
    <x v="20"/>
    <d v="2022-12-31T00:00:00"/>
    <d v="2022-12-31T00:00:00"/>
    <n v="26"/>
    <n v="105"/>
    <n v="131"/>
    <n v="69816.426517914544"/>
    <n v="35041.961202478182"/>
    <n v="0"/>
    <m/>
    <m/>
    <n v="70353.475952667737"/>
    <m/>
    <d v="2022-07-01T00:00:00"/>
    <m/>
    <d v="2022-08-06T00:00:00"/>
    <m/>
    <d v="2023-06-30T00:00:00"/>
    <n v="26"/>
    <n v="235"/>
    <n v="261"/>
    <n v="70083.922404956364"/>
    <n v="70083.922404956364"/>
    <n v="13208.123837857162"/>
    <m/>
    <n v="267.49588704181951"/>
    <n v="34774.465315436362"/>
    <n v="35041.961202478182"/>
    <n v="13208.123837857162"/>
  </r>
  <r>
    <x v="51"/>
    <s v="Dept 6"/>
    <x v="1"/>
    <x v="1"/>
    <s v=""/>
    <s v="No"/>
    <n v="95070.662689154677"/>
    <m/>
    <m/>
    <n v="98873.489196720868"/>
    <m/>
    <d v="2022-09-29T00:00:00"/>
    <m/>
    <x v="1"/>
    <m/>
    <d v="2023-06-30T00:00:00"/>
    <n v="197"/>
    <n v="0"/>
    <n v="197"/>
    <n v="95070.662689154677"/>
    <n v="71758.31628261866"/>
    <n v="71758.31628261866"/>
    <m/>
    <m/>
    <n v="98873.489196720868"/>
    <m/>
    <d v="2022-09-29T00:00:00"/>
    <m/>
    <s v=""/>
    <m/>
    <d v="2023-06-30T00:00:00"/>
    <n v="197"/>
    <n v="0"/>
    <n v="197"/>
    <n v="95070.662689154677"/>
    <n v="71758.31628261866"/>
    <n v="71758.31628261866"/>
    <m/>
    <n v="0"/>
    <n v="0"/>
    <n v="0"/>
    <n v="0"/>
  </r>
  <r>
    <x v="52"/>
    <s v="Dept 9"/>
    <x v="47"/>
    <x v="47"/>
    <n v="89622.015137677226"/>
    <s v="Yes"/>
    <n v="92310.675591807551"/>
    <m/>
    <m/>
    <n v="96003.10261547986"/>
    <m/>
    <d v="2022-07-01T00:00:00"/>
    <m/>
    <x v="15"/>
    <m/>
    <d v="2023-06-30T00:00:00"/>
    <n v="198"/>
    <n v="63"/>
    <n v="261"/>
    <n v="93201.951080280181"/>
    <n v="93201.951080280181"/>
    <n v="18023.570989113075"/>
    <m/>
    <m/>
    <n v="96003.10261547986"/>
    <m/>
    <d v="2022-07-01T00:00:00"/>
    <m/>
    <d v="2023-04-05T00:00:00"/>
    <m/>
    <d v="2023-06-30T00:00:00"/>
    <n v="198"/>
    <n v="63"/>
    <n v="261"/>
    <n v="93201.951080280181"/>
    <n v="93201.951080280181"/>
    <n v="18023.570989113075"/>
    <m/>
    <n v="0"/>
    <n v="0"/>
    <n v="0"/>
    <n v="0"/>
  </r>
  <r>
    <x v="53"/>
    <s v="Dept 2"/>
    <x v="48"/>
    <x v="48"/>
    <n v="76365.258444293722"/>
    <s v="No"/>
    <n v="76365.258444293722"/>
    <m/>
    <m/>
    <n v="79419.868782065474"/>
    <m/>
    <d v="2022-07-01T00:00:00"/>
    <m/>
    <x v="43"/>
    <m/>
    <d v="2023-06-30T00:00:00"/>
    <n v="246"/>
    <n v="15"/>
    <n v="261"/>
    <n v="76540.810762556459"/>
    <n v="76540.810762556459"/>
    <n v="14512.324976386852"/>
    <m/>
    <m/>
    <n v="79419.868782065474"/>
    <m/>
    <d v="2022-07-01T00:00:00"/>
    <d v="2022-10-10T00:00:00"/>
    <d v="2022-10-10T00:00:00"/>
    <m/>
    <d v="2023-06-30T00:00:00"/>
    <n v="71"/>
    <n v="190"/>
    <n v="261"/>
    <n v="78588.921142288484"/>
    <n v="78588.921142288484"/>
    <n v="14910.243564449074"/>
    <m/>
    <n v="2048.1103797320247"/>
    <n v="0"/>
    <n v="2048.1103797320247"/>
    <n v="397.91858806222263"/>
  </r>
  <r>
    <x v="54"/>
    <s v="Dept 1"/>
    <x v="1"/>
    <x v="1"/>
    <s v=""/>
    <s v="No"/>
    <n v="48278.142712785993"/>
    <m/>
    <m/>
    <n v="50209.268421297435"/>
    <m/>
    <d v="2022-09-29T00:00:00"/>
    <m/>
    <x v="1"/>
    <m/>
    <d v="2023-06-30T00:00:00"/>
    <n v="197"/>
    <n v="0"/>
    <n v="197"/>
    <n v="48278.142712785993"/>
    <n v="36439.824193175635"/>
    <n v="36439.824193175635"/>
    <m/>
    <m/>
    <n v="50209.268421297435"/>
    <m/>
    <d v="2022-09-29T00:00:00"/>
    <m/>
    <s v=""/>
    <m/>
    <d v="2023-06-30T00:00:00"/>
    <n v="197"/>
    <n v="0"/>
    <n v="197"/>
    <n v="48278.142712785993"/>
    <n v="36439.824193175635"/>
    <n v="36439.824193175635"/>
    <m/>
    <n v="0"/>
    <n v="0"/>
    <n v="0"/>
    <n v="0"/>
  </r>
  <r>
    <x v="55"/>
    <s v="Dept 10"/>
    <x v="49"/>
    <x v="49"/>
    <n v="54533.282461792362"/>
    <s v="No"/>
    <n v="54533.282461792362"/>
    <m/>
    <m/>
    <n v="56714.613760264059"/>
    <m/>
    <d v="2022-07-01T00:00:00"/>
    <m/>
    <x v="44"/>
    <m/>
    <d v="2023-06-30T00:00:00"/>
    <n v="255"/>
    <n v="6"/>
    <n v="261"/>
    <n v="54583.428008883668"/>
    <n v="54583.428008883668"/>
    <n v="10288.194744899065"/>
    <m/>
    <m/>
    <n v="56714.613760264059"/>
    <m/>
    <d v="2022-07-01T00:00:00"/>
    <m/>
    <d v="2023-06-23T00:00:00"/>
    <m/>
    <d v="2023-06-30T00:00:00"/>
    <n v="255"/>
    <n v="6"/>
    <n v="261"/>
    <n v="54583.428008883668"/>
    <n v="54583.428008883668"/>
    <n v="10288.194744899065"/>
    <m/>
    <n v="0"/>
    <n v="0"/>
    <n v="0"/>
    <n v="0"/>
  </r>
  <r>
    <x v="56"/>
    <s v="Dept 13"/>
    <x v="1"/>
    <x v="1"/>
    <s v=""/>
    <s v="No"/>
    <n v="53101.517268436117"/>
    <m/>
    <m/>
    <n v="55225.577959173563"/>
    <m/>
    <d v="2022-09-29T00:00:00"/>
    <m/>
    <x v="1"/>
    <m/>
    <d v="2023-06-30T00:00:00"/>
    <n v="197"/>
    <n v="0"/>
    <n v="197"/>
    <n v="53101.517268436117"/>
    <n v="40080.455562765957"/>
    <n v="40080.455562765957"/>
    <m/>
    <m/>
    <n v="55225.577959173563"/>
    <m/>
    <d v="2022-09-29T00:00:00"/>
    <m/>
    <s v=""/>
    <m/>
    <d v="2023-06-30T00:00:00"/>
    <n v="197"/>
    <n v="0"/>
    <n v="197"/>
    <n v="53101.517268436117"/>
    <n v="40080.455562765957"/>
    <n v="40080.455562765957"/>
    <m/>
    <n v="0"/>
    <n v="0"/>
    <n v="0"/>
    <n v="0"/>
  </r>
  <r>
    <x v="57"/>
    <s v="Dept 8"/>
    <x v="50"/>
    <x v="50"/>
    <n v="65832.741189585315"/>
    <s v="Yes"/>
    <n v="67807.723425272881"/>
    <m/>
    <m/>
    <n v="70520.032362283804"/>
    <m/>
    <d v="2022-07-01T00:00:00"/>
    <m/>
    <x v="45"/>
    <m/>
    <d v="2023-06-30T00:00:00"/>
    <n v="169"/>
    <n v="92"/>
    <n v="261"/>
    <n v="68763.786345598579"/>
    <n v="68763.786345598579"/>
    <n v="13239.393048857879"/>
    <m/>
    <m/>
    <n v="70520.032362283804"/>
    <m/>
    <d v="2022-07-01T00:00:00"/>
    <m/>
    <d v="2023-02-23T00:00:00"/>
    <m/>
    <d v="2023-06-30T00:00:00"/>
    <n v="169"/>
    <n v="92"/>
    <n v="261"/>
    <n v="68763.786345598579"/>
    <n v="68763.786345598579"/>
    <n v="13239.393048857879"/>
    <m/>
    <n v="0"/>
    <n v="0"/>
    <n v="0"/>
    <n v="0"/>
  </r>
  <r>
    <x v="58"/>
    <s v="Dept 14"/>
    <x v="51"/>
    <x v="51"/>
    <n v="62797.962137445531"/>
    <s v="Yes"/>
    <n v="64681.901001568898"/>
    <m/>
    <m/>
    <n v="67269.177041631658"/>
    <m/>
    <d v="2022-07-01T00:00:00"/>
    <m/>
    <x v="46"/>
    <m/>
    <d v="2023-06-30T00:00:00"/>
    <n v="86"/>
    <n v="175"/>
    <n v="261"/>
    <n v="66416.664629963459"/>
    <n v="66416.664629963459"/>
    <n v="12629.079214712458"/>
    <m/>
    <m/>
    <n v="67269.177041631658"/>
    <m/>
    <d v="2022-07-01T00:00:00"/>
    <m/>
    <d v="2022-10-29T00:00:00"/>
    <m/>
    <d v="2023-06-30T00:00:00"/>
    <n v="86"/>
    <n v="175"/>
    <n v="261"/>
    <n v="66416.664629963459"/>
    <n v="66416.664629963459"/>
    <n v="12629.079214712458"/>
    <m/>
    <n v="0"/>
    <n v="0"/>
    <n v="0"/>
    <n v="0"/>
  </r>
  <r>
    <x v="59"/>
    <s v="Dept 5"/>
    <x v="1"/>
    <x v="1"/>
    <s v=""/>
    <s v="No"/>
    <n v="91855.743496201001"/>
    <m/>
    <m/>
    <n v="95529.973236049045"/>
    <m/>
    <d v="2022-09-29T00:00:00"/>
    <m/>
    <x v="1"/>
    <m/>
    <d v="2023-06-30T00:00:00"/>
    <n v="197"/>
    <n v="0"/>
    <n v="197"/>
    <n v="91855.743496201001"/>
    <n v="69331.729765331795"/>
    <n v="69331.729765331795"/>
    <m/>
    <m/>
    <n v="95529.973236049045"/>
    <m/>
    <d v="2022-09-29T00:00:00"/>
    <m/>
    <s v=""/>
    <m/>
    <d v="2023-06-30T00:00:00"/>
    <n v="197"/>
    <n v="0"/>
    <n v="197"/>
    <n v="91855.743496201001"/>
    <n v="69331.729765331795"/>
    <n v="69331.729765331795"/>
    <m/>
    <n v="0"/>
    <n v="0"/>
    <n v="0"/>
    <n v="0"/>
  </r>
  <r>
    <x v="60"/>
    <s v="Dept 12"/>
    <x v="1"/>
    <x v="1"/>
    <s v=""/>
    <s v="No"/>
    <n v="77400.623255255108"/>
    <m/>
    <m/>
    <n v="80496.64818546531"/>
    <m/>
    <d v="2022-09-29T00:00:00"/>
    <m/>
    <x v="1"/>
    <m/>
    <d v="2023-06-30T00:00:00"/>
    <n v="197"/>
    <n v="0"/>
    <n v="197"/>
    <n v="77400.623255255108"/>
    <n v="58421.160081552705"/>
    <n v="58421.160081552705"/>
    <m/>
    <m/>
    <n v="80496.64818546531"/>
    <m/>
    <d v="2022-09-29T00:00:00"/>
    <m/>
    <s v=""/>
    <m/>
    <d v="2023-06-30T00:00:00"/>
    <n v="197"/>
    <n v="0"/>
    <n v="197"/>
    <n v="77400.623255255108"/>
    <n v="58421.160081552705"/>
    <n v="58421.160081552705"/>
    <m/>
    <n v="0"/>
    <n v="0"/>
    <n v="0"/>
    <n v="0"/>
  </r>
  <r>
    <x v="61"/>
    <s v="Dept 4"/>
    <x v="52"/>
    <x v="52"/>
    <n v="72036.471157910637"/>
    <s v="Yes"/>
    <n v="74197.565292647952"/>
    <m/>
    <m/>
    <n v="77165.467904353878"/>
    <m/>
    <d v="2022-07-01T00:00:00"/>
    <m/>
    <x v="47"/>
    <m/>
    <d v="2023-06-30T00:00:00"/>
    <n v="136"/>
    <n v="125"/>
    <n v="261"/>
    <n v="75618.974589441976"/>
    <n v="75618.974589441976"/>
    <n v="14487.003552924674"/>
    <m/>
    <m/>
    <n v="77165.467904353878"/>
    <m/>
    <d v="2022-07-01T00:00:00"/>
    <m/>
    <d v="2023-01-08T00:00:00"/>
    <m/>
    <d v="2023-06-30T00:00:00"/>
    <n v="136"/>
    <n v="125"/>
    <n v="261"/>
    <n v="75618.974589441976"/>
    <n v="75618.974589441976"/>
    <n v="14487.003552924674"/>
    <m/>
    <n v="0"/>
    <n v="0"/>
    <n v="0"/>
    <n v="0"/>
  </r>
  <r>
    <x v="62"/>
    <s v="Dept 7"/>
    <x v="53"/>
    <x v="53"/>
    <n v="65432.306672875085"/>
    <s v="Yes"/>
    <n v="67395.275873061342"/>
    <m/>
    <m/>
    <n v="70091.086907983801"/>
    <m/>
    <d v="2022-07-01T00:00:00"/>
    <m/>
    <x v="48"/>
    <m/>
    <d v="2023-06-30T00:00:00"/>
    <n v="52"/>
    <n v="209"/>
    <n v="261"/>
    <n v="69553.990456581625"/>
    <n v="69553.990456581625"/>
    <n v="13158.863059353282"/>
    <m/>
    <m/>
    <n v="70091.086907983801"/>
    <m/>
    <d v="2022-07-01T00:00:00"/>
    <m/>
    <d v="2022-09-13T00:00:00"/>
    <m/>
    <d v="2023-06-30T00:00:00"/>
    <n v="52"/>
    <n v="209"/>
    <n v="261"/>
    <n v="69553.990456581625"/>
    <n v="69553.990456581625"/>
    <n v="13158.863059353282"/>
    <m/>
    <n v="0"/>
    <n v="0"/>
    <n v="0"/>
    <n v="0"/>
  </r>
  <r>
    <x v="63"/>
    <s v="Dept 3"/>
    <x v="54"/>
    <x v="54"/>
    <n v="41554.187361475633"/>
    <s v="Yes"/>
    <n v="42800.812982319905"/>
    <m/>
    <m/>
    <n v="44512.845501612705"/>
    <m/>
    <d v="2022-07-01T00:00:00"/>
    <m/>
    <x v="49"/>
    <m/>
    <d v="2023-06-30T00:00:00"/>
    <n v="151"/>
    <n v="110"/>
    <n v="261"/>
    <n v="43522.359254818788"/>
    <n v="43522.359254818788"/>
    <n v="8356.8177378506607"/>
    <m/>
    <m/>
    <n v="44512.845501612705"/>
    <m/>
    <d v="2022-07-01T00:00:00"/>
    <m/>
    <d v="2023-01-30T00:00:00"/>
    <m/>
    <d v="2023-06-30T00:00:00"/>
    <n v="151"/>
    <n v="110"/>
    <n v="261"/>
    <n v="43522.359254818788"/>
    <n v="43522.359254818788"/>
    <n v="8356.8177378506607"/>
    <m/>
    <n v="0"/>
    <n v="0"/>
    <n v="0"/>
    <n v="0"/>
  </r>
  <r>
    <x v="64"/>
    <s v="Dept 11"/>
    <x v="55"/>
    <x v="55"/>
    <n v="50324.920437202782"/>
    <s v="Yes"/>
    <n v="51834.668050318869"/>
    <m/>
    <m/>
    <n v="53908.054772331627"/>
    <m/>
    <d v="2022-07-01T00:00:00"/>
    <m/>
    <x v="50"/>
    <m/>
    <d v="2023-06-30T00:00:00"/>
    <n v="12"/>
    <n v="249"/>
    <n v="261"/>
    <n v="53812.726647181618"/>
    <n v="53812.726647181618"/>
    <n v="10120.669286759578"/>
    <m/>
    <m/>
    <n v="53908.054772331627"/>
    <m/>
    <d v="2022-07-01T00:00:00"/>
    <m/>
    <d v="2022-07-19T00:00:00"/>
    <m/>
    <d v="2023-06-30T00:00:00"/>
    <n v="12"/>
    <n v="249"/>
    <n v="261"/>
    <n v="53812.726647181618"/>
    <n v="53812.726647181618"/>
    <n v="10120.669286759578"/>
    <m/>
    <n v="0"/>
    <n v="0"/>
    <n v="0"/>
    <n v="0"/>
  </r>
  <r>
    <x v="65"/>
    <s v="Dept 6"/>
    <x v="1"/>
    <x v="1"/>
    <s v=""/>
    <s v="No"/>
    <n v="59992.331119620794"/>
    <m/>
    <m/>
    <n v="62392.024364405625"/>
    <m/>
    <d v="2022-09-29T00:00:00"/>
    <m/>
    <x v="1"/>
    <m/>
    <d v="2023-06-30T00:00:00"/>
    <n v="197"/>
    <n v="0"/>
    <n v="197"/>
    <n v="59992.331119620794"/>
    <n v="45281.567933200371"/>
    <n v="45281.567933200371"/>
    <m/>
    <m/>
    <n v="62392.024364405625"/>
    <m/>
    <d v="2022-09-29T00:00:00"/>
    <m/>
    <s v=""/>
    <m/>
    <d v="2023-06-30T00:00:00"/>
    <n v="197"/>
    <n v="0"/>
    <n v="197"/>
    <n v="59992.331119620794"/>
    <n v="45281.567933200371"/>
    <n v="45281.567933200371"/>
    <m/>
    <n v="0"/>
    <n v="0"/>
    <n v="0"/>
    <n v="0"/>
  </r>
  <r>
    <x v="66"/>
    <s v="Dept 9"/>
    <x v="1"/>
    <x v="1"/>
    <s v=""/>
    <s v="No"/>
    <n v="62985.741122919208"/>
    <m/>
    <m/>
    <n v="65505.170767835982"/>
    <m/>
    <d v="2022-09-29T00:00:00"/>
    <m/>
    <x v="1"/>
    <m/>
    <d v="2023-06-30T00:00:00"/>
    <n v="197"/>
    <n v="0"/>
    <n v="197"/>
    <n v="62985.741122919208"/>
    <n v="47540.961690479249"/>
    <n v="47540.961690479249"/>
    <m/>
    <m/>
    <n v="65505.170767835982"/>
    <m/>
    <d v="2022-09-29T00:00:00"/>
    <m/>
    <s v=""/>
    <m/>
    <d v="2023-06-30T00:00:00"/>
    <n v="197"/>
    <n v="0"/>
    <n v="197"/>
    <n v="62985.741122919208"/>
    <n v="47540.961690479249"/>
    <n v="47540.961690479249"/>
    <m/>
    <n v="0"/>
    <n v="0"/>
    <n v="0"/>
    <n v="0"/>
  </r>
  <r>
    <x v="67"/>
    <s v="Dept 2"/>
    <x v="56"/>
    <x v="56"/>
    <n v="44636.404484090825"/>
    <s v="Yes"/>
    <n v="45975.49661861355"/>
    <m/>
    <m/>
    <n v="47814.516483358093"/>
    <m/>
    <d v="2022-07-01T00:00:00"/>
    <m/>
    <x v="51"/>
    <m/>
    <d v="2023-06-30T00:00:00"/>
    <n v="31"/>
    <n v="230"/>
    <n v="261"/>
    <n v="47596.088836587667"/>
    <n v="47596.088836587667"/>
    <n v="8976.6716769522845"/>
    <m/>
    <m/>
    <n v="47814.516483358093"/>
    <m/>
    <d v="2022-07-01T00:00:00"/>
    <m/>
    <d v="2022-08-13T00:00:00"/>
    <m/>
    <d v="2023-06-30T00:00:00"/>
    <n v="31"/>
    <n v="230"/>
    <n v="261"/>
    <n v="47596.088836587667"/>
    <n v="47596.088836587667"/>
    <n v="8976.6716769522845"/>
    <m/>
    <n v="0"/>
    <n v="0"/>
    <n v="0"/>
    <n v="0"/>
  </r>
  <r>
    <x v="68"/>
    <s v="Dept 1"/>
    <x v="57"/>
    <x v="57"/>
    <n v="44914.228807177737"/>
    <s v="Yes"/>
    <n v="46261.655671393069"/>
    <m/>
    <m/>
    <n v="48112.121898248792"/>
    <m/>
    <d v="2022-07-01T00:00:00"/>
    <m/>
    <x v="52"/>
    <m/>
    <d v="2023-06-30T00:00:00"/>
    <n v="201"/>
    <n v="60"/>
    <n v="261"/>
    <n v="46687.050206302432"/>
    <n v="46687.050206302432"/>
    <n v="9032.5439579087779"/>
    <m/>
    <m/>
    <n v="48112.121898248792"/>
    <m/>
    <d v="2022-07-01T00:00:00"/>
    <m/>
    <d v="2023-04-10T00:00:00"/>
    <m/>
    <d v="2023-06-30T00:00:00"/>
    <n v="201"/>
    <n v="60"/>
    <n v="261"/>
    <n v="46687.050206302432"/>
    <n v="46687.050206302432"/>
    <n v="9032.5439579087779"/>
    <m/>
    <n v="0"/>
    <n v="0"/>
    <n v="0"/>
    <n v="0"/>
  </r>
  <r>
    <x v="69"/>
    <s v="Dept 10"/>
    <x v="58"/>
    <x v="58"/>
    <n v="69920.61868203315"/>
    <s v="Yes"/>
    <n v="72018.237242494142"/>
    <m/>
    <m/>
    <n v="74898.966732193905"/>
    <m/>
    <d v="2022-07-01T00:00:00"/>
    <m/>
    <x v="53"/>
    <m/>
    <d v="2023-06-30T00:00:00"/>
    <n v="126"/>
    <n v="135"/>
    <n v="261"/>
    <n v="73508.26973716644"/>
    <n v="73508.26973716644"/>
    <n v="14061.491838611117"/>
    <m/>
    <m/>
    <n v="74898.966732193905"/>
    <m/>
    <d v="2022-07-01T00:00:00"/>
    <m/>
    <d v="2022-12-24T00:00:00"/>
    <m/>
    <d v="2023-06-30T00:00:00"/>
    <n v="126"/>
    <n v="135"/>
    <n v="261"/>
    <n v="73508.26973716644"/>
    <n v="73508.26973716644"/>
    <n v="14061.491838611117"/>
    <m/>
    <n v="0"/>
    <n v="0"/>
    <n v="0"/>
    <n v="0"/>
  </r>
  <r>
    <x v="70"/>
    <s v="Dept 13"/>
    <x v="59"/>
    <x v="59"/>
    <n v="51759.61625085141"/>
    <s v="No"/>
    <n v="51759.61625085141"/>
    <m/>
    <m/>
    <n v="53830.000900885469"/>
    <m/>
    <d v="2022-07-01T00:00:00"/>
    <m/>
    <x v="54"/>
    <m/>
    <d v="2023-06-30T00:00:00"/>
    <n v="236"/>
    <n v="25"/>
    <n v="261"/>
    <n v="51957.928956793374"/>
    <n v="51957.928956793374"/>
    <n v="9915.6352970979715"/>
    <m/>
    <m/>
    <n v="53830.000900885469"/>
    <m/>
    <d v="2022-07-01T00:00:00"/>
    <m/>
    <d v="2023-05-29T00:00:00"/>
    <m/>
    <d v="2023-06-30T00:00:00"/>
    <n v="236"/>
    <n v="25"/>
    <n v="261"/>
    <n v="51957.928956793374"/>
    <n v="51957.928956793374"/>
    <n v="9915.6352970979715"/>
    <m/>
    <n v="0"/>
    <n v="0"/>
    <n v="0"/>
    <n v="0"/>
  </r>
  <r>
    <x v="71"/>
    <s v="Dept 8"/>
    <x v="60"/>
    <x v="60"/>
    <n v="56928.864369479474"/>
    <s v="Yes"/>
    <n v="58636.730300563861"/>
    <m/>
    <m/>
    <n v="60982.19951258642"/>
    <m/>
    <d v="2022-07-01T00:00:00"/>
    <m/>
    <x v="55"/>
    <m/>
    <d v="2023-06-30T00:00:00"/>
    <n v="19"/>
    <n v="242"/>
    <n v="261"/>
    <n v="60811.456543128836"/>
    <n v="60811.456543128836"/>
    <n v="11448.765425734615"/>
    <m/>
    <m/>
    <n v="60982.19951258642"/>
    <m/>
    <d v="2022-07-01T00:00:00"/>
    <m/>
    <d v="2022-07-28T00:00:00"/>
    <m/>
    <d v="2023-06-30T00:00:00"/>
    <n v="19"/>
    <n v="242"/>
    <n v="261"/>
    <n v="60811.456543128836"/>
    <n v="60811.456543128836"/>
    <n v="11448.765425734615"/>
    <m/>
    <n v="0"/>
    <n v="0"/>
    <n v="0"/>
    <n v="0"/>
  </r>
  <r>
    <x v="72"/>
    <s v="Dept 14"/>
    <x v="61"/>
    <x v="61"/>
    <n v="64147.578015211926"/>
    <s v="Yes"/>
    <n v="66072.005355668283"/>
    <m/>
    <m/>
    <n v="68714.885569895021"/>
    <m/>
    <d v="2022-07-01T00:00:00"/>
    <m/>
    <x v="56"/>
    <m/>
    <d v="2023-06-30T00:00:00"/>
    <n v="27"/>
    <n v="234"/>
    <n v="261"/>
    <n v="68441.484168423296"/>
    <n v="68441.484168423296"/>
    <n v="12900.495758332781"/>
    <m/>
    <m/>
    <n v="68714.885569895021"/>
    <m/>
    <d v="2022-07-01T00:00:00"/>
    <m/>
    <d v="2022-08-09T00:00:00"/>
    <m/>
    <d v="2023-06-30T00:00:00"/>
    <n v="27"/>
    <n v="234"/>
    <n v="261"/>
    <n v="68441.484168423296"/>
    <n v="68441.484168423296"/>
    <n v="12900.495758332781"/>
    <m/>
    <n v="0"/>
    <n v="0"/>
    <n v="0"/>
    <n v="0"/>
  </r>
  <r>
    <x v="73"/>
    <s v="Dept 5"/>
    <x v="1"/>
    <x v="1"/>
    <s v=""/>
    <s v="No"/>
    <n v="89375.792342291083"/>
    <m/>
    <m/>
    <n v="92950.824035982732"/>
    <m/>
    <d v="2022-09-29T00:00:00"/>
    <m/>
    <x v="1"/>
    <m/>
    <d v="2023-06-30T00:00:00"/>
    <n v="197"/>
    <n v="0"/>
    <n v="197"/>
    <n v="89375.792342291083"/>
    <n v="67459.889239200551"/>
    <n v="67459.889239200551"/>
    <m/>
    <m/>
    <n v="92950.824035982732"/>
    <m/>
    <d v="2022-09-29T00:00:00"/>
    <m/>
    <s v=""/>
    <m/>
    <d v="2023-06-30T00:00:00"/>
    <n v="197"/>
    <n v="0"/>
    <n v="197"/>
    <n v="89375.792342291083"/>
    <n v="67459.889239200551"/>
    <n v="67459.889239200551"/>
    <m/>
    <n v="0"/>
    <n v="0"/>
    <n v="0"/>
    <n v="0"/>
  </r>
  <r>
    <x v="74"/>
    <s v="Dept 12"/>
    <x v="1"/>
    <x v="1"/>
    <s v=""/>
    <s v="No"/>
    <n v="97827.049520897825"/>
    <m/>
    <m/>
    <n v="101740.13150173375"/>
    <m/>
    <d v="2022-09-29T00:00:00"/>
    <m/>
    <x v="1"/>
    <m/>
    <d v="2023-06-30T00:00:00"/>
    <n v="197"/>
    <n v="0"/>
    <n v="197"/>
    <n v="97827.04952089781"/>
    <n v="73838.807492784937"/>
    <n v="73838.807492784937"/>
    <m/>
    <m/>
    <n v="101740.13150173375"/>
    <m/>
    <d v="2022-09-29T00:00:00"/>
    <m/>
    <s v=""/>
    <m/>
    <d v="2023-06-30T00:00:00"/>
    <n v="197"/>
    <n v="0"/>
    <n v="197"/>
    <n v="97827.04952089781"/>
    <n v="73838.807492784937"/>
    <n v="73838.807492784937"/>
    <m/>
    <n v="0"/>
    <n v="0"/>
    <n v="0"/>
    <n v="0"/>
  </r>
  <r>
    <x v="75"/>
    <s v="Dept 4"/>
    <x v="62"/>
    <x v="62"/>
    <n v="82154.467357095884"/>
    <s v="Yes"/>
    <n v="84619.101377808765"/>
    <m/>
    <m/>
    <n v="88003.865432921113"/>
    <m/>
    <d v="2022-07-01T00:00:00"/>
    <m/>
    <x v="57"/>
    <m/>
    <d v="2023-06-30T00:00:00"/>
    <n v="167"/>
    <n v="94"/>
    <n v="261"/>
    <n v="85838.13517543544"/>
    <n v="85838.13517543544"/>
    <n v="16521.798491238063"/>
    <m/>
    <m/>
    <n v="88003.865432921113"/>
    <m/>
    <d v="2022-07-01T00:00:00"/>
    <m/>
    <d v="2023-02-21T00:00:00"/>
    <m/>
    <d v="2023-06-30T00:00:00"/>
    <n v="167"/>
    <n v="94"/>
    <n v="261"/>
    <n v="85838.13517543544"/>
    <n v="85838.13517543544"/>
    <n v="16521.798491238063"/>
    <m/>
    <n v="0"/>
    <n v="0"/>
    <n v="0"/>
    <n v="0"/>
  </r>
  <r>
    <x v="76"/>
    <s v="Dept 7"/>
    <x v="63"/>
    <x v="63"/>
    <n v="61083.58108021746"/>
    <s v="Yes"/>
    <n v="62916.088512623988"/>
    <m/>
    <m/>
    <n v="65432.732053128952"/>
    <m/>
    <d v="2022-07-01T00:00:00"/>
    <m/>
    <x v="58"/>
    <m/>
    <d v="2023-06-30T00:00:00"/>
    <n v="206"/>
    <n v="55"/>
    <n v="261"/>
    <n v="63446.41569548902"/>
    <n v="63446.41569548902"/>
    <n v="12284.306017637236"/>
    <m/>
    <m/>
    <n v="65432.732053128952"/>
    <m/>
    <d v="2022-07-01T00:00:00"/>
    <m/>
    <d v="2023-04-17T00:00:00"/>
    <m/>
    <d v="2023-06-30T00:00:00"/>
    <n v="206"/>
    <n v="55"/>
    <n v="261"/>
    <n v="63446.41569548902"/>
    <n v="63446.41569548902"/>
    <n v="12284.306017637236"/>
    <m/>
    <n v="0"/>
    <n v="0"/>
    <n v="0"/>
    <n v="0"/>
  </r>
  <r>
    <x v="77"/>
    <s v="Dept 3"/>
    <x v="64"/>
    <x v="64"/>
    <n v="71274.239774832022"/>
    <s v="Yes"/>
    <n v="73412.466968076988"/>
    <m/>
    <m/>
    <n v="76348.965646800076"/>
    <m/>
    <d v="2022-07-01T00:00:00"/>
    <m/>
    <x v="59"/>
    <m/>
    <d v="2023-06-30T00:00:00"/>
    <n v="214"/>
    <n v="47"/>
    <n v="261"/>
    <n v="73941.261749302983"/>
    <n v="73941.261749302983"/>
    <n v="14311.211951477999"/>
    <m/>
    <m/>
    <n v="76348.965646800076"/>
    <d v="2022-09-19T00:00:00"/>
    <d v="2022-09-19T00:00:00"/>
    <m/>
    <d v="2023-04-27T00:00:00"/>
    <m/>
    <d v="2023-06-30T00:00:00"/>
    <n v="158"/>
    <n v="47"/>
    <n v="205"/>
    <n v="74085.7130066135"/>
    <n v="58189.927840443561"/>
    <n v="14311.211951477999"/>
    <m/>
    <n v="144.45125731051667"/>
    <n v="-15895.785166169939"/>
    <n v="-15751.333908859422"/>
    <n v="0"/>
  </r>
  <r>
    <x v="78"/>
    <s v="Dept 11"/>
    <x v="65"/>
    <x v="65"/>
    <n v="52749.935741385481"/>
    <s v="Yes"/>
    <n v="54332.433813627045"/>
    <m/>
    <m/>
    <n v="56505.731166172132"/>
    <m/>
    <d v="2022-07-01T00:00:00"/>
    <m/>
    <x v="60"/>
    <m/>
    <d v="2023-06-30T00:00:00"/>
    <n v="90"/>
    <n v="171"/>
    <n v="261"/>
    <n v="55756.318285984169"/>
    <n v="55756.318285984169"/>
    <n v="10608.355659549557"/>
    <m/>
    <m/>
    <n v="56505.731166172132"/>
    <d v="2022-09-26T00:00:00"/>
    <d v="2022-09-26T00:00:00"/>
    <m/>
    <d v="2022-11-04T00:00:00"/>
    <m/>
    <d v="2023-06-30T00:00:00"/>
    <n v="29"/>
    <n v="171"/>
    <n v="200"/>
    <n v="56190.603050053091"/>
    <n v="43057.933371688196"/>
    <n v="10608.355659549557"/>
    <m/>
    <n v="434.2847640689215"/>
    <n v="-13132.669678364895"/>
    <n v="-12698.384914295973"/>
    <n v="0"/>
  </r>
  <r>
    <x v="79"/>
    <s v="Dept 6"/>
    <x v="1"/>
    <x v="1"/>
    <s v=""/>
    <s v="No"/>
    <n v="69906.028107361708"/>
    <m/>
    <m/>
    <n v="72702.269231656173"/>
    <m/>
    <d v="2022-09-29T00:00:00"/>
    <m/>
    <x v="1"/>
    <m/>
    <d v="2023-06-30T00:00:00"/>
    <n v="197"/>
    <n v="0"/>
    <n v="197"/>
    <n v="69906.028107361708"/>
    <n v="52764.320065709791"/>
    <n v="52764.320065709791"/>
    <m/>
    <m/>
    <n v="72702.269231656173"/>
    <d v="2022-08-25T00:00:00"/>
    <d v="2022-08-25T00:00:00"/>
    <d v="2022-11-01T00:00:00"/>
    <d v="2022-11-01T00:00:00"/>
    <m/>
    <d v="2023-06-30T00:00:00"/>
    <n v="48"/>
    <n v="174"/>
    <n v="222"/>
    <n v="72097.676556133039"/>
    <n v="61324.460519009714"/>
    <n v="13649.085028165337"/>
    <m/>
    <n v="2191.6484487713315"/>
    <n v="6368.4920045285908"/>
    <n v="8560.1404532999222"/>
    <n v="-39115.235037544451"/>
  </r>
  <r>
    <x v="80"/>
    <s v="Dept 9"/>
    <x v="66"/>
    <x v="66"/>
    <n v="46246.841724590704"/>
    <s v="Yes"/>
    <n v="47634.246976328424"/>
    <m/>
    <m/>
    <n v="49539.616855381566"/>
    <m/>
    <d v="2022-07-01T00:00:00"/>
    <m/>
    <x v="61"/>
    <d v="2023-05-31T00:00:00"/>
    <d v="2023-05-31T00:00:00"/>
    <n v="85"/>
    <n v="154"/>
    <n v="239"/>
    <n v="48861.974848186932"/>
    <n v="44743.340952937462"/>
    <n v="5124.7879505567134"/>
    <m/>
    <m/>
    <n v="49539.616855381566"/>
    <d v="2022-07-05T00:00:00"/>
    <d v="2022-07-05T00:00:00"/>
    <m/>
    <d v="2022-10-28T00:00:00"/>
    <m/>
    <d v="2023-06-30T00:00:00"/>
    <n v="83"/>
    <n v="176"/>
    <n v="259"/>
    <n v="48929.015697229399"/>
    <n v="48554.080711043731"/>
    <n v="9300.541095454777"/>
    <m/>
    <n v="67.040849042467016"/>
    <n v="3743.6989090638017"/>
    <n v="3810.7397581062687"/>
    <n v="4175.7531448980635"/>
  </r>
  <r>
    <x v="81"/>
    <s v="Dept 2"/>
    <x v="67"/>
    <x v="67"/>
    <n v="89748.843404155748"/>
    <s v="Yes"/>
    <n v="92441.308706280426"/>
    <m/>
    <m/>
    <n v="96138.961054531654"/>
    <m/>
    <d v="2022-07-01T00:00:00"/>
    <m/>
    <x v="62"/>
    <m/>
    <d v="2023-06-30T00:00:00"/>
    <n v="127"/>
    <n v="134"/>
    <n v="261"/>
    <n v="94339.72025672358"/>
    <n v="94339.72025672358"/>
    <n v="18049.0769795864"/>
    <m/>
    <m/>
    <n v="96138.961054531654"/>
    <m/>
    <d v="2022-07-01T00:00:00"/>
    <m/>
    <d v="2022-12-27T00:00:00"/>
    <m/>
    <d v="2023-06-30T00:00:00"/>
    <n v="127"/>
    <n v="134"/>
    <n v="261"/>
    <n v="94339.72025672358"/>
    <n v="94339.72025672358"/>
    <n v="18049.0769795864"/>
    <m/>
    <n v="0"/>
    <n v="0"/>
    <n v="0"/>
    <n v="0"/>
  </r>
  <r>
    <x v="82"/>
    <s v="Dept 1"/>
    <x v="68"/>
    <x v="68"/>
    <n v="42725.606051473347"/>
    <s v="Yes"/>
    <n v="44007.374233017552"/>
    <m/>
    <m/>
    <n v="45767.669202338257"/>
    <m/>
    <d v="2022-07-01T00:00:00"/>
    <m/>
    <x v="63"/>
    <m/>
    <d v="2023-06-30T00:00:00"/>
    <n v="100"/>
    <n v="161"/>
    <n v="261"/>
    <n v="45093.226685357149"/>
    <n v="45093.226685357149"/>
    <n v="8592.397666339366"/>
    <m/>
    <m/>
    <n v="45767.669202338257"/>
    <d v="2022-09-26T00:00:00"/>
    <d v="2022-09-26T00:00:00"/>
    <m/>
    <d v="2022-11-18T00:00:00"/>
    <m/>
    <d v="2023-06-30T00:00:00"/>
    <n v="39"/>
    <n v="161"/>
    <n v="200"/>
    <n v="45424.411683320715"/>
    <n v="34807.978301395189"/>
    <n v="8592.397666339366"/>
    <m/>
    <n v="331.18499796356627"/>
    <n v="-10616.433381925526"/>
    <n v="-10285.24838396196"/>
    <n v="0"/>
  </r>
  <r>
    <x v="83"/>
    <s v="Dept 10"/>
    <x v="1"/>
    <x v="1"/>
    <s v=""/>
    <s v="No"/>
    <n v="53528.807740437755"/>
    <m/>
    <m/>
    <n v="55669.96005005527"/>
    <m/>
    <d v="2022-09-29T00:00:00"/>
    <m/>
    <x v="1"/>
    <m/>
    <d v="2023-06-30T00:00:00"/>
    <n v="197"/>
    <n v="0"/>
    <n v="197"/>
    <n v="53528.807740437755"/>
    <n v="40402.969827073706"/>
    <n v="40402.969827073706"/>
    <m/>
    <m/>
    <n v="55669.96005005527"/>
    <d v="2022-09-26T00:00:00"/>
    <d v="2022-09-26T00:00:00"/>
    <m/>
    <s v=""/>
    <m/>
    <d v="2023-06-30T00:00:00"/>
    <n v="200"/>
    <n v="0"/>
    <n v="200"/>
    <n v="53528.807740437755"/>
    <n v="41018.243479262645"/>
    <n v="41018.243479262645"/>
    <m/>
    <n v="0"/>
    <n v="615.27365218893829"/>
    <n v="615.27365218893829"/>
    <n v="615.27365218893829"/>
  </r>
  <r>
    <x v="84"/>
    <s v="Dept 13"/>
    <x v="69"/>
    <x v="69"/>
    <n v="67239.731874022589"/>
    <s v="Yes"/>
    <n v="69256.923830243264"/>
    <m/>
    <m/>
    <n v="72027.200783452994"/>
    <m/>
    <d v="2022-07-01T00:00:00"/>
    <m/>
    <x v="64"/>
    <m/>
    <d v="2023-06-30T00:00:00"/>
    <n v="148"/>
    <n v="113"/>
    <n v="261"/>
    <n v="70456.315767839813"/>
    <n v="70456.315767839813"/>
    <n v="13522.348039805353"/>
    <m/>
    <m/>
    <n v="72027.200783452994"/>
    <m/>
    <d v="2022-07-01T00:00:00"/>
    <m/>
    <d v="2023-01-25T00:00:00"/>
    <m/>
    <d v="2023-06-30T00:00:00"/>
    <n v="148"/>
    <n v="113"/>
    <n v="261"/>
    <n v="70456.315767839813"/>
    <n v="70456.315767839813"/>
    <n v="13522.348039805353"/>
    <m/>
    <n v="0"/>
    <n v="0"/>
    <n v="0"/>
    <n v="0"/>
  </r>
  <r>
    <x v="85"/>
    <s v="Dept 8"/>
    <x v="70"/>
    <x v="70"/>
    <n v="85186.043906849838"/>
    <s v="Yes"/>
    <n v="87741.625224055329"/>
    <m/>
    <m/>
    <n v="91251.290233017542"/>
    <m/>
    <d v="2022-07-01T00:00:00"/>
    <m/>
    <x v="65"/>
    <m/>
    <d v="2023-06-30T00:00:00"/>
    <n v="14"/>
    <n v="247"/>
    <n v="261"/>
    <n v="91063.032339816506"/>
    <n v="91063.032339816506"/>
    <n v="17131.468281294481"/>
    <m/>
    <m/>
    <n v="91251.290233017542"/>
    <m/>
    <d v="2022-07-01T00:00:00"/>
    <m/>
    <d v="2022-07-21T00:00:00"/>
    <m/>
    <d v="2023-06-30T00:00:00"/>
    <n v="14"/>
    <n v="247"/>
    <n v="261"/>
    <n v="91063.032339816506"/>
    <n v="91063.032339816506"/>
    <n v="17131.468281294481"/>
    <m/>
    <n v="0"/>
    <n v="0"/>
    <n v="0"/>
    <n v="0"/>
  </r>
  <r>
    <x v="86"/>
    <s v="Dept 14"/>
    <x v="1"/>
    <x v="1"/>
    <s v=""/>
    <s v="No"/>
    <n v="48255.111311425921"/>
    <m/>
    <m/>
    <n v="50185.315763882958"/>
    <m/>
    <d v="2022-09-29T00:00:00"/>
    <m/>
    <x v="1"/>
    <m/>
    <d v="2023-06-30T00:00:00"/>
    <n v="197"/>
    <n v="0"/>
    <n v="197"/>
    <n v="48255.111311425921"/>
    <n v="36422.440338509223"/>
    <n v="36422.440338509223"/>
    <m/>
    <m/>
    <n v="50185.315763882958"/>
    <m/>
    <d v="2022-09-29T00:00:00"/>
    <m/>
    <s v=""/>
    <m/>
    <d v="2023-06-30T00:00:00"/>
    <n v="197"/>
    <n v="0"/>
    <n v="197"/>
    <n v="48255.111311425921"/>
    <n v="36422.440338509223"/>
    <n v="36422.440338509223"/>
    <m/>
    <n v="0"/>
    <n v="0"/>
    <n v="0"/>
    <n v="0"/>
  </r>
  <r>
    <x v="87"/>
    <s v="Dept 5"/>
    <x v="71"/>
    <x v="71"/>
    <n v="82187.051807376789"/>
    <s v="Yes"/>
    <n v="84652.663361598097"/>
    <m/>
    <m/>
    <n v="88038.769896062018"/>
    <m/>
    <d v="2022-07-01T00:00:00"/>
    <m/>
    <x v="66"/>
    <m/>
    <d v="2023-06-30T00:00:00"/>
    <n v="41"/>
    <n v="220"/>
    <n v="261"/>
    <n v="87506.85277762133"/>
    <n v="87506.85277762133"/>
    <n v="16528.351436425437"/>
    <m/>
    <m/>
    <n v="88038.769896062018"/>
    <m/>
    <d v="2022-07-01T00:00:00"/>
    <m/>
    <d v="2022-08-27T00:00:00"/>
    <m/>
    <d v="2023-06-30T00:00:00"/>
    <n v="41"/>
    <n v="220"/>
    <n v="261"/>
    <n v="87506.85277762133"/>
    <n v="87506.85277762133"/>
    <n v="16528.351436425437"/>
    <m/>
    <n v="0"/>
    <n v="0"/>
    <n v="0"/>
    <n v="0"/>
  </r>
  <r>
    <x v="88"/>
    <s v="Dept 12"/>
    <x v="1"/>
    <x v="1"/>
    <s v=""/>
    <s v="No"/>
    <n v="99968.854654944385"/>
    <m/>
    <m/>
    <n v="103967.60884114217"/>
    <m/>
    <d v="2022-09-29T00:00:00"/>
    <m/>
    <x v="1"/>
    <m/>
    <d v="2023-06-30T00:00:00"/>
    <n v="197"/>
    <n v="0"/>
    <n v="197"/>
    <n v="99968.8546549444"/>
    <n v="75455.419030743462"/>
    <n v="75455.419030743462"/>
    <m/>
    <m/>
    <n v="103967.60884114217"/>
    <m/>
    <d v="2022-09-29T00:00:00"/>
    <m/>
    <s v=""/>
    <m/>
    <d v="2023-06-30T00:00:00"/>
    <n v="197"/>
    <n v="0"/>
    <n v="197"/>
    <n v="99968.8546549444"/>
    <n v="75455.419030743462"/>
    <n v="75455.419030743462"/>
    <m/>
    <n v="0"/>
    <n v="0"/>
    <n v="0"/>
    <n v="0"/>
  </r>
  <r>
    <x v="89"/>
    <s v="Dept 4"/>
    <x v="1"/>
    <x v="1"/>
    <s v=""/>
    <s v="No"/>
    <n v="45729.887822206925"/>
    <m/>
    <m/>
    <n v="47559.083335095202"/>
    <m/>
    <d v="2022-09-29T00:00:00"/>
    <m/>
    <x v="1"/>
    <m/>
    <d v="2023-06-30T00:00:00"/>
    <n v="197"/>
    <n v="0"/>
    <n v="197"/>
    <n v="45729.887822206925"/>
    <n v="34516.428739366907"/>
    <n v="34516.428739366907"/>
    <m/>
    <m/>
    <n v="47559.083335095202"/>
    <m/>
    <d v="2022-09-29T00:00:00"/>
    <m/>
    <s v=""/>
    <m/>
    <d v="2023-06-30T00:00:00"/>
    <n v="197"/>
    <n v="0"/>
    <n v="197"/>
    <n v="45729.887822206925"/>
    <n v="34516.428739366907"/>
    <n v="34516.428739366907"/>
    <m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421160-76DD-45B4-9FD6-C26CC93DE78A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78" firstHeaderRow="1" firstDataRow="1" firstDataCol="1" rowPageCount="1" colPageCount="1"/>
  <pivotFields count="42">
    <pivotField showAll="0">
      <items count="91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t="default"/>
      </items>
    </pivotField>
    <pivotField showAll="0"/>
    <pivotField axis="axisRow" showAll="0">
      <items count="73">
        <item x="2"/>
        <item x="3"/>
        <item x="4"/>
        <item x="5"/>
        <item x="6"/>
        <item x="7"/>
        <item x="8"/>
        <item x="9"/>
        <item x="0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3"/>
        <item x="62"/>
        <item x="64"/>
        <item x="65"/>
        <item x="66"/>
        <item x="67"/>
        <item x="68"/>
        <item x="69"/>
        <item x="70"/>
        <item x="71"/>
        <item x="1"/>
        <item t="default"/>
      </items>
    </pivotField>
    <pivotField dataField="1" showAll="0">
      <items count="73">
        <item x="2"/>
        <item x="3"/>
        <item x="4"/>
        <item x="5"/>
        <item x="6"/>
        <item x="7"/>
        <item x="8"/>
        <item x="9"/>
        <item x="0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1"/>
        <item t="default"/>
      </items>
    </pivotField>
    <pivotField showAll="0"/>
    <pivotField showAll="0"/>
    <pivotField numFmtId="166" showAll="0"/>
    <pivotField showAll="0"/>
    <pivotField showAll="0"/>
    <pivotField numFmtId="166" showAll="0"/>
    <pivotField showAll="0"/>
    <pivotField numFmtId="14" showAll="0"/>
    <pivotField showAll="0"/>
    <pivotField axis="axisPage" showAll="0">
      <items count="68">
        <item x="1"/>
        <item x="11"/>
        <item x="41"/>
        <item x="50"/>
        <item x="65"/>
        <item x="55"/>
        <item x="20"/>
        <item x="56"/>
        <item x="27"/>
        <item x="51"/>
        <item x="39"/>
        <item x="66"/>
        <item x="42"/>
        <item x="48"/>
        <item x="23"/>
        <item x="31"/>
        <item x="4"/>
        <item x="28"/>
        <item x="14"/>
        <item x="19"/>
        <item x="36"/>
        <item x="8"/>
        <item x="61"/>
        <item x="46"/>
        <item x="60"/>
        <item x="63"/>
        <item x="25"/>
        <item x="0"/>
        <item x="7"/>
        <item x="33"/>
        <item x="53"/>
        <item x="62"/>
        <item x="22"/>
        <item x="16"/>
        <item x="47"/>
        <item x="6"/>
        <item x="37"/>
        <item x="3"/>
        <item x="2"/>
        <item x="64"/>
        <item x="49"/>
        <item x="13"/>
        <item x="34"/>
        <item x="26"/>
        <item x="57"/>
        <item x="45"/>
        <item x="12"/>
        <item x="10"/>
        <item x="29"/>
        <item x="40"/>
        <item x="15"/>
        <item x="17"/>
        <item x="30"/>
        <item x="52"/>
        <item x="18"/>
        <item x="58"/>
        <item x="59"/>
        <item x="35"/>
        <item x="32"/>
        <item x="38"/>
        <item x="54"/>
        <item x="24"/>
        <item x="9"/>
        <item x="43"/>
        <item x="5"/>
        <item x="44"/>
        <item x="21"/>
        <item t="default"/>
      </items>
    </pivotField>
    <pivotField showAll="0"/>
    <pivotField numFmtId="14" showAll="0"/>
    <pivotField showAll="0"/>
    <pivotField showAll="0"/>
    <pivotField showAll="0"/>
    <pivotField numFmtId="166" showAll="0"/>
    <pivotField numFmtId="166" showAll="0"/>
    <pivotField numFmtId="166" showAll="0"/>
    <pivotField showAll="0"/>
    <pivotField showAll="0"/>
    <pivotField numFmtId="166" showAll="0"/>
    <pivotField showAll="0"/>
    <pivotField numFmtId="14" showAll="0"/>
    <pivotField showAll="0"/>
    <pivotField showAll="0"/>
    <pivotField showAll="0"/>
    <pivotField numFmtId="14" showAll="0"/>
    <pivotField showAll="0"/>
    <pivotField showAll="0"/>
    <pivotField showAll="0"/>
    <pivotField numFmtId="166" showAll="0"/>
    <pivotField numFmtId="166" showAll="0"/>
    <pivotField numFmtId="166" showAll="0"/>
    <pivotField showAll="0"/>
    <pivotField numFmtId="166" showAll="0"/>
    <pivotField numFmtId="166" showAll="0"/>
    <pivotField numFmtId="166" showAll="0"/>
    <pivotField numFmtId="166" showAll="0"/>
  </pivotFields>
  <rowFields count="1">
    <field x="2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Items count="1">
    <i/>
  </colItems>
  <pageFields count="1">
    <pageField fld="13" hier="-1"/>
  </pageFields>
  <dataFields count="1">
    <dataField name="Count of Employee Id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5D6D-885F-F943-9AAC-1DCAAD673C45}">
  <sheetPr published="0"/>
  <dimension ref="A1:O36"/>
  <sheetViews>
    <sheetView zoomScale="115" workbookViewId="0">
      <selection activeCell="C8" sqref="C8:D8"/>
    </sheetView>
  </sheetViews>
  <sheetFormatPr defaultColWidth="11.125" defaultRowHeight="15.75"/>
  <cols>
    <col min="15" max="15" width="0" hidden="1" customWidth="1"/>
  </cols>
  <sheetData>
    <row r="1" spans="1:15" ht="18.75">
      <c r="A1" s="94" t="s">
        <v>58</v>
      </c>
      <c r="H1" s="2" t="s">
        <v>344</v>
      </c>
    </row>
    <row r="2" spans="1:15">
      <c r="A2" s="95" t="s">
        <v>343</v>
      </c>
      <c r="H2" s="2"/>
    </row>
    <row r="3" spans="1:15">
      <c r="A3" s="96" t="str">
        <f ca="1">"Sheet: "&amp;MID(CELL("filename",A1),FIND("]",CELL("filename",A1))+1,255)</f>
        <v>Sheet: ENTER SFAM ID</v>
      </c>
    </row>
    <row r="4" spans="1:15" s="3" customFormat="1" ht="12.75">
      <c r="A4" s="4"/>
    </row>
    <row r="5" spans="1:15" s="3" customFormat="1" ht="12.75"/>
    <row r="6" spans="1:15" s="3" customFormat="1" ht="12.75">
      <c r="B6" s="54" t="s">
        <v>43</v>
      </c>
    </row>
    <row r="7" spans="1:15" s="3" customFormat="1" ht="13.5" thickBot="1">
      <c r="O7" s="114" t="s">
        <v>25</v>
      </c>
    </row>
    <row r="8" spans="1:15" s="56" customFormat="1" ht="15" customHeight="1" thickBot="1">
      <c r="C8" s="269">
        <v>23472093</v>
      </c>
      <c r="D8" s="270"/>
      <c r="O8" s="115">
        <v>12249598</v>
      </c>
    </row>
    <row r="9" spans="1:15" ht="16.5">
      <c r="O9" s="115">
        <v>13094454</v>
      </c>
    </row>
    <row r="10" spans="1:15" ht="16.5">
      <c r="B10" s="55" t="s">
        <v>44</v>
      </c>
      <c r="O10" s="115">
        <v>15088115</v>
      </c>
    </row>
    <row r="11" spans="1:15" ht="16.5">
      <c r="B11" s="66" t="s">
        <v>45</v>
      </c>
      <c r="O11" s="115">
        <v>23124915</v>
      </c>
    </row>
    <row r="12" spans="1:15" ht="16.5">
      <c r="B12" s="66" t="s">
        <v>57</v>
      </c>
      <c r="O12" s="115">
        <v>23127451</v>
      </c>
    </row>
    <row r="13" spans="1:15" ht="16.5">
      <c r="O13" s="115">
        <v>23187403</v>
      </c>
    </row>
    <row r="14" spans="1:15" ht="16.5">
      <c r="O14" s="115">
        <v>23349375</v>
      </c>
    </row>
    <row r="15" spans="1:15" s="62" customFormat="1" ht="15" customHeight="1">
      <c r="B15" s="265"/>
      <c r="O15" s="115">
        <v>23472093</v>
      </c>
    </row>
    <row r="16" spans="1:15" s="62" customFormat="1" ht="15" customHeight="1">
      <c r="A16" s="91"/>
      <c r="O16" s="115">
        <v>23499774</v>
      </c>
    </row>
    <row r="17" spans="1:15" s="62" customFormat="1" ht="15" customHeight="1">
      <c r="A17" s="266"/>
      <c r="O17" s="115">
        <v>23558332</v>
      </c>
    </row>
    <row r="18" spans="1:15" s="62" customFormat="1" ht="15" customHeight="1">
      <c r="A18" s="266"/>
      <c r="O18" s="115">
        <v>23621570</v>
      </c>
    </row>
    <row r="19" spans="1:15" s="62" customFormat="1" ht="15" customHeight="1">
      <c r="A19" s="266"/>
      <c r="J19" s="67"/>
      <c r="O19" s="115">
        <v>23650144</v>
      </c>
    </row>
    <row r="20" spans="1:15" s="62" customFormat="1" ht="15" customHeight="1">
      <c r="A20" s="266"/>
      <c r="B20" s="67"/>
      <c r="J20" s="67"/>
      <c r="O20" s="115">
        <v>23726275</v>
      </c>
    </row>
    <row r="21" spans="1:15" s="62" customFormat="1" ht="15" customHeight="1">
      <c r="A21" s="266"/>
      <c r="B21" s="67"/>
      <c r="J21" s="67"/>
      <c r="O21" s="115">
        <v>23731154</v>
      </c>
    </row>
    <row r="22" spans="1:15" s="62" customFormat="1" ht="15" customHeight="1">
      <c r="A22" s="266"/>
      <c r="B22" s="67"/>
      <c r="J22" s="67"/>
      <c r="O22" s="115">
        <v>23756680</v>
      </c>
    </row>
    <row r="23" spans="1:15" s="62" customFormat="1" ht="15" customHeight="1">
      <c r="O23" s="115">
        <v>23761860</v>
      </c>
    </row>
    <row r="24" spans="1:15" s="62" customFormat="1" ht="15" customHeight="1">
      <c r="A24" s="266"/>
      <c r="O24" s="115">
        <v>23852100</v>
      </c>
    </row>
    <row r="25" spans="1:15" s="62" customFormat="1" ht="15" customHeight="1">
      <c r="A25" s="266"/>
      <c r="O25" s="115">
        <v>23862816</v>
      </c>
    </row>
    <row r="26" spans="1:15" s="62" customFormat="1" ht="15" customHeight="1">
      <c r="A26" s="266"/>
      <c r="O26" s="115">
        <v>23882987</v>
      </c>
    </row>
    <row r="27" spans="1:15" s="62" customFormat="1" ht="15" customHeight="1">
      <c r="O27" s="115">
        <v>23893711</v>
      </c>
    </row>
    <row r="28" spans="1:15" ht="16.5">
      <c r="B28" s="267"/>
      <c r="C28" s="268"/>
      <c r="D28" s="268"/>
      <c r="O28" s="115">
        <v>23962266</v>
      </c>
    </row>
    <row r="29" spans="1:15" ht="16.5">
      <c r="B29" s="67"/>
      <c r="O29" s="115">
        <v>23962266</v>
      </c>
    </row>
    <row r="30" spans="1:15" ht="16.5">
      <c r="O30" s="115">
        <v>23975909</v>
      </c>
    </row>
    <row r="31" spans="1:15" ht="16.5">
      <c r="O31" s="115">
        <v>23990195</v>
      </c>
    </row>
    <row r="32" spans="1:15" ht="16.5">
      <c r="O32" s="115">
        <v>24030917</v>
      </c>
    </row>
    <row r="33" spans="15:15" ht="16.5">
      <c r="O33" s="115">
        <v>24038137</v>
      </c>
    </row>
    <row r="34" spans="15:15" ht="16.5">
      <c r="O34" s="115">
        <v>24051217</v>
      </c>
    </row>
    <row r="35" spans="15:15" ht="16.5">
      <c r="O35" s="115">
        <v>24097377</v>
      </c>
    </row>
    <row r="36" spans="15:15" ht="16.5">
      <c r="O36" s="115">
        <v>24156455</v>
      </c>
    </row>
  </sheetData>
  <mergeCells count="1">
    <mergeCell ref="C8:D8"/>
  </mergeCells>
  <dataValidations count="1">
    <dataValidation type="list" errorStyle="warning" allowBlank="1" showDropDown="1" showInputMessage="1" showErrorMessage="1" errorTitle="Invalid SFAM ID" error="Your entry is not included in our list of enrolled SFAM IDs. Please validate that the value you have entered is your correct SFAM ID (Employee Number)." promptTitle="Enter your SFAM ID" prompt="For CUNY this is your Employee ID" sqref="C8:D8" xr:uid="{8957F1F9-0B9A-9A41-9323-4106DF3A029F}">
      <formula1>$O:$O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A2B3-C996-0F41-BD06-D5E7315BFA47}">
  <sheetPr published="0"/>
  <dimension ref="A1:H51"/>
  <sheetViews>
    <sheetView workbookViewId="0">
      <selection activeCell="A4" sqref="A4"/>
    </sheetView>
  </sheetViews>
  <sheetFormatPr defaultColWidth="11" defaultRowHeight="15.75"/>
  <sheetData>
    <row r="1" spans="1:8" ht="18.75">
      <c r="A1" s="94" t="s">
        <v>58</v>
      </c>
      <c r="H1" s="2" t="s">
        <v>344</v>
      </c>
    </row>
    <row r="2" spans="1:8">
      <c r="A2" s="95" t="s">
        <v>343</v>
      </c>
      <c r="H2" s="2"/>
    </row>
    <row r="3" spans="1:8">
      <c r="A3" s="96" t="str">
        <f ca="1">"Sheet: "&amp;MID(CELL("filename",A1),FIND("]",CELL("filename",A1))+1,255)</f>
        <v>Sheet: INTRO</v>
      </c>
    </row>
    <row r="5" spans="1:8">
      <c r="A5" s="119" t="s">
        <v>354</v>
      </c>
    </row>
    <row r="6" spans="1:8">
      <c r="A6" t="s">
        <v>351</v>
      </c>
    </row>
    <row r="7" spans="1:8">
      <c r="A7" t="s">
        <v>352</v>
      </c>
    </row>
    <row r="8" spans="1:8">
      <c r="A8" t="s">
        <v>353</v>
      </c>
    </row>
    <row r="10" spans="1:8">
      <c r="A10" s="119" t="s">
        <v>355</v>
      </c>
    </row>
    <row r="11" spans="1:8">
      <c r="A11" t="s">
        <v>350</v>
      </c>
    </row>
    <row r="12" spans="1:8">
      <c r="A12" t="s">
        <v>356</v>
      </c>
    </row>
    <row r="13" spans="1:8">
      <c r="A13" t="s">
        <v>360</v>
      </c>
    </row>
    <row r="14" spans="1:8">
      <c r="A14" s="101" t="s">
        <v>362</v>
      </c>
    </row>
    <row r="15" spans="1:8">
      <c r="A15" s="101" t="s">
        <v>361</v>
      </c>
    </row>
    <row r="16" spans="1:8">
      <c r="A16" s="101" t="s">
        <v>365</v>
      </c>
    </row>
    <row r="17" spans="1:1">
      <c r="A17" s="101" t="s">
        <v>367</v>
      </c>
    </row>
    <row r="18" spans="1:1">
      <c r="A18" s="101" t="s">
        <v>366</v>
      </c>
    </row>
    <row r="19" spans="1:1">
      <c r="A19" s="121" t="s">
        <v>372</v>
      </c>
    </row>
    <row r="20" spans="1:1">
      <c r="A20" s="101" t="s">
        <v>373</v>
      </c>
    </row>
    <row r="21" spans="1:1">
      <c r="A21" s="101" t="s">
        <v>374</v>
      </c>
    </row>
    <row r="22" spans="1:1">
      <c r="A22" s="101" t="s">
        <v>375</v>
      </c>
    </row>
    <row r="23" spans="1:1">
      <c r="A23" s="101" t="s">
        <v>377</v>
      </c>
    </row>
    <row r="24" spans="1:1">
      <c r="A24" s="101" t="s">
        <v>376</v>
      </c>
    </row>
    <row r="25" spans="1:1">
      <c r="A25" s="121" t="s">
        <v>378</v>
      </c>
    </row>
    <row r="26" spans="1:1">
      <c r="A26" s="101" t="s">
        <v>379</v>
      </c>
    </row>
    <row r="27" spans="1:1">
      <c r="A27" s="101" t="s">
        <v>380</v>
      </c>
    </row>
    <row r="28" spans="1:1">
      <c r="A28" s="101" t="s">
        <v>381</v>
      </c>
    </row>
    <row r="29" spans="1:1">
      <c r="A29" s="121" t="s">
        <v>371</v>
      </c>
    </row>
    <row r="30" spans="1:1">
      <c r="A30" s="101" t="s">
        <v>382</v>
      </c>
    </row>
    <row r="31" spans="1:1">
      <c r="A31" s="122" t="s">
        <v>383</v>
      </c>
    </row>
    <row r="33" spans="1:1">
      <c r="A33" s="119" t="s">
        <v>389</v>
      </c>
    </row>
    <row r="34" spans="1:1">
      <c r="A34" t="s">
        <v>388</v>
      </c>
    </row>
    <row r="35" spans="1:1">
      <c r="A35" s="121" t="s">
        <v>368</v>
      </c>
    </row>
    <row r="36" spans="1:1">
      <c r="A36" s="101" t="s">
        <v>369</v>
      </c>
    </row>
    <row r="37" spans="1:1">
      <c r="A37" s="123" t="s">
        <v>386</v>
      </c>
    </row>
    <row r="38" spans="1:1">
      <c r="A38" s="123" t="s">
        <v>387</v>
      </c>
    </row>
    <row r="39" spans="1:1">
      <c r="A39" s="101" t="s">
        <v>370</v>
      </c>
    </row>
    <row r="40" spans="1:1">
      <c r="A40" s="123" t="s">
        <v>384</v>
      </c>
    </row>
    <row r="41" spans="1:1">
      <c r="A41" s="123" t="s">
        <v>385</v>
      </c>
    </row>
    <row r="43" spans="1:1">
      <c r="A43" s="119" t="s">
        <v>390</v>
      </c>
    </row>
    <row r="44" spans="1:1">
      <c r="A44" t="s">
        <v>391</v>
      </c>
    </row>
    <row r="45" spans="1:1">
      <c r="A45" t="s">
        <v>392</v>
      </c>
    </row>
    <row r="46" spans="1:1">
      <c r="A46" t="s">
        <v>393</v>
      </c>
    </row>
    <row r="47" spans="1:1">
      <c r="A47" t="s">
        <v>394</v>
      </c>
    </row>
    <row r="48" spans="1:1">
      <c r="A48" s="101" t="s">
        <v>395</v>
      </c>
    </row>
    <row r="49" spans="1:1">
      <c r="A49" s="101" t="s">
        <v>396</v>
      </c>
    </row>
    <row r="50" spans="1:1">
      <c r="A50" s="101" t="s">
        <v>397</v>
      </c>
    </row>
    <row r="51" spans="1:1">
      <c r="A51" s="121" t="s">
        <v>398</v>
      </c>
    </row>
  </sheetData>
  <sheetProtection algorithmName="SHA-512" hashValue="UbRFv6Ct/t4PH2WN6Vh1onJFZorz9AuuXyzrq+N8O/CD1jfKOZ4Z8Q1ETalQqcy8g969dsQwr90QameWzr3nRQ==" saltValue="TI1W3GD/TQFmrUGiun4Ho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B50C-43D7-BA44-9BC3-4D3C1D78AD34}">
  <sheetPr published="0"/>
  <dimension ref="A1:K183"/>
  <sheetViews>
    <sheetView topLeftCell="A148" zoomScale="119" zoomScaleNormal="120" workbookViewId="0">
      <selection activeCell="B159" sqref="B159"/>
    </sheetView>
  </sheetViews>
  <sheetFormatPr defaultColWidth="10.875" defaultRowHeight="14.25"/>
  <cols>
    <col min="1" max="16384" width="10.875" style="138"/>
  </cols>
  <sheetData>
    <row r="1" spans="1:8" ht="15">
      <c r="A1" s="137" t="s">
        <v>58</v>
      </c>
      <c r="H1" s="139" t="s">
        <v>344</v>
      </c>
    </row>
    <row r="2" spans="1:8">
      <c r="A2" s="140" t="s">
        <v>343</v>
      </c>
      <c r="H2" s="139"/>
    </row>
    <row r="3" spans="1:8">
      <c r="A3" s="141" t="str">
        <f ca="1">"Sheet: "&amp;MID(CELL("filename",A1),FIND("]",CELL("filename",A1))+1,255)</f>
        <v>Sheet: Developing Model</v>
      </c>
    </row>
    <row r="5" spans="1:8" ht="15">
      <c r="A5" s="142" t="s">
        <v>363</v>
      </c>
    </row>
    <row r="6" spans="1:8">
      <c r="B6" s="138" t="s">
        <v>161</v>
      </c>
    </row>
    <row r="7" spans="1:8">
      <c r="B7" s="138" t="s">
        <v>61</v>
      </c>
    </row>
    <row r="8" spans="1:8">
      <c r="B8" s="138" t="s">
        <v>160</v>
      </c>
      <c r="E8" s="91"/>
    </row>
    <row r="9" spans="1:8">
      <c r="B9" s="138" t="s">
        <v>62</v>
      </c>
    </row>
    <row r="10" spans="1:8">
      <c r="B10" s="188" t="s">
        <v>341</v>
      </c>
    </row>
    <row r="11" spans="1:8">
      <c r="B11" s="188" t="s">
        <v>342</v>
      </c>
    </row>
    <row r="13" spans="1:8" ht="15">
      <c r="A13" s="142" t="s">
        <v>560</v>
      </c>
    </row>
    <row r="14" spans="1:8">
      <c r="A14" s="138" t="s">
        <v>326</v>
      </c>
    </row>
    <row r="15" spans="1:8">
      <c r="A15" s="138" t="s">
        <v>364</v>
      </c>
    </row>
    <row r="16" spans="1:8">
      <c r="B16" s="138" t="s">
        <v>161</v>
      </c>
    </row>
    <row r="17" spans="1:2">
      <c r="B17" s="138" t="s">
        <v>159</v>
      </c>
    </row>
    <row r="18" spans="1:2">
      <c r="B18" s="138" t="s">
        <v>67</v>
      </c>
    </row>
    <row r="19" spans="1:2">
      <c r="B19" s="138" t="s">
        <v>504</v>
      </c>
    </row>
    <row r="21" spans="1:2" ht="15">
      <c r="A21" s="142" t="s">
        <v>445</v>
      </c>
    </row>
    <row r="22" spans="1:2">
      <c r="A22" s="138" t="s">
        <v>503</v>
      </c>
    </row>
    <row r="23" spans="1:2">
      <c r="A23" s="143" t="s">
        <v>68</v>
      </c>
    </row>
    <row r="24" spans="1:2">
      <c r="B24" s="138" t="s">
        <v>561</v>
      </c>
    </row>
    <row r="25" spans="1:2">
      <c r="B25" s="138" t="s">
        <v>446</v>
      </c>
    </row>
    <row r="26" spans="1:2">
      <c r="A26" s="143" t="s">
        <v>67</v>
      </c>
    </row>
    <row r="27" spans="1:2">
      <c r="B27" s="138" t="s">
        <v>562</v>
      </c>
    </row>
    <row r="28" spans="1:2">
      <c r="A28" s="143" t="s">
        <v>357</v>
      </c>
    </row>
    <row r="29" spans="1:2">
      <c r="B29" s="138" t="s">
        <v>447</v>
      </c>
    </row>
    <row r="30" spans="1:2">
      <c r="B30" s="138" t="s">
        <v>449</v>
      </c>
    </row>
    <row r="31" spans="1:2">
      <c r="A31" s="143" t="s">
        <v>161</v>
      </c>
    </row>
    <row r="32" spans="1:2">
      <c r="B32" s="138" t="s">
        <v>448</v>
      </c>
    </row>
    <row r="33" spans="1:2">
      <c r="B33" s="138" t="s">
        <v>563</v>
      </c>
    </row>
    <row r="35" spans="1:2" ht="15">
      <c r="A35" s="142" t="s">
        <v>404</v>
      </c>
    </row>
    <row r="36" spans="1:2">
      <c r="A36" s="143" t="s">
        <v>325</v>
      </c>
    </row>
    <row r="37" spans="1:2">
      <c r="A37" s="143"/>
      <c r="B37" s="138" t="s">
        <v>437</v>
      </c>
    </row>
    <row r="38" spans="1:2">
      <c r="A38" s="143" t="s">
        <v>431</v>
      </c>
    </row>
    <row r="39" spans="1:2">
      <c r="A39" s="143"/>
      <c r="B39" s="147" t="s">
        <v>439</v>
      </c>
    </row>
    <row r="40" spans="1:2">
      <c r="A40" s="143" t="s">
        <v>442</v>
      </c>
    </row>
    <row r="41" spans="1:2">
      <c r="A41" s="143"/>
      <c r="B41" s="147" t="s">
        <v>440</v>
      </c>
    </row>
    <row r="42" spans="1:2">
      <c r="A42" s="143" t="s">
        <v>358</v>
      </c>
    </row>
    <row r="43" spans="1:2">
      <c r="A43" s="143"/>
      <c r="B43" s="147" t="s">
        <v>441</v>
      </c>
    </row>
    <row r="44" spans="1:2">
      <c r="A44" s="143" t="s">
        <v>359</v>
      </c>
    </row>
    <row r="45" spans="1:2">
      <c r="A45" s="143"/>
      <c r="B45" s="138" t="s">
        <v>443</v>
      </c>
    </row>
    <row r="46" spans="1:2">
      <c r="A46" s="143" t="s">
        <v>346</v>
      </c>
    </row>
    <row r="47" spans="1:2">
      <c r="A47" s="143"/>
      <c r="B47" s="138" t="s">
        <v>444</v>
      </c>
    </row>
    <row r="48" spans="1:2">
      <c r="A48" s="143"/>
    </row>
    <row r="49" spans="1:5" ht="15">
      <c r="A49" s="159" t="s">
        <v>499</v>
      </c>
    </row>
    <row r="50" spans="1:5">
      <c r="A50" s="138" t="s">
        <v>502</v>
      </c>
    </row>
    <row r="51" spans="1:5">
      <c r="A51" s="160" t="s">
        <v>463</v>
      </c>
    </row>
    <row r="52" spans="1:5">
      <c r="B52" s="138" t="s">
        <v>476</v>
      </c>
    </row>
    <row r="53" spans="1:5">
      <c r="A53" s="160" t="s">
        <v>464</v>
      </c>
    </row>
    <row r="54" spans="1:5">
      <c r="A54" s="143"/>
      <c r="B54" s="138" t="s">
        <v>477</v>
      </c>
    </row>
    <row r="55" spans="1:5">
      <c r="A55" s="143"/>
    </row>
    <row r="56" spans="1:5" ht="15">
      <c r="A56" s="142" t="str">
        <f>"Headlines (Row "&amp;ROW('Budgeting Model'!C10)&amp;")"</f>
        <v>Headlines (Row 10)</v>
      </c>
    </row>
    <row r="57" spans="1:5">
      <c r="A57" s="143" t="s">
        <v>564</v>
      </c>
    </row>
    <row r="58" spans="1:5">
      <c r="A58" s="143"/>
    </row>
    <row r="59" spans="1:5" ht="15">
      <c r="A59" s="142" t="s">
        <v>403</v>
      </c>
    </row>
    <row r="60" spans="1:5">
      <c r="A60" s="138" t="s">
        <v>565</v>
      </c>
    </row>
    <row r="61" spans="1:5">
      <c r="A61" s="138" t="s">
        <v>566</v>
      </c>
    </row>
    <row r="62" spans="1:5">
      <c r="A62" s="138" t="s">
        <v>567</v>
      </c>
    </row>
    <row r="63" spans="1:5">
      <c r="A63" s="138" t="s">
        <v>568</v>
      </c>
    </row>
    <row r="64" spans="1:5">
      <c r="A64" s="143" t="str">
        <f ca="1">'Employee Master'!E6</f>
        <v>Salary as of 06/28/22</v>
      </c>
      <c r="E64" s="144"/>
    </row>
    <row r="65" spans="1:5">
      <c r="A65" s="143"/>
      <c r="B65" s="138" t="s">
        <v>601</v>
      </c>
      <c r="E65" s="144"/>
    </row>
    <row r="66" spans="1:5">
      <c r="A66" s="143"/>
      <c r="B66" s="138" t="s">
        <v>457</v>
      </c>
      <c r="E66" s="144"/>
    </row>
    <row r="67" spans="1:5">
      <c r="A67" s="143" t="s">
        <v>465</v>
      </c>
      <c r="E67" s="144"/>
    </row>
    <row r="68" spans="1:5">
      <c r="A68" s="143"/>
      <c r="B68" s="138" t="s">
        <v>569</v>
      </c>
      <c r="E68" s="144"/>
    </row>
    <row r="69" spans="1:5">
      <c r="A69" s="143"/>
      <c r="B69" s="138" t="s">
        <v>466</v>
      </c>
      <c r="E69" s="144"/>
    </row>
    <row r="70" spans="1:5">
      <c r="A70" s="143"/>
      <c r="B70" s="138" t="s">
        <v>450</v>
      </c>
      <c r="E70" s="144"/>
    </row>
    <row r="71" spans="1:5">
      <c r="A71" s="143" t="s">
        <v>438</v>
      </c>
      <c r="E71" s="144"/>
    </row>
    <row r="72" spans="1:5">
      <c r="A72" s="143"/>
      <c r="B72" s="138" t="s">
        <v>458</v>
      </c>
      <c r="E72" s="144"/>
    </row>
    <row r="73" spans="1:5">
      <c r="A73" s="143"/>
      <c r="B73" s="138" t="s">
        <v>570</v>
      </c>
      <c r="E73" s="144"/>
    </row>
    <row r="74" spans="1:5">
      <c r="A74" s="143"/>
      <c r="B74" s="138" t="s">
        <v>457</v>
      </c>
      <c r="E74" s="144"/>
    </row>
    <row r="75" spans="1:5">
      <c r="A75" s="144" t="s">
        <v>459</v>
      </c>
      <c r="E75" s="144"/>
    </row>
    <row r="76" spans="1:5">
      <c r="A76" s="143" t="s">
        <v>423</v>
      </c>
    </row>
    <row r="77" spans="1:5">
      <c r="A77" s="143"/>
      <c r="B77" s="138" t="s">
        <v>452</v>
      </c>
    </row>
    <row r="78" spans="1:5">
      <c r="A78" s="143" t="s">
        <v>424</v>
      </c>
    </row>
    <row r="79" spans="1:5">
      <c r="B79" s="138" t="s">
        <v>451</v>
      </c>
    </row>
    <row r="81" spans="1:5" ht="15">
      <c r="A81" s="142" t="s">
        <v>405</v>
      </c>
    </row>
    <row r="82" spans="1:5">
      <c r="A82" s="138" t="s">
        <v>453</v>
      </c>
    </row>
    <row r="83" spans="1:5">
      <c r="A83" s="143" t="s">
        <v>571</v>
      </c>
      <c r="E83" s="144"/>
    </row>
    <row r="84" spans="1:5">
      <c r="A84" s="143"/>
      <c r="B84" s="138" t="s">
        <v>572</v>
      </c>
      <c r="E84" s="144"/>
    </row>
    <row r="85" spans="1:5">
      <c r="A85" s="143"/>
      <c r="B85" s="138" t="s">
        <v>460</v>
      </c>
      <c r="E85" s="144"/>
    </row>
    <row r="86" spans="1:5">
      <c r="A86" s="143" t="s">
        <v>62</v>
      </c>
      <c r="E86" s="144"/>
    </row>
    <row r="87" spans="1:5">
      <c r="A87" s="143"/>
      <c r="B87" s="138" t="s">
        <v>573</v>
      </c>
      <c r="E87" s="144"/>
    </row>
    <row r="88" spans="1:5">
      <c r="A88" s="143"/>
      <c r="B88" s="138" t="s">
        <v>574</v>
      </c>
      <c r="E88" s="144"/>
    </row>
    <row r="89" spans="1:5">
      <c r="A89" s="143"/>
      <c r="C89" s="138" t="s">
        <v>505</v>
      </c>
      <c r="E89" s="144"/>
    </row>
    <row r="90" spans="1:5">
      <c r="A90" s="143"/>
      <c r="C90" s="138" t="s">
        <v>435</v>
      </c>
      <c r="E90" s="144"/>
    </row>
    <row r="91" spans="1:5">
      <c r="A91" s="143"/>
      <c r="D91" s="138" t="s">
        <v>575</v>
      </c>
      <c r="E91" s="144"/>
    </row>
    <row r="92" spans="1:5">
      <c r="A92" s="143"/>
      <c r="D92" s="138" t="s">
        <v>576</v>
      </c>
      <c r="E92" s="144"/>
    </row>
    <row r="93" spans="1:5">
      <c r="A93" s="143" t="s">
        <v>577</v>
      </c>
      <c r="E93" s="144"/>
    </row>
    <row r="94" spans="1:5">
      <c r="A94" s="143"/>
      <c r="B94" s="138" t="s">
        <v>432</v>
      </c>
      <c r="E94" s="144"/>
    </row>
    <row r="95" spans="1:5">
      <c r="A95" s="143"/>
      <c r="B95" s="138" t="s">
        <v>461</v>
      </c>
      <c r="E95" s="144"/>
    </row>
    <row r="96" spans="1:5">
      <c r="A96" s="143" t="s">
        <v>425</v>
      </c>
      <c r="E96" s="144"/>
    </row>
    <row r="97" spans="1:5" ht="15.75">
      <c r="A97" s="143"/>
      <c r="B97" t="s">
        <v>501</v>
      </c>
      <c r="E97" s="144"/>
    </row>
    <row r="98" spans="1:5" ht="15.75">
      <c r="A98" s="143"/>
      <c r="B98" s="101" t="s">
        <v>578</v>
      </c>
      <c r="E98" s="144"/>
    </row>
    <row r="99" spans="1:5" ht="15.75">
      <c r="A99" s="143"/>
      <c r="B99" s="101" t="s">
        <v>500</v>
      </c>
      <c r="E99" s="144"/>
    </row>
    <row r="100" spans="1:5">
      <c r="A100" s="143"/>
      <c r="B100" s="145" t="s">
        <v>579</v>
      </c>
      <c r="E100" s="144"/>
    </row>
    <row r="101" spans="1:5">
      <c r="A101" s="143"/>
      <c r="B101" s="138" t="s">
        <v>497</v>
      </c>
      <c r="E101" s="144"/>
    </row>
    <row r="102" spans="1:5">
      <c r="A102" s="143"/>
      <c r="C102" s="138" t="s">
        <v>580</v>
      </c>
      <c r="E102" s="144"/>
    </row>
    <row r="103" spans="1:5">
      <c r="A103" s="143" t="s">
        <v>581</v>
      </c>
      <c r="E103" s="144"/>
    </row>
    <row r="104" spans="1:5">
      <c r="A104" s="143"/>
      <c r="B104" s="138" t="s">
        <v>582</v>
      </c>
      <c r="E104" s="144"/>
    </row>
    <row r="105" spans="1:5">
      <c r="A105" s="143"/>
      <c r="B105" s="138" t="s">
        <v>462</v>
      </c>
      <c r="E105" s="144"/>
    </row>
    <row r="106" spans="1:5">
      <c r="A106" s="143" t="s">
        <v>345</v>
      </c>
      <c r="E106" s="144"/>
    </row>
    <row r="107" spans="1:5">
      <c r="A107" s="143"/>
      <c r="B107" s="138" t="s">
        <v>583</v>
      </c>
      <c r="E107" s="144"/>
    </row>
    <row r="108" spans="1:5">
      <c r="A108" s="143"/>
      <c r="B108" s="138" t="s">
        <v>496</v>
      </c>
      <c r="E108" s="144"/>
    </row>
    <row r="109" spans="1:5">
      <c r="A109" s="143" t="s">
        <v>426</v>
      </c>
      <c r="E109" s="144"/>
    </row>
    <row r="110" spans="1:5">
      <c r="A110" s="143"/>
      <c r="B110" s="138" t="s">
        <v>410</v>
      </c>
      <c r="E110" s="144"/>
    </row>
    <row r="111" spans="1:5">
      <c r="B111" s="138" t="s">
        <v>411</v>
      </c>
      <c r="E111" s="144"/>
    </row>
    <row r="112" spans="1:5">
      <c r="A112" s="143" t="s">
        <v>427</v>
      </c>
      <c r="E112" s="144"/>
    </row>
    <row r="113" spans="1:5">
      <c r="A113" s="143"/>
      <c r="B113" s="138" t="s">
        <v>413</v>
      </c>
      <c r="E113" s="144"/>
    </row>
    <row r="114" spans="1:5">
      <c r="A114" s="143"/>
      <c r="B114" s="138" t="s">
        <v>414</v>
      </c>
      <c r="E114" s="144"/>
    </row>
    <row r="115" spans="1:5">
      <c r="A115" s="143" t="s">
        <v>428</v>
      </c>
      <c r="D115" s="146"/>
      <c r="E115" s="144"/>
    </row>
    <row r="116" spans="1:5">
      <c r="B116" s="138" t="s">
        <v>412</v>
      </c>
      <c r="D116" s="146"/>
    </row>
    <row r="118" spans="1:5" ht="15">
      <c r="A118" s="142" t="s">
        <v>407</v>
      </c>
    </row>
    <row r="119" spans="1:5">
      <c r="A119" s="138" t="s">
        <v>456</v>
      </c>
    </row>
    <row r="120" spans="1:5">
      <c r="A120" s="143" t="s">
        <v>429</v>
      </c>
      <c r="E120" s="144"/>
    </row>
    <row r="121" spans="1:5">
      <c r="A121" s="143"/>
      <c r="B121" s="138" t="s">
        <v>455</v>
      </c>
      <c r="E121" s="144"/>
    </row>
    <row r="122" spans="1:5">
      <c r="A122" s="143"/>
      <c r="B122" s="138" t="s">
        <v>584</v>
      </c>
      <c r="E122" s="144"/>
    </row>
    <row r="123" spans="1:5">
      <c r="A123" s="143" t="s">
        <v>430</v>
      </c>
      <c r="E123" s="144"/>
    </row>
    <row r="124" spans="1:5">
      <c r="A124" s="143"/>
      <c r="B124" s="138" t="s">
        <v>585</v>
      </c>
      <c r="E124" s="144"/>
    </row>
    <row r="125" spans="1:5">
      <c r="B125" s="138" t="s">
        <v>586</v>
      </c>
    </row>
    <row r="126" spans="1:5">
      <c r="A126" s="143" t="s">
        <v>482</v>
      </c>
    </row>
    <row r="127" spans="1:5">
      <c r="B127" s="138" t="s">
        <v>483</v>
      </c>
    </row>
    <row r="128" spans="1:5">
      <c r="B128" s="138" t="s">
        <v>484</v>
      </c>
    </row>
    <row r="129" spans="1:5">
      <c r="C129" s="138" t="s">
        <v>485</v>
      </c>
    </row>
    <row r="130" spans="1:5">
      <c r="D130" s="138" t="s">
        <v>587</v>
      </c>
    </row>
    <row r="131" spans="1:5">
      <c r="E131" s="138" t="s">
        <v>588</v>
      </c>
    </row>
    <row r="133" spans="1:5" ht="15">
      <c r="A133" s="142" t="s">
        <v>406</v>
      </c>
    </row>
    <row r="134" spans="1:5">
      <c r="A134" s="138" t="s">
        <v>454</v>
      </c>
    </row>
    <row r="135" spans="1:5">
      <c r="A135" s="138" t="s">
        <v>589</v>
      </c>
    </row>
    <row r="136" spans="1:5">
      <c r="A136" s="138" t="s">
        <v>488</v>
      </c>
    </row>
    <row r="137" spans="1:5">
      <c r="A137" s="143" t="s">
        <v>492</v>
      </c>
    </row>
    <row r="138" spans="1:5">
      <c r="A138" s="143"/>
      <c r="B138" s="138" t="s">
        <v>436</v>
      </c>
    </row>
    <row r="139" spans="1:5">
      <c r="A139" s="143" t="s">
        <v>491</v>
      </c>
    </row>
    <row r="140" spans="1:5">
      <c r="A140" s="143"/>
      <c r="B140" s="138" t="s">
        <v>434</v>
      </c>
    </row>
    <row r="141" spans="1:5">
      <c r="A141" s="143" t="s">
        <v>490</v>
      </c>
    </row>
    <row r="142" spans="1:5">
      <c r="B142" s="138" t="s">
        <v>433</v>
      </c>
    </row>
    <row r="143" spans="1:5">
      <c r="A143" s="138" t="s">
        <v>494</v>
      </c>
    </row>
    <row r="144" spans="1:5">
      <c r="A144" s="143" t="s">
        <v>489</v>
      </c>
    </row>
    <row r="145" spans="1:11">
      <c r="B145" s="138" t="s">
        <v>493</v>
      </c>
    </row>
    <row r="147" spans="1:11" ht="15">
      <c r="A147" s="142" t="s">
        <v>478</v>
      </c>
    </row>
    <row r="148" spans="1:11">
      <c r="A148" s="138" t="s">
        <v>487</v>
      </c>
    </row>
    <row r="150" spans="1:11" ht="15">
      <c r="A150" s="142" t="s">
        <v>547</v>
      </c>
    </row>
    <row r="151" spans="1:11">
      <c r="A151" s="138" t="s">
        <v>542</v>
      </c>
    </row>
    <row r="152" spans="1:11">
      <c r="A152" s="138" t="s">
        <v>544</v>
      </c>
    </row>
    <row r="153" spans="1:11">
      <c r="A153" s="143" t="s">
        <v>552</v>
      </c>
    </row>
    <row r="154" spans="1:11">
      <c r="A154" s="143" t="s">
        <v>553</v>
      </c>
    </row>
    <row r="155" spans="1:11">
      <c r="A155" s="143" t="s">
        <v>545</v>
      </c>
    </row>
    <row r="156" spans="1:11">
      <c r="A156" s="138" t="s">
        <v>546</v>
      </c>
    </row>
    <row r="158" spans="1:11" ht="15" thickBot="1">
      <c r="A158" s="138" t="s">
        <v>590</v>
      </c>
    </row>
    <row r="159" spans="1:11" ht="15.75" thickBot="1">
      <c r="A159" s="142"/>
      <c r="B159" s="189">
        <f ca="1">X!CH61</f>
        <v>19</v>
      </c>
    </row>
    <row r="160" spans="1:11">
      <c r="B160" s="146"/>
      <c r="K160" s="16"/>
    </row>
    <row r="161" spans="1:2" ht="15" thickBot="1">
      <c r="A161" s="138" t="str">
        <f ca="1">"What is the number of Emplyees with Current Salary FY "&amp;'Budgeting Model'!B8&amp;" greater than $80,000?"</f>
        <v>What is the number of Emplyees with Current Salary FY 23 greater than $80,000?</v>
      </c>
      <c r="B161" s="146"/>
    </row>
    <row r="162" spans="1:2" ht="15" thickBot="1">
      <c r="B162" s="189">
        <f ca="1">X!CH62</f>
        <v>13</v>
      </c>
    </row>
    <row r="163" spans="1:2">
      <c r="B163" s="146"/>
    </row>
    <row r="164" spans="1:2" ht="15" thickBot="1">
      <c r="A164" s="138" t="s">
        <v>556</v>
      </c>
      <c r="B164" s="146"/>
    </row>
    <row r="165" spans="1:2" ht="15" thickBot="1">
      <c r="B165" s="185" t="s">
        <v>314</v>
      </c>
    </row>
    <row r="166" spans="1:2">
      <c r="B166" s="146"/>
    </row>
    <row r="167" spans="1:2" ht="15" thickBot="1">
      <c r="A167" s="138" t="s">
        <v>558</v>
      </c>
      <c r="B167" s="146"/>
    </row>
    <row r="168" spans="1:2" ht="15" thickBot="1">
      <c r="B168" s="191">
        <f ca="1">X!CH64</f>
        <v>2</v>
      </c>
    </row>
    <row r="169" spans="1:2">
      <c r="B169" s="146"/>
    </row>
    <row r="170" spans="1:2">
      <c r="A170" s="138" t="s">
        <v>555</v>
      </c>
      <c r="B170" s="146"/>
    </row>
    <row r="171" spans="1:2">
      <c r="A171" s="143" t="s">
        <v>554</v>
      </c>
      <c r="B171" s="146"/>
    </row>
    <row r="172" spans="1:2">
      <c r="A172" s="143" t="s">
        <v>591</v>
      </c>
      <c r="B172" s="146"/>
    </row>
    <row r="173" spans="1:2" ht="15" thickBot="1">
      <c r="A173" s="143" t="s">
        <v>592</v>
      </c>
      <c r="B173" s="146"/>
    </row>
    <row r="174" spans="1:2" ht="15" thickBot="1">
      <c r="B174" s="190" t="s">
        <v>309</v>
      </c>
    </row>
    <row r="175" spans="1:2">
      <c r="B175" s="146"/>
    </row>
    <row r="176" spans="1:2" ht="15" thickBot="1">
      <c r="A176" s="138" t="s">
        <v>559</v>
      </c>
      <c r="B176" s="146"/>
    </row>
    <row r="177" spans="1:2" ht="15" thickBot="1">
      <c r="B177" s="192">
        <f ca="1">X!CH66</f>
        <v>66781.733745662161</v>
      </c>
    </row>
    <row r="178" spans="1:2">
      <c r="B178" s="146"/>
    </row>
    <row r="179" spans="1:2" ht="15" thickBot="1">
      <c r="A179" s="138" t="s">
        <v>557</v>
      </c>
      <c r="B179" s="146"/>
    </row>
    <row r="180" spans="1:2" ht="15" thickBot="1">
      <c r="B180" s="185" t="s">
        <v>310</v>
      </c>
    </row>
    <row r="183" spans="1:2" ht="15">
      <c r="A183" s="142"/>
    </row>
  </sheetData>
  <sheetProtection algorithmName="SHA-512" hashValue="kbKW18cCllG87O2FTxfcIpYrfw8AFAC11Yu6VWT/yz/eRivMysJw7c0fD0Oqvl3cVEkQaJY9S9Zowrc3NQ3h6A==" saltValue="dd5TuofpT8Qnq2zau6EVAw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C6AF20-1C6B-BA45-AA44-5EE0D501A15E}">
          <x14:formula1>
            <xm:f>'Scratch Sheet'!$C$116:$C$129</xm:f>
          </x14:formula1>
          <xm:sqref>B165 B174 B180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P118"/>
  <sheetViews>
    <sheetView zoomScale="139" zoomScaleNormal="124" workbookViewId="0">
      <pane xSplit="1" ySplit="10" topLeftCell="AJ85" activePane="bottomRight" state="frozen"/>
      <selection activeCell="D69" sqref="D69"/>
      <selection pane="topRight" activeCell="D69" sqref="D69"/>
      <selection pane="bottomLeft" activeCell="D69" sqref="D69"/>
      <selection pane="bottomRight" activeCell="U100" sqref="U100"/>
    </sheetView>
  </sheetViews>
  <sheetFormatPr defaultColWidth="10.875" defaultRowHeight="15.75"/>
  <cols>
    <col min="1" max="1" width="10.875" style="200"/>
    <col min="2" max="2" width="11.875" style="200" customWidth="1"/>
    <col min="3" max="3" width="18.625" style="200" customWidth="1"/>
    <col min="4" max="4" width="10" style="200" customWidth="1"/>
    <col min="5" max="5" width="11.375" style="5" customWidth="1"/>
    <col min="6" max="6" width="8.125" style="5" customWidth="1"/>
    <col min="7" max="7" width="9.5" style="5" customWidth="1"/>
    <col min="8" max="8" width="11.875" style="200" customWidth="1"/>
    <col min="9" max="11" width="10.875" style="5"/>
    <col min="12" max="12" width="8" style="5" customWidth="1"/>
    <col min="13" max="13" width="10.875" style="5"/>
    <col min="14" max="14" width="8" style="5" customWidth="1"/>
    <col min="15" max="15" width="10.875" style="5"/>
    <col min="16" max="16" width="8" style="5" customWidth="1"/>
    <col min="17" max="17" width="9.5" style="262" customWidth="1"/>
    <col min="18" max="18" width="9.375" style="198" customWidth="1"/>
    <col min="19" max="19" width="9.125" style="198" customWidth="1"/>
    <col min="20" max="20" width="11.5" style="198" customWidth="1"/>
    <col min="21" max="21" width="12.375" style="198" customWidth="1"/>
    <col min="22" max="29" width="10.875" style="198" customWidth="1"/>
    <col min="30" max="30" width="10.875" style="262"/>
    <col min="31" max="32" width="10.875" style="5"/>
    <col min="33" max="33" width="8.625" style="5" customWidth="1"/>
    <col min="34" max="34" width="8.5" style="5" customWidth="1"/>
    <col min="35" max="35" width="12.625" style="5" customWidth="1"/>
    <col min="36" max="37" width="12" style="5" customWidth="1"/>
    <col min="38" max="39" width="10.875" style="5"/>
    <col min="40" max="41" width="12" style="5" customWidth="1"/>
    <col min="42" max="51" width="10.875" style="5"/>
    <col min="52" max="52" width="10.875" style="195"/>
    <col min="53" max="60" width="10.875" style="5"/>
    <col min="61" max="61" width="10.875" style="195"/>
    <col min="62" max="65" width="10.875" style="5"/>
    <col min="66" max="66" width="10.875" style="5" customWidth="1"/>
    <col min="67" max="16384" width="10.875" style="5"/>
  </cols>
  <sheetData>
    <row r="1" spans="1:68" s="195" customFormat="1" ht="18.75">
      <c r="A1" s="194" t="s">
        <v>58</v>
      </c>
      <c r="G1" s="196" t="s">
        <v>344</v>
      </c>
      <c r="J1" s="196"/>
      <c r="Q1" s="197"/>
      <c r="S1" s="197"/>
      <c r="U1" s="197"/>
    </row>
    <row r="2" spans="1:68" s="195" customFormat="1">
      <c r="A2" s="95" t="s">
        <v>343</v>
      </c>
      <c r="G2" s="196"/>
      <c r="J2" s="196"/>
      <c r="R2" s="198"/>
    </row>
    <row r="3" spans="1:68" s="195" customFormat="1" ht="16.5" thickBot="1">
      <c r="A3" s="199" t="str">
        <f ca="1">"Sheet: "&amp;MID(CELL("filename",A1),FIND("]",CELL("filename",A1))+1,255)</f>
        <v>Sheet: Budgeting Model</v>
      </c>
      <c r="B3" s="200"/>
      <c r="D3" s="200"/>
      <c r="O3" s="197"/>
    </row>
    <row r="4" spans="1:68" s="195" customFormat="1" ht="15" customHeight="1" thickBot="1">
      <c r="A4" s="201"/>
      <c r="B4" s="202">
        <f ca="1">TODAY()</f>
        <v>45041</v>
      </c>
      <c r="C4" s="203" t="s">
        <v>325</v>
      </c>
      <c r="D4" s="200"/>
      <c r="E4" s="5"/>
      <c r="F4" s="5"/>
      <c r="G4" s="116"/>
      <c r="H4" s="71"/>
      <c r="I4" s="204"/>
      <c r="J4" s="116"/>
      <c r="W4" s="71"/>
      <c r="AC4" s="205"/>
      <c r="AL4" s="206"/>
    </row>
    <row r="5" spans="1:68" s="195" customFormat="1" ht="15" customHeight="1" thickBot="1">
      <c r="A5" s="201"/>
      <c r="B5" s="207">
        <f ca="1">DATE(IF(MONTH(TODAY())&gt;=7,YEAR(TODAY()),YEAR(TODAY())-1),7,1)</f>
        <v>44743</v>
      </c>
      <c r="C5" s="203" t="s">
        <v>431</v>
      </c>
      <c r="D5" s="200"/>
      <c r="E5" s="5"/>
      <c r="F5" s="5"/>
      <c r="G5" s="5"/>
      <c r="H5" s="71"/>
      <c r="J5" s="116"/>
      <c r="N5" s="204"/>
      <c r="O5" s="204"/>
      <c r="W5" s="71"/>
      <c r="AL5" s="206"/>
    </row>
    <row r="6" spans="1:68" s="195" customFormat="1" ht="15" customHeight="1" thickBot="1">
      <c r="A6" s="201"/>
      <c r="B6" s="207">
        <f ca="1">DATE(IF(MONTH(TODAY())&gt;=7,YEAR(TODAY())+1,YEAR(TODAY())),6,30)</f>
        <v>45107</v>
      </c>
      <c r="C6" s="203" t="s">
        <v>442</v>
      </c>
      <c r="D6" s="200"/>
      <c r="E6" s="5"/>
      <c r="F6" s="271" t="s">
        <v>498</v>
      </c>
      <c r="G6" s="271"/>
      <c r="H6" s="209"/>
      <c r="I6" s="273" t="s">
        <v>59</v>
      </c>
      <c r="J6" s="272"/>
      <c r="W6" s="209"/>
      <c r="X6" s="272" t="s">
        <v>340</v>
      </c>
      <c r="Y6" s="272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10"/>
      <c r="AM6" s="273" t="s">
        <v>593</v>
      </c>
      <c r="AN6" s="272"/>
    </row>
    <row r="7" spans="1:68" s="195" customFormat="1" ht="15" customHeight="1" thickBot="1">
      <c r="A7" s="201"/>
      <c r="B7" s="211">
        <f ca="1">NETWORKDAYS(DATE(IF(MONTH(TODAY())&gt;=7,YEAR(TODAY()),YEAR(TODAY())-1),7,1),DATE(IF(MONTH(TODAY())&gt;=7,YEAR(TODAY())+1,YEAR(TODAY())),6,30))</f>
        <v>261</v>
      </c>
      <c r="C7" s="203" t="s">
        <v>358</v>
      </c>
      <c r="D7" s="200"/>
      <c r="E7" s="5"/>
      <c r="F7" s="208" t="s">
        <v>463</v>
      </c>
      <c r="G7" s="208" t="s">
        <v>464</v>
      </c>
      <c r="H7" s="212"/>
      <c r="I7" s="273"/>
      <c r="J7" s="272"/>
      <c r="W7" s="212"/>
      <c r="X7" s="272"/>
      <c r="Y7" s="272"/>
      <c r="AL7" s="213"/>
      <c r="AM7" s="273"/>
      <c r="AN7" s="272"/>
    </row>
    <row r="8" spans="1:68" s="195" customFormat="1" ht="15" customHeight="1" thickBot="1">
      <c r="A8" s="201"/>
      <c r="B8" s="211" t="str">
        <f ca="1">RIGHT(YEAR(TODAY()),2)</f>
        <v>23</v>
      </c>
      <c r="C8" s="203" t="s">
        <v>359</v>
      </c>
      <c r="D8" s="200"/>
      <c r="E8" s="5"/>
      <c r="F8" s="214">
        <v>0.03</v>
      </c>
      <c r="G8" s="215">
        <v>0.04</v>
      </c>
      <c r="H8" s="216"/>
      <c r="I8" s="5"/>
      <c r="J8" s="214"/>
      <c r="W8" s="212"/>
      <c r="X8" s="198"/>
      <c r="Y8" s="198"/>
      <c r="AC8" s="217"/>
      <c r="AI8" s="218"/>
      <c r="AJ8" s="218"/>
      <c r="AK8" s="218"/>
      <c r="AL8" s="213"/>
      <c r="AM8" s="5"/>
    </row>
    <row r="9" spans="1:68" s="195" customFormat="1" ht="15" customHeight="1" thickBot="1">
      <c r="A9" s="200"/>
      <c r="B9" s="211">
        <f ca="1">B8-1</f>
        <v>22</v>
      </c>
      <c r="C9" s="203" t="s">
        <v>346</v>
      </c>
      <c r="D9" s="200"/>
      <c r="E9" s="5"/>
      <c r="F9" s="5"/>
      <c r="G9" s="219"/>
      <c r="H9" s="216"/>
      <c r="I9" s="5"/>
      <c r="J9" s="5"/>
      <c r="M9" s="5"/>
      <c r="T9" s="71"/>
      <c r="U9" s="71"/>
      <c r="V9" s="71"/>
      <c r="W9" s="212"/>
      <c r="X9" s="198"/>
      <c r="Y9" s="198"/>
      <c r="AL9" s="213"/>
      <c r="AM9" s="220"/>
      <c r="AN9" s="161" t="s">
        <v>479</v>
      </c>
      <c r="AO9" s="119"/>
      <c r="AP9" s="161" t="s">
        <v>481</v>
      </c>
      <c r="AR9" s="179" t="s">
        <v>543</v>
      </c>
      <c r="AT9" s="5"/>
    </row>
    <row r="10" spans="1:68" s="200" customFormat="1" ht="48.95" customHeight="1" thickBot="1">
      <c r="A10" s="221" t="s">
        <v>68</v>
      </c>
      <c r="B10" s="221" t="s">
        <v>67</v>
      </c>
      <c r="C10" s="221" t="s">
        <v>357</v>
      </c>
      <c r="D10" s="221" t="s">
        <v>66</v>
      </c>
      <c r="E10" s="222" t="str">
        <f ca="1">'Employee Master'!E6</f>
        <v>Salary as of 06/28/22</v>
      </c>
      <c r="F10" s="222" t="s">
        <v>602</v>
      </c>
      <c r="G10" s="223" t="s">
        <v>603</v>
      </c>
      <c r="H10" s="224" t="s">
        <v>347</v>
      </c>
      <c r="I10" s="221" t="s">
        <v>401</v>
      </c>
      <c r="J10" s="221" t="s">
        <v>409</v>
      </c>
      <c r="K10" s="221" t="s">
        <v>594</v>
      </c>
      <c r="L10" s="221" t="s">
        <v>331</v>
      </c>
      <c r="M10" s="221" t="s">
        <v>595</v>
      </c>
      <c r="N10" s="221" t="s">
        <v>327</v>
      </c>
      <c r="O10" s="221" t="s">
        <v>596</v>
      </c>
      <c r="P10" s="221" t="s">
        <v>328</v>
      </c>
      <c r="Q10" s="221" t="s">
        <v>329</v>
      </c>
      <c r="R10" s="221" t="s">
        <v>330</v>
      </c>
      <c r="S10" s="221" t="s">
        <v>333</v>
      </c>
      <c r="T10" s="221" t="s">
        <v>422</v>
      </c>
      <c r="U10" s="221" t="s">
        <v>402</v>
      </c>
      <c r="V10" s="221" t="s">
        <v>467</v>
      </c>
      <c r="W10" s="224" t="s">
        <v>348</v>
      </c>
      <c r="X10" s="221" t="s">
        <v>400</v>
      </c>
      <c r="Y10" s="221" t="s">
        <v>408</v>
      </c>
      <c r="Z10" s="221" t="s">
        <v>597</v>
      </c>
      <c r="AA10" s="221" t="s">
        <v>598</v>
      </c>
      <c r="AB10" s="221" t="s">
        <v>599</v>
      </c>
      <c r="AC10" s="221" t="s">
        <v>335</v>
      </c>
      <c r="AD10" s="221" t="s">
        <v>600</v>
      </c>
      <c r="AE10" s="221" t="s">
        <v>336</v>
      </c>
      <c r="AF10" s="221" t="s">
        <v>337</v>
      </c>
      <c r="AG10" s="221" t="s">
        <v>338</v>
      </c>
      <c r="AH10" s="221" t="s">
        <v>339</v>
      </c>
      <c r="AI10" s="221" t="s">
        <v>421</v>
      </c>
      <c r="AJ10" s="221" t="s">
        <v>399</v>
      </c>
      <c r="AK10" s="221" t="s">
        <v>480</v>
      </c>
      <c r="AL10" s="225" t="s">
        <v>349</v>
      </c>
      <c r="AM10" s="221" t="s">
        <v>63</v>
      </c>
      <c r="AN10" s="221" t="s">
        <v>64</v>
      </c>
      <c r="AO10" s="221" t="s">
        <v>332</v>
      </c>
      <c r="AP10" s="221" t="s">
        <v>332</v>
      </c>
      <c r="AR10" s="226"/>
      <c r="AS10" s="226"/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</row>
    <row r="11" spans="1:68" s="195" customFormat="1" ht="15" customHeight="1" thickBot="1">
      <c r="A11" s="227" t="s">
        <v>69</v>
      </c>
      <c r="B11" s="228" t="str">
        <f>IF(ISNA(VLOOKUP($A11,'Position Master'!B:C,2,FALSE)),"Missing",VLOOKUP($A11,'Position Master'!B:C,2,FALSE))</f>
        <v>Dept 8</v>
      </c>
      <c r="C11" s="211" t="str">
        <f ca="1">_xlfn.IFNA(INDEX('Employee Master'!$C:$C,MATCH($D11,'Employee Master'!$A:$A,0))&amp;", "&amp;INDEX('Employee Master'!$B:$B,MATCH($D11,'Employee Master'!$A:$A,0)),"Vacant")</f>
        <v>Bhuiyan, Aaron</v>
      </c>
      <c r="D11" s="211">
        <f>IF(INDEX('Position Master'!$A$7:$A$97,MATCH(A11,'Position Master'!$B$7:$B$97,0))=0,"Vacant",INDEX('Position Master'!$A$7:$A$97,MATCH(A11,'Position Master'!$B$7:$B$97,0)))</f>
        <v>2206493</v>
      </c>
      <c r="E11" s="229">
        <f ca="1">IFERROR(VLOOKUP(D11,'Employee Master'!A:F,5,FALSE),"")</f>
        <v>54049.903506884861</v>
      </c>
      <c r="F11" s="230" t="str">
        <f ca="1">IF(C11="Vacant","No",IF(AND(VLOOKUP(D11,'Employee Master'!A:F,6,FALSE)+360&lt;B$4,VLOOKUP(D11,'Employee Master'!A:F,6,FALSE)+360&lt;B5),"Yes","No"))</f>
        <v>No</v>
      </c>
      <c r="G11" s="229">
        <f ca="1">IF(C11="Vacant",VLOOKUP(A11,'Position Master'!B:D,3,FALSE),E11)*(1+IF(F11="Yes",F$8,0))</f>
        <v>54049.903506884861</v>
      </c>
      <c r="H11" s="231"/>
      <c r="I11" s="232"/>
      <c r="J11" s="233">
        <f ca="1">$G11*(1+IF($I11="",$G$8,$I11))</f>
        <v>56211.899647160259</v>
      </c>
      <c r="K11" s="234"/>
      <c r="L11" s="235">
        <f ca="1">IF(K11="",IF(D11="Vacant",B$5+90,$B$5),K11)</f>
        <v>44743</v>
      </c>
      <c r="M11" s="236"/>
      <c r="N11" s="235">
        <f ca="1">IF(M11="",IFERROR(VLOOKUP($D11,'Employee Master'!$A:$F,6,FALSE)+365,""),M11)</f>
        <v>44906</v>
      </c>
      <c r="O11" s="234"/>
      <c r="P11" s="235">
        <f ca="1">IF(O11="",$B$6,O11)</f>
        <v>45107</v>
      </c>
      <c r="Q11" s="237">
        <f ca="1">IF(N11="",NETWORKDAYS(L11,P11),NETWORKDAYS(L11,N11-1))</f>
        <v>116</v>
      </c>
      <c r="R11" s="237">
        <f ca="1">IF(N11="",0,NETWORKDAYS(N11,P11))</f>
        <v>145</v>
      </c>
      <c r="S11" s="237">
        <f ca="1">Q11+R11</f>
        <v>261</v>
      </c>
      <c r="T11" s="238">
        <f ca="1">((G11*Q11)/S11)+((J11*R11)/S11)</f>
        <v>55251.012473704526</v>
      </c>
      <c r="U11" s="229">
        <f ca="1">((G11*Q11)/$B$7)+((J11*R11)/$B$7)</f>
        <v>55251.012473704526</v>
      </c>
      <c r="V11" s="233">
        <f ca="1">IF($B$4&gt;P11,0,IF(OR(N11="",$B$4&lt;L11),U11,IF($B$4&lt;N11,NETWORKDAYS($B$4,N11-1)*$G11/$B$7+R11*J11/$B$7,NETWORKDAYS($B$4,P11)*J11/$B$7)))</f>
        <v>10553.191887781046</v>
      </c>
      <c r="W11" s="239"/>
      <c r="X11" s="240"/>
      <c r="Y11" s="229">
        <f ca="1">IF(ISBLANK(X11),J11,G11+(G11*X11))</f>
        <v>56211.899647160259</v>
      </c>
      <c r="Z11" s="241"/>
      <c r="AA11" s="235">
        <f ca="1">IF(Z11="",IF($D11="Vacant",$B$5+90,$B$5),Z11)</f>
        <v>44743</v>
      </c>
      <c r="AB11" s="241"/>
      <c r="AC11" s="235">
        <f ca="1">IF(AB11="",IFERROR(VLOOKUP($D11,'Employee Master'!$A:$F,6,FALSE)+365,""),AB11)</f>
        <v>44906</v>
      </c>
      <c r="AD11" s="234"/>
      <c r="AE11" s="235">
        <f ca="1">IF(AD11="",$B$6,AD11)</f>
        <v>45107</v>
      </c>
      <c r="AF11" s="237">
        <f ca="1">IF(AC11="",NETWORKDAYS(AA11,AE11),NETWORKDAYS(AA11,AC11-1))</f>
        <v>116</v>
      </c>
      <c r="AG11" s="237">
        <f ca="1">IF(AC11="",0,NETWORKDAYS(AC11,AE11))</f>
        <v>145</v>
      </c>
      <c r="AH11" s="237">
        <f ca="1">AF11+AG11</f>
        <v>261</v>
      </c>
      <c r="AI11" s="238">
        <f ca="1">((G11*AF11)/AH11)+((Y11*AG11)/AH11)</f>
        <v>55251.012473704526</v>
      </c>
      <c r="AJ11" s="229">
        <f ca="1">((G11*AF11)/$B$7)+((Y11*AG11)/$B$7)</f>
        <v>55251.012473704526</v>
      </c>
      <c r="AK11" s="233">
        <f ca="1">IF($B$4&gt;AE11,0,IF(OR(AC11="",$B$4&lt;AA11),AJ11,IF($B$4&lt;AC11,NETWORKDAYS($B$4,AC11-1)*$G11/$B$7+AG11*Y11/$B$7,NETWORKDAYS($B$4,AE11)*Y11/$B$7)))</f>
        <v>10553.191887781046</v>
      </c>
      <c r="AL11" s="242"/>
      <c r="AM11" s="233">
        <f ca="1">AI11-T11</f>
        <v>0</v>
      </c>
      <c r="AN11" s="233">
        <f ca="1">AO11-AM11</f>
        <v>0</v>
      </c>
      <c r="AO11" s="233">
        <f ca="1">AJ11-U11</f>
        <v>0</v>
      </c>
      <c r="AP11" s="233">
        <f ca="1">AK11-V11</f>
        <v>0</v>
      </c>
      <c r="AQ11" s="243"/>
      <c r="AR11" s="226"/>
      <c r="AS11" s="226"/>
      <c r="AT11" s="226"/>
      <c r="AU11" s="226"/>
      <c r="AV11" s="226"/>
      <c r="AW11" s="226"/>
      <c r="AX11" s="226"/>
      <c r="AY11" s="226"/>
      <c r="AZ11" s="226"/>
      <c r="BA11" s="226"/>
      <c r="BB11" s="226"/>
      <c r="BC11" s="226"/>
      <c r="BD11" s="226"/>
      <c r="BE11" s="226"/>
      <c r="BF11" s="226"/>
      <c r="BN11" s="244" t="str">
        <f ca="1">IF('Budgeting Model'!C11="Vacant",'Budgeting Model'!AK11,"")</f>
        <v/>
      </c>
      <c r="BO11" s="195">
        <f ca="1">IFERROR(MONTH(N11),"")</f>
        <v>12</v>
      </c>
      <c r="BP11" s="195">
        <f ca="1">IF(OR(BO11&gt;9,BO11&lt;3),E11,"")</f>
        <v>54049.903506884861</v>
      </c>
    </row>
    <row r="12" spans="1:68" s="195" customFormat="1" ht="15" customHeight="1" thickBot="1">
      <c r="A12" s="227" t="s">
        <v>70</v>
      </c>
      <c r="B12" s="228" t="str">
        <f>IF(ISNA(VLOOKUP($A12,'Position Master'!B:C,2,FALSE)),"Missing",VLOOKUP($A12,'Position Master'!B:C,2,FALSE))</f>
        <v>Dept 8</v>
      </c>
      <c r="C12" s="211" t="str">
        <f ca="1">_xlfn.IFNA(INDEX('Employee Master'!$C:$C,MATCH($D12,'Employee Master'!$A:$A,0))&amp;", "&amp;INDEX('Employee Master'!$B:$B,MATCH($D12,'Employee Master'!$A:$A,0)),"Vacant")</f>
        <v>Vacant</v>
      </c>
      <c r="D12" s="211" t="str">
        <f>IF(INDEX('Position Master'!$A$7:$A$97,MATCH(A12,'Position Master'!$B$7:$B$97,0))=0,"Vacant",INDEX('Position Master'!$A$7:$A$97,MATCH(A12,'Position Master'!$B$7:$B$97,0)))</f>
        <v>Vacant</v>
      </c>
      <c r="E12" s="229" t="str">
        <f ca="1">IFERROR(VLOOKUP(D12,'Employee Master'!A:F,5,FALSE),"")</f>
        <v/>
      </c>
      <c r="F12" s="230" t="str">
        <f ca="1">IF(C12="Vacant","No",IF(AND(VLOOKUP(D12,'Employee Master'!A:F,6,FALSE)+360&lt;B$4,VLOOKUP(D12,'Employee Master'!A:F,6,FALSE)+360&lt;B6),"Yes","No"))</f>
        <v>No</v>
      </c>
      <c r="G12" s="229">
        <f ca="1">IF(C12="Vacant",VLOOKUP(A12,'Position Master'!B:D,3,FALSE),E12)*(1+IF(F12="Yes",F$8,0))</f>
        <v>56644.13241433927</v>
      </c>
      <c r="H12" s="245"/>
      <c r="I12" s="232"/>
      <c r="J12" s="233">
        <f t="shared" ref="J12:J75" ca="1" si="0">$G12*(1+IF($I12="",$G$8,$I12))</f>
        <v>58909.897710912846</v>
      </c>
      <c r="K12" s="234"/>
      <c r="L12" s="235">
        <f t="shared" ref="L12:L75" ca="1" si="1">IF(K12="",IF(D12="Vacant",B$5+90,$B$5),K12)</f>
        <v>44833</v>
      </c>
      <c r="M12" s="236"/>
      <c r="N12" s="235" t="str">
        <f ca="1">IF(M12="",IFERROR(VLOOKUP($D12,'Employee Master'!$A:$F,6,FALSE)+365,""),M12)</f>
        <v/>
      </c>
      <c r="O12" s="71"/>
      <c r="P12" s="235">
        <f t="shared" ref="P12:P75" ca="1" si="2">IF(O12="",$B$6,O12)</f>
        <v>45107</v>
      </c>
      <c r="Q12" s="237">
        <f t="shared" ref="Q12:Q75" ca="1" si="3">IF(N12="",NETWORKDAYS(L12,P12),NETWORKDAYS(L12,N12-1))</f>
        <v>197</v>
      </c>
      <c r="R12" s="237">
        <f t="shared" ref="R12:R75" ca="1" si="4">IF(N12="",0,NETWORKDAYS(N12,P12))</f>
        <v>0</v>
      </c>
      <c r="S12" s="237">
        <f t="shared" ref="S12:S75" ca="1" si="5">Q12+R12</f>
        <v>197</v>
      </c>
      <c r="T12" s="238">
        <f t="shared" ref="T12:T75" ca="1" si="6">((G12*Q12)/S12)+((J12*R12)/S12)</f>
        <v>56644.13241433927</v>
      </c>
      <c r="U12" s="229">
        <f t="shared" ref="U12:U75" ca="1" si="7">((G12*Q12)/$B$7)+((J12*R12)/$B$7)</f>
        <v>42754.383469826957</v>
      </c>
      <c r="V12" s="233">
        <f t="shared" ref="V12:V75" ca="1" si="8">IF($B$4&gt;P12,0,IF(OR(N12="",$B$4&lt;L12),U12,IF($B$4&lt;N12,NETWORKDAYS($B$4,N12-1)*$G12/$B$7+R12*J12/$B$7,NETWORKDAYS($B$4,P12)*J12/$B$7)))</f>
        <v>42754.383469826957</v>
      </c>
      <c r="W12" s="246"/>
      <c r="X12" s="247">
        <v>0.05</v>
      </c>
      <c r="Y12" s="229">
        <f t="shared" ref="Y12:Y75" ca="1" si="9">IF(ISBLANK(X12),J12,G12+(G12*X12))</f>
        <v>59476.339035056233</v>
      </c>
      <c r="Z12" s="71"/>
      <c r="AA12" s="235">
        <f t="shared" ref="AA12:AA75" ca="1" si="10">IF(Z12="",IF($D12="Vacant",$B$5+90,$B$5),Z12)</f>
        <v>44833</v>
      </c>
      <c r="AB12" s="71"/>
      <c r="AC12" s="235" t="str">
        <f ca="1">IF(AB12="",IFERROR(VLOOKUP($D12,'Employee Master'!$A:$F,6,FALSE)+365,""),AB12)</f>
        <v/>
      </c>
      <c r="AD12" s="234"/>
      <c r="AE12" s="235">
        <f t="shared" ref="AE12:AE75" ca="1" si="11">IF(AD12="",$B$6,AD12)</f>
        <v>45107</v>
      </c>
      <c r="AF12" s="237">
        <f t="shared" ref="AF12:AF75" ca="1" si="12">IF(AC12="",NETWORKDAYS(AA12,AE12),NETWORKDAYS(AA12,AC12-1))</f>
        <v>197</v>
      </c>
      <c r="AG12" s="237">
        <f t="shared" ref="AG12:AG75" ca="1" si="13">IF(AC12="",0,NETWORKDAYS(AC12,AE12))</f>
        <v>0</v>
      </c>
      <c r="AH12" s="237">
        <f t="shared" ref="AH12:AH75" ca="1" si="14">AF12+AG12</f>
        <v>197</v>
      </c>
      <c r="AI12" s="238">
        <f t="shared" ref="AI12:AI75" ca="1" si="15">((G12*AF12)/AH12)+((Y12*AG12)/AH12)</f>
        <v>56644.13241433927</v>
      </c>
      <c r="AJ12" s="229">
        <f t="shared" ref="AJ12:AJ75" ca="1" si="16">((G12*AF12)/$B$7)+((Y12*AG12)/$B$7)</f>
        <v>42754.383469826957</v>
      </c>
      <c r="AK12" s="233">
        <f t="shared" ref="AK12:AK75" ca="1" si="17">IF($B$4&gt;AE12,0,IF(OR(AC12="",$B$4&lt;AA12),AJ12,IF($B$4&lt;AC12,NETWORKDAYS($B$4,AC12-1)*$G12/$B$7+AG12*Y12/$B$7,NETWORKDAYS($B$4,AE12)*Y12/$B$7)))</f>
        <v>42754.383469826957</v>
      </c>
      <c r="AL12" s="248"/>
      <c r="AM12" s="233">
        <f t="shared" ref="AM12:AM75" ca="1" si="18">AI12-T12</f>
        <v>0</v>
      </c>
      <c r="AN12" s="233">
        <f t="shared" ref="AN12:AN75" ca="1" si="19">AO12-AM12</f>
        <v>0</v>
      </c>
      <c r="AO12" s="233">
        <f t="shared" ref="AO12:AO75" ca="1" si="20">AJ12-U12</f>
        <v>0</v>
      </c>
      <c r="AP12" s="233">
        <f t="shared" ref="AP12:AP75" ca="1" si="21">AK12-V12</f>
        <v>0</v>
      </c>
      <c r="AR12" s="226"/>
      <c r="AS12" s="226"/>
      <c r="AT12" s="226"/>
      <c r="AU12" s="226"/>
      <c r="AV12" s="226"/>
      <c r="AW12" s="226"/>
      <c r="AX12" s="226"/>
      <c r="AY12" s="226"/>
      <c r="AZ12" s="226"/>
      <c r="BA12" s="226"/>
      <c r="BB12" s="226"/>
      <c r="BC12" s="226"/>
      <c r="BD12" s="226"/>
      <c r="BE12" s="226"/>
      <c r="BF12" s="226"/>
      <c r="BN12" s="244">
        <f ca="1">IF('Budgeting Model'!C12="Vacant",'Budgeting Model'!AK12,"")</f>
        <v>42754.383469826957</v>
      </c>
      <c r="BO12" s="195" t="str">
        <f t="shared" ref="BO12:BO75" ca="1" si="22">IFERROR(MONTH(N12),"")</f>
        <v/>
      </c>
      <c r="BP12" s="195" t="str">
        <f t="shared" ref="BP12:BP75" ca="1" si="23">IF(OR(BO12&gt;9,BO12&lt;3),E12,"")</f>
        <v/>
      </c>
    </row>
    <row r="13" spans="1:68" s="195" customFormat="1" ht="15" customHeight="1" thickBot="1">
      <c r="A13" s="227" t="s">
        <v>71</v>
      </c>
      <c r="B13" s="228" t="str">
        <f>IF(ISNA(VLOOKUP($A13,'Position Master'!B:C,2,FALSE)),"Missing",VLOOKUP($A13,'Position Master'!B:C,2,FALSE))</f>
        <v>Dept 14</v>
      </c>
      <c r="C13" s="211" t="str">
        <f ca="1">_xlfn.IFNA(INDEX('Employee Master'!$C:$C,MATCH($D13,'Employee Master'!$A:$A,0))&amp;", "&amp;INDEX('Employee Master'!$B:$B,MATCH($D13,'Employee Master'!$A:$A,0)),"Vacant")</f>
        <v>Anderson, Akosua</v>
      </c>
      <c r="D13" s="211">
        <f>IF(INDEX('Position Master'!$A$7:$A$97,MATCH(A13,'Position Master'!$B$7:$B$97,0))=0,"Vacant",INDEX('Position Master'!$A$7:$A$97,MATCH(A13,'Position Master'!$B$7:$B$97,0)))</f>
        <v>1185463</v>
      </c>
      <c r="E13" s="229">
        <f ca="1">IFERROR(VLOOKUP(D13,'Employee Master'!A:F,5,FALSE),"")</f>
        <v>51989.131597492778</v>
      </c>
      <c r="F13" s="230" t="str">
        <f ca="1">IF(C13="Vacant","No",IF(AND(VLOOKUP(D13,'Employee Master'!A:F,6,FALSE)+360&lt;B$4,VLOOKUP(D13,'Employee Master'!A:F,6,FALSE)+360&lt;B7),"Yes","No"))</f>
        <v>No</v>
      </c>
      <c r="G13" s="229">
        <f ca="1">IF(C13="Vacant",VLOOKUP(A13,'Position Master'!B:D,3,FALSE),E13)*(1+IF(F13="Yes",F$8,0))</f>
        <v>51989.131597492778</v>
      </c>
      <c r="H13" s="245"/>
      <c r="I13" s="232"/>
      <c r="J13" s="233">
        <f t="shared" ca="1" si="0"/>
        <v>54068.696861392491</v>
      </c>
      <c r="K13" s="234"/>
      <c r="L13" s="235">
        <f t="shared" ca="1" si="1"/>
        <v>44743</v>
      </c>
      <c r="M13" s="236"/>
      <c r="N13" s="235">
        <f ca="1">IF(M13="",IFERROR(VLOOKUP($D13,'Employee Master'!$A:$F,6,FALSE)+365,""),M13)</f>
        <v>44949</v>
      </c>
      <c r="O13" s="71"/>
      <c r="P13" s="235">
        <f t="shared" ca="1" si="2"/>
        <v>45107</v>
      </c>
      <c r="Q13" s="237">
        <f t="shared" ca="1" si="3"/>
        <v>146</v>
      </c>
      <c r="R13" s="237">
        <f t="shared" ca="1" si="4"/>
        <v>115</v>
      </c>
      <c r="S13" s="237">
        <f t="shared" ca="1" si="5"/>
        <v>261</v>
      </c>
      <c r="T13" s="238">
        <f t="shared" ca="1" si="6"/>
        <v>52905.415142889207</v>
      </c>
      <c r="U13" s="229">
        <f t="shared" ca="1" si="7"/>
        <v>52905.415142889207</v>
      </c>
      <c r="V13" s="233">
        <f t="shared" ca="1" si="8"/>
        <v>10150.828146391694</v>
      </c>
      <c r="W13" s="246"/>
      <c r="X13" s="247">
        <v>0.05</v>
      </c>
      <c r="Y13" s="229">
        <f t="shared" ca="1" si="9"/>
        <v>54588.588177367419</v>
      </c>
      <c r="Z13" s="71"/>
      <c r="AA13" s="235">
        <f t="shared" ca="1" si="10"/>
        <v>44743</v>
      </c>
      <c r="AB13" s="71"/>
      <c r="AC13" s="235">
        <f ca="1">IF(AB13="",IFERROR(VLOOKUP($D13,'Employee Master'!$A:$F,6,FALSE)+365,""),AB13)</f>
        <v>44949</v>
      </c>
      <c r="AD13" s="234"/>
      <c r="AE13" s="235">
        <f t="shared" ca="1" si="11"/>
        <v>45107</v>
      </c>
      <c r="AF13" s="237">
        <f t="shared" ca="1" si="12"/>
        <v>146</v>
      </c>
      <c r="AG13" s="237">
        <f t="shared" ca="1" si="13"/>
        <v>115</v>
      </c>
      <c r="AH13" s="237">
        <f t="shared" ca="1" si="14"/>
        <v>261</v>
      </c>
      <c r="AI13" s="238">
        <f t="shared" ca="1" si="15"/>
        <v>53134.486029238309</v>
      </c>
      <c r="AJ13" s="229">
        <f t="shared" ca="1" si="16"/>
        <v>53134.486029238309</v>
      </c>
      <c r="AK13" s="233">
        <f t="shared" ca="1" si="17"/>
        <v>10248.43226318392</v>
      </c>
      <c r="AL13" s="248"/>
      <c r="AM13" s="233">
        <f t="shared" ca="1" si="18"/>
        <v>229.07088634910178</v>
      </c>
      <c r="AN13" s="233">
        <f t="shared" ca="1" si="19"/>
        <v>0</v>
      </c>
      <c r="AO13" s="233">
        <f t="shared" ca="1" si="20"/>
        <v>229.07088634910178</v>
      </c>
      <c r="AP13" s="233">
        <f t="shared" ca="1" si="21"/>
        <v>97.604116792226705</v>
      </c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6"/>
      <c r="BD13" s="226"/>
      <c r="BE13" s="226"/>
      <c r="BF13" s="226"/>
      <c r="BN13" s="244" t="str">
        <f ca="1">IF('Budgeting Model'!C13="Vacant",'Budgeting Model'!AK13,"")</f>
        <v/>
      </c>
      <c r="BO13" s="195">
        <f t="shared" ca="1" si="22"/>
        <v>1</v>
      </c>
      <c r="BP13" s="195">
        <f t="shared" ca="1" si="23"/>
        <v>51989.131597492778</v>
      </c>
    </row>
    <row r="14" spans="1:68" s="195" customFormat="1" ht="15" customHeight="1" thickBot="1">
      <c r="A14" s="227" t="s">
        <v>72</v>
      </c>
      <c r="B14" s="228" t="str">
        <f>IF(ISNA(VLOOKUP($A14,'Position Master'!B:C,2,FALSE)),"Missing",VLOOKUP($A14,'Position Master'!B:C,2,FALSE))</f>
        <v>Dept 5</v>
      </c>
      <c r="C14" s="211" t="str">
        <f ca="1">_xlfn.IFNA(INDEX('Employee Master'!$C:$C,MATCH($D14,'Employee Master'!$A:$A,0))&amp;", "&amp;INDEX('Employee Master'!$B:$B,MATCH($D14,'Employee Master'!$A:$A,0)),"Vacant")</f>
        <v>Andrade, Nazedul</v>
      </c>
      <c r="D14" s="211">
        <f>IF(INDEX('Position Master'!$A$7:$A$97,MATCH(A14,'Position Master'!$B$7:$B$97,0))=0,"Vacant",INDEX('Position Master'!$A$7:$A$97,MATCH(A14,'Position Master'!$B$7:$B$97,0)))</f>
        <v>1365738</v>
      </c>
      <c r="E14" s="229">
        <f ca="1">IFERROR(VLOOKUP(D14,'Employee Master'!A:F,5,FALSE),"")</f>
        <v>49972.587920321836</v>
      </c>
      <c r="F14" s="230" t="str">
        <f ca="1">IF(C14="Vacant","No",IF(AND(VLOOKUP(D14,'Employee Master'!A:F,6,FALSE)+360&lt;B$4,VLOOKUP(D14,'Employee Master'!A:F,6,FALSE)+360&lt;B8),"Yes","No"))</f>
        <v>Yes</v>
      </c>
      <c r="G14" s="229">
        <f ca="1">IF(C14="Vacant",VLOOKUP(A14,'Position Master'!B:D,3,FALSE),E14)*(1+IF(F14="Yes",F$8,0))</f>
        <v>51471.765557931489</v>
      </c>
      <c r="H14" s="245"/>
      <c r="I14" s="232"/>
      <c r="J14" s="233">
        <f t="shared" ca="1" si="0"/>
        <v>53530.636180248752</v>
      </c>
      <c r="K14" s="234"/>
      <c r="L14" s="235">
        <f t="shared" ca="1" si="1"/>
        <v>44743</v>
      </c>
      <c r="M14" s="236"/>
      <c r="N14" s="235">
        <f ca="1">IF(M14="",IFERROR(VLOOKUP($D14,'Employee Master'!$A:$F,6,FALSE)+365,""),M14)</f>
        <v>44942</v>
      </c>
      <c r="O14" s="71"/>
      <c r="P14" s="235">
        <f t="shared" ca="1" si="2"/>
        <v>45107</v>
      </c>
      <c r="Q14" s="237">
        <f t="shared" ca="1" si="3"/>
        <v>141</v>
      </c>
      <c r="R14" s="237">
        <f t="shared" ca="1" si="4"/>
        <v>120</v>
      </c>
      <c r="S14" s="237">
        <f t="shared" ca="1" si="5"/>
        <v>261</v>
      </c>
      <c r="T14" s="238">
        <f t="shared" ca="1" si="6"/>
        <v>52418.372740606093</v>
      </c>
      <c r="U14" s="229">
        <f t="shared" ca="1" si="7"/>
        <v>52418.372740606093</v>
      </c>
      <c r="V14" s="233">
        <f t="shared" ca="1" si="8"/>
        <v>10049.812922728692</v>
      </c>
      <c r="W14" s="246"/>
      <c r="X14" s="247">
        <v>0.05</v>
      </c>
      <c r="Y14" s="229">
        <f t="shared" ca="1" si="9"/>
        <v>54045.353835828064</v>
      </c>
      <c r="Z14" s="71"/>
      <c r="AA14" s="235">
        <f t="shared" ca="1" si="10"/>
        <v>44743</v>
      </c>
      <c r="AB14" s="71"/>
      <c r="AC14" s="235">
        <f ca="1">IF(AB14="",IFERROR(VLOOKUP($D14,'Employee Master'!$A:$F,6,FALSE)+365,""),AB14)</f>
        <v>44942</v>
      </c>
      <c r="AD14" s="234"/>
      <c r="AE14" s="235">
        <f t="shared" ca="1" si="11"/>
        <v>45107</v>
      </c>
      <c r="AF14" s="237">
        <f t="shared" ca="1" si="12"/>
        <v>141</v>
      </c>
      <c r="AG14" s="237">
        <f t="shared" ca="1" si="13"/>
        <v>120</v>
      </c>
      <c r="AH14" s="237">
        <f t="shared" ca="1" si="14"/>
        <v>261</v>
      </c>
      <c r="AI14" s="238">
        <f t="shared" ca="1" si="15"/>
        <v>52655.024536274745</v>
      </c>
      <c r="AJ14" s="229">
        <f t="shared" ca="1" si="16"/>
        <v>52655.024536274745</v>
      </c>
      <c r="AK14" s="233">
        <f t="shared" ca="1" si="17"/>
        <v>10146.445739293391</v>
      </c>
      <c r="AL14" s="248"/>
      <c r="AM14" s="233">
        <f t="shared" ca="1" si="18"/>
        <v>236.65179566865118</v>
      </c>
      <c r="AN14" s="233">
        <f t="shared" ca="1" si="19"/>
        <v>0</v>
      </c>
      <c r="AO14" s="233">
        <f t="shared" ca="1" si="20"/>
        <v>236.65179566865118</v>
      </c>
      <c r="AP14" s="233">
        <f t="shared" ca="1" si="21"/>
        <v>96.632816564699169</v>
      </c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6"/>
      <c r="BN14" s="244" t="str">
        <f ca="1">IF('Budgeting Model'!C14="Vacant",'Budgeting Model'!AK14,"")</f>
        <v/>
      </c>
      <c r="BO14" s="195">
        <f t="shared" ca="1" si="22"/>
        <v>1</v>
      </c>
      <c r="BP14" s="195">
        <f t="shared" ca="1" si="23"/>
        <v>49972.587920321836</v>
      </c>
    </row>
    <row r="15" spans="1:68" s="195" customFormat="1" ht="15" customHeight="1" thickBot="1">
      <c r="A15" s="227" t="s">
        <v>73</v>
      </c>
      <c r="B15" s="228" t="str">
        <f>IF(ISNA(VLOOKUP($A15,'Position Master'!B:C,2,FALSE)),"Missing",VLOOKUP($A15,'Position Master'!B:C,2,FALSE))</f>
        <v>Dept 12</v>
      </c>
      <c r="C15" s="211" t="str">
        <f ca="1">_xlfn.IFNA(INDEX('Employee Master'!$C:$C,MATCH($D15,'Employee Master'!$A:$A,0))&amp;", "&amp;INDEX('Employee Master'!$B:$B,MATCH($D15,'Employee Master'!$A:$A,0)),"Vacant")</f>
        <v>Bajrami, Abdullah</v>
      </c>
      <c r="D15" s="211">
        <f>IF(INDEX('Position Master'!$A$7:$A$97,MATCH(A15,'Position Master'!$B$7:$B$97,0))=0,"Vacant",INDEX('Position Master'!$A$7:$A$97,MATCH(A15,'Position Master'!$B$7:$B$97,0)))</f>
        <v>1534820</v>
      </c>
      <c r="E15" s="229">
        <f ca="1">IFERROR(VLOOKUP(D15,'Employee Master'!A:F,5,FALSE),"")</f>
        <v>49871.398122626713</v>
      </c>
      <c r="F15" s="230" t="str">
        <f ca="1">IF(C15="Vacant","No",IF(AND(VLOOKUP(D15,'Employee Master'!A:F,6,FALSE)+360&lt;B$4,VLOOKUP(D15,'Employee Master'!A:F,6,FALSE)+360&lt;B9),"Yes","No"))</f>
        <v>No</v>
      </c>
      <c r="G15" s="229">
        <f ca="1">IF(C15="Vacant",VLOOKUP(A15,'Position Master'!B:D,3,FALSE),E15)*(1+IF(F15="Yes",F$8,0))</f>
        <v>49871.398122626713</v>
      </c>
      <c r="H15" s="245"/>
      <c r="I15" s="232"/>
      <c r="J15" s="233">
        <f t="shared" ca="1" si="0"/>
        <v>51866.25404753178</v>
      </c>
      <c r="K15" s="234"/>
      <c r="L15" s="235">
        <f t="shared" ca="1" si="1"/>
        <v>44743</v>
      </c>
      <c r="M15" s="236"/>
      <c r="N15" s="235">
        <f ca="1">IF(M15="",IFERROR(VLOOKUP($D15,'Employee Master'!$A:$F,6,FALSE)+365,""),M15)</f>
        <v>44826</v>
      </c>
      <c r="O15" s="71"/>
      <c r="P15" s="235">
        <f t="shared" ca="1" si="2"/>
        <v>45107</v>
      </c>
      <c r="Q15" s="237">
        <f t="shared" ca="1" si="3"/>
        <v>59</v>
      </c>
      <c r="R15" s="237">
        <f t="shared" ca="1" si="4"/>
        <v>202</v>
      </c>
      <c r="S15" s="237">
        <f t="shared" ca="1" si="5"/>
        <v>261</v>
      </c>
      <c r="T15" s="238">
        <f t="shared" ca="1" si="6"/>
        <v>51415.309604737151</v>
      </c>
      <c r="U15" s="229">
        <f t="shared" ca="1" si="7"/>
        <v>51415.309604737151</v>
      </c>
      <c r="V15" s="233">
        <f t="shared" ca="1" si="8"/>
        <v>9737.3427139044325</v>
      </c>
      <c r="W15" s="246"/>
      <c r="X15" s="247">
        <v>0.05</v>
      </c>
      <c r="Y15" s="229">
        <f t="shared" ca="1" si="9"/>
        <v>52364.968028758049</v>
      </c>
      <c r="Z15" s="71"/>
      <c r="AA15" s="235">
        <f t="shared" ca="1" si="10"/>
        <v>44743</v>
      </c>
      <c r="AB15" s="71"/>
      <c r="AC15" s="235">
        <f ca="1">IF(AB15="",IFERROR(VLOOKUP($D15,'Employee Master'!$A:$F,6,FALSE)+365,""),AB15)</f>
        <v>44826</v>
      </c>
      <c r="AD15" s="234"/>
      <c r="AE15" s="235">
        <f t="shared" ca="1" si="11"/>
        <v>45107</v>
      </c>
      <c r="AF15" s="237">
        <f t="shared" ca="1" si="12"/>
        <v>59</v>
      </c>
      <c r="AG15" s="237">
        <f t="shared" ca="1" si="13"/>
        <v>202</v>
      </c>
      <c r="AH15" s="237">
        <f t="shared" ca="1" si="14"/>
        <v>261</v>
      </c>
      <c r="AI15" s="238">
        <f t="shared" ca="1" si="15"/>
        <v>51801.287475264762</v>
      </c>
      <c r="AJ15" s="229">
        <f t="shared" ca="1" si="16"/>
        <v>51801.287475264762</v>
      </c>
      <c r="AK15" s="233">
        <f t="shared" ca="1" si="17"/>
        <v>9830.9710092304376</v>
      </c>
      <c r="AL15" s="248"/>
      <c r="AM15" s="233">
        <f t="shared" ca="1" si="18"/>
        <v>385.97787052761123</v>
      </c>
      <c r="AN15" s="233">
        <f t="shared" ca="1" si="19"/>
        <v>0</v>
      </c>
      <c r="AO15" s="233">
        <f t="shared" ca="1" si="20"/>
        <v>385.97787052761123</v>
      </c>
      <c r="AP15" s="233">
        <f t="shared" ca="1" si="21"/>
        <v>93.628295326005173</v>
      </c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N15" s="244" t="str">
        <f ca="1">IF('Budgeting Model'!C15="Vacant",'Budgeting Model'!AK15,"")</f>
        <v/>
      </c>
      <c r="BO15" s="195">
        <f t="shared" ca="1" si="22"/>
        <v>9</v>
      </c>
      <c r="BP15" s="195" t="str">
        <f t="shared" ca="1" si="23"/>
        <v/>
      </c>
    </row>
    <row r="16" spans="1:68" s="195" customFormat="1" ht="15" customHeight="1" thickBot="1">
      <c r="A16" s="227" t="s">
        <v>74</v>
      </c>
      <c r="B16" s="228" t="str">
        <f>IF(ISNA(VLOOKUP($A16,'Position Master'!B:C,2,FALSE)),"Missing",VLOOKUP($A16,'Position Master'!B:C,2,FALSE))</f>
        <v>Dept 4</v>
      </c>
      <c r="C16" s="211" t="str">
        <f ca="1">_xlfn.IFNA(INDEX('Employee Master'!$C:$C,MATCH($D16,'Employee Master'!$A:$A,0))&amp;", "&amp;INDEX('Employee Master'!$B:$B,MATCH($D16,'Employee Master'!$A:$A,0)),"Vacant")</f>
        <v>Baro, Yusuf</v>
      </c>
      <c r="D16" s="211">
        <f>IF(INDEX('Position Master'!$A$7:$A$97,MATCH(A16,'Position Master'!$B$7:$B$97,0))=0,"Vacant",INDEX('Position Master'!$A$7:$A$97,MATCH(A16,'Position Master'!$B$7:$B$97,0)))</f>
        <v>1563356</v>
      </c>
      <c r="E16" s="229">
        <f ca="1">IFERROR(VLOOKUP(D16,'Employee Master'!A:F,5,FALSE),"")</f>
        <v>60557.193946991174</v>
      </c>
      <c r="F16" s="230" t="str">
        <f ca="1">IF(C16="Vacant","No",IF(AND(VLOOKUP(D16,'Employee Master'!A:F,6,FALSE)+360&lt;B$4,VLOOKUP(D16,'Employee Master'!A:F,6,FALSE)+360&lt;B10),"Yes","No"))</f>
        <v>Yes</v>
      </c>
      <c r="G16" s="229">
        <f ca="1">IF(C16="Vacant",VLOOKUP(A16,'Position Master'!B:D,3,FALSE),E16)*(1+IF(F16="Yes",F$8,0))</f>
        <v>62373.909765400909</v>
      </c>
      <c r="H16" s="245"/>
      <c r="I16" s="232"/>
      <c r="J16" s="233">
        <f t="shared" ca="1" si="0"/>
        <v>64868.866156016949</v>
      </c>
      <c r="K16" s="234">
        <v>45078</v>
      </c>
      <c r="L16" s="235">
        <f t="shared" si="1"/>
        <v>45078</v>
      </c>
      <c r="M16" s="236">
        <v>45092</v>
      </c>
      <c r="N16" s="235">
        <f>IF(M16="",IFERROR(VLOOKUP($D16,'Employee Master'!$A:$F,6,FALSE)+365,""),M16)</f>
        <v>45092</v>
      </c>
      <c r="O16" s="71"/>
      <c r="P16" s="235">
        <f t="shared" ca="1" si="2"/>
        <v>45107</v>
      </c>
      <c r="Q16" s="237">
        <f t="shared" si="3"/>
        <v>10</v>
      </c>
      <c r="R16" s="237">
        <f t="shared" ca="1" si="4"/>
        <v>12</v>
      </c>
      <c r="S16" s="237">
        <f t="shared" ca="1" si="5"/>
        <v>22</v>
      </c>
      <c r="T16" s="238">
        <f t="shared" ca="1" si="6"/>
        <v>63734.7950693733</v>
      </c>
      <c r="U16" s="229">
        <f t="shared" ca="1" si="7"/>
        <v>5372.2815767287839</v>
      </c>
      <c r="V16" s="233">
        <f t="shared" ca="1" si="8"/>
        <v>5372.2815767287839</v>
      </c>
      <c r="W16" s="246"/>
      <c r="X16" s="247">
        <v>0.06</v>
      </c>
      <c r="Y16" s="229">
        <f t="shared" ca="1" si="9"/>
        <v>66116.344351324966</v>
      </c>
      <c r="Z16" s="71"/>
      <c r="AA16" s="235">
        <f t="shared" ca="1" si="10"/>
        <v>44743</v>
      </c>
      <c r="AB16" s="71"/>
      <c r="AC16" s="235">
        <f ca="1">IF(AB16="",IFERROR(VLOOKUP($D16,'Employee Master'!$A:$F,6,FALSE)+365,""),AB16)</f>
        <v>44790</v>
      </c>
      <c r="AD16" s="234"/>
      <c r="AE16" s="235">
        <f t="shared" ca="1" si="11"/>
        <v>45107</v>
      </c>
      <c r="AF16" s="237">
        <f t="shared" ca="1" si="12"/>
        <v>33</v>
      </c>
      <c r="AG16" s="237">
        <f t="shared" ca="1" si="13"/>
        <v>228</v>
      </c>
      <c r="AH16" s="237">
        <f t="shared" ca="1" si="14"/>
        <v>261</v>
      </c>
      <c r="AI16" s="238">
        <f t="shared" ca="1" si="15"/>
        <v>65643.162966897784</v>
      </c>
      <c r="AJ16" s="229">
        <f t="shared" ca="1" si="16"/>
        <v>65643.162966897784</v>
      </c>
      <c r="AK16" s="233">
        <f t="shared" ca="1" si="17"/>
        <v>12412.647023811967</v>
      </c>
      <c r="AL16" s="248"/>
      <c r="AM16" s="233">
        <f t="shared" ca="1" si="18"/>
        <v>1908.3678975244839</v>
      </c>
      <c r="AN16" s="233">
        <f t="shared" ca="1" si="19"/>
        <v>58362.513492644517</v>
      </c>
      <c r="AO16" s="233">
        <f t="shared" ca="1" si="20"/>
        <v>60270.881390169001</v>
      </c>
      <c r="AP16" s="233">
        <f t="shared" ca="1" si="21"/>
        <v>7040.3654470831834</v>
      </c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N16" s="244" t="str">
        <f ca="1">IF('Budgeting Model'!C16="Vacant",'Budgeting Model'!AK16,"")</f>
        <v/>
      </c>
      <c r="BO16" s="195">
        <f t="shared" si="22"/>
        <v>6</v>
      </c>
      <c r="BP16" s="195" t="str">
        <f t="shared" si="23"/>
        <v/>
      </c>
    </row>
    <row r="17" spans="1:68" s="195" customFormat="1" ht="15" customHeight="1" thickBot="1">
      <c r="A17" s="227" t="s">
        <v>75</v>
      </c>
      <c r="B17" s="228" t="str">
        <f>IF(ISNA(VLOOKUP($A17,'Position Master'!B:C,2,FALSE)),"Missing",VLOOKUP($A17,'Position Master'!B:C,2,FALSE))</f>
        <v>Dept 7</v>
      </c>
      <c r="C17" s="211" t="str">
        <f ca="1">_xlfn.IFNA(INDEX('Employee Master'!$C:$C,MATCH($D17,'Employee Master'!$A:$A,0))&amp;", "&amp;INDEX('Employee Master'!$B:$B,MATCH($D17,'Employee Master'!$A:$A,0)),"Vacant")</f>
        <v>Barua, Zain</v>
      </c>
      <c r="D17" s="211">
        <f>IF(INDEX('Position Master'!$A$7:$A$97,MATCH(A17,'Position Master'!$B$7:$B$97,0))=0,"Vacant",INDEX('Position Master'!$A$7:$A$97,MATCH(A17,'Position Master'!$B$7:$B$97,0)))</f>
        <v>1618548</v>
      </c>
      <c r="E17" s="229">
        <f ca="1">IFERROR(VLOOKUP(D17,'Employee Master'!A:F,5,FALSE),"")</f>
        <v>79262.386964937265</v>
      </c>
      <c r="F17" s="230" t="str">
        <f ca="1">IF(C17="Vacant","No",IF(AND(VLOOKUP(D17,'Employee Master'!A:F,6,FALSE)+360&lt;B$4,VLOOKUP(D17,'Employee Master'!A:F,6,FALSE)+360&lt;B11),"Yes","No"))</f>
        <v>Yes</v>
      </c>
      <c r="G17" s="229">
        <f ca="1">IF(C17="Vacant",VLOOKUP(A17,'Position Master'!B:D,3,FALSE),E17)*(1+IF(F17="Yes",F$8,0))</f>
        <v>81640.258573885381</v>
      </c>
      <c r="H17" s="245"/>
      <c r="I17" s="232"/>
      <c r="J17" s="233">
        <f t="shared" ca="1" si="0"/>
        <v>84905.868916840802</v>
      </c>
      <c r="K17" s="234"/>
      <c r="L17" s="235">
        <f t="shared" ca="1" si="1"/>
        <v>44743</v>
      </c>
      <c r="M17" s="236"/>
      <c r="N17" s="235">
        <f ca="1">IF(M17="",IFERROR(VLOOKUP($D17,'Employee Master'!$A:$F,6,FALSE)+365,""),M17)</f>
        <v>44936</v>
      </c>
      <c r="O17" s="249">
        <v>44927</v>
      </c>
      <c r="P17" s="235">
        <f t="shared" si="2"/>
        <v>44927</v>
      </c>
      <c r="Q17" s="237">
        <f t="shared" ca="1" si="3"/>
        <v>137</v>
      </c>
      <c r="R17" s="237">
        <f t="shared" ca="1" si="4"/>
        <v>-7</v>
      </c>
      <c r="S17" s="237">
        <f t="shared" ca="1" si="5"/>
        <v>130</v>
      </c>
      <c r="T17" s="238">
        <f t="shared" ca="1" si="6"/>
        <v>81464.418016957017</v>
      </c>
      <c r="U17" s="229">
        <f t="shared" ca="1" si="7"/>
        <v>40576.146904997746</v>
      </c>
      <c r="V17" s="233">
        <f t="shared" ca="1" si="8"/>
        <v>0</v>
      </c>
      <c r="W17" s="246"/>
      <c r="X17" s="247"/>
      <c r="Y17" s="229">
        <f t="shared" ca="1" si="9"/>
        <v>84905.868916840802</v>
      </c>
      <c r="Z17" s="71"/>
      <c r="AA17" s="235">
        <f t="shared" ca="1" si="10"/>
        <v>44743</v>
      </c>
      <c r="AB17" s="71"/>
      <c r="AC17" s="235">
        <f ca="1">IF(AB17="",IFERROR(VLOOKUP($D17,'Employee Master'!$A:$F,6,FALSE)+365,""),AB17)</f>
        <v>44936</v>
      </c>
      <c r="AD17" s="234"/>
      <c r="AE17" s="235">
        <f t="shared" ca="1" si="11"/>
        <v>45107</v>
      </c>
      <c r="AF17" s="237">
        <f t="shared" ca="1" si="12"/>
        <v>137</v>
      </c>
      <c r="AG17" s="237">
        <f t="shared" ca="1" si="13"/>
        <v>124</v>
      </c>
      <c r="AH17" s="237">
        <f t="shared" ca="1" si="14"/>
        <v>261</v>
      </c>
      <c r="AI17" s="238">
        <f t="shared" ca="1" si="15"/>
        <v>83191.736284714774</v>
      </c>
      <c r="AJ17" s="229">
        <f t="shared" ca="1" si="16"/>
        <v>83191.736284714774</v>
      </c>
      <c r="AK17" s="233">
        <f t="shared" ca="1" si="17"/>
        <v>15940.182287069731</v>
      </c>
      <c r="AL17" s="248"/>
      <c r="AM17" s="233">
        <f t="shared" ca="1" si="18"/>
        <v>1727.318267757757</v>
      </c>
      <c r="AN17" s="233">
        <f t="shared" ca="1" si="19"/>
        <v>40888.271111959271</v>
      </c>
      <c r="AO17" s="233">
        <f t="shared" ca="1" si="20"/>
        <v>42615.589379717028</v>
      </c>
      <c r="AP17" s="233">
        <f t="shared" ca="1" si="21"/>
        <v>15940.182287069731</v>
      </c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N17" s="244" t="str">
        <f ca="1">IF('Budgeting Model'!C17="Vacant",'Budgeting Model'!AK17,"")</f>
        <v/>
      </c>
      <c r="BO17" s="195">
        <f t="shared" ca="1" si="22"/>
        <v>1</v>
      </c>
      <c r="BP17" s="195">
        <f t="shared" ca="1" si="23"/>
        <v>79262.386964937265</v>
      </c>
    </row>
    <row r="18" spans="1:68" s="195" customFormat="1" ht="15" customHeight="1" thickBot="1">
      <c r="A18" s="227" t="s">
        <v>76</v>
      </c>
      <c r="B18" s="228" t="str">
        <f>IF(ISNA(VLOOKUP($A18,'Position Master'!B:C,2,FALSE)),"Missing",VLOOKUP($A18,'Position Master'!B:C,2,FALSE))</f>
        <v>Dept 3</v>
      </c>
      <c r="C18" s="211" t="str">
        <f ca="1">_xlfn.IFNA(INDEX('Employee Master'!$C:$C,MATCH($D18,'Employee Master'!$A:$A,0))&amp;", "&amp;INDEX('Employee Master'!$B:$B,MATCH($D18,'Employee Master'!$A:$A,0)),"Vacant")</f>
        <v>Bershan, Samuel</v>
      </c>
      <c r="D18" s="211">
        <f>IF(INDEX('Position Master'!$A$7:$A$97,MATCH(A18,'Position Master'!$B$7:$B$97,0))=0,"Vacant",INDEX('Position Master'!$A$7:$A$97,MATCH(A18,'Position Master'!$B$7:$B$97,0)))</f>
        <v>1731520</v>
      </c>
      <c r="E18" s="229">
        <f ca="1">IFERROR(VLOOKUP(D18,'Employee Master'!A:F,5,FALSE),"")</f>
        <v>85921.924388323634</v>
      </c>
      <c r="F18" s="230" t="str">
        <f ca="1">IF(C18="Vacant","No",IF(AND(VLOOKUP(D18,'Employee Master'!A:F,6,FALSE)+360&lt;B$4,VLOOKUP(D18,'Employee Master'!A:F,6,FALSE)+360&lt;B12),"Yes","No"))</f>
        <v>Yes</v>
      </c>
      <c r="G18" s="229">
        <f ca="1">IF(C18="Vacant",VLOOKUP(A18,'Position Master'!B:D,3,FALSE),E18)*(1+IF(F18="Yes",F$8,0))</f>
        <v>88499.582119973347</v>
      </c>
      <c r="H18" s="245"/>
      <c r="I18" s="232"/>
      <c r="J18" s="233">
        <f t="shared" ca="1" si="0"/>
        <v>92039.565404772278</v>
      </c>
      <c r="K18" s="234"/>
      <c r="L18" s="235">
        <f t="shared" ca="1" si="1"/>
        <v>44743</v>
      </c>
      <c r="M18" s="236">
        <v>44910</v>
      </c>
      <c r="N18" s="235">
        <f>IF(M18="",IFERROR(VLOOKUP($D18,'Employee Master'!$A:$F,6,FALSE)+365,""),M18)</f>
        <v>44910</v>
      </c>
      <c r="O18" s="249">
        <v>44927</v>
      </c>
      <c r="P18" s="235">
        <f t="shared" si="2"/>
        <v>44927</v>
      </c>
      <c r="Q18" s="237">
        <f t="shared" ca="1" si="3"/>
        <v>119</v>
      </c>
      <c r="R18" s="237">
        <f t="shared" si="4"/>
        <v>12</v>
      </c>
      <c r="S18" s="237">
        <f t="shared" ca="1" si="5"/>
        <v>131</v>
      </c>
      <c r="T18" s="238">
        <f t="shared" ca="1" si="6"/>
        <v>88823.855397970197</v>
      </c>
      <c r="U18" s="229">
        <f t="shared" ca="1" si="7"/>
        <v>44582.088341509938</v>
      </c>
      <c r="V18" s="233">
        <f t="shared" ca="1" si="8"/>
        <v>0</v>
      </c>
      <c r="W18" s="246"/>
      <c r="X18" s="247"/>
      <c r="Y18" s="229">
        <f t="shared" ca="1" si="9"/>
        <v>92039.565404772278</v>
      </c>
      <c r="Z18" s="71"/>
      <c r="AA18" s="235">
        <f t="shared" ca="1" si="10"/>
        <v>44743</v>
      </c>
      <c r="AB18" s="71"/>
      <c r="AC18" s="235">
        <f ca="1">IF(AB18="",IFERROR(VLOOKUP($D18,'Employee Master'!$A:$F,6,FALSE)+365,""),AB18)</f>
        <v>44928</v>
      </c>
      <c r="AD18" s="234"/>
      <c r="AE18" s="235">
        <f t="shared" ca="1" si="11"/>
        <v>45107</v>
      </c>
      <c r="AF18" s="237">
        <f t="shared" ca="1" si="12"/>
        <v>131</v>
      </c>
      <c r="AG18" s="237">
        <f t="shared" ca="1" si="13"/>
        <v>130</v>
      </c>
      <c r="AH18" s="237">
        <f t="shared" ca="1" si="14"/>
        <v>261</v>
      </c>
      <c r="AI18" s="238">
        <f t="shared" ca="1" si="15"/>
        <v>90262.792185198865</v>
      </c>
      <c r="AJ18" s="229">
        <f t="shared" ca="1" si="16"/>
        <v>90262.792185198865</v>
      </c>
      <c r="AK18" s="233">
        <f t="shared" ca="1" si="17"/>
        <v>17279.458639210123</v>
      </c>
      <c r="AL18" s="248"/>
      <c r="AM18" s="233">
        <f t="shared" ca="1" si="18"/>
        <v>1438.9367872286675</v>
      </c>
      <c r="AN18" s="233">
        <f t="shared" ca="1" si="19"/>
        <v>44241.767056460259</v>
      </c>
      <c r="AO18" s="233">
        <f t="shared" ca="1" si="20"/>
        <v>45680.703843688927</v>
      </c>
      <c r="AP18" s="233">
        <f t="shared" ca="1" si="21"/>
        <v>17279.458639210123</v>
      </c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N18" s="244" t="str">
        <f ca="1">IF('Budgeting Model'!C18="Vacant",'Budgeting Model'!AK18,"")</f>
        <v/>
      </c>
      <c r="BO18" s="195">
        <f t="shared" si="22"/>
        <v>12</v>
      </c>
      <c r="BP18" s="195">
        <f t="shared" ca="1" si="23"/>
        <v>85921.924388323634</v>
      </c>
    </row>
    <row r="19" spans="1:68" s="195" customFormat="1" ht="15" customHeight="1" thickBot="1">
      <c r="A19" s="227" t="s">
        <v>77</v>
      </c>
      <c r="B19" s="228" t="str">
        <f>IF(ISNA(VLOOKUP($A19,'Position Master'!B:C,2,FALSE)),"Missing",VLOOKUP($A19,'Position Master'!B:C,2,FALSE))</f>
        <v>Dept 11</v>
      </c>
      <c r="C19" s="211" t="str">
        <f ca="1">_xlfn.IFNA(INDEX('Employee Master'!$C:$C,MATCH($D19,'Employee Master'!$A:$A,0))&amp;", "&amp;INDEX('Employee Master'!$B:$B,MATCH($D19,'Employee Master'!$A:$A,0)),"Vacant")</f>
        <v>Bertolotti, Gavin</v>
      </c>
      <c r="D19" s="211">
        <f>IF(INDEX('Position Master'!$A$7:$A$97,MATCH(A19,'Position Master'!$B$7:$B$97,0))=0,"Vacant",INDEX('Position Master'!$A$7:$A$97,MATCH(A19,'Position Master'!$B$7:$B$97,0)))</f>
        <v>1817452</v>
      </c>
      <c r="E19" s="229">
        <f ca="1">IFERROR(VLOOKUP(D19,'Employee Master'!A:F,5,FALSE),"")</f>
        <v>75399.03799363377</v>
      </c>
      <c r="F19" s="230" t="str">
        <f ca="1">IF(C19="Vacant","No",IF(AND(VLOOKUP(D19,'Employee Master'!A:F,6,FALSE)+360&lt;B$4,VLOOKUP(D19,'Employee Master'!A:F,6,FALSE)+360&lt;B13),"Yes","No"))</f>
        <v>Yes</v>
      </c>
      <c r="G19" s="229">
        <f ca="1">IF(C19="Vacant",VLOOKUP(A19,'Position Master'!B:D,3,FALSE),E19)*(1+IF(F19="Yes",F$8,0))</f>
        <v>77661.009133442785</v>
      </c>
      <c r="H19" s="245"/>
      <c r="I19" s="232"/>
      <c r="J19" s="233">
        <f t="shared" ca="1" si="0"/>
        <v>80767.449498780494</v>
      </c>
      <c r="K19" s="234"/>
      <c r="L19" s="235">
        <f t="shared" ca="1" si="1"/>
        <v>44743</v>
      </c>
      <c r="M19" s="236"/>
      <c r="N19" s="235">
        <f ca="1">IF(M19="",IFERROR(VLOOKUP($D19,'Employee Master'!$A:$F,6,FALSE)+365,""),M19)</f>
        <v>44857</v>
      </c>
      <c r="O19" s="71"/>
      <c r="P19" s="235">
        <f t="shared" ca="1" si="2"/>
        <v>45107</v>
      </c>
      <c r="Q19" s="237">
        <f t="shared" ca="1" si="3"/>
        <v>81</v>
      </c>
      <c r="R19" s="237">
        <f t="shared" ca="1" si="4"/>
        <v>180</v>
      </c>
      <c r="S19" s="237">
        <f t="shared" ca="1" si="5"/>
        <v>261</v>
      </c>
      <c r="T19" s="238">
        <f t="shared" ca="1" si="6"/>
        <v>79803.381799192925</v>
      </c>
      <c r="U19" s="229">
        <f t="shared" ca="1" si="7"/>
        <v>79803.381799192925</v>
      </c>
      <c r="V19" s="233">
        <f t="shared" ca="1" si="8"/>
        <v>15163.237645364919</v>
      </c>
      <c r="W19" s="246"/>
      <c r="X19" s="247"/>
      <c r="Y19" s="229">
        <f t="shared" ca="1" si="9"/>
        <v>80767.449498780494</v>
      </c>
      <c r="Z19" s="71"/>
      <c r="AA19" s="235">
        <f t="shared" ca="1" si="10"/>
        <v>44743</v>
      </c>
      <c r="AB19" s="71"/>
      <c r="AC19" s="235">
        <f ca="1">IF(AB19="",IFERROR(VLOOKUP($D19,'Employee Master'!$A:$F,6,FALSE)+365,""),AB19)</f>
        <v>44857</v>
      </c>
      <c r="AD19" s="234"/>
      <c r="AE19" s="235">
        <f t="shared" ca="1" si="11"/>
        <v>45107</v>
      </c>
      <c r="AF19" s="237">
        <f t="shared" ca="1" si="12"/>
        <v>81</v>
      </c>
      <c r="AG19" s="237">
        <f t="shared" ca="1" si="13"/>
        <v>180</v>
      </c>
      <c r="AH19" s="237">
        <f t="shared" ca="1" si="14"/>
        <v>261</v>
      </c>
      <c r="AI19" s="238">
        <f t="shared" ca="1" si="15"/>
        <v>79803.381799192925</v>
      </c>
      <c r="AJ19" s="229">
        <f t="shared" ca="1" si="16"/>
        <v>79803.381799192925</v>
      </c>
      <c r="AK19" s="233">
        <f t="shared" ca="1" si="17"/>
        <v>15163.237645364919</v>
      </c>
      <c r="AL19" s="248"/>
      <c r="AM19" s="233">
        <f t="shared" ca="1" si="18"/>
        <v>0</v>
      </c>
      <c r="AN19" s="233">
        <f t="shared" ca="1" si="19"/>
        <v>0</v>
      </c>
      <c r="AO19" s="233">
        <f t="shared" ca="1" si="20"/>
        <v>0</v>
      </c>
      <c r="AP19" s="233">
        <f t="shared" ca="1" si="21"/>
        <v>0</v>
      </c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N19" s="244" t="str">
        <f ca="1">IF('Budgeting Model'!C19="Vacant",'Budgeting Model'!AK19,"")</f>
        <v/>
      </c>
      <c r="BO19" s="195">
        <f t="shared" ca="1" si="22"/>
        <v>10</v>
      </c>
      <c r="BP19" s="195">
        <f t="shared" ca="1" si="23"/>
        <v>75399.03799363377</v>
      </c>
    </row>
    <row r="20" spans="1:68" s="195" customFormat="1" ht="15" customHeight="1" thickBot="1">
      <c r="A20" s="227" t="s">
        <v>78</v>
      </c>
      <c r="B20" s="228" t="str">
        <f>IF(ISNA(VLOOKUP($A20,'Position Master'!B:C,2,FALSE)),"Missing",VLOOKUP($A20,'Position Master'!B:C,2,FALSE))</f>
        <v>Dept 6</v>
      </c>
      <c r="C20" s="211" t="str">
        <f ca="1">_xlfn.IFNA(INDEX('Employee Master'!$C:$C,MATCH($D20,'Employee Master'!$A:$A,0))&amp;", "&amp;INDEX('Employee Master'!$B:$B,MATCH($D20,'Employee Master'!$A:$A,0)),"Vacant")</f>
        <v>Bhandari, Abdul</v>
      </c>
      <c r="D20" s="211">
        <f>IF(INDEX('Position Master'!$A$7:$A$97,MATCH(A20,'Position Master'!$B$7:$B$97,0))=0,"Vacant",INDEX('Position Master'!$A$7:$A$97,MATCH(A20,'Position Master'!$B$7:$B$97,0)))</f>
        <v>1976625</v>
      </c>
      <c r="E20" s="229">
        <f ca="1">IFERROR(VLOOKUP(D20,'Employee Master'!A:F,5,FALSE),"")</f>
        <v>68850.314571758063</v>
      </c>
      <c r="F20" s="230" t="str">
        <f ca="1">IF(C20="Vacant","No",IF(AND(VLOOKUP(D20,'Employee Master'!A:F,6,FALSE)+360&lt;B$4,VLOOKUP(D20,'Employee Master'!A:F,6,FALSE)+360&lt;B14),"Yes","No"))</f>
        <v>No</v>
      </c>
      <c r="G20" s="229">
        <f ca="1">IF(C20="Vacant",VLOOKUP(A20,'Position Master'!B:D,3,FALSE),E20)*(1+IF(F20="Yes",F$8,0))</f>
        <v>68850.314571758063</v>
      </c>
      <c r="H20" s="245"/>
      <c r="I20" s="232"/>
      <c r="J20" s="233">
        <f t="shared" ca="1" si="0"/>
        <v>71604.327154628394</v>
      </c>
      <c r="K20" s="234"/>
      <c r="L20" s="235">
        <f t="shared" ca="1" si="1"/>
        <v>44743</v>
      </c>
      <c r="M20" s="236"/>
      <c r="N20" s="235">
        <f ca="1">IF(M20="",IFERROR(VLOOKUP($D20,'Employee Master'!$A:$F,6,FALSE)+365,""),M20)</f>
        <v>45079</v>
      </c>
      <c r="O20" s="71"/>
      <c r="P20" s="235">
        <f t="shared" ca="1" si="2"/>
        <v>45107</v>
      </c>
      <c r="Q20" s="237">
        <f t="shared" ca="1" si="3"/>
        <v>240</v>
      </c>
      <c r="R20" s="237">
        <f t="shared" ca="1" si="4"/>
        <v>21</v>
      </c>
      <c r="S20" s="237">
        <f t="shared" ca="1" si="5"/>
        <v>261</v>
      </c>
      <c r="T20" s="238">
        <f t="shared" ca="1" si="6"/>
        <v>69071.901791069467</v>
      </c>
      <c r="U20" s="229">
        <f t="shared" ca="1" si="7"/>
        <v>69071.901791069467</v>
      </c>
      <c r="V20" s="233">
        <f t="shared" ca="1" si="8"/>
        <v>13147.508345810045</v>
      </c>
      <c r="W20" s="246"/>
      <c r="X20" s="247"/>
      <c r="Y20" s="229">
        <f t="shared" ca="1" si="9"/>
        <v>71604.327154628394</v>
      </c>
      <c r="Z20" s="71"/>
      <c r="AA20" s="235">
        <f t="shared" ca="1" si="10"/>
        <v>44743</v>
      </c>
      <c r="AB20" s="71"/>
      <c r="AC20" s="235">
        <f ca="1">IF(AB20="",IFERROR(VLOOKUP($D20,'Employee Master'!$A:$F,6,FALSE)+365,""),AB20)</f>
        <v>45079</v>
      </c>
      <c r="AD20" s="234"/>
      <c r="AE20" s="235">
        <f t="shared" ca="1" si="11"/>
        <v>45107</v>
      </c>
      <c r="AF20" s="237">
        <f t="shared" ca="1" si="12"/>
        <v>240</v>
      </c>
      <c r="AG20" s="237">
        <f t="shared" ca="1" si="13"/>
        <v>21</v>
      </c>
      <c r="AH20" s="237">
        <f t="shared" ca="1" si="14"/>
        <v>261</v>
      </c>
      <c r="AI20" s="238">
        <f t="shared" ca="1" si="15"/>
        <v>69071.901791069467</v>
      </c>
      <c r="AJ20" s="229">
        <f t="shared" ca="1" si="16"/>
        <v>69071.901791069467</v>
      </c>
      <c r="AK20" s="233">
        <f t="shared" ca="1" si="17"/>
        <v>13147.508345810045</v>
      </c>
      <c r="AL20" s="248"/>
      <c r="AM20" s="233">
        <f t="shared" ca="1" si="18"/>
        <v>0</v>
      </c>
      <c r="AN20" s="233">
        <f t="shared" ca="1" si="19"/>
        <v>0</v>
      </c>
      <c r="AO20" s="233">
        <f t="shared" ca="1" si="20"/>
        <v>0</v>
      </c>
      <c r="AP20" s="233">
        <f t="shared" ca="1" si="21"/>
        <v>0</v>
      </c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N20" s="244" t="str">
        <f ca="1">IF('Budgeting Model'!C20="Vacant",'Budgeting Model'!AK20,"")</f>
        <v/>
      </c>
      <c r="BO20" s="195">
        <f t="shared" ca="1" si="22"/>
        <v>6</v>
      </c>
      <c r="BP20" s="195" t="str">
        <f t="shared" ca="1" si="23"/>
        <v/>
      </c>
    </row>
    <row r="21" spans="1:68" s="195" customFormat="1" ht="15" customHeight="1" thickBot="1">
      <c r="A21" s="227" t="s">
        <v>79</v>
      </c>
      <c r="B21" s="228" t="str">
        <f>IF(ISNA(VLOOKUP($A21,'Position Master'!B:C,2,FALSE)),"Missing",VLOOKUP($A21,'Position Master'!B:C,2,FALSE))</f>
        <v>Dept 9</v>
      </c>
      <c r="C21" s="211" t="str">
        <f ca="1">_xlfn.IFNA(INDEX('Employee Master'!$C:$C,MATCH($D21,'Employee Master'!$A:$A,0))&amp;", "&amp;INDEX('Employee Master'!$B:$B,MATCH($D21,'Employee Master'!$A:$A,0)),"Vacant")</f>
        <v>Vacant</v>
      </c>
      <c r="D21" s="211" t="str">
        <f>IF(INDEX('Position Master'!$A$7:$A$97,MATCH(A21,'Position Master'!$B$7:$B$97,0))=0,"Vacant",INDEX('Position Master'!$A$7:$A$97,MATCH(A21,'Position Master'!$B$7:$B$97,0)))</f>
        <v>Vacant</v>
      </c>
      <c r="E21" s="229" t="str">
        <f ca="1">IFERROR(VLOOKUP(D21,'Employee Master'!A:F,5,FALSE),"")</f>
        <v/>
      </c>
      <c r="F21" s="230" t="str">
        <f ca="1">IF(C21="Vacant","No",IF(AND(VLOOKUP(D21,'Employee Master'!A:F,6,FALSE)+360&lt;B$4,VLOOKUP(D21,'Employee Master'!A:F,6,FALSE)+360&lt;B15),"Yes","No"))</f>
        <v>No</v>
      </c>
      <c r="G21" s="229">
        <f ca="1">IF(C21="Vacant",VLOOKUP(A21,'Position Master'!B:D,3,FALSE),E21)*(1+IF(F21="Yes",F$8,0))</f>
        <v>65707.056981894959</v>
      </c>
      <c r="H21" s="245"/>
      <c r="I21" s="232"/>
      <c r="J21" s="233">
        <f t="shared" ca="1" si="0"/>
        <v>68335.339261170753</v>
      </c>
      <c r="K21" s="234">
        <v>45078</v>
      </c>
      <c r="L21" s="235">
        <f t="shared" si="1"/>
        <v>45078</v>
      </c>
      <c r="M21" s="236"/>
      <c r="N21" s="235" t="str">
        <f ca="1">IF(M21="",IFERROR(VLOOKUP($D21,'Employee Master'!$A:$F,6,FALSE)+365,""),M21)</f>
        <v/>
      </c>
      <c r="O21" s="71"/>
      <c r="P21" s="235">
        <f t="shared" ca="1" si="2"/>
        <v>45107</v>
      </c>
      <c r="Q21" s="237">
        <f t="shared" ca="1" si="3"/>
        <v>22</v>
      </c>
      <c r="R21" s="237">
        <f t="shared" ca="1" si="4"/>
        <v>0</v>
      </c>
      <c r="S21" s="237">
        <f t="shared" ca="1" si="5"/>
        <v>22</v>
      </c>
      <c r="T21" s="238">
        <f t="shared" ca="1" si="6"/>
        <v>65707.056981894959</v>
      </c>
      <c r="U21" s="229">
        <f t="shared" ca="1" si="7"/>
        <v>5538.5258758685404</v>
      </c>
      <c r="V21" s="233">
        <f t="shared" ca="1" si="8"/>
        <v>5538.5258758685404</v>
      </c>
      <c r="W21" s="246"/>
      <c r="X21" s="247">
        <v>0.05</v>
      </c>
      <c r="Y21" s="229">
        <f t="shared" ca="1" si="9"/>
        <v>68992.409830989709</v>
      </c>
      <c r="Z21" s="249">
        <v>44837</v>
      </c>
      <c r="AA21" s="235">
        <f t="shared" si="10"/>
        <v>44837</v>
      </c>
      <c r="AB21" s="71"/>
      <c r="AC21" s="235" t="str">
        <f ca="1">IF(AB21="",IFERROR(VLOOKUP($D21,'Employee Master'!$A:$F,6,FALSE)+365,""),AB21)</f>
        <v/>
      </c>
      <c r="AD21" s="234"/>
      <c r="AE21" s="235">
        <f t="shared" ca="1" si="11"/>
        <v>45107</v>
      </c>
      <c r="AF21" s="237">
        <f t="shared" ca="1" si="12"/>
        <v>195</v>
      </c>
      <c r="AG21" s="237">
        <f t="shared" ca="1" si="13"/>
        <v>0</v>
      </c>
      <c r="AH21" s="237">
        <f t="shared" ca="1" si="14"/>
        <v>195</v>
      </c>
      <c r="AI21" s="238">
        <f t="shared" ca="1" si="15"/>
        <v>65707.056981894959</v>
      </c>
      <c r="AJ21" s="229">
        <f t="shared" ca="1" si="16"/>
        <v>49091.479354289339</v>
      </c>
      <c r="AK21" s="233">
        <f t="shared" ca="1" si="17"/>
        <v>49091.479354289339</v>
      </c>
      <c r="AL21" s="248"/>
      <c r="AM21" s="233">
        <f t="shared" ca="1" si="18"/>
        <v>0</v>
      </c>
      <c r="AN21" s="233">
        <f t="shared" ca="1" si="19"/>
        <v>43552.953478420801</v>
      </c>
      <c r="AO21" s="233">
        <f t="shared" ca="1" si="20"/>
        <v>43552.953478420801</v>
      </c>
      <c r="AP21" s="233">
        <f t="shared" ca="1" si="21"/>
        <v>43552.953478420801</v>
      </c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N21" s="244">
        <f ca="1">IF('Budgeting Model'!C21="Vacant",'Budgeting Model'!AK21,"")</f>
        <v>49091.479354289339</v>
      </c>
      <c r="BO21" s="195" t="str">
        <f t="shared" ca="1" si="22"/>
        <v/>
      </c>
      <c r="BP21" s="195" t="str">
        <f t="shared" ca="1" si="23"/>
        <v/>
      </c>
    </row>
    <row r="22" spans="1:68" s="195" customFormat="1" ht="15" customHeight="1" thickBot="1">
      <c r="A22" s="227" t="s">
        <v>80</v>
      </c>
      <c r="B22" s="228" t="str">
        <f>IF(ISNA(VLOOKUP($A22,'Position Master'!B:C,2,FALSE)),"Missing",VLOOKUP($A22,'Position Master'!B:C,2,FALSE))</f>
        <v>Dept 2</v>
      </c>
      <c r="C22" s="211" t="str">
        <f ca="1">_xlfn.IFNA(INDEX('Employee Master'!$C:$C,MATCH($D22,'Employee Master'!$A:$A,0))&amp;", "&amp;INDEX('Employee Master'!$B:$B,MATCH($D22,'Employee Master'!$A:$A,0)),"Vacant")</f>
        <v>Biswas, Max</v>
      </c>
      <c r="D22" s="211">
        <f>IF(INDEX('Position Master'!$A$7:$A$97,MATCH(A22,'Position Master'!$B$7:$B$97,0))=0,"Vacant",INDEX('Position Master'!$A$7:$A$97,MATCH(A22,'Position Master'!$B$7:$B$97,0)))</f>
        <v>2260929</v>
      </c>
      <c r="E22" s="229">
        <f ca="1">IFERROR(VLOOKUP(D22,'Employee Master'!A:F,5,FALSE),"")</f>
        <v>82026.203262027353</v>
      </c>
      <c r="F22" s="230" t="str">
        <f ca="1">IF(C22="Vacant","No",IF(AND(VLOOKUP(D22,'Employee Master'!A:F,6,FALSE)+360&lt;B$4,VLOOKUP(D22,'Employee Master'!A:F,6,FALSE)+360&lt;B16),"Yes","No"))</f>
        <v>Yes</v>
      </c>
      <c r="G22" s="229">
        <f ca="1">IF(C22="Vacant",VLOOKUP(A22,'Position Master'!B:D,3,FALSE),E22)*(1+IF(F22="Yes",F$8,0))</f>
        <v>84486.989359888175</v>
      </c>
      <c r="H22" s="245"/>
      <c r="I22" s="232"/>
      <c r="J22" s="233">
        <f t="shared" ca="1" si="0"/>
        <v>87866.468934283708</v>
      </c>
      <c r="K22" s="234"/>
      <c r="L22" s="235">
        <f t="shared" ca="1" si="1"/>
        <v>44743</v>
      </c>
      <c r="M22" s="236"/>
      <c r="N22" s="235">
        <f ca="1">IF(M22="",IFERROR(VLOOKUP($D22,'Employee Master'!$A:$F,6,FALSE)+365,""),M22)</f>
        <v>44989</v>
      </c>
      <c r="O22" s="71"/>
      <c r="P22" s="235">
        <f t="shared" ca="1" si="2"/>
        <v>45107</v>
      </c>
      <c r="Q22" s="237">
        <f t="shared" ca="1" si="3"/>
        <v>176</v>
      </c>
      <c r="R22" s="237">
        <f t="shared" ca="1" si="4"/>
        <v>85</v>
      </c>
      <c r="S22" s="237">
        <f t="shared" ca="1" si="5"/>
        <v>261</v>
      </c>
      <c r="T22" s="238">
        <f t="shared" ca="1" si="6"/>
        <v>85587.586156147256</v>
      </c>
      <c r="U22" s="229">
        <f t="shared" ca="1" si="7"/>
        <v>85587.586156147256</v>
      </c>
      <c r="V22" s="233">
        <f t="shared" ca="1" si="8"/>
        <v>16496.003746283146</v>
      </c>
      <c r="W22" s="246"/>
      <c r="X22" s="247"/>
      <c r="Y22" s="229">
        <f t="shared" ca="1" si="9"/>
        <v>87866.468934283708</v>
      </c>
      <c r="Z22" s="71"/>
      <c r="AA22" s="235">
        <f t="shared" ca="1" si="10"/>
        <v>44743</v>
      </c>
      <c r="AB22" s="71"/>
      <c r="AC22" s="235">
        <f ca="1">IF(AB22="",IFERROR(VLOOKUP($D22,'Employee Master'!$A:$F,6,FALSE)+365,""),AB22)</f>
        <v>44989</v>
      </c>
      <c r="AD22" s="234"/>
      <c r="AE22" s="235">
        <f t="shared" ca="1" si="11"/>
        <v>45107</v>
      </c>
      <c r="AF22" s="237">
        <f t="shared" ca="1" si="12"/>
        <v>176</v>
      </c>
      <c r="AG22" s="237">
        <f t="shared" ca="1" si="13"/>
        <v>85</v>
      </c>
      <c r="AH22" s="237">
        <f t="shared" ca="1" si="14"/>
        <v>261</v>
      </c>
      <c r="AI22" s="238">
        <f t="shared" ca="1" si="15"/>
        <v>85587.586156147256</v>
      </c>
      <c r="AJ22" s="229">
        <f t="shared" ca="1" si="16"/>
        <v>85587.586156147256</v>
      </c>
      <c r="AK22" s="233">
        <f t="shared" ca="1" si="17"/>
        <v>16496.003746283146</v>
      </c>
      <c r="AL22" s="248"/>
      <c r="AM22" s="233">
        <f t="shared" ca="1" si="18"/>
        <v>0</v>
      </c>
      <c r="AN22" s="233">
        <f t="shared" ca="1" si="19"/>
        <v>0</v>
      </c>
      <c r="AO22" s="233">
        <f t="shared" ca="1" si="20"/>
        <v>0</v>
      </c>
      <c r="AP22" s="233">
        <f t="shared" ca="1" si="21"/>
        <v>0</v>
      </c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N22" s="244" t="str">
        <f ca="1">IF('Budgeting Model'!C22="Vacant",'Budgeting Model'!AK22,"")</f>
        <v/>
      </c>
      <c r="BO22" s="195">
        <f t="shared" ca="1" si="22"/>
        <v>3</v>
      </c>
      <c r="BP22" s="195" t="str">
        <f t="shared" ca="1" si="23"/>
        <v/>
      </c>
    </row>
    <row r="23" spans="1:68" s="195" customFormat="1" ht="15" customHeight="1" thickBot="1">
      <c r="A23" s="227" t="s">
        <v>81</v>
      </c>
      <c r="B23" s="228" t="str">
        <f>IF(ISNA(VLOOKUP($A23,'Position Master'!B:C,2,FALSE)),"Missing",VLOOKUP($A23,'Position Master'!B:C,2,FALSE))</f>
        <v>Dept 1</v>
      </c>
      <c r="C23" s="211" t="str">
        <f ca="1">_xlfn.IFNA(INDEX('Employee Master'!$C:$C,MATCH($D23,'Employee Master'!$A:$A,0))&amp;", "&amp;INDEX('Employee Master'!$B:$B,MATCH($D23,'Employee Master'!$A:$A,0)),"Vacant")</f>
        <v>Bulchandani, Akheem</v>
      </c>
      <c r="D23" s="211">
        <f>IF(INDEX('Position Master'!$A$7:$A$97,MATCH(A23,'Position Master'!$B$7:$B$97,0))=0,"Vacant",INDEX('Position Master'!$A$7:$A$97,MATCH(A23,'Position Master'!$B$7:$B$97,0)))</f>
        <v>2544715</v>
      </c>
      <c r="E23" s="229">
        <f ca="1">IFERROR(VLOOKUP(D23,'Employee Master'!A:F,5,FALSE),"")</f>
        <v>43963.486619237963</v>
      </c>
      <c r="F23" s="230" t="str">
        <f ca="1">IF(C23="Vacant","No",IF(AND(VLOOKUP(D23,'Employee Master'!A:F,6,FALSE)+360&lt;B$4,VLOOKUP(D23,'Employee Master'!A:F,6,FALSE)+360&lt;B17),"Yes","No"))</f>
        <v>Yes</v>
      </c>
      <c r="G23" s="229">
        <f ca="1">IF(C23="Vacant",VLOOKUP(A23,'Position Master'!B:D,3,FALSE),E23)*(1+IF(F23="Yes",F$8,0))</f>
        <v>45282.3912178151</v>
      </c>
      <c r="H23" s="245"/>
      <c r="I23" s="232"/>
      <c r="J23" s="233">
        <f t="shared" ca="1" si="0"/>
        <v>47093.686866527707</v>
      </c>
      <c r="K23" s="234"/>
      <c r="L23" s="235">
        <f t="shared" ca="1" si="1"/>
        <v>44743</v>
      </c>
      <c r="M23" s="236"/>
      <c r="N23" s="235">
        <f ca="1">IF(M23="",IFERROR(VLOOKUP($D23,'Employee Master'!$A:$F,6,FALSE)+365,""),M23)</f>
        <v>44749</v>
      </c>
      <c r="O23" s="249">
        <v>44929</v>
      </c>
      <c r="P23" s="235">
        <f t="shared" si="2"/>
        <v>44929</v>
      </c>
      <c r="Q23" s="237">
        <f t="shared" ca="1" si="3"/>
        <v>4</v>
      </c>
      <c r="R23" s="237">
        <f t="shared" ca="1" si="4"/>
        <v>129</v>
      </c>
      <c r="S23" s="237">
        <f t="shared" ca="1" si="5"/>
        <v>133</v>
      </c>
      <c r="T23" s="238">
        <f t="shared" ca="1" si="6"/>
        <v>47039.21180942357</v>
      </c>
      <c r="U23" s="229">
        <f t="shared" ca="1" si="7"/>
        <v>23970.173067637297</v>
      </c>
      <c r="V23" s="233">
        <f t="shared" ca="1" si="8"/>
        <v>0</v>
      </c>
      <c r="W23" s="246"/>
      <c r="X23" s="247">
        <v>0.06</v>
      </c>
      <c r="Y23" s="229">
        <f t="shared" ca="1" si="9"/>
        <v>47999.334690884003</v>
      </c>
      <c r="Z23" s="71"/>
      <c r="AA23" s="235">
        <f t="shared" ca="1" si="10"/>
        <v>44743</v>
      </c>
      <c r="AB23" s="71"/>
      <c r="AC23" s="235">
        <f ca="1">IF(AB23="",IFERROR(VLOOKUP($D23,'Employee Master'!$A:$F,6,FALSE)+365,""),AB23)</f>
        <v>44749</v>
      </c>
      <c r="AD23" s="234"/>
      <c r="AE23" s="235">
        <f t="shared" ca="1" si="11"/>
        <v>45107</v>
      </c>
      <c r="AF23" s="237">
        <f t="shared" ca="1" si="12"/>
        <v>4</v>
      </c>
      <c r="AG23" s="237">
        <f t="shared" ca="1" si="13"/>
        <v>257</v>
      </c>
      <c r="AH23" s="237">
        <f t="shared" ca="1" si="14"/>
        <v>261</v>
      </c>
      <c r="AI23" s="238">
        <f t="shared" ca="1" si="15"/>
        <v>47957.695710453831</v>
      </c>
      <c r="AJ23" s="229">
        <f t="shared" ca="1" si="16"/>
        <v>47957.695710453831</v>
      </c>
      <c r="AK23" s="233">
        <f t="shared" ca="1" si="17"/>
        <v>9011.369348096996</v>
      </c>
      <c r="AL23" s="248"/>
      <c r="AM23" s="233">
        <f t="shared" ca="1" si="18"/>
        <v>918.48390103026031</v>
      </c>
      <c r="AN23" s="233">
        <f t="shared" ca="1" si="19"/>
        <v>23069.038741786273</v>
      </c>
      <c r="AO23" s="233">
        <f t="shared" ca="1" si="20"/>
        <v>23987.522642816533</v>
      </c>
      <c r="AP23" s="233">
        <f t="shared" ca="1" si="21"/>
        <v>9011.369348096996</v>
      </c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N23" s="244" t="str">
        <f ca="1">IF('Budgeting Model'!C23="Vacant",'Budgeting Model'!AK23,"")</f>
        <v/>
      </c>
      <c r="BO23" s="195">
        <f t="shared" ca="1" si="22"/>
        <v>7</v>
      </c>
      <c r="BP23" s="195" t="str">
        <f t="shared" ca="1" si="23"/>
        <v/>
      </c>
    </row>
    <row r="24" spans="1:68" s="195" customFormat="1" ht="15" customHeight="1" thickBot="1">
      <c r="A24" s="227" t="s">
        <v>82</v>
      </c>
      <c r="B24" s="228" t="str">
        <f>IF(ISNA(VLOOKUP($A24,'Position Master'!B:C,2,FALSE)),"Missing",VLOOKUP($A24,'Position Master'!B:C,2,FALSE))</f>
        <v>Dept 10</v>
      </c>
      <c r="C24" s="211" t="str">
        <f ca="1">_xlfn.IFNA(INDEX('Employee Master'!$C:$C,MATCH($D24,'Employee Master'!$A:$A,0))&amp;", "&amp;INDEX('Employee Master'!$B:$B,MATCH($D24,'Employee Master'!$A:$A,0)),"Vacant")</f>
        <v>Cando, Asher</v>
      </c>
      <c r="D24" s="211">
        <f>IF(INDEX('Position Master'!$A$7:$A$97,MATCH(A24,'Position Master'!$B$7:$B$97,0))=0,"Vacant",INDEX('Position Master'!$A$7:$A$97,MATCH(A24,'Position Master'!$B$7:$B$97,0)))</f>
        <v>2779782</v>
      </c>
      <c r="E24" s="229">
        <f ca="1">IFERROR(VLOOKUP(D24,'Employee Master'!A:F,5,FALSE),"")</f>
        <v>85969.511225440612</v>
      </c>
      <c r="F24" s="230" t="str">
        <f ca="1">IF(C24="Vacant","No",IF(AND(VLOOKUP(D24,'Employee Master'!A:F,6,FALSE)+360&lt;B$4,VLOOKUP(D24,'Employee Master'!A:F,6,FALSE)+360&lt;B18),"Yes","No"))</f>
        <v>Yes</v>
      </c>
      <c r="G24" s="229">
        <f ca="1">IF(C24="Vacant",VLOOKUP(A24,'Position Master'!B:D,3,FALSE),E24)*(1+IF(F24="Yes",F$8,0))</f>
        <v>88548.596562203835</v>
      </c>
      <c r="H24" s="245"/>
      <c r="I24" s="232"/>
      <c r="J24" s="233">
        <f t="shared" ca="1" si="0"/>
        <v>92090.540424691993</v>
      </c>
      <c r="K24" s="234"/>
      <c r="L24" s="235">
        <f t="shared" ca="1" si="1"/>
        <v>44743</v>
      </c>
      <c r="M24" s="236"/>
      <c r="N24" s="235">
        <f ca="1">IF(M24="",IFERROR(VLOOKUP($D24,'Employee Master'!$A:$F,6,FALSE)+365,""),M24)</f>
        <v>44982</v>
      </c>
      <c r="O24" s="249">
        <v>45015</v>
      </c>
      <c r="P24" s="235">
        <f t="shared" si="2"/>
        <v>45015</v>
      </c>
      <c r="Q24" s="237">
        <f t="shared" ca="1" si="3"/>
        <v>171</v>
      </c>
      <c r="R24" s="237">
        <f t="shared" ca="1" si="4"/>
        <v>24</v>
      </c>
      <c r="S24" s="237">
        <f t="shared" ca="1" si="5"/>
        <v>195</v>
      </c>
      <c r="T24" s="238">
        <f t="shared" ca="1" si="6"/>
        <v>88984.52811451006</v>
      </c>
      <c r="U24" s="229">
        <f t="shared" ca="1" si="7"/>
        <v>66482.693418886833</v>
      </c>
      <c r="V24" s="233">
        <f t="shared" ca="1" si="8"/>
        <v>0</v>
      </c>
      <c r="W24" s="246"/>
      <c r="X24" s="247"/>
      <c r="Y24" s="229">
        <f t="shared" ca="1" si="9"/>
        <v>92090.540424691993</v>
      </c>
      <c r="Z24" s="71"/>
      <c r="AA24" s="235">
        <f t="shared" ca="1" si="10"/>
        <v>44743</v>
      </c>
      <c r="AB24" s="71"/>
      <c r="AC24" s="235">
        <f ca="1">IF(AB24="",IFERROR(VLOOKUP($D24,'Employee Master'!$A:$F,6,FALSE)+365,""),AB24)</f>
        <v>44982</v>
      </c>
      <c r="AD24" s="234"/>
      <c r="AE24" s="235">
        <f t="shared" ca="1" si="11"/>
        <v>45107</v>
      </c>
      <c r="AF24" s="237">
        <f t="shared" ca="1" si="12"/>
        <v>171</v>
      </c>
      <c r="AG24" s="237">
        <f t="shared" ca="1" si="13"/>
        <v>90</v>
      </c>
      <c r="AH24" s="237">
        <f t="shared" ca="1" si="14"/>
        <v>261</v>
      </c>
      <c r="AI24" s="238">
        <f t="shared" ca="1" si="15"/>
        <v>89769.956514785954</v>
      </c>
      <c r="AJ24" s="229">
        <f t="shared" ca="1" si="16"/>
        <v>89769.956514785954</v>
      </c>
      <c r="AK24" s="233">
        <f t="shared" ca="1" si="17"/>
        <v>17289.028662106924</v>
      </c>
      <c r="AL24" s="248"/>
      <c r="AM24" s="233">
        <f t="shared" ca="1" si="18"/>
        <v>785.42840027589409</v>
      </c>
      <c r="AN24" s="233">
        <f t="shared" ca="1" si="19"/>
        <v>22501.834695623227</v>
      </c>
      <c r="AO24" s="233">
        <f t="shared" ca="1" si="20"/>
        <v>23287.263095899121</v>
      </c>
      <c r="AP24" s="233">
        <f t="shared" ca="1" si="21"/>
        <v>17289.028662106924</v>
      </c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N24" s="244" t="str">
        <f ca="1">IF('Budgeting Model'!C24="Vacant",'Budgeting Model'!AK24,"")</f>
        <v/>
      </c>
      <c r="BO24" s="195">
        <f t="shared" ca="1" si="22"/>
        <v>2</v>
      </c>
      <c r="BP24" s="195">
        <f t="shared" ca="1" si="23"/>
        <v>85969.511225440612</v>
      </c>
    </row>
    <row r="25" spans="1:68" s="195" customFormat="1" ht="15" customHeight="1" thickBot="1">
      <c r="A25" s="227" t="s">
        <v>83</v>
      </c>
      <c r="B25" s="228" t="str">
        <f>IF(ISNA(VLOOKUP($A25,'Position Master'!B:C,2,FALSE)),"Missing",VLOOKUP($A25,'Position Master'!B:C,2,FALSE))</f>
        <v>Dept 13</v>
      </c>
      <c r="C25" s="211" t="str">
        <f ca="1">_xlfn.IFNA(INDEX('Employee Master'!$C:$C,MATCH($D25,'Employee Master'!$A:$A,0))&amp;", "&amp;INDEX('Employee Master'!$B:$B,MATCH($D25,'Employee Master'!$A:$A,0)),"Vacant")</f>
        <v>Chand, John</v>
      </c>
      <c r="D25" s="211">
        <f>IF(INDEX('Position Master'!$A$7:$A$97,MATCH(A25,'Position Master'!$B$7:$B$97,0))=0,"Vacant",INDEX('Position Master'!$A$7:$A$97,MATCH(A25,'Position Master'!$B$7:$B$97,0)))</f>
        <v>2964540</v>
      </c>
      <c r="E25" s="229">
        <f ca="1">IFERROR(VLOOKUP(D25,'Employee Master'!A:F,5,FALSE),"")</f>
        <v>55749.884338851087</v>
      </c>
      <c r="F25" s="230" t="str">
        <f ca="1">IF(C25="Vacant","No",IF(AND(VLOOKUP(D25,'Employee Master'!A:F,6,FALSE)+360&lt;B$4,VLOOKUP(D25,'Employee Master'!A:F,6,FALSE)+360&lt;B19),"Yes","No"))</f>
        <v>Yes</v>
      </c>
      <c r="G25" s="229">
        <f ca="1">IF(C25="Vacant",VLOOKUP(A25,'Position Master'!B:D,3,FALSE),E25)*(1+IF(F25="Yes",F$8,0))</f>
        <v>57422.380869016619</v>
      </c>
      <c r="H25" s="245"/>
      <c r="I25" s="232"/>
      <c r="J25" s="233">
        <f t="shared" ca="1" si="0"/>
        <v>59719.276103777287</v>
      </c>
      <c r="K25" s="234"/>
      <c r="L25" s="235">
        <f t="shared" ca="1" si="1"/>
        <v>44743</v>
      </c>
      <c r="M25" s="236"/>
      <c r="N25" s="235">
        <f ca="1">IF(M25="",IFERROR(VLOOKUP($D25,'Employee Master'!$A:$F,6,FALSE)+365,""),M25)</f>
        <v>44957</v>
      </c>
      <c r="O25" s="249">
        <v>45017</v>
      </c>
      <c r="P25" s="235">
        <f t="shared" si="2"/>
        <v>45017</v>
      </c>
      <c r="Q25" s="237">
        <f t="shared" ca="1" si="3"/>
        <v>152</v>
      </c>
      <c r="R25" s="237">
        <f t="shared" ca="1" si="4"/>
        <v>44</v>
      </c>
      <c r="S25" s="237">
        <f t="shared" ca="1" si="5"/>
        <v>196</v>
      </c>
      <c r="T25" s="238">
        <f t="shared" ca="1" si="6"/>
        <v>57938.010411513904</v>
      </c>
      <c r="U25" s="229">
        <f t="shared" ca="1" si="7"/>
        <v>43509.003987190517</v>
      </c>
      <c r="V25" s="233">
        <f t="shared" ca="1" si="8"/>
        <v>0</v>
      </c>
      <c r="W25" s="246"/>
      <c r="X25" s="247"/>
      <c r="Y25" s="229">
        <f t="shared" ca="1" si="9"/>
        <v>59719.276103777287</v>
      </c>
      <c r="Z25" s="71"/>
      <c r="AA25" s="235">
        <f t="shared" ca="1" si="10"/>
        <v>44743</v>
      </c>
      <c r="AB25" s="71"/>
      <c r="AC25" s="235">
        <f ca="1">IF(AB25="",IFERROR(VLOOKUP($D25,'Employee Master'!$A:$F,6,FALSE)+365,""),AB25)</f>
        <v>44957</v>
      </c>
      <c r="AD25" s="234"/>
      <c r="AE25" s="235">
        <f t="shared" ca="1" si="11"/>
        <v>45107</v>
      </c>
      <c r="AF25" s="237">
        <f t="shared" ca="1" si="12"/>
        <v>152</v>
      </c>
      <c r="AG25" s="237">
        <f t="shared" ca="1" si="13"/>
        <v>109</v>
      </c>
      <c r="AH25" s="237">
        <f t="shared" ca="1" si="14"/>
        <v>261</v>
      </c>
      <c r="AI25" s="238">
        <f t="shared" ca="1" si="15"/>
        <v>58381.620641387934</v>
      </c>
      <c r="AJ25" s="229">
        <f t="shared" ca="1" si="16"/>
        <v>58381.620641387934</v>
      </c>
      <c r="AK25" s="233">
        <f t="shared" ca="1" si="17"/>
        <v>11211.66486239497</v>
      </c>
      <c r="AL25" s="248"/>
      <c r="AM25" s="233">
        <f t="shared" ca="1" si="18"/>
        <v>443.61022987402976</v>
      </c>
      <c r="AN25" s="233">
        <f t="shared" ca="1" si="19"/>
        <v>14429.006424323386</v>
      </c>
      <c r="AO25" s="233">
        <f t="shared" ca="1" si="20"/>
        <v>14872.616654197416</v>
      </c>
      <c r="AP25" s="233">
        <f t="shared" ca="1" si="21"/>
        <v>11211.66486239497</v>
      </c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N25" s="244" t="str">
        <f ca="1">IF('Budgeting Model'!C25="Vacant",'Budgeting Model'!AK25,"")</f>
        <v/>
      </c>
      <c r="BO25" s="195">
        <f t="shared" ca="1" si="22"/>
        <v>1</v>
      </c>
      <c r="BP25" s="195">
        <f t="shared" ca="1" si="23"/>
        <v>55749.884338851087</v>
      </c>
    </row>
    <row r="26" spans="1:68" s="195" customFormat="1" ht="15" customHeight="1" thickBot="1">
      <c r="A26" s="227" t="s">
        <v>84</v>
      </c>
      <c r="B26" s="228" t="str">
        <f>IF(ISNA(VLOOKUP($A26,'Position Master'!B:C,2,FALSE)),"Missing",VLOOKUP($A26,'Position Master'!B:C,2,FALSE))</f>
        <v>Dept 8</v>
      </c>
      <c r="C26" s="211" t="str">
        <f ca="1">_xlfn.IFNA(INDEX('Employee Master'!$C:$C,MATCH($D26,'Employee Master'!$A:$A,0))&amp;", "&amp;INDEX('Employee Master'!$B:$B,MATCH($D26,'Employee Master'!$A:$A,0)),"Vacant")</f>
        <v>Cheema, Miguel</v>
      </c>
      <c r="D26" s="211">
        <f>IF(INDEX('Position Master'!$A$7:$A$97,MATCH(A26,'Position Master'!$B$7:$B$97,0))=0,"Vacant",INDEX('Position Master'!$A$7:$A$97,MATCH(A26,'Position Master'!$B$7:$B$97,0)))</f>
        <v>3386954</v>
      </c>
      <c r="E26" s="229">
        <f ca="1">IFERROR(VLOOKUP(D26,'Employee Master'!A:F,5,FALSE),"")</f>
        <v>48382.873099681347</v>
      </c>
      <c r="F26" s="230" t="str">
        <f ca="1">IF(C26="Vacant","No",IF(AND(VLOOKUP(D26,'Employee Master'!A:F,6,FALSE)+360&lt;B$4,VLOOKUP(D26,'Employee Master'!A:F,6,FALSE)+360&lt;B20),"Yes","No"))</f>
        <v>Yes</v>
      </c>
      <c r="G26" s="229">
        <f ca="1">IF(C26="Vacant",VLOOKUP(A26,'Position Master'!B:D,3,FALSE),E26)*(1+IF(F26="Yes",F$8,0))</f>
        <v>49834.35929267179</v>
      </c>
      <c r="H26" s="245"/>
      <c r="I26" s="232"/>
      <c r="J26" s="233">
        <f t="shared" ca="1" si="0"/>
        <v>51827.733664378662</v>
      </c>
      <c r="K26" s="234"/>
      <c r="L26" s="235">
        <f t="shared" ca="1" si="1"/>
        <v>44743</v>
      </c>
      <c r="M26" s="236"/>
      <c r="N26" s="235">
        <f ca="1">IF(M26="",IFERROR(VLOOKUP($D26,'Employee Master'!$A:$F,6,FALSE)+365,""),M26)</f>
        <v>44834</v>
      </c>
      <c r="O26" s="71"/>
      <c r="P26" s="235">
        <f t="shared" ca="1" si="2"/>
        <v>45107</v>
      </c>
      <c r="Q26" s="237">
        <f t="shared" ca="1" si="3"/>
        <v>65</v>
      </c>
      <c r="R26" s="237">
        <f t="shared" ca="1" si="4"/>
        <v>196</v>
      </c>
      <c r="S26" s="237">
        <f t="shared" ca="1" si="5"/>
        <v>261</v>
      </c>
      <c r="T26" s="238">
        <f t="shared" ca="1" si="6"/>
        <v>51331.299433876957</v>
      </c>
      <c r="U26" s="229">
        <f t="shared" ca="1" si="7"/>
        <v>51331.299433876957</v>
      </c>
      <c r="V26" s="233">
        <f t="shared" ca="1" si="8"/>
        <v>9730.1109178335428</v>
      </c>
      <c r="W26" s="246"/>
      <c r="X26" s="247"/>
      <c r="Y26" s="229">
        <f t="shared" ca="1" si="9"/>
        <v>51827.733664378662</v>
      </c>
      <c r="Z26" s="71"/>
      <c r="AA26" s="235">
        <f t="shared" ca="1" si="10"/>
        <v>44743</v>
      </c>
      <c r="AB26" s="71"/>
      <c r="AC26" s="235">
        <f ca="1">IF(AB26="",IFERROR(VLOOKUP($D26,'Employee Master'!$A:$F,6,FALSE)+365,""),AB26)</f>
        <v>44834</v>
      </c>
      <c r="AD26" s="234"/>
      <c r="AE26" s="235">
        <f t="shared" ca="1" si="11"/>
        <v>45107</v>
      </c>
      <c r="AF26" s="237">
        <f t="shared" ca="1" si="12"/>
        <v>65</v>
      </c>
      <c r="AG26" s="237">
        <f t="shared" ca="1" si="13"/>
        <v>196</v>
      </c>
      <c r="AH26" s="237">
        <f t="shared" ca="1" si="14"/>
        <v>261</v>
      </c>
      <c r="AI26" s="238">
        <f t="shared" ca="1" si="15"/>
        <v>51331.299433876957</v>
      </c>
      <c r="AJ26" s="229">
        <f t="shared" ca="1" si="16"/>
        <v>51331.299433876957</v>
      </c>
      <c r="AK26" s="233">
        <f t="shared" ca="1" si="17"/>
        <v>9730.1109178335428</v>
      </c>
      <c r="AL26" s="248"/>
      <c r="AM26" s="233">
        <f t="shared" ca="1" si="18"/>
        <v>0</v>
      </c>
      <c r="AN26" s="233">
        <f t="shared" ca="1" si="19"/>
        <v>0</v>
      </c>
      <c r="AO26" s="233">
        <f t="shared" ca="1" si="20"/>
        <v>0</v>
      </c>
      <c r="AP26" s="233">
        <f t="shared" ca="1" si="21"/>
        <v>0</v>
      </c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N26" s="244" t="str">
        <f ca="1">IF('Budgeting Model'!C26="Vacant",'Budgeting Model'!AK26,"")</f>
        <v/>
      </c>
      <c r="BO26" s="195">
        <f t="shared" ca="1" si="22"/>
        <v>9</v>
      </c>
      <c r="BP26" s="195" t="str">
        <f t="shared" ca="1" si="23"/>
        <v/>
      </c>
    </row>
    <row r="27" spans="1:68" s="195" customFormat="1" ht="15" customHeight="1" thickBot="1">
      <c r="A27" s="227" t="s">
        <v>85</v>
      </c>
      <c r="B27" s="228" t="str">
        <f>IF(ISNA(VLOOKUP($A27,'Position Master'!B:C,2,FALSE)),"Missing",VLOOKUP($A27,'Position Master'!B:C,2,FALSE))</f>
        <v>Dept 14</v>
      </c>
      <c r="C27" s="211" t="str">
        <f ca="1">_xlfn.IFNA(INDEX('Employee Master'!$C:$C,MATCH($D27,'Employee Master'!$A:$A,0))&amp;", "&amp;INDEX('Employee Master'!$B:$B,MATCH($D27,'Employee Master'!$A:$A,0)),"Vacant")</f>
        <v>Chen, Gadil</v>
      </c>
      <c r="D27" s="211">
        <f>IF(INDEX('Position Master'!$A$7:$A$97,MATCH(A27,'Position Master'!$B$7:$B$97,0))=0,"Vacant",INDEX('Position Master'!$A$7:$A$97,MATCH(A27,'Position Master'!$B$7:$B$97,0)))</f>
        <v>3399129</v>
      </c>
      <c r="E27" s="229">
        <f ca="1">IFERROR(VLOOKUP(D27,'Employee Master'!A:F,5,FALSE),"")</f>
        <v>58013.448483875982</v>
      </c>
      <c r="F27" s="230" t="str">
        <f ca="1">IF(C27="Vacant","No",IF(AND(VLOOKUP(D27,'Employee Master'!A:F,6,FALSE)+360&lt;B$4,VLOOKUP(D27,'Employee Master'!A:F,6,FALSE)+360&lt;B21),"Yes","No"))</f>
        <v>Yes</v>
      </c>
      <c r="G27" s="229">
        <f ca="1">IF(C27="Vacant",VLOOKUP(A27,'Position Master'!B:D,3,FALSE),E27)*(1+IF(F27="Yes",F$8,0))</f>
        <v>59753.851938392261</v>
      </c>
      <c r="H27" s="245"/>
      <c r="I27" s="232"/>
      <c r="J27" s="233">
        <f t="shared" ca="1" si="0"/>
        <v>62144.006015927953</v>
      </c>
      <c r="K27" s="234"/>
      <c r="L27" s="235">
        <f t="shared" ca="1" si="1"/>
        <v>44743</v>
      </c>
      <c r="M27" s="236"/>
      <c r="N27" s="235">
        <f ca="1">IF(M27="",IFERROR(VLOOKUP($D27,'Employee Master'!$A:$F,6,FALSE)+365,""),M27)</f>
        <v>45021</v>
      </c>
      <c r="O27" s="71"/>
      <c r="P27" s="235">
        <f t="shared" ca="1" si="2"/>
        <v>45107</v>
      </c>
      <c r="Q27" s="237">
        <f t="shared" ca="1" si="3"/>
        <v>198</v>
      </c>
      <c r="R27" s="237">
        <f t="shared" ca="1" si="4"/>
        <v>63</v>
      </c>
      <c r="S27" s="237">
        <f t="shared" ca="1" si="5"/>
        <v>261</v>
      </c>
      <c r="T27" s="238">
        <f t="shared" ca="1" si="6"/>
        <v>60330.785681245703</v>
      </c>
      <c r="U27" s="229">
        <f t="shared" ca="1" si="7"/>
        <v>60330.785681245703</v>
      </c>
      <c r="V27" s="233">
        <f t="shared" ca="1" si="8"/>
        <v>11666.882355480726</v>
      </c>
      <c r="W27" s="246"/>
      <c r="X27" s="247">
        <v>0.06</v>
      </c>
      <c r="Y27" s="229">
        <f t="shared" ca="1" si="9"/>
        <v>63339.083054695795</v>
      </c>
      <c r="Z27" s="71"/>
      <c r="AA27" s="235">
        <f t="shared" ca="1" si="10"/>
        <v>44743</v>
      </c>
      <c r="AB27" s="71"/>
      <c r="AC27" s="235">
        <f ca="1">IF(AB27="",IFERROR(VLOOKUP($D27,'Employee Master'!$A:$F,6,FALSE)+365,""),AB27)</f>
        <v>45021</v>
      </c>
      <c r="AD27" s="234"/>
      <c r="AE27" s="235">
        <f t="shared" ca="1" si="11"/>
        <v>45107</v>
      </c>
      <c r="AF27" s="237">
        <f t="shared" ca="1" si="12"/>
        <v>198</v>
      </c>
      <c r="AG27" s="237">
        <f t="shared" ca="1" si="13"/>
        <v>63</v>
      </c>
      <c r="AH27" s="237">
        <f t="shared" ca="1" si="14"/>
        <v>261</v>
      </c>
      <c r="AI27" s="238">
        <f t="shared" ca="1" si="15"/>
        <v>60619.252552672428</v>
      </c>
      <c r="AJ27" s="229">
        <f t="shared" ca="1" si="16"/>
        <v>60619.252552672428</v>
      </c>
      <c r="AK27" s="233">
        <f t="shared" ca="1" si="17"/>
        <v>11891.245477701508</v>
      </c>
      <c r="AL27" s="248"/>
      <c r="AM27" s="233">
        <f t="shared" ca="1" si="18"/>
        <v>288.46687142672454</v>
      </c>
      <c r="AN27" s="233">
        <f t="shared" ca="1" si="19"/>
        <v>0</v>
      </c>
      <c r="AO27" s="233">
        <f t="shared" ca="1" si="20"/>
        <v>288.46687142672454</v>
      </c>
      <c r="AP27" s="233">
        <f t="shared" ca="1" si="21"/>
        <v>224.36312222078232</v>
      </c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N27" s="244" t="str">
        <f ca="1">IF('Budgeting Model'!C27="Vacant",'Budgeting Model'!AK27,"")</f>
        <v/>
      </c>
      <c r="BO27" s="195">
        <f t="shared" ca="1" si="22"/>
        <v>4</v>
      </c>
      <c r="BP27" s="195" t="str">
        <f t="shared" ca="1" si="23"/>
        <v/>
      </c>
    </row>
    <row r="28" spans="1:68" s="195" customFormat="1" ht="15" customHeight="1" thickBot="1">
      <c r="A28" s="227" t="s">
        <v>86</v>
      </c>
      <c r="B28" s="228" t="str">
        <f>IF(ISNA(VLOOKUP($A28,'Position Master'!B:C,2,FALSE)),"Missing",VLOOKUP($A28,'Position Master'!B:C,2,FALSE))</f>
        <v>Dept 5</v>
      </c>
      <c r="C28" s="211" t="str">
        <f ca="1">_xlfn.IFNA(INDEX('Employee Master'!$C:$C,MATCH($D28,'Employee Master'!$A:$A,0))&amp;", "&amp;INDEX('Employee Master'!$B:$B,MATCH($D28,'Employee Master'!$A:$A,0)),"Vacant")</f>
        <v>Chikovani, Rafael</v>
      </c>
      <c r="D28" s="211">
        <f>IF(INDEX('Position Master'!$A$7:$A$97,MATCH(A28,'Position Master'!$B$7:$B$97,0))=0,"Vacant",INDEX('Position Master'!$A$7:$A$97,MATCH(A28,'Position Master'!$B$7:$B$97,0)))</f>
        <v>3560203</v>
      </c>
      <c r="E28" s="229">
        <f ca="1">IFERROR(VLOOKUP(D28,'Employee Master'!A:F,5,FALSE),"")</f>
        <v>76801.477439874972</v>
      </c>
      <c r="F28" s="230" t="str">
        <f ca="1">IF(C28="Vacant","No",IF(AND(VLOOKUP(D28,'Employee Master'!A:F,6,FALSE)+360&lt;B$4,VLOOKUP(D28,'Employee Master'!A:F,6,FALSE)+360&lt;B22),"Yes","No"))</f>
        <v>Yes</v>
      </c>
      <c r="G28" s="229">
        <f ca="1">IF(C28="Vacant",VLOOKUP(A28,'Position Master'!B:D,3,FALSE),E28)*(1+IF(F28="Yes",F$8,0))</f>
        <v>79105.521763071229</v>
      </c>
      <c r="H28" s="245"/>
      <c r="I28" s="232"/>
      <c r="J28" s="233">
        <f t="shared" ca="1" si="0"/>
        <v>82269.742633594084</v>
      </c>
      <c r="K28" s="234"/>
      <c r="L28" s="235">
        <f t="shared" ca="1" si="1"/>
        <v>44743</v>
      </c>
      <c r="M28" s="236"/>
      <c r="N28" s="235">
        <f ca="1">IF(M28="",IFERROR(VLOOKUP($D28,'Employee Master'!$A:$F,6,FALSE)+365,""),M28)</f>
        <v>44929</v>
      </c>
      <c r="O28" s="71"/>
      <c r="P28" s="235">
        <f t="shared" ca="1" si="2"/>
        <v>45107</v>
      </c>
      <c r="Q28" s="237">
        <f t="shared" ca="1" si="3"/>
        <v>132</v>
      </c>
      <c r="R28" s="237">
        <f t="shared" ca="1" si="4"/>
        <v>129</v>
      </c>
      <c r="S28" s="237">
        <f t="shared" ca="1" si="5"/>
        <v>261</v>
      </c>
      <c r="T28" s="238">
        <f t="shared" ca="1" si="6"/>
        <v>80669.447020915861</v>
      </c>
      <c r="U28" s="229">
        <f t="shared" ca="1" si="7"/>
        <v>80669.447020915861</v>
      </c>
      <c r="V28" s="233">
        <f t="shared" ca="1" si="8"/>
        <v>15445.277352667088</v>
      </c>
      <c r="W28" s="246"/>
      <c r="X28" s="247"/>
      <c r="Y28" s="229">
        <f t="shared" ca="1" si="9"/>
        <v>82269.742633594084</v>
      </c>
      <c r="Z28" s="71"/>
      <c r="AA28" s="235">
        <f t="shared" ca="1" si="10"/>
        <v>44743</v>
      </c>
      <c r="AB28" s="71"/>
      <c r="AC28" s="235">
        <f ca="1">IF(AB28="",IFERROR(VLOOKUP($D28,'Employee Master'!$A:$F,6,FALSE)+365,""),AB28)</f>
        <v>44929</v>
      </c>
      <c r="AD28" s="234"/>
      <c r="AE28" s="235">
        <f t="shared" ca="1" si="11"/>
        <v>45107</v>
      </c>
      <c r="AF28" s="237">
        <f t="shared" ca="1" si="12"/>
        <v>132</v>
      </c>
      <c r="AG28" s="237">
        <f t="shared" ca="1" si="13"/>
        <v>129</v>
      </c>
      <c r="AH28" s="237">
        <f t="shared" ca="1" si="14"/>
        <v>261</v>
      </c>
      <c r="AI28" s="238">
        <f t="shared" ca="1" si="15"/>
        <v>80669.447020915861</v>
      </c>
      <c r="AJ28" s="229">
        <f t="shared" ca="1" si="16"/>
        <v>80669.447020915861</v>
      </c>
      <c r="AK28" s="233">
        <f t="shared" ca="1" si="17"/>
        <v>15445.277352667088</v>
      </c>
      <c r="AL28" s="248"/>
      <c r="AM28" s="233">
        <f t="shared" ca="1" si="18"/>
        <v>0</v>
      </c>
      <c r="AN28" s="233">
        <f t="shared" ca="1" si="19"/>
        <v>0</v>
      </c>
      <c r="AO28" s="233">
        <f t="shared" ca="1" si="20"/>
        <v>0</v>
      </c>
      <c r="AP28" s="233">
        <f t="shared" ca="1" si="21"/>
        <v>0</v>
      </c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N28" s="244" t="str">
        <f ca="1">IF('Budgeting Model'!C28="Vacant",'Budgeting Model'!AK28,"")</f>
        <v/>
      </c>
      <c r="BO28" s="195">
        <f t="shared" ca="1" si="22"/>
        <v>1</v>
      </c>
      <c r="BP28" s="195">
        <f t="shared" ca="1" si="23"/>
        <v>76801.477439874972</v>
      </c>
    </row>
    <row r="29" spans="1:68" s="195" customFormat="1" ht="15" customHeight="1" thickBot="1">
      <c r="A29" s="227" t="s">
        <v>87</v>
      </c>
      <c r="B29" s="228" t="str">
        <f>IF(ISNA(VLOOKUP($A29,'Position Master'!B:C,2,FALSE)),"Missing",VLOOKUP($A29,'Position Master'!B:C,2,FALSE))</f>
        <v>Dept 12</v>
      </c>
      <c r="C29" s="211" t="str">
        <f ca="1">_xlfn.IFNA(INDEX('Employee Master'!$C:$C,MATCH($D29,'Employee Master'!$A:$A,0))&amp;", "&amp;INDEX('Employee Master'!$B:$B,MATCH($D29,'Employee Master'!$A:$A,0)),"Vacant")</f>
        <v>Cumbe, Nathali</v>
      </c>
      <c r="D29" s="211">
        <f>IF(INDEX('Position Master'!$A$7:$A$97,MATCH(A29,'Position Master'!$B$7:$B$97,0))=0,"Vacant",INDEX('Position Master'!$A$7:$A$97,MATCH(A29,'Position Master'!$B$7:$B$97,0)))</f>
        <v>3815904</v>
      </c>
      <c r="E29" s="229">
        <f ca="1">IFERROR(VLOOKUP(D29,'Employee Master'!A:F,5,FALSE),"")</f>
        <v>44173.621818609732</v>
      </c>
      <c r="F29" s="230" t="str">
        <f ca="1">IF(C29="Vacant","No",IF(AND(VLOOKUP(D29,'Employee Master'!A:F,6,FALSE)+360&lt;B$4,VLOOKUP(D29,'Employee Master'!A:F,6,FALSE)+360&lt;B23),"Yes","No"))</f>
        <v>Yes</v>
      </c>
      <c r="G29" s="229">
        <f ca="1">IF(C29="Vacant",VLOOKUP(A29,'Position Master'!B:D,3,FALSE),E29)*(1+IF(F29="Yes",F$8,0))</f>
        <v>45498.830473168025</v>
      </c>
      <c r="H29" s="245"/>
      <c r="I29" s="232"/>
      <c r="J29" s="233">
        <f t="shared" ca="1" si="0"/>
        <v>47318.783692094745</v>
      </c>
      <c r="K29" s="234"/>
      <c r="L29" s="235">
        <f t="shared" ca="1" si="1"/>
        <v>44743</v>
      </c>
      <c r="M29" s="236"/>
      <c r="N29" s="235">
        <f ca="1">IF(M29="",IFERROR(VLOOKUP($D29,'Employee Master'!$A:$F,6,FALSE)+365,""),M29)</f>
        <v>45022</v>
      </c>
      <c r="O29" s="71"/>
      <c r="P29" s="235">
        <f t="shared" ca="1" si="2"/>
        <v>45107</v>
      </c>
      <c r="Q29" s="237">
        <f t="shared" ca="1" si="3"/>
        <v>199</v>
      </c>
      <c r="R29" s="237">
        <f t="shared" ca="1" si="4"/>
        <v>62</v>
      </c>
      <c r="S29" s="237">
        <f t="shared" ca="1" si="5"/>
        <v>261</v>
      </c>
      <c r="T29" s="238">
        <f t="shared" ca="1" si="6"/>
        <v>45931.15652517361</v>
      </c>
      <c r="U29" s="229">
        <f t="shared" ca="1" si="7"/>
        <v>45931.15652517361</v>
      </c>
      <c r="V29" s="233">
        <f t="shared" ca="1" si="8"/>
        <v>8883.603068630815</v>
      </c>
      <c r="W29" s="246"/>
      <c r="X29" s="247"/>
      <c r="Y29" s="229">
        <f t="shared" ca="1" si="9"/>
        <v>47318.783692094745</v>
      </c>
      <c r="Z29" s="71"/>
      <c r="AA29" s="235">
        <f t="shared" ca="1" si="10"/>
        <v>44743</v>
      </c>
      <c r="AB29" s="71"/>
      <c r="AC29" s="235">
        <f ca="1">IF(AB29="",IFERROR(VLOOKUP($D29,'Employee Master'!$A:$F,6,FALSE)+365,""),AB29)</f>
        <v>45022</v>
      </c>
      <c r="AD29" s="234"/>
      <c r="AE29" s="235">
        <f t="shared" ca="1" si="11"/>
        <v>45107</v>
      </c>
      <c r="AF29" s="237">
        <f t="shared" ca="1" si="12"/>
        <v>199</v>
      </c>
      <c r="AG29" s="237">
        <f t="shared" ca="1" si="13"/>
        <v>62</v>
      </c>
      <c r="AH29" s="237">
        <f t="shared" ca="1" si="14"/>
        <v>261</v>
      </c>
      <c r="AI29" s="238">
        <f t="shared" ca="1" si="15"/>
        <v>45931.15652517361</v>
      </c>
      <c r="AJ29" s="229">
        <f t="shared" ca="1" si="16"/>
        <v>45931.15652517361</v>
      </c>
      <c r="AK29" s="233">
        <f t="shared" ca="1" si="17"/>
        <v>8883.603068630815</v>
      </c>
      <c r="AL29" s="248"/>
      <c r="AM29" s="233">
        <f t="shared" ca="1" si="18"/>
        <v>0</v>
      </c>
      <c r="AN29" s="233">
        <f t="shared" ca="1" si="19"/>
        <v>0</v>
      </c>
      <c r="AO29" s="233">
        <f t="shared" ca="1" si="20"/>
        <v>0</v>
      </c>
      <c r="AP29" s="233">
        <f t="shared" ca="1" si="21"/>
        <v>0</v>
      </c>
      <c r="AR29" s="226"/>
      <c r="AS29" s="226"/>
      <c r="AT29" s="226"/>
      <c r="AU29" s="226"/>
      <c r="AV29" s="226"/>
      <c r="AW29" s="226"/>
      <c r="AX29" s="226"/>
      <c r="AY29" s="226"/>
      <c r="AZ29" s="226"/>
      <c r="BA29" s="226"/>
      <c r="BB29" s="226"/>
      <c r="BC29" s="226"/>
      <c r="BD29" s="226"/>
      <c r="BE29" s="226"/>
      <c r="BF29" s="226"/>
      <c r="BN29" s="244" t="str">
        <f ca="1">IF('Budgeting Model'!C29="Vacant",'Budgeting Model'!AK29,"")</f>
        <v/>
      </c>
      <c r="BO29" s="195">
        <f t="shared" ca="1" si="22"/>
        <v>4</v>
      </c>
      <c r="BP29" s="195" t="str">
        <f t="shared" ca="1" si="23"/>
        <v/>
      </c>
    </row>
    <row r="30" spans="1:68" s="195" customFormat="1" ht="15" customHeight="1" thickBot="1">
      <c r="A30" s="227" t="s">
        <v>88</v>
      </c>
      <c r="B30" s="228" t="str">
        <f>IF(ISNA(VLOOKUP($A30,'Position Master'!B:C,2,FALSE)),"Missing",VLOOKUP($A30,'Position Master'!B:C,2,FALSE))</f>
        <v>Dept 4</v>
      </c>
      <c r="C30" s="211" t="str">
        <f ca="1">_xlfn.IFNA(INDEX('Employee Master'!$C:$C,MATCH($D30,'Employee Master'!$A:$A,0))&amp;", "&amp;INDEX('Employee Master'!$B:$B,MATCH($D30,'Employee Master'!$A:$A,0)),"Vacant")</f>
        <v>Davidov, Yingying</v>
      </c>
      <c r="D30" s="211">
        <f>IF(INDEX('Position Master'!$A$7:$A$97,MATCH(A30,'Position Master'!$B$7:$B$97,0))=0,"Vacant",INDEX('Position Master'!$A$7:$A$97,MATCH(A30,'Position Master'!$B$7:$B$97,0)))</f>
        <v>3940809</v>
      </c>
      <c r="E30" s="229">
        <f ca="1">IFERROR(VLOOKUP(D30,'Employee Master'!A:F,5,FALSE),"")</f>
        <v>52879.475273945864</v>
      </c>
      <c r="F30" s="230" t="str">
        <f ca="1">IF(C30="Vacant","No",IF(AND(VLOOKUP(D30,'Employee Master'!A:F,6,FALSE)+360&lt;B$4,VLOOKUP(D30,'Employee Master'!A:F,6,FALSE)+360&lt;B24),"Yes","No"))</f>
        <v>Yes</v>
      </c>
      <c r="G30" s="229">
        <f ca="1">IF(C30="Vacant",VLOOKUP(A30,'Position Master'!B:D,3,FALSE),E30)*(1+IF(F30="Yes",F$8,0))</f>
        <v>54465.859532164242</v>
      </c>
      <c r="H30" s="245"/>
      <c r="I30" s="232"/>
      <c r="J30" s="233">
        <f t="shared" ca="1" si="0"/>
        <v>56644.493913450817</v>
      </c>
      <c r="K30" s="234"/>
      <c r="L30" s="235">
        <f t="shared" ca="1" si="1"/>
        <v>44743</v>
      </c>
      <c r="M30" s="236"/>
      <c r="N30" s="235">
        <f ca="1">IF(M30="",IFERROR(VLOOKUP($D30,'Employee Master'!$A:$F,6,FALSE)+365,""),M30)</f>
        <v>45027</v>
      </c>
      <c r="O30" s="71"/>
      <c r="P30" s="235">
        <f t="shared" ca="1" si="2"/>
        <v>45107</v>
      </c>
      <c r="Q30" s="237">
        <f t="shared" ca="1" si="3"/>
        <v>202</v>
      </c>
      <c r="R30" s="237">
        <f t="shared" ca="1" si="4"/>
        <v>59</v>
      </c>
      <c r="S30" s="237">
        <f t="shared" ca="1" si="5"/>
        <v>261</v>
      </c>
      <c r="T30" s="238">
        <f t="shared" ca="1" si="6"/>
        <v>54958.347763949329</v>
      </c>
      <c r="U30" s="229">
        <f t="shared" ca="1" si="7"/>
        <v>54958.347763949329</v>
      </c>
      <c r="V30" s="233">
        <f t="shared" ca="1" si="8"/>
        <v>10634.406903291534</v>
      </c>
      <c r="W30" s="246"/>
      <c r="X30" s="247"/>
      <c r="Y30" s="229">
        <f t="shared" ca="1" si="9"/>
        <v>56644.493913450817</v>
      </c>
      <c r="Z30" s="71"/>
      <c r="AA30" s="235">
        <f t="shared" ca="1" si="10"/>
        <v>44743</v>
      </c>
      <c r="AB30" s="71"/>
      <c r="AC30" s="235">
        <f ca="1">IF(AB30="",IFERROR(VLOOKUP($D30,'Employee Master'!$A:$F,6,FALSE)+365,""),AB30)</f>
        <v>45027</v>
      </c>
      <c r="AD30" s="234"/>
      <c r="AE30" s="235">
        <f t="shared" ca="1" si="11"/>
        <v>45107</v>
      </c>
      <c r="AF30" s="237">
        <f t="shared" ca="1" si="12"/>
        <v>202</v>
      </c>
      <c r="AG30" s="237">
        <f t="shared" ca="1" si="13"/>
        <v>59</v>
      </c>
      <c r="AH30" s="237">
        <f t="shared" ca="1" si="14"/>
        <v>261</v>
      </c>
      <c r="AI30" s="238">
        <f t="shared" ca="1" si="15"/>
        <v>54958.347763949329</v>
      </c>
      <c r="AJ30" s="229">
        <f t="shared" ca="1" si="16"/>
        <v>54958.347763949329</v>
      </c>
      <c r="AK30" s="233">
        <f t="shared" ca="1" si="17"/>
        <v>10634.406903291534</v>
      </c>
      <c r="AL30" s="248"/>
      <c r="AM30" s="233">
        <f t="shared" ca="1" si="18"/>
        <v>0</v>
      </c>
      <c r="AN30" s="233">
        <f t="shared" ca="1" si="19"/>
        <v>0</v>
      </c>
      <c r="AO30" s="233">
        <f t="shared" ca="1" si="20"/>
        <v>0</v>
      </c>
      <c r="AP30" s="233">
        <f t="shared" ca="1" si="21"/>
        <v>0</v>
      </c>
      <c r="AR30" s="226"/>
      <c r="AS30" s="226"/>
      <c r="AT30" s="226"/>
      <c r="AU30" s="226"/>
      <c r="AV30" s="226"/>
      <c r="AW30" s="226"/>
      <c r="AX30" s="226"/>
      <c r="AY30" s="226"/>
      <c r="AZ30" s="226"/>
      <c r="BA30" s="226"/>
      <c r="BB30" s="226"/>
      <c r="BC30" s="226"/>
      <c r="BD30" s="226"/>
      <c r="BE30" s="226"/>
      <c r="BF30" s="226"/>
      <c r="BN30" s="244" t="str">
        <f ca="1">IF('Budgeting Model'!C30="Vacant",'Budgeting Model'!AK30,"")</f>
        <v/>
      </c>
      <c r="BO30" s="195">
        <f t="shared" ca="1" si="22"/>
        <v>4</v>
      </c>
      <c r="BP30" s="195" t="str">
        <f t="shared" ca="1" si="23"/>
        <v/>
      </c>
    </row>
    <row r="31" spans="1:68" s="195" customFormat="1" ht="15" customHeight="1" thickBot="1">
      <c r="A31" s="227" t="s">
        <v>89</v>
      </c>
      <c r="B31" s="228" t="str">
        <f>IF(ISNA(VLOOKUP($A31,'Position Master'!B:C,2,FALSE)),"Missing",VLOOKUP($A31,'Position Master'!B:C,2,FALSE))</f>
        <v>Dept 7</v>
      </c>
      <c r="C31" s="211" t="str">
        <f ca="1">_xlfn.IFNA(INDEX('Employee Master'!$C:$C,MATCH($D31,'Employee Master'!$A:$A,0))&amp;", "&amp;INDEX('Employee Master'!$B:$B,MATCH($D31,'Employee Master'!$A:$A,0)),"Vacant")</f>
        <v>Feng, Hao Ren</v>
      </c>
      <c r="D31" s="211">
        <f>IF(INDEX('Position Master'!$A$7:$A$97,MATCH(A31,'Position Master'!$B$7:$B$97,0))=0,"Vacant",INDEX('Position Master'!$A$7:$A$97,MATCH(A31,'Position Master'!$B$7:$B$97,0)))</f>
        <v>3949158</v>
      </c>
      <c r="E31" s="229">
        <f ca="1">IFERROR(VLOOKUP(D31,'Employee Master'!A:F,5,FALSE),"")</f>
        <v>86821.407646079475</v>
      </c>
      <c r="F31" s="230" t="str">
        <f ca="1">IF(C31="Vacant","No",IF(AND(VLOOKUP(D31,'Employee Master'!A:F,6,FALSE)+360&lt;B$4,VLOOKUP(D31,'Employee Master'!A:F,6,FALSE)+360&lt;B25),"Yes","No"))</f>
        <v>Yes</v>
      </c>
      <c r="G31" s="229">
        <f ca="1">IF(C31="Vacant",VLOOKUP(A31,'Position Master'!B:D,3,FALSE),E31)*(1+IF(F31="Yes",F$8,0))</f>
        <v>89426.04987546186</v>
      </c>
      <c r="H31" s="245"/>
      <c r="I31" s="232"/>
      <c r="J31" s="233">
        <f t="shared" ca="1" si="0"/>
        <v>93003.091870480333</v>
      </c>
      <c r="K31" s="234"/>
      <c r="L31" s="235">
        <f t="shared" ca="1" si="1"/>
        <v>44743</v>
      </c>
      <c r="M31" s="236"/>
      <c r="N31" s="235">
        <f ca="1">IF(M31="",IFERROR(VLOOKUP($D31,'Employee Master'!$A:$F,6,FALSE)+365,""),M31)</f>
        <v>44844</v>
      </c>
      <c r="O31" s="71"/>
      <c r="P31" s="235">
        <f t="shared" ca="1" si="2"/>
        <v>45107</v>
      </c>
      <c r="Q31" s="237">
        <f t="shared" ca="1" si="3"/>
        <v>71</v>
      </c>
      <c r="R31" s="237">
        <f t="shared" ca="1" si="4"/>
        <v>190</v>
      </c>
      <c r="S31" s="237">
        <f t="shared" ca="1" si="5"/>
        <v>261</v>
      </c>
      <c r="T31" s="238">
        <f t="shared" ca="1" si="6"/>
        <v>92030.026806701353</v>
      </c>
      <c r="U31" s="229">
        <f t="shared" ca="1" si="7"/>
        <v>92030.026806701353</v>
      </c>
      <c r="V31" s="233">
        <f t="shared" ca="1" si="8"/>
        <v>17460.350581048031</v>
      </c>
      <c r="W31" s="246"/>
      <c r="X31" s="247">
        <v>0.05</v>
      </c>
      <c r="Y31" s="229">
        <f t="shared" ca="1" si="9"/>
        <v>93897.352369234955</v>
      </c>
      <c r="Z31" s="71"/>
      <c r="AA31" s="235">
        <f t="shared" ca="1" si="10"/>
        <v>44743</v>
      </c>
      <c r="AB31" s="71"/>
      <c r="AC31" s="235">
        <f ca="1">IF(AB31="",IFERROR(VLOOKUP($D31,'Employee Master'!$A:$F,6,FALSE)+365,""),AB31)</f>
        <v>44844</v>
      </c>
      <c r="AD31" s="234"/>
      <c r="AE31" s="235">
        <f t="shared" ca="1" si="11"/>
        <v>45107</v>
      </c>
      <c r="AF31" s="237">
        <f t="shared" ca="1" si="12"/>
        <v>71</v>
      </c>
      <c r="AG31" s="237">
        <f t="shared" ca="1" si="13"/>
        <v>190</v>
      </c>
      <c r="AH31" s="237">
        <f t="shared" ca="1" si="14"/>
        <v>261</v>
      </c>
      <c r="AI31" s="238">
        <f t="shared" ca="1" si="15"/>
        <v>92681.021039511223</v>
      </c>
      <c r="AJ31" s="229">
        <f t="shared" ca="1" si="16"/>
        <v>92681.021039511223</v>
      </c>
      <c r="AK31" s="233">
        <f t="shared" ca="1" si="17"/>
        <v>17628.238567404263</v>
      </c>
      <c r="AL31" s="248"/>
      <c r="AM31" s="233">
        <f t="shared" ca="1" si="18"/>
        <v>650.99423280986957</v>
      </c>
      <c r="AN31" s="233">
        <f t="shared" ca="1" si="19"/>
        <v>0</v>
      </c>
      <c r="AO31" s="233">
        <f t="shared" ca="1" si="20"/>
        <v>650.99423280986957</v>
      </c>
      <c r="AP31" s="233">
        <f t="shared" ca="1" si="21"/>
        <v>167.88798635623243</v>
      </c>
      <c r="AR31" s="226"/>
      <c r="AS31" s="226"/>
      <c r="AT31" s="226"/>
      <c r="AU31" s="226"/>
      <c r="AV31" s="226"/>
      <c r="AW31" s="226"/>
      <c r="AX31" s="226"/>
      <c r="AY31" s="226"/>
      <c r="AZ31" s="226"/>
      <c r="BA31" s="226"/>
      <c r="BB31" s="226"/>
      <c r="BC31" s="226"/>
      <c r="BD31" s="226"/>
      <c r="BE31" s="226"/>
      <c r="BF31" s="226"/>
      <c r="BN31" s="244" t="str">
        <f ca="1">IF('Budgeting Model'!C31="Vacant",'Budgeting Model'!AK31,"")</f>
        <v/>
      </c>
      <c r="BO31" s="195">
        <f t="shared" ca="1" si="22"/>
        <v>10</v>
      </c>
      <c r="BP31" s="195">
        <f t="shared" ca="1" si="23"/>
        <v>86821.407646079475</v>
      </c>
    </row>
    <row r="32" spans="1:68" s="195" customFormat="1" ht="15" customHeight="1" thickBot="1">
      <c r="A32" s="227" t="s">
        <v>90</v>
      </c>
      <c r="B32" s="228" t="str">
        <f>IF(ISNA(VLOOKUP($A32,'Position Master'!B:C,2,FALSE)),"Missing",VLOOKUP($A32,'Position Master'!B:C,2,FALSE))</f>
        <v>Dept 3</v>
      </c>
      <c r="C32" s="211" t="str">
        <f ca="1">_xlfn.IFNA(INDEX('Employee Master'!$C:$C,MATCH($D32,'Employee Master'!$A:$A,0))&amp;", "&amp;INDEX('Employee Master'!$B:$B,MATCH($D32,'Employee Master'!$A:$A,0)),"Vacant")</f>
        <v>Figueroa, Sudipta</v>
      </c>
      <c r="D32" s="211">
        <f>IF(INDEX('Position Master'!$A$7:$A$97,MATCH(A32,'Position Master'!$B$7:$B$97,0))=0,"Vacant",INDEX('Position Master'!$A$7:$A$97,MATCH(A32,'Position Master'!$B$7:$B$97,0)))</f>
        <v>4083848</v>
      </c>
      <c r="E32" s="229">
        <f ca="1">IFERROR(VLOOKUP(D32,'Employee Master'!A:F,5,FALSE),"")</f>
        <v>86557.799160448121</v>
      </c>
      <c r="F32" s="230" t="str">
        <f ca="1">IF(C32="Vacant","No",IF(AND(VLOOKUP(D32,'Employee Master'!A:F,6,FALSE)+360&lt;B$4,VLOOKUP(D32,'Employee Master'!A:F,6,FALSE)+360&lt;B26),"Yes","No"))</f>
        <v>Yes</v>
      </c>
      <c r="G32" s="229">
        <f ca="1">IF(C32="Vacant",VLOOKUP(A32,'Position Master'!B:D,3,FALSE),E32)*(1+IF(F32="Yes",F$8,0))</f>
        <v>89154.533135261561</v>
      </c>
      <c r="H32" s="245"/>
      <c r="I32" s="232"/>
      <c r="J32" s="233">
        <f t="shared" ca="1" si="0"/>
        <v>92720.714460672025</v>
      </c>
      <c r="K32" s="234"/>
      <c r="L32" s="235">
        <f t="shared" ca="1" si="1"/>
        <v>44743</v>
      </c>
      <c r="M32" s="236"/>
      <c r="N32" s="235">
        <f ca="1">IF(M32="",IFERROR(VLOOKUP($D32,'Employee Master'!$A:$F,6,FALSE)+365,""),M32)</f>
        <v>44779</v>
      </c>
      <c r="O32" s="71"/>
      <c r="P32" s="235">
        <f t="shared" ca="1" si="2"/>
        <v>45107</v>
      </c>
      <c r="Q32" s="237">
        <f t="shared" ca="1" si="3"/>
        <v>26</v>
      </c>
      <c r="R32" s="237">
        <f t="shared" ca="1" si="4"/>
        <v>235</v>
      </c>
      <c r="S32" s="237">
        <f t="shared" ca="1" si="5"/>
        <v>261</v>
      </c>
      <c r="T32" s="238">
        <f t="shared" ca="1" si="6"/>
        <v>92365.462681129226</v>
      </c>
      <c r="U32" s="229">
        <f t="shared" ca="1" si="7"/>
        <v>92365.462681129226</v>
      </c>
      <c r="V32" s="233">
        <f t="shared" ca="1" si="8"/>
        <v>17407.33719759743</v>
      </c>
      <c r="W32" s="246"/>
      <c r="X32" s="247"/>
      <c r="Y32" s="229">
        <f t="shared" ca="1" si="9"/>
        <v>92720.714460672025</v>
      </c>
      <c r="Z32" s="71"/>
      <c r="AA32" s="235">
        <f t="shared" ca="1" si="10"/>
        <v>44743</v>
      </c>
      <c r="AB32" s="71"/>
      <c r="AC32" s="235">
        <f ca="1">IF(AB32="",IFERROR(VLOOKUP($D32,'Employee Master'!$A:$F,6,FALSE)+365,""),AB32)</f>
        <v>44779</v>
      </c>
      <c r="AD32" s="234"/>
      <c r="AE32" s="235">
        <f t="shared" ca="1" si="11"/>
        <v>45107</v>
      </c>
      <c r="AF32" s="237">
        <f t="shared" ca="1" si="12"/>
        <v>26</v>
      </c>
      <c r="AG32" s="237">
        <f t="shared" ca="1" si="13"/>
        <v>235</v>
      </c>
      <c r="AH32" s="237">
        <f t="shared" ca="1" si="14"/>
        <v>261</v>
      </c>
      <c r="AI32" s="238">
        <f t="shared" ca="1" si="15"/>
        <v>92365.462681129226</v>
      </c>
      <c r="AJ32" s="229">
        <f t="shared" ca="1" si="16"/>
        <v>92365.462681129226</v>
      </c>
      <c r="AK32" s="233">
        <f t="shared" ca="1" si="17"/>
        <v>17407.33719759743</v>
      </c>
      <c r="AL32" s="248"/>
      <c r="AM32" s="233">
        <f t="shared" ca="1" si="18"/>
        <v>0</v>
      </c>
      <c r="AN32" s="233">
        <f t="shared" ca="1" si="19"/>
        <v>0</v>
      </c>
      <c r="AO32" s="233">
        <f t="shared" ca="1" si="20"/>
        <v>0</v>
      </c>
      <c r="AP32" s="233">
        <f t="shared" ca="1" si="21"/>
        <v>0</v>
      </c>
      <c r="AR32" s="226"/>
      <c r="AS32" s="226"/>
      <c r="AT32" s="226"/>
      <c r="AU32" s="226"/>
      <c r="AV32" s="226"/>
      <c r="AW32" s="226"/>
      <c r="AX32" s="226"/>
      <c r="AY32" s="226"/>
      <c r="AZ32" s="226"/>
      <c r="BA32" s="226"/>
      <c r="BB32" s="226"/>
      <c r="BC32" s="226"/>
      <c r="BD32" s="226"/>
      <c r="BE32" s="226"/>
      <c r="BF32" s="226"/>
      <c r="BN32" s="244" t="str">
        <f ca="1">IF('Budgeting Model'!C32="Vacant",'Budgeting Model'!AK32,"")</f>
        <v/>
      </c>
      <c r="BO32" s="195">
        <f t="shared" ca="1" si="22"/>
        <v>8</v>
      </c>
      <c r="BP32" s="195" t="str">
        <f t="shared" ca="1" si="23"/>
        <v/>
      </c>
    </row>
    <row r="33" spans="1:68" s="195" customFormat="1" ht="15" customHeight="1" thickBot="1">
      <c r="A33" s="227" t="s">
        <v>91</v>
      </c>
      <c r="B33" s="228" t="str">
        <f>IF(ISNA(VLOOKUP($A33,'Position Master'!B:C,2,FALSE)),"Missing",VLOOKUP($A33,'Position Master'!B:C,2,FALSE))</f>
        <v>Dept 11</v>
      </c>
      <c r="C33" s="211" t="str">
        <f ca="1">_xlfn.IFNA(INDEX('Employee Master'!$C:$C,MATCH($D33,'Employee Master'!$A:$A,0))&amp;", "&amp;INDEX('Employee Master'!$B:$B,MATCH($D33,'Employee Master'!$A:$A,0)),"Vacant")</f>
        <v>Flores, Abdullah</v>
      </c>
      <c r="D33" s="211">
        <f>IF(INDEX('Position Master'!$A$7:$A$97,MATCH(A33,'Position Master'!$B$7:$B$97,0))=0,"Vacant",INDEX('Position Master'!$A$7:$A$97,MATCH(A33,'Position Master'!$B$7:$B$97,0)))</f>
        <v>4140234</v>
      </c>
      <c r="E33" s="229">
        <f ca="1">IFERROR(VLOOKUP(D33,'Employee Master'!A:F,5,FALSE),"")</f>
        <v>60876.596203873938</v>
      </c>
      <c r="F33" s="230" t="str">
        <f ca="1">IF(C33="Vacant","No",IF(AND(VLOOKUP(D33,'Employee Master'!A:F,6,FALSE)+360&lt;B$4,VLOOKUP(D33,'Employee Master'!A:F,6,FALSE)+360&lt;B27),"Yes","No"))</f>
        <v>No</v>
      </c>
      <c r="G33" s="229">
        <f ca="1">IF(C33="Vacant",VLOOKUP(A33,'Position Master'!B:D,3,FALSE),E33)*(1+IF(F33="Yes",F$8,0))</f>
        <v>60876.596203873938</v>
      </c>
      <c r="H33" s="245"/>
      <c r="I33" s="232"/>
      <c r="J33" s="233">
        <f t="shared" ca="1" si="0"/>
        <v>63311.660052028899</v>
      </c>
      <c r="K33" s="234"/>
      <c r="L33" s="235">
        <f t="shared" ca="1" si="1"/>
        <v>44743</v>
      </c>
      <c r="M33" s="236"/>
      <c r="N33" s="235">
        <f ca="1">IF(M33="",IFERROR(VLOOKUP($D33,'Employee Master'!$A:$F,6,FALSE)+365,""),M33)</f>
        <v>45105</v>
      </c>
      <c r="O33" s="71"/>
      <c r="P33" s="235">
        <f t="shared" ca="1" si="2"/>
        <v>45107</v>
      </c>
      <c r="Q33" s="237">
        <f t="shared" ca="1" si="3"/>
        <v>258</v>
      </c>
      <c r="R33" s="237">
        <f t="shared" ca="1" si="4"/>
        <v>3</v>
      </c>
      <c r="S33" s="237">
        <f t="shared" ca="1" si="5"/>
        <v>261</v>
      </c>
      <c r="T33" s="238">
        <f t="shared" ca="1" si="6"/>
        <v>60904.585443507902</v>
      </c>
      <c r="U33" s="229">
        <f t="shared" ca="1" si="7"/>
        <v>60904.585443507902</v>
      </c>
      <c r="V33" s="233">
        <f t="shared" ca="1" si="8"/>
        <v>11456.928756836352</v>
      </c>
      <c r="W33" s="246"/>
      <c r="X33" s="247">
        <v>0.04</v>
      </c>
      <c r="Y33" s="229">
        <f t="shared" ca="1" si="9"/>
        <v>63311.660052028892</v>
      </c>
      <c r="Z33" s="71"/>
      <c r="AA33" s="235">
        <f t="shared" ca="1" si="10"/>
        <v>44743</v>
      </c>
      <c r="AB33" s="71"/>
      <c r="AC33" s="235">
        <f ca="1">IF(AB33="",IFERROR(VLOOKUP($D33,'Employee Master'!$A:$F,6,FALSE)+365,""),AB33)</f>
        <v>45105</v>
      </c>
      <c r="AD33" s="234"/>
      <c r="AE33" s="235">
        <f t="shared" ca="1" si="11"/>
        <v>45107</v>
      </c>
      <c r="AF33" s="237">
        <f t="shared" ca="1" si="12"/>
        <v>258</v>
      </c>
      <c r="AG33" s="237">
        <f t="shared" ca="1" si="13"/>
        <v>3</v>
      </c>
      <c r="AH33" s="237">
        <f t="shared" ca="1" si="14"/>
        <v>261</v>
      </c>
      <c r="AI33" s="238">
        <f t="shared" ca="1" si="15"/>
        <v>60904.585443507902</v>
      </c>
      <c r="AJ33" s="229">
        <f t="shared" ca="1" si="16"/>
        <v>60904.585443507902</v>
      </c>
      <c r="AK33" s="233">
        <f t="shared" ca="1" si="17"/>
        <v>11456.928756836351</v>
      </c>
      <c r="AL33" s="248"/>
      <c r="AM33" s="233">
        <f t="shared" ca="1" si="18"/>
        <v>0</v>
      </c>
      <c r="AN33" s="233">
        <f t="shared" ca="1" si="19"/>
        <v>0</v>
      </c>
      <c r="AO33" s="233">
        <f t="shared" ca="1" si="20"/>
        <v>0</v>
      </c>
      <c r="AP33" s="233">
        <f t="shared" ca="1" si="21"/>
        <v>0</v>
      </c>
      <c r="AR33" s="226"/>
      <c r="AS33" s="226"/>
      <c r="AT33" s="226"/>
      <c r="AU33" s="226"/>
      <c r="AV33" s="226"/>
      <c r="AW33" s="226"/>
      <c r="AX33" s="226"/>
      <c r="AY33" s="226"/>
      <c r="AZ33" s="226"/>
      <c r="BA33" s="226"/>
      <c r="BB33" s="226"/>
      <c r="BC33" s="226"/>
      <c r="BD33" s="226"/>
      <c r="BE33" s="226"/>
      <c r="BF33" s="226"/>
      <c r="BN33" s="244" t="str">
        <f ca="1">IF('Budgeting Model'!C33="Vacant",'Budgeting Model'!AK33,"")</f>
        <v/>
      </c>
      <c r="BO33" s="195">
        <f t="shared" ca="1" si="22"/>
        <v>6</v>
      </c>
      <c r="BP33" s="195" t="str">
        <f t="shared" ca="1" si="23"/>
        <v/>
      </c>
    </row>
    <row r="34" spans="1:68" s="195" customFormat="1" ht="15" customHeight="1" thickBot="1">
      <c r="A34" s="227" t="s">
        <v>92</v>
      </c>
      <c r="B34" s="228" t="str">
        <f>IF(ISNA(VLOOKUP($A34,'Position Master'!B:C,2,FALSE)),"Missing",VLOOKUP($A34,'Position Master'!B:C,2,FALSE))</f>
        <v>Dept 6</v>
      </c>
      <c r="C34" s="211" t="str">
        <f ca="1">_xlfn.IFNA(INDEX('Employee Master'!$C:$C,MATCH($D34,'Employee Master'!$A:$A,0))&amp;", "&amp;INDEX('Employee Master'!$B:$B,MATCH($D34,'Employee Master'!$A:$A,0)),"Vacant")</f>
        <v>Gao, Adam</v>
      </c>
      <c r="D34" s="211">
        <f>IF(INDEX('Position Master'!$A$7:$A$97,MATCH(A34,'Position Master'!$B$7:$B$97,0))=0,"Vacant",INDEX('Position Master'!$A$7:$A$97,MATCH(A34,'Position Master'!$B$7:$B$97,0)))</f>
        <v>4363461</v>
      </c>
      <c r="E34" s="229">
        <f ca="1">IFERROR(VLOOKUP(D34,'Employee Master'!A:F,5,FALSE),"")</f>
        <v>72275.926003060493</v>
      </c>
      <c r="F34" s="230" t="str">
        <f ca="1">IF(C34="Vacant","No",IF(AND(VLOOKUP(D34,'Employee Master'!A:F,6,FALSE)+360&lt;B$4,VLOOKUP(D34,'Employee Master'!A:F,6,FALSE)+360&lt;B28),"Yes","No"))</f>
        <v>Yes</v>
      </c>
      <c r="G34" s="229">
        <f ca="1">IF(C34="Vacant",VLOOKUP(A34,'Position Master'!B:D,3,FALSE),E34)*(1+IF(F34="Yes",F$8,0))</f>
        <v>74444.203783152305</v>
      </c>
      <c r="H34" s="245"/>
      <c r="I34" s="232"/>
      <c r="J34" s="233">
        <f t="shared" ca="1" si="0"/>
        <v>77421.971934478395</v>
      </c>
      <c r="K34" s="234"/>
      <c r="L34" s="235">
        <f t="shared" ca="1" si="1"/>
        <v>44743</v>
      </c>
      <c r="M34" s="236"/>
      <c r="N34" s="235">
        <f ca="1">IF(M34="",IFERROR(VLOOKUP($D34,'Employee Master'!$A:$F,6,FALSE)+365,""),M34)</f>
        <v>44924</v>
      </c>
      <c r="O34" s="71"/>
      <c r="P34" s="235">
        <f t="shared" ca="1" si="2"/>
        <v>45107</v>
      </c>
      <c r="Q34" s="237">
        <f t="shared" ca="1" si="3"/>
        <v>129</v>
      </c>
      <c r="R34" s="237">
        <f t="shared" ca="1" si="4"/>
        <v>132</v>
      </c>
      <c r="S34" s="237">
        <f t="shared" ca="1" si="5"/>
        <v>261</v>
      </c>
      <c r="T34" s="238">
        <f t="shared" ca="1" si="6"/>
        <v>75950.201468880434</v>
      </c>
      <c r="U34" s="229">
        <f t="shared" ca="1" si="7"/>
        <v>75950.201468880434</v>
      </c>
      <c r="V34" s="233">
        <f t="shared" ca="1" si="8"/>
        <v>14535.159481951883</v>
      </c>
      <c r="W34" s="246"/>
      <c r="X34" s="247"/>
      <c r="Y34" s="229">
        <f t="shared" ca="1" si="9"/>
        <v>77421.971934478395</v>
      </c>
      <c r="Z34" s="71"/>
      <c r="AA34" s="235">
        <f t="shared" ca="1" si="10"/>
        <v>44743</v>
      </c>
      <c r="AB34" s="71"/>
      <c r="AC34" s="235">
        <f ca="1">IF(AB34="",IFERROR(VLOOKUP($D34,'Employee Master'!$A:$F,6,FALSE)+365,""),AB34)</f>
        <v>44924</v>
      </c>
      <c r="AD34" s="234"/>
      <c r="AE34" s="235">
        <f t="shared" ca="1" si="11"/>
        <v>45107</v>
      </c>
      <c r="AF34" s="237">
        <f t="shared" ca="1" si="12"/>
        <v>129</v>
      </c>
      <c r="AG34" s="237">
        <f t="shared" ca="1" si="13"/>
        <v>132</v>
      </c>
      <c r="AH34" s="237">
        <f t="shared" ca="1" si="14"/>
        <v>261</v>
      </c>
      <c r="AI34" s="238">
        <f t="shared" ca="1" si="15"/>
        <v>75950.201468880434</v>
      </c>
      <c r="AJ34" s="229">
        <f t="shared" ca="1" si="16"/>
        <v>75950.201468880434</v>
      </c>
      <c r="AK34" s="233">
        <f t="shared" ca="1" si="17"/>
        <v>14535.159481951883</v>
      </c>
      <c r="AL34" s="248"/>
      <c r="AM34" s="233">
        <f t="shared" ca="1" si="18"/>
        <v>0</v>
      </c>
      <c r="AN34" s="233">
        <f t="shared" ca="1" si="19"/>
        <v>0</v>
      </c>
      <c r="AO34" s="233">
        <f t="shared" ca="1" si="20"/>
        <v>0</v>
      </c>
      <c r="AP34" s="233">
        <f t="shared" ca="1" si="21"/>
        <v>0</v>
      </c>
      <c r="AR34" s="226"/>
      <c r="AS34" s="226"/>
      <c r="AT34" s="226"/>
      <c r="AU34" s="226"/>
      <c r="AV34" s="226"/>
      <c r="AW34" s="226"/>
      <c r="AX34" s="226"/>
      <c r="AY34" s="226"/>
      <c r="AZ34" s="226"/>
      <c r="BA34" s="226"/>
      <c r="BB34" s="226"/>
      <c r="BC34" s="226"/>
      <c r="BD34" s="226"/>
      <c r="BE34" s="226"/>
      <c r="BF34" s="226"/>
      <c r="BN34" s="244" t="str">
        <f ca="1">IF('Budgeting Model'!C34="Vacant",'Budgeting Model'!AK34,"")</f>
        <v/>
      </c>
      <c r="BO34" s="195">
        <f t="shared" ca="1" si="22"/>
        <v>12</v>
      </c>
      <c r="BP34" s="195">
        <f t="shared" ca="1" si="23"/>
        <v>72275.926003060493</v>
      </c>
    </row>
    <row r="35" spans="1:68" s="195" customFormat="1" ht="15" customHeight="1" thickBot="1">
      <c r="A35" s="227" t="s">
        <v>93</v>
      </c>
      <c r="B35" s="228" t="str">
        <f>IF(ISNA(VLOOKUP($A35,'Position Master'!B:C,2,FALSE)),"Missing",VLOOKUP($A35,'Position Master'!B:C,2,FALSE))</f>
        <v>Dept 9</v>
      </c>
      <c r="C35" s="211" t="str">
        <f ca="1">_xlfn.IFNA(INDEX('Employee Master'!$C:$C,MATCH($D35,'Employee Master'!$A:$A,0))&amp;", "&amp;INDEX('Employee Master'!$B:$B,MATCH($D35,'Employee Master'!$A:$A,0)),"Vacant")</f>
        <v>Gayle, David</v>
      </c>
      <c r="D35" s="211">
        <f>IF(INDEX('Position Master'!$A$7:$A$97,MATCH(A35,'Position Master'!$B$7:$B$97,0))=0,"Vacant",INDEX('Position Master'!$A$7:$A$97,MATCH(A35,'Position Master'!$B$7:$B$97,0)))</f>
        <v>4487721</v>
      </c>
      <c r="E35" s="229">
        <f ca="1">IFERROR(VLOOKUP(D35,'Employee Master'!A:F,5,FALSE),"")</f>
        <v>74319.469346280952</v>
      </c>
      <c r="F35" s="230" t="str">
        <f ca="1">IF(C35="Vacant","No",IF(AND(VLOOKUP(D35,'Employee Master'!A:F,6,FALSE)+360&lt;B$4,VLOOKUP(D35,'Employee Master'!A:F,6,FALSE)+360&lt;B29),"Yes","No"))</f>
        <v>Yes</v>
      </c>
      <c r="G35" s="229">
        <f ca="1">IF(C35="Vacant",VLOOKUP(A35,'Position Master'!B:D,3,FALSE),E35)*(1+IF(F35="Yes",F$8,0))</f>
        <v>76549.053426669387</v>
      </c>
      <c r="H35" s="245"/>
      <c r="I35" s="232"/>
      <c r="J35" s="233">
        <f t="shared" ca="1" si="0"/>
        <v>79611.01556373616</v>
      </c>
      <c r="K35" s="234"/>
      <c r="L35" s="235">
        <f t="shared" ca="1" si="1"/>
        <v>44743</v>
      </c>
      <c r="M35" s="236"/>
      <c r="N35" s="235">
        <f ca="1">IF(M35="",IFERROR(VLOOKUP($D35,'Employee Master'!$A:$F,6,FALSE)+365,""),M35)</f>
        <v>44820</v>
      </c>
      <c r="O35" s="71"/>
      <c r="P35" s="235">
        <f t="shared" ca="1" si="2"/>
        <v>45107</v>
      </c>
      <c r="Q35" s="237">
        <f t="shared" ca="1" si="3"/>
        <v>55</v>
      </c>
      <c r="R35" s="237">
        <f t="shared" ca="1" si="4"/>
        <v>206</v>
      </c>
      <c r="S35" s="237">
        <f t="shared" ca="1" si="5"/>
        <v>261</v>
      </c>
      <c r="T35" s="238">
        <f t="shared" ca="1" si="6"/>
        <v>78965.774500369604</v>
      </c>
      <c r="U35" s="229">
        <f t="shared" ca="1" si="7"/>
        <v>78965.774500369604</v>
      </c>
      <c r="V35" s="233">
        <f t="shared" ca="1" si="8"/>
        <v>14946.129358709088</v>
      </c>
      <c r="W35" s="246"/>
      <c r="X35" s="247"/>
      <c r="Y35" s="229">
        <f t="shared" ca="1" si="9"/>
        <v>79611.01556373616</v>
      </c>
      <c r="Z35" s="71"/>
      <c r="AA35" s="235">
        <f t="shared" ca="1" si="10"/>
        <v>44743</v>
      </c>
      <c r="AB35" s="71"/>
      <c r="AC35" s="235">
        <f ca="1">IF(AB35="",IFERROR(VLOOKUP($D35,'Employee Master'!$A:$F,6,FALSE)+365,""),AB35)</f>
        <v>44820</v>
      </c>
      <c r="AD35" s="234"/>
      <c r="AE35" s="235">
        <f t="shared" ca="1" si="11"/>
        <v>45107</v>
      </c>
      <c r="AF35" s="237">
        <f t="shared" ca="1" si="12"/>
        <v>55</v>
      </c>
      <c r="AG35" s="237">
        <f t="shared" ca="1" si="13"/>
        <v>206</v>
      </c>
      <c r="AH35" s="237">
        <f t="shared" ca="1" si="14"/>
        <v>261</v>
      </c>
      <c r="AI35" s="238">
        <f t="shared" ca="1" si="15"/>
        <v>78965.774500369604</v>
      </c>
      <c r="AJ35" s="229">
        <f t="shared" ca="1" si="16"/>
        <v>78965.774500369604</v>
      </c>
      <c r="AK35" s="233">
        <f t="shared" ca="1" si="17"/>
        <v>14946.129358709088</v>
      </c>
      <c r="AL35" s="248"/>
      <c r="AM35" s="233">
        <f t="shared" ca="1" si="18"/>
        <v>0</v>
      </c>
      <c r="AN35" s="233">
        <f t="shared" ca="1" si="19"/>
        <v>0</v>
      </c>
      <c r="AO35" s="233">
        <f t="shared" ca="1" si="20"/>
        <v>0</v>
      </c>
      <c r="AP35" s="233">
        <f t="shared" ca="1" si="21"/>
        <v>0</v>
      </c>
      <c r="AR35" s="226"/>
      <c r="AS35" s="226"/>
      <c r="AT35" s="226"/>
      <c r="AU35" s="226"/>
      <c r="AV35" s="226"/>
      <c r="AW35" s="226"/>
      <c r="AX35" s="226"/>
      <c r="AY35" s="226"/>
      <c r="AZ35" s="226"/>
      <c r="BA35" s="226"/>
      <c r="BB35" s="226"/>
      <c r="BC35" s="226"/>
      <c r="BD35" s="226"/>
      <c r="BE35" s="226"/>
      <c r="BF35" s="226"/>
      <c r="BN35" s="244" t="str">
        <f ca="1">IF('Budgeting Model'!C35="Vacant",'Budgeting Model'!AK35,"")</f>
        <v/>
      </c>
      <c r="BO35" s="195">
        <f t="shared" ca="1" si="22"/>
        <v>9</v>
      </c>
      <c r="BP35" s="195" t="str">
        <f t="shared" ca="1" si="23"/>
        <v/>
      </c>
    </row>
    <row r="36" spans="1:68" s="195" customFormat="1" ht="15" customHeight="1" thickBot="1">
      <c r="A36" s="227" t="s">
        <v>94</v>
      </c>
      <c r="B36" s="228" t="str">
        <f>IF(ISNA(VLOOKUP($A36,'Position Master'!B:C,2,FALSE)),"Missing",VLOOKUP($A36,'Position Master'!B:C,2,FALSE))</f>
        <v>Dept 2</v>
      </c>
      <c r="C36" s="211" t="str">
        <f ca="1">_xlfn.IFNA(INDEX('Employee Master'!$C:$C,MATCH($D36,'Employee Master'!$A:$A,0))&amp;", "&amp;INDEX('Employee Master'!$B:$B,MATCH($D36,'Employee Master'!$A:$A,0)),"Vacant")</f>
        <v>Guan, Wolfe</v>
      </c>
      <c r="D36" s="211">
        <f>IF(INDEX('Position Master'!$A$7:$A$97,MATCH(A36,'Position Master'!$B$7:$B$97,0))=0,"Vacant",INDEX('Position Master'!$A$7:$A$97,MATCH(A36,'Position Master'!$B$7:$B$97,0)))</f>
        <v>4682694</v>
      </c>
      <c r="E36" s="229">
        <f ca="1">IFERROR(VLOOKUP(D36,'Employee Master'!A:F,5,FALSE),"")</f>
        <v>60149.893046202844</v>
      </c>
      <c r="F36" s="230" t="str">
        <f ca="1">IF(C36="Vacant","No",IF(AND(VLOOKUP(D36,'Employee Master'!A:F,6,FALSE)+360&lt;B$4,VLOOKUP(D36,'Employee Master'!A:F,6,FALSE)+360&lt;B30),"Yes","No"))</f>
        <v>No</v>
      </c>
      <c r="G36" s="229">
        <f ca="1">IF(C36="Vacant",VLOOKUP(A36,'Position Master'!B:D,3,FALSE),E36)*(1+IF(F36="Yes",F$8,0))</f>
        <v>60149.893046202844</v>
      </c>
      <c r="H36" s="245"/>
      <c r="I36" s="232"/>
      <c r="J36" s="233">
        <f t="shared" ca="1" si="0"/>
        <v>62555.888768050958</v>
      </c>
      <c r="K36" s="234"/>
      <c r="L36" s="235">
        <f t="shared" ca="1" si="1"/>
        <v>44743</v>
      </c>
      <c r="M36" s="236"/>
      <c r="N36" s="235">
        <f ca="1">IF(M36="",IFERROR(VLOOKUP($D36,'Employee Master'!$A:$F,6,FALSE)+365,""),M36)</f>
        <v>45076</v>
      </c>
      <c r="O36" s="71"/>
      <c r="P36" s="235">
        <f t="shared" ca="1" si="2"/>
        <v>45107</v>
      </c>
      <c r="Q36" s="237">
        <f t="shared" ca="1" si="3"/>
        <v>237</v>
      </c>
      <c r="R36" s="237">
        <f t="shared" ca="1" si="4"/>
        <v>24</v>
      </c>
      <c r="S36" s="237">
        <f t="shared" ca="1" si="5"/>
        <v>261</v>
      </c>
      <c r="T36" s="238">
        <f t="shared" ca="1" si="6"/>
        <v>60371.134032119917</v>
      </c>
      <c r="U36" s="229">
        <f t="shared" ca="1" si="7"/>
        <v>60371.134032119917</v>
      </c>
      <c r="V36" s="233">
        <f t="shared" ca="1" si="8"/>
        <v>11513.749642100744</v>
      </c>
      <c r="W36" s="246"/>
      <c r="X36" s="247"/>
      <c r="Y36" s="229">
        <f t="shared" ca="1" si="9"/>
        <v>62555.888768050958</v>
      </c>
      <c r="Z36" s="71"/>
      <c r="AA36" s="235">
        <f t="shared" ca="1" si="10"/>
        <v>44743</v>
      </c>
      <c r="AB36" s="71"/>
      <c r="AC36" s="235">
        <f ca="1">IF(AB36="",IFERROR(VLOOKUP($D36,'Employee Master'!$A:$F,6,FALSE)+365,""),AB36)</f>
        <v>45076</v>
      </c>
      <c r="AD36" s="234"/>
      <c r="AE36" s="235">
        <f t="shared" ca="1" si="11"/>
        <v>45107</v>
      </c>
      <c r="AF36" s="237">
        <f t="shared" ca="1" si="12"/>
        <v>237</v>
      </c>
      <c r="AG36" s="237">
        <f t="shared" ca="1" si="13"/>
        <v>24</v>
      </c>
      <c r="AH36" s="237">
        <f t="shared" ca="1" si="14"/>
        <v>261</v>
      </c>
      <c r="AI36" s="238">
        <f t="shared" ca="1" si="15"/>
        <v>60371.134032119917</v>
      </c>
      <c r="AJ36" s="229">
        <f t="shared" ca="1" si="16"/>
        <v>60371.134032119917</v>
      </c>
      <c r="AK36" s="233">
        <f t="shared" ca="1" si="17"/>
        <v>11513.749642100744</v>
      </c>
      <c r="AL36" s="248"/>
      <c r="AM36" s="233">
        <f t="shared" ca="1" si="18"/>
        <v>0</v>
      </c>
      <c r="AN36" s="233">
        <f t="shared" ca="1" si="19"/>
        <v>0</v>
      </c>
      <c r="AO36" s="233">
        <f t="shared" ca="1" si="20"/>
        <v>0</v>
      </c>
      <c r="AP36" s="233">
        <f t="shared" ca="1" si="21"/>
        <v>0</v>
      </c>
      <c r="AR36" s="226"/>
      <c r="AS36" s="226"/>
      <c r="AT36" s="226"/>
      <c r="AU36" s="226"/>
      <c r="AV36" s="226"/>
      <c r="AW36" s="226"/>
      <c r="AX36" s="226"/>
      <c r="AY36" s="226"/>
      <c r="AZ36" s="226"/>
      <c r="BA36" s="226"/>
      <c r="BB36" s="226"/>
      <c r="BC36" s="226"/>
      <c r="BD36" s="226"/>
      <c r="BE36" s="226"/>
      <c r="BF36" s="226"/>
      <c r="BN36" s="244" t="str">
        <f ca="1">IF('Budgeting Model'!C36="Vacant",'Budgeting Model'!AK36,"")</f>
        <v/>
      </c>
      <c r="BO36" s="195">
        <f t="shared" ca="1" si="22"/>
        <v>5</v>
      </c>
      <c r="BP36" s="195" t="str">
        <f t="shared" ca="1" si="23"/>
        <v/>
      </c>
    </row>
    <row r="37" spans="1:68" s="195" customFormat="1" ht="15" customHeight="1" thickBot="1">
      <c r="A37" s="227" t="s">
        <v>95</v>
      </c>
      <c r="B37" s="228" t="str">
        <f>IF(ISNA(VLOOKUP($A37,'Position Master'!B:C,2,FALSE)),"Missing",VLOOKUP($A37,'Position Master'!B:C,2,FALSE))</f>
        <v>Dept 1</v>
      </c>
      <c r="C37" s="211" t="str">
        <f ca="1">_xlfn.IFNA(INDEX('Employee Master'!$C:$C,MATCH($D37,'Employee Master'!$A:$A,0))&amp;", "&amp;INDEX('Employee Master'!$B:$B,MATCH($D37,'Employee Master'!$A:$A,0)),"Vacant")</f>
        <v>He, Elvis</v>
      </c>
      <c r="D37" s="211">
        <f>IF(INDEX('Position Master'!$A$7:$A$97,MATCH(A37,'Position Master'!$B$7:$B$97,0))=0,"Vacant",INDEX('Position Master'!$A$7:$A$97,MATCH(A37,'Position Master'!$B$7:$B$97,0)))</f>
        <v>4697834</v>
      </c>
      <c r="E37" s="229">
        <f ca="1">IFERROR(VLOOKUP(D37,'Employee Master'!A:F,5,FALSE),"")</f>
        <v>64897.526683318953</v>
      </c>
      <c r="F37" s="230" t="str">
        <f ca="1">IF(C37="Vacant","No",IF(AND(VLOOKUP(D37,'Employee Master'!A:F,6,FALSE)+360&lt;B$4,VLOOKUP(D37,'Employee Master'!A:F,6,FALSE)+360&lt;B31),"Yes","No"))</f>
        <v>Yes</v>
      </c>
      <c r="G37" s="229">
        <f ca="1">IF(C37="Vacant",VLOOKUP(A37,'Position Master'!B:D,3,FALSE),E37)*(1+IF(F37="Yes",F$8,0))</f>
        <v>66844.452483818517</v>
      </c>
      <c r="H37" s="245"/>
      <c r="I37" s="232"/>
      <c r="J37" s="233">
        <f t="shared" ca="1" si="0"/>
        <v>69518.230583171258</v>
      </c>
      <c r="K37" s="234"/>
      <c r="L37" s="235">
        <f t="shared" ca="1" si="1"/>
        <v>44743</v>
      </c>
      <c r="M37" s="236"/>
      <c r="N37" s="235">
        <f ca="1">IF(M37="",IFERROR(VLOOKUP($D37,'Employee Master'!$A:$F,6,FALSE)+365,""),M37)</f>
        <v>44895</v>
      </c>
      <c r="O37" s="71"/>
      <c r="P37" s="235">
        <f t="shared" ca="1" si="2"/>
        <v>45107</v>
      </c>
      <c r="Q37" s="237">
        <f t="shared" ca="1" si="3"/>
        <v>108</v>
      </c>
      <c r="R37" s="237">
        <f t="shared" ca="1" si="4"/>
        <v>153</v>
      </c>
      <c r="S37" s="237">
        <f t="shared" ca="1" si="5"/>
        <v>261</v>
      </c>
      <c r="T37" s="238">
        <f t="shared" ca="1" si="6"/>
        <v>68411.839645508051</v>
      </c>
      <c r="U37" s="229">
        <f t="shared" ca="1" si="7"/>
        <v>68411.839645508051</v>
      </c>
      <c r="V37" s="233">
        <f t="shared" ca="1" si="8"/>
        <v>13051.315320212228</v>
      </c>
      <c r="W37" s="246"/>
      <c r="X37" s="247"/>
      <c r="Y37" s="229">
        <f t="shared" ca="1" si="9"/>
        <v>69518.230583171258</v>
      </c>
      <c r="Z37" s="71"/>
      <c r="AA37" s="235">
        <f t="shared" ca="1" si="10"/>
        <v>44743</v>
      </c>
      <c r="AB37" s="71"/>
      <c r="AC37" s="235">
        <f ca="1">IF(AB37="",IFERROR(VLOOKUP($D37,'Employee Master'!$A:$F,6,FALSE)+365,""),AB37)</f>
        <v>44895</v>
      </c>
      <c r="AD37" s="234"/>
      <c r="AE37" s="235">
        <f t="shared" ca="1" si="11"/>
        <v>45107</v>
      </c>
      <c r="AF37" s="237">
        <f t="shared" ca="1" si="12"/>
        <v>108</v>
      </c>
      <c r="AG37" s="237">
        <f t="shared" ca="1" si="13"/>
        <v>153</v>
      </c>
      <c r="AH37" s="237">
        <f t="shared" ca="1" si="14"/>
        <v>261</v>
      </c>
      <c r="AI37" s="238">
        <f t="shared" ca="1" si="15"/>
        <v>68411.839645508051</v>
      </c>
      <c r="AJ37" s="229">
        <f t="shared" ca="1" si="16"/>
        <v>68411.839645508051</v>
      </c>
      <c r="AK37" s="233">
        <f t="shared" ca="1" si="17"/>
        <v>13051.315320212228</v>
      </c>
      <c r="AL37" s="248"/>
      <c r="AM37" s="233">
        <f t="shared" ca="1" si="18"/>
        <v>0</v>
      </c>
      <c r="AN37" s="233">
        <f t="shared" ca="1" si="19"/>
        <v>0</v>
      </c>
      <c r="AO37" s="233">
        <f t="shared" ca="1" si="20"/>
        <v>0</v>
      </c>
      <c r="AP37" s="233">
        <f t="shared" ca="1" si="21"/>
        <v>0</v>
      </c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N37" s="244" t="str">
        <f ca="1">IF('Budgeting Model'!C37="Vacant",'Budgeting Model'!AK37,"")</f>
        <v/>
      </c>
      <c r="BO37" s="195">
        <f t="shared" ca="1" si="22"/>
        <v>11</v>
      </c>
      <c r="BP37" s="195">
        <f t="shared" ca="1" si="23"/>
        <v>64897.526683318953</v>
      </c>
    </row>
    <row r="38" spans="1:68" s="195" customFormat="1" ht="15" customHeight="1" thickBot="1">
      <c r="A38" s="227" t="s">
        <v>96</v>
      </c>
      <c r="B38" s="228" t="str">
        <f>IF(ISNA(VLOOKUP($A38,'Position Master'!B:C,2,FALSE)),"Missing",VLOOKUP($A38,'Position Master'!B:C,2,FALSE))</f>
        <v>Dept 10</v>
      </c>
      <c r="C38" s="211" t="str">
        <f ca="1">_xlfn.IFNA(INDEX('Employee Master'!$C:$C,MATCH($D38,'Employee Master'!$A:$A,0))&amp;", "&amp;INDEX('Employee Master'!$B:$B,MATCH($D38,'Employee Master'!$A:$A,0)),"Vacant")</f>
        <v>Hua, Victor</v>
      </c>
      <c r="D38" s="211">
        <f>IF(INDEX('Position Master'!$A$7:$A$97,MATCH(A38,'Position Master'!$B$7:$B$97,0))=0,"Vacant",INDEX('Position Master'!$A$7:$A$97,MATCH(A38,'Position Master'!$B$7:$B$97,0)))</f>
        <v>4750210</v>
      </c>
      <c r="E38" s="229">
        <f ca="1">IFERROR(VLOOKUP(D38,'Employee Master'!A:F,5,FALSE),"")</f>
        <v>68923.331851023249</v>
      </c>
      <c r="F38" s="230" t="str">
        <f ca="1">IF(C38="Vacant","No",IF(AND(VLOOKUP(D38,'Employee Master'!A:F,6,FALSE)+360&lt;B$4,VLOOKUP(D38,'Employee Master'!A:F,6,FALSE)+360&lt;B32),"Yes","No"))</f>
        <v>Yes</v>
      </c>
      <c r="G38" s="229">
        <f ca="1">IF(C38="Vacant",VLOOKUP(A38,'Position Master'!B:D,3,FALSE),E38)*(1+IF(F38="Yes",F$8,0))</f>
        <v>70991.031806553947</v>
      </c>
      <c r="H38" s="245"/>
      <c r="I38" s="232"/>
      <c r="J38" s="233">
        <f t="shared" ca="1" si="0"/>
        <v>73830.673078816108</v>
      </c>
      <c r="K38" s="234"/>
      <c r="L38" s="235">
        <f t="shared" ca="1" si="1"/>
        <v>44743</v>
      </c>
      <c r="M38" s="236"/>
      <c r="N38" s="235">
        <f ca="1">IF(M38="",IFERROR(VLOOKUP($D38,'Employee Master'!$A:$F,6,FALSE)+365,""),M38)</f>
        <v>44974</v>
      </c>
      <c r="O38" s="71"/>
      <c r="P38" s="235">
        <f t="shared" ca="1" si="2"/>
        <v>45107</v>
      </c>
      <c r="Q38" s="237">
        <f t="shared" ca="1" si="3"/>
        <v>165</v>
      </c>
      <c r="R38" s="237">
        <f t="shared" ca="1" si="4"/>
        <v>96</v>
      </c>
      <c r="S38" s="237">
        <f t="shared" ca="1" si="5"/>
        <v>261</v>
      </c>
      <c r="T38" s="238">
        <f t="shared" ca="1" si="6"/>
        <v>72035.49756186876</v>
      </c>
      <c r="U38" s="229">
        <f t="shared" ca="1" si="7"/>
        <v>72035.49756186876</v>
      </c>
      <c r="V38" s="233">
        <f t="shared" ca="1" si="8"/>
        <v>13860.930961157048</v>
      </c>
      <c r="W38" s="246"/>
      <c r="X38" s="247"/>
      <c r="Y38" s="229">
        <f t="shared" ca="1" si="9"/>
        <v>73830.673078816108</v>
      </c>
      <c r="Z38" s="71"/>
      <c r="AA38" s="235">
        <f t="shared" ca="1" si="10"/>
        <v>44743</v>
      </c>
      <c r="AB38" s="71"/>
      <c r="AC38" s="235">
        <f ca="1">IF(AB38="",IFERROR(VLOOKUP($D38,'Employee Master'!$A:$F,6,FALSE)+365,""),AB38)</f>
        <v>44974</v>
      </c>
      <c r="AD38" s="234"/>
      <c r="AE38" s="235">
        <f t="shared" ca="1" si="11"/>
        <v>45107</v>
      </c>
      <c r="AF38" s="237">
        <f t="shared" ca="1" si="12"/>
        <v>165</v>
      </c>
      <c r="AG38" s="237">
        <f t="shared" ca="1" si="13"/>
        <v>96</v>
      </c>
      <c r="AH38" s="237">
        <f t="shared" ca="1" si="14"/>
        <v>261</v>
      </c>
      <c r="AI38" s="238">
        <f t="shared" ca="1" si="15"/>
        <v>72035.49756186876</v>
      </c>
      <c r="AJ38" s="229">
        <f t="shared" ca="1" si="16"/>
        <v>72035.49756186876</v>
      </c>
      <c r="AK38" s="233">
        <f t="shared" ca="1" si="17"/>
        <v>13860.930961157048</v>
      </c>
      <c r="AL38" s="248"/>
      <c r="AM38" s="233">
        <f t="shared" ca="1" si="18"/>
        <v>0</v>
      </c>
      <c r="AN38" s="233">
        <f t="shared" ca="1" si="19"/>
        <v>0</v>
      </c>
      <c r="AO38" s="233">
        <f t="shared" ca="1" si="20"/>
        <v>0</v>
      </c>
      <c r="AP38" s="233">
        <f t="shared" ca="1" si="21"/>
        <v>0</v>
      </c>
      <c r="AR38" s="226"/>
      <c r="AS38" s="226"/>
      <c r="AT38" s="226"/>
      <c r="AU38" s="226"/>
      <c r="AV38" s="226"/>
      <c r="AW38" s="226"/>
      <c r="AX38" s="226"/>
      <c r="AY38" s="226"/>
      <c r="AZ38" s="226"/>
      <c r="BA38" s="226"/>
      <c r="BB38" s="226"/>
      <c r="BC38" s="226"/>
      <c r="BD38" s="226"/>
      <c r="BE38" s="226"/>
      <c r="BF38" s="226"/>
      <c r="BN38" s="244" t="str">
        <f ca="1">IF('Budgeting Model'!C38="Vacant",'Budgeting Model'!AK38,"")</f>
        <v/>
      </c>
      <c r="BO38" s="195">
        <f t="shared" ca="1" si="22"/>
        <v>2</v>
      </c>
      <c r="BP38" s="195">
        <f t="shared" ca="1" si="23"/>
        <v>68923.331851023249</v>
      </c>
    </row>
    <row r="39" spans="1:68" s="195" customFormat="1" ht="15" customHeight="1" thickBot="1">
      <c r="A39" s="227" t="s">
        <v>97</v>
      </c>
      <c r="B39" s="228" t="str">
        <f>IF(ISNA(VLOOKUP($A39,'Position Master'!B:C,2,FALSE)),"Missing",VLOOKUP($A39,'Position Master'!B:C,2,FALSE))</f>
        <v>Dept 13</v>
      </c>
      <c r="C39" s="211" t="str">
        <f ca="1">_xlfn.IFNA(INDEX('Employee Master'!$C:$C,MATCH($D39,'Employee Master'!$A:$A,0))&amp;", "&amp;INDEX('Employee Master'!$B:$B,MATCH($D39,'Employee Master'!$A:$A,0)),"Vacant")</f>
        <v>Huang, Veronica</v>
      </c>
      <c r="D39" s="211">
        <f>IF(INDEX('Position Master'!$A$7:$A$97,MATCH(A39,'Position Master'!$B$7:$B$97,0))=0,"Vacant",INDEX('Position Master'!$A$7:$A$97,MATCH(A39,'Position Master'!$B$7:$B$97,0)))</f>
        <v>4795506</v>
      </c>
      <c r="E39" s="229">
        <f ca="1">IFERROR(VLOOKUP(D39,'Employee Master'!A:F,5,FALSE),"")</f>
        <v>64348.253342896169</v>
      </c>
      <c r="F39" s="230" t="str">
        <f ca="1">IF(C39="Vacant","No",IF(AND(VLOOKUP(D39,'Employee Master'!A:F,6,FALSE)+360&lt;B$4,VLOOKUP(D39,'Employee Master'!A:F,6,FALSE)+360&lt;B33),"Yes","No"))</f>
        <v>Yes</v>
      </c>
      <c r="G39" s="229">
        <f ca="1">IF(C39="Vacant",VLOOKUP(A39,'Position Master'!B:D,3,FALSE),E39)*(1+IF(F39="Yes",F$8,0))</f>
        <v>66278.700943183052</v>
      </c>
      <c r="H39" s="245"/>
      <c r="I39" s="232"/>
      <c r="J39" s="233">
        <f t="shared" ca="1" si="0"/>
        <v>68929.848980910378</v>
      </c>
      <c r="K39" s="234"/>
      <c r="L39" s="235">
        <f t="shared" ca="1" si="1"/>
        <v>44743</v>
      </c>
      <c r="M39" s="236"/>
      <c r="N39" s="235">
        <f ca="1">IF(M39="",IFERROR(VLOOKUP($D39,'Employee Master'!$A:$F,6,FALSE)+365,""),M39)</f>
        <v>44784</v>
      </c>
      <c r="O39" s="249">
        <v>44924</v>
      </c>
      <c r="P39" s="235">
        <f t="shared" si="2"/>
        <v>44924</v>
      </c>
      <c r="Q39" s="237">
        <f t="shared" ca="1" si="3"/>
        <v>29</v>
      </c>
      <c r="R39" s="237">
        <f t="shared" ca="1" si="4"/>
        <v>101</v>
      </c>
      <c r="S39" s="237">
        <f t="shared" ca="1" si="5"/>
        <v>130</v>
      </c>
      <c r="T39" s="238">
        <f t="shared" ca="1" si="6"/>
        <v>68338.439034032737</v>
      </c>
      <c r="U39" s="229">
        <f t="shared" ca="1" si="7"/>
        <v>34038.302967142743</v>
      </c>
      <c r="V39" s="233">
        <f t="shared" ca="1" si="8"/>
        <v>0</v>
      </c>
      <c r="W39" s="246"/>
      <c r="X39" s="247"/>
      <c r="Y39" s="229">
        <f t="shared" ca="1" si="9"/>
        <v>68929.848980910378</v>
      </c>
      <c r="Z39" s="71"/>
      <c r="AA39" s="235">
        <f t="shared" ca="1" si="10"/>
        <v>44743</v>
      </c>
      <c r="AB39" s="71"/>
      <c r="AC39" s="235">
        <f ca="1">IF(AB39="",IFERROR(VLOOKUP($D39,'Employee Master'!$A:$F,6,FALSE)+365,""),AB39)</f>
        <v>44784</v>
      </c>
      <c r="AD39" s="234"/>
      <c r="AE39" s="235">
        <f t="shared" ca="1" si="11"/>
        <v>45107</v>
      </c>
      <c r="AF39" s="237">
        <f t="shared" ca="1" si="12"/>
        <v>29</v>
      </c>
      <c r="AG39" s="237">
        <f t="shared" ca="1" si="13"/>
        <v>232</v>
      </c>
      <c r="AH39" s="237">
        <f t="shared" ca="1" si="14"/>
        <v>261</v>
      </c>
      <c r="AI39" s="238">
        <f t="shared" ca="1" si="15"/>
        <v>68635.276976718451</v>
      </c>
      <c r="AJ39" s="229">
        <f t="shared" ca="1" si="16"/>
        <v>68635.276976718451</v>
      </c>
      <c r="AK39" s="233">
        <f t="shared" ca="1" si="17"/>
        <v>12940.85287381076</v>
      </c>
      <c r="AL39" s="248"/>
      <c r="AM39" s="233">
        <f t="shared" ca="1" si="18"/>
        <v>296.83794268571364</v>
      </c>
      <c r="AN39" s="233">
        <f t="shared" ca="1" si="19"/>
        <v>34300.136066889994</v>
      </c>
      <c r="AO39" s="233">
        <f t="shared" ca="1" si="20"/>
        <v>34596.974009575708</v>
      </c>
      <c r="AP39" s="233">
        <f t="shared" ca="1" si="21"/>
        <v>12940.85287381076</v>
      </c>
      <c r="AR39" s="226"/>
      <c r="AS39" s="226"/>
      <c r="AT39" s="226"/>
      <c r="AU39" s="226"/>
      <c r="AV39" s="226"/>
      <c r="AW39" s="226"/>
      <c r="AX39" s="226"/>
      <c r="AY39" s="226"/>
      <c r="AZ39" s="226"/>
      <c r="BA39" s="226"/>
      <c r="BB39" s="226"/>
      <c r="BC39" s="226"/>
      <c r="BD39" s="226"/>
      <c r="BE39" s="226"/>
      <c r="BF39" s="226"/>
      <c r="BN39" s="244" t="str">
        <f ca="1">IF('Budgeting Model'!C39="Vacant",'Budgeting Model'!AK39,"")</f>
        <v/>
      </c>
      <c r="BO39" s="195">
        <f t="shared" ca="1" si="22"/>
        <v>8</v>
      </c>
      <c r="BP39" s="195" t="str">
        <f t="shared" ca="1" si="23"/>
        <v/>
      </c>
    </row>
    <row r="40" spans="1:68" s="195" customFormat="1" ht="15" customHeight="1" thickBot="1">
      <c r="A40" s="227" t="s">
        <v>98</v>
      </c>
      <c r="B40" s="228" t="str">
        <f>IF(ISNA(VLOOKUP($A40,'Position Master'!B:C,2,FALSE)),"Missing",VLOOKUP($A40,'Position Master'!B:C,2,FALSE))</f>
        <v>Dept 8</v>
      </c>
      <c r="C40" s="211" t="str">
        <f ca="1">_xlfn.IFNA(INDEX('Employee Master'!$C:$C,MATCH($D40,'Employee Master'!$A:$A,0))&amp;", "&amp;INDEX('Employee Master'!$B:$B,MATCH($D40,'Employee Master'!$A:$A,0)),"Vacant")</f>
        <v>Igua, Leslie</v>
      </c>
      <c r="D40" s="211">
        <f>IF(INDEX('Position Master'!$A$7:$A$97,MATCH(A40,'Position Master'!$B$7:$B$97,0))=0,"Vacant",INDEX('Position Master'!$A$7:$A$97,MATCH(A40,'Position Master'!$B$7:$B$97,0)))</f>
        <v>4814734</v>
      </c>
      <c r="E40" s="229">
        <f ca="1">IFERROR(VLOOKUP(D40,'Employee Master'!A:F,5,FALSE),"")</f>
        <v>42477.48042516753</v>
      </c>
      <c r="F40" s="230" t="str">
        <f ca="1">IF(C40="Vacant","No",IF(AND(VLOOKUP(D40,'Employee Master'!A:F,6,FALSE)+360&lt;B$4,VLOOKUP(D40,'Employee Master'!A:F,6,FALSE)+360&lt;B34),"Yes","No"))</f>
        <v>Yes</v>
      </c>
      <c r="G40" s="229">
        <f ca="1">IF(C40="Vacant",VLOOKUP(A40,'Position Master'!B:D,3,FALSE),E40)*(1+IF(F40="Yes",F$8,0))</f>
        <v>43751.804837922558</v>
      </c>
      <c r="H40" s="245"/>
      <c r="I40" s="232"/>
      <c r="J40" s="233">
        <f t="shared" ca="1" si="0"/>
        <v>45501.877031439464</v>
      </c>
      <c r="K40" s="234"/>
      <c r="L40" s="235">
        <f t="shared" ca="1" si="1"/>
        <v>44743</v>
      </c>
      <c r="M40" s="236"/>
      <c r="N40" s="235">
        <f ca="1">IF(M40="",IFERROR(VLOOKUP($D40,'Employee Master'!$A:$F,6,FALSE)+365,""),M40)</f>
        <v>44827</v>
      </c>
      <c r="O40" s="249">
        <v>44925</v>
      </c>
      <c r="P40" s="235">
        <f t="shared" si="2"/>
        <v>44925</v>
      </c>
      <c r="Q40" s="237">
        <f t="shared" ca="1" si="3"/>
        <v>60</v>
      </c>
      <c r="R40" s="237">
        <f t="shared" ca="1" si="4"/>
        <v>71</v>
      </c>
      <c r="S40" s="237">
        <f t="shared" ca="1" si="5"/>
        <v>131</v>
      </c>
      <c r="T40" s="238">
        <f t="shared" ca="1" si="6"/>
        <v>44700.31724814928</v>
      </c>
      <c r="U40" s="229">
        <f t="shared" ca="1" si="7"/>
        <v>22435.79141573776</v>
      </c>
      <c r="V40" s="233">
        <f t="shared" ca="1" si="8"/>
        <v>0</v>
      </c>
      <c r="W40" s="246"/>
      <c r="X40" s="247"/>
      <c r="Y40" s="229">
        <f t="shared" ca="1" si="9"/>
        <v>45501.877031439464</v>
      </c>
      <c r="Z40" s="71"/>
      <c r="AA40" s="235">
        <f t="shared" ca="1" si="10"/>
        <v>44743</v>
      </c>
      <c r="AB40" s="71"/>
      <c r="AC40" s="235">
        <f ca="1">IF(AB40="",IFERROR(VLOOKUP($D40,'Employee Master'!$A:$F,6,FALSE)+365,""),AB40)</f>
        <v>44827</v>
      </c>
      <c r="AD40" s="234"/>
      <c r="AE40" s="235">
        <f t="shared" ca="1" si="11"/>
        <v>45107</v>
      </c>
      <c r="AF40" s="237">
        <f t="shared" ca="1" si="12"/>
        <v>60</v>
      </c>
      <c r="AG40" s="237">
        <f t="shared" ca="1" si="13"/>
        <v>201</v>
      </c>
      <c r="AH40" s="237">
        <f t="shared" ca="1" si="14"/>
        <v>261</v>
      </c>
      <c r="AI40" s="238">
        <f t="shared" ca="1" si="15"/>
        <v>45099.561584653966</v>
      </c>
      <c r="AJ40" s="229">
        <f t="shared" ca="1" si="16"/>
        <v>45099.561584653966</v>
      </c>
      <c r="AK40" s="233">
        <f t="shared" ca="1" si="17"/>
        <v>8542.4979867453403</v>
      </c>
      <c r="AL40" s="248"/>
      <c r="AM40" s="233">
        <f t="shared" ca="1" si="18"/>
        <v>399.24433650468563</v>
      </c>
      <c r="AN40" s="233">
        <f t="shared" ca="1" si="19"/>
        <v>22264.52583241152</v>
      </c>
      <c r="AO40" s="233">
        <f t="shared" ca="1" si="20"/>
        <v>22663.770168916206</v>
      </c>
      <c r="AP40" s="233">
        <f t="shared" ca="1" si="21"/>
        <v>8542.4979867453403</v>
      </c>
      <c r="AR40" s="226"/>
      <c r="AS40" s="226"/>
      <c r="AT40" s="226"/>
      <c r="AU40" s="226"/>
      <c r="AV40" s="226"/>
      <c r="AW40" s="226"/>
      <c r="AX40" s="226"/>
      <c r="AY40" s="226"/>
      <c r="AZ40" s="226"/>
      <c r="BA40" s="226"/>
      <c r="BB40" s="226"/>
      <c r="BC40" s="226"/>
      <c r="BD40" s="226"/>
      <c r="BE40" s="226"/>
      <c r="BF40" s="226"/>
      <c r="BN40" s="244" t="str">
        <f ca="1">IF('Budgeting Model'!C40="Vacant",'Budgeting Model'!AK40,"")</f>
        <v/>
      </c>
      <c r="BO40" s="195">
        <f t="shared" ca="1" si="22"/>
        <v>9</v>
      </c>
      <c r="BP40" s="195" t="str">
        <f t="shared" ca="1" si="23"/>
        <v/>
      </c>
    </row>
    <row r="41" spans="1:68" s="195" customFormat="1" ht="15" customHeight="1" thickBot="1">
      <c r="A41" s="227" t="s">
        <v>99</v>
      </c>
      <c r="B41" s="228" t="str">
        <f>IF(ISNA(VLOOKUP($A41,'Position Master'!B:C,2,FALSE)),"Missing",VLOOKUP($A41,'Position Master'!B:C,2,FALSE))</f>
        <v>Dept 14</v>
      </c>
      <c r="C41" s="211" t="str">
        <f ca="1">_xlfn.IFNA(INDEX('Employee Master'!$C:$C,MATCH($D41,'Employee Master'!$A:$A,0))&amp;", "&amp;INDEX('Employee Master'!$B:$B,MATCH($D41,'Employee Master'!$A:$A,0)),"Vacant")</f>
        <v>Isabella, Emely</v>
      </c>
      <c r="D41" s="211">
        <f>IF(INDEX('Position Master'!$A$7:$A$97,MATCH(A41,'Position Master'!$B$7:$B$97,0))=0,"Vacant",INDEX('Position Master'!$A$7:$A$97,MATCH(A41,'Position Master'!$B$7:$B$97,0)))</f>
        <v>4840103</v>
      </c>
      <c r="E41" s="229">
        <f ca="1">IFERROR(VLOOKUP(D41,'Employee Master'!A:F,5,FALSE),"")</f>
        <v>62083.631667331894</v>
      </c>
      <c r="F41" s="230" t="str">
        <f ca="1">IF(C41="Vacant","No",IF(AND(VLOOKUP(D41,'Employee Master'!A:F,6,FALSE)+360&lt;B$4,VLOOKUP(D41,'Employee Master'!A:F,6,FALSE)+360&lt;B35),"Yes","No"))</f>
        <v>Yes</v>
      </c>
      <c r="G41" s="229">
        <f ca="1">IF(C41="Vacant",VLOOKUP(A41,'Position Master'!B:D,3,FALSE),E41)*(1+IF(F41="Yes",F$8,0))</f>
        <v>63946.140617351855</v>
      </c>
      <c r="H41" s="245"/>
      <c r="I41" s="232"/>
      <c r="J41" s="233">
        <f t="shared" ca="1" si="0"/>
        <v>66503.986242045925</v>
      </c>
      <c r="K41" s="234"/>
      <c r="L41" s="235">
        <f t="shared" ca="1" si="1"/>
        <v>44743</v>
      </c>
      <c r="M41" s="236"/>
      <c r="N41" s="235">
        <f ca="1">IF(M41="",IFERROR(VLOOKUP($D41,'Employee Master'!$A:$F,6,FALSE)+365,""),M41)</f>
        <v>44820</v>
      </c>
      <c r="O41" s="249">
        <v>44926</v>
      </c>
      <c r="P41" s="235">
        <f t="shared" si="2"/>
        <v>44926</v>
      </c>
      <c r="Q41" s="237">
        <f t="shared" ca="1" si="3"/>
        <v>55</v>
      </c>
      <c r="R41" s="237">
        <f t="shared" ca="1" si="4"/>
        <v>76</v>
      </c>
      <c r="S41" s="237">
        <f t="shared" ca="1" si="5"/>
        <v>131</v>
      </c>
      <c r="T41" s="238">
        <f t="shared" ca="1" si="6"/>
        <v>65430.081590456815</v>
      </c>
      <c r="U41" s="229">
        <f t="shared" ca="1" si="7"/>
        <v>32840.385779118173</v>
      </c>
      <c r="V41" s="233">
        <f t="shared" ca="1" si="8"/>
        <v>0</v>
      </c>
      <c r="W41" s="246"/>
      <c r="X41" s="247"/>
      <c r="Y41" s="229">
        <f t="shared" ca="1" si="9"/>
        <v>66503.986242045925</v>
      </c>
      <c r="Z41" s="71"/>
      <c r="AA41" s="235">
        <f t="shared" ca="1" si="10"/>
        <v>44743</v>
      </c>
      <c r="AB41" s="71"/>
      <c r="AC41" s="235">
        <f ca="1">IF(AB41="",IFERROR(VLOOKUP($D41,'Employee Master'!$A:$F,6,FALSE)+365,""),AB41)</f>
        <v>44820</v>
      </c>
      <c r="AD41" s="234"/>
      <c r="AE41" s="235">
        <f t="shared" ca="1" si="11"/>
        <v>45107</v>
      </c>
      <c r="AF41" s="237">
        <f t="shared" ca="1" si="12"/>
        <v>55</v>
      </c>
      <c r="AG41" s="237">
        <f t="shared" ca="1" si="13"/>
        <v>206</v>
      </c>
      <c r="AH41" s="237">
        <f t="shared" ca="1" si="14"/>
        <v>261</v>
      </c>
      <c r="AI41" s="238">
        <f t="shared" ca="1" si="15"/>
        <v>65964.9766276468</v>
      </c>
      <c r="AJ41" s="229">
        <f t="shared" ca="1" si="16"/>
        <v>65964.9766276468</v>
      </c>
      <c r="AK41" s="233">
        <f t="shared" ca="1" si="17"/>
        <v>12485.422704445404</v>
      </c>
      <c r="AL41" s="248"/>
      <c r="AM41" s="233">
        <f t="shared" ca="1" si="18"/>
        <v>534.89503718998458</v>
      </c>
      <c r="AN41" s="233">
        <f t="shared" ca="1" si="19"/>
        <v>32589.695811338643</v>
      </c>
      <c r="AO41" s="233">
        <f t="shared" ca="1" si="20"/>
        <v>33124.590848528627</v>
      </c>
      <c r="AP41" s="233">
        <f t="shared" ca="1" si="21"/>
        <v>12485.422704445404</v>
      </c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6"/>
      <c r="BC41" s="226"/>
      <c r="BD41" s="226"/>
      <c r="BE41" s="226"/>
      <c r="BF41" s="226"/>
      <c r="BN41" s="244" t="str">
        <f ca="1">IF('Budgeting Model'!C41="Vacant",'Budgeting Model'!AK41,"")</f>
        <v/>
      </c>
      <c r="BO41" s="195">
        <f t="shared" ca="1" si="22"/>
        <v>9</v>
      </c>
      <c r="BP41" s="195" t="str">
        <f t="shared" ca="1" si="23"/>
        <v/>
      </c>
    </row>
    <row r="42" spans="1:68" s="195" customFormat="1" ht="15" customHeight="1" thickBot="1">
      <c r="A42" s="227" t="s">
        <v>100</v>
      </c>
      <c r="B42" s="228" t="str">
        <f>IF(ISNA(VLOOKUP($A42,'Position Master'!B:C,2,FALSE)),"Missing",VLOOKUP($A42,'Position Master'!B:C,2,FALSE))</f>
        <v>Dept 5</v>
      </c>
      <c r="C42" s="211" t="str">
        <f ca="1">_xlfn.IFNA(INDEX('Employee Master'!$C:$C,MATCH($D42,'Employee Master'!$A:$A,0))&amp;", "&amp;INDEX('Employee Master'!$B:$B,MATCH($D42,'Employee Master'!$A:$A,0)),"Vacant")</f>
        <v>Jacques, Ashley</v>
      </c>
      <c r="D42" s="211">
        <f>IF(INDEX('Position Master'!$A$7:$A$97,MATCH(A42,'Position Master'!$B$7:$B$97,0))=0,"Vacant",INDEX('Position Master'!$A$7:$A$97,MATCH(A42,'Position Master'!$B$7:$B$97,0)))</f>
        <v>4971553</v>
      </c>
      <c r="E42" s="229">
        <f ca="1">IFERROR(VLOOKUP(D42,'Employee Master'!A:F,5,FALSE),"")</f>
        <v>80701.102767306322</v>
      </c>
      <c r="F42" s="230" t="str">
        <f ca="1">IF(C42="Vacant","No",IF(AND(VLOOKUP(D42,'Employee Master'!A:F,6,FALSE)+360&lt;B$4,VLOOKUP(D42,'Employee Master'!A:F,6,FALSE)+360&lt;B36),"Yes","No"))</f>
        <v>Yes</v>
      </c>
      <c r="G42" s="229">
        <f ca="1">IF(C42="Vacant",VLOOKUP(A42,'Position Master'!B:D,3,FALSE),E42)*(1+IF(F42="Yes",F$8,0))</f>
        <v>83122.135850325518</v>
      </c>
      <c r="H42" s="245"/>
      <c r="I42" s="232"/>
      <c r="J42" s="233">
        <f t="shared" ca="1" si="0"/>
        <v>86447.021284338538</v>
      </c>
      <c r="K42" s="234"/>
      <c r="L42" s="235">
        <f t="shared" ca="1" si="1"/>
        <v>44743</v>
      </c>
      <c r="M42" s="236"/>
      <c r="N42" s="235">
        <f ca="1">IF(M42="",IFERROR(VLOOKUP($D42,'Employee Master'!$A:$F,6,FALSE)+365,""),M42)</f>
        <v>44995</v>
      </c>
      <c r="O42" s="71"/>
      <c r="P42" s="235">
        <f t="shared" ca="1" si="2"/>
        <v>45107</v>
      </c>
      <c r="Q42" s="237">
        <f t="shared" ca="1" si="3"/>
        <v>180</v>
      </c>
      <c r="R42" s="237">
        <f t="shared" ca="1" si="4"/>
        <v>81</v>
      </c>
      <c r="S42" s="237">
        <f t="shared" ca="1" si="5"/>
        <v>261</v>
      </c>
      <c r="T42" s="238">
        <f t="shared" ca="1" si="6"/>
        <v>84153.996847088172</v>
      </c>
      <c r="U42" s="229">
        <f t="shared" ca="1" si="7"/>
        <v>84153.996847088172</v>
      </c>
      <c r="V42" s="233">
        <f t="shared" ca="1" si="8"/>
        <v>16229.517405871988</v>
      </c>
      <c r="W42" s="246"/>
      <c r="X42" s="247"/>
      <c r="Y42" s="229">
        <f t="shared" ca="1" si="9"/>
        <v>86447.021284338538</v>
      </c>
      <c r="Z42" s="71"/>
      <c r="AA42" s="235">
        <f t="shared" ca="1" si="10"/>
        <v>44743</v>
      </c>
      <c r="AB42" s="71"/>
      <c r="AC42" s="235">
        <f ca="1">IF(AB42="",IFERROR(VLOOKUP($D42,'Employee Master'!$A:$F,6,FALSE)+365,""),AB42)</f>
        <v>44995</v>
      </c>
      <c r="AD42" s="234"/>
      <c r="AE42" s="235">
        <f t="shared" ca="1" si="11"/>
        <v>45107</v>
      </c>
      <c r="AF42" s="237">
        <f t="shared" ca="1" si="12"/>
        <v>180</v>
      </c>
      <c r="AG42" s="237">
        <f t="shared" ca="1" si="13"/>
        <v>81</v>
      </c>
      <c r="AH42" s="237">
        <f t="shared" ca="1" si="14"/>
        <v>261</v>
      </c>
      <c r="AI42" s="238">
        <f t="shared" ca="1" si="15"/>
        <v>84153.996847088172</v>
      </c>
      <c r="AJ42" s="229">
        <f t="shared" ca="1" si="16"/>
        <v>84153.996847088172</v>
      </c>
      <c r="AK42" s="233">
        <f t="shared" ca="1" si="17"/>
        <v>16229.517405871988</v>
      </c>
      <c r="AL42" s="248"/>
      <c r="AM42" s="233">
        <f t="shared" ca="1" si="18"/>
        <v>0</v>
      </c>
      <c r="AN42" s="233">
        <f t="shared" ca="1" si="19"/>
        <v>0</v>
      </c>
      <c r="AO42" s="233">
        <f t="shared" ca="1" si="20"/>
        <v>0</v>
      </c>
      <c r="AP42" s="233">
        <f t="shared" ca="1" si="21"/>
        <v>0</v>
      </c>
      <c r="AR42" s="226"/>
      <c r="AS42" s="226"/>
      <c r="AT42" s="226"/>
      <c r="AU42" s="226"/>
      <c r="AV42" s="226"/>
      <c r="AW42" s="226"/>
      <c r="AX42" s="226"/>
      <c r="AY42" s="226"/>
      <c r="AZ42" s="226"/>
      <c r="BA42" s="226"/>
      <c r="BB42" s="226"/>
      <c r="BC42" s="226"/>
      <c r="BD42" s="226"/>
      <c r="BE42" s="226"/>
      <c r="BF42" s="226"/>
      <c r="BN42" s="244" t="str">
        <f ca="1">IF('Budgeting Model'!C42="Vacant",'Budgeting Model'!AK42,"")</f>
        <v/>
      </c>
      <c r="BO42" s="195">
        <f t="shared" ca="1" si="22"/>
        <v>3</v>
      </c>
      <c r="BP42" s="195" t="str">
        <f t="shared" ca="1" si="23"/>
        <v/>
      </c>
    </row>
    <row r="43" spans="1:68" s="195" customFormat="1" ht="15" customHeight="1" thickBot="1">
      <c r="A43" s="227" t="s">
        <v>101</v>
      </c>
      <c r="B43" s="228" t="str">
        <f>IF(ISNA(VLOOKUP($A43,'Position Master'!B:C,2,FALSE)),"Missing",VLOOKUP($A43,'Position Master'!B:C,2,FALSE))</f>
        <v>Dept 12</v>
      </c>
      <c r="C43" s="211" t="str">
        <f ca="1">_xlfn.IFNA(INDEX('Employee Master'!$C:$C,MATCH($D43,'Employee Master'!$A:$A,0))&amp;", "&amp;INDEX('Employee Master'!$B:$B,MATCH($D43,'Employee Master'!$A:$A,0)),"Vacant")</f>
        <v>Jahmi, Yamina</v>
      </c>
      <c r="D43" s="211">
        <f>IF(INDEX('Position Master'!$A$7:$A$97,MATCH(A43,'Position Master'!$B$7:$B$97,0))=0,"Vacant",INDEX('Position Master'!$A$7:$A$97,MATCH(A43,'Position Master'!$B$7:$B$97,0)))</f>
        <v>5033643</v>
      </c>
      <c r="E43" s="229">
        <f ca="1">IFERROR(VLOOKUP(D43,'Employee Master'!A:F,5,FALSE),"")</f>
        <v>57783.197486306555</v>
      </c>
      <c r="F43" s="230" t="str">
        <f ca="1">IF(C43="Vacant","No",IF(AND(VLOOKUP(D43,'Employee Master'!A:F,6,FALSE)+360&lt;B$4,VLOOKUP(D43,'Employee Master'!A:F,6,FALSE)+360&lt;B37),"Yes","No"))</f>
        <v>Yes</v>
      </c>
      <c r="G43" s="229">
        <f ca="1">IF(C43="Vacant",VLOOKUP(A43,'Position Master'!B:D,3,FALSE),E43)*(1+IF(F43="Yes",F$8,0))</f>
        <v>59516.69341089575</v>
      </c>
      <c r="H43" s="245"/>
      <c r="I43" s="232"/>
      <c r="J43" s="233">
        <f t="shared" ca="1" si="0"/>
        <v>61897.361147331583</v>
      </c>
      <c r="K43" s="234"/>
      <c r="L43" s="235">
        <f t="shared" ca="1" si="1"/>
        <v>44743</v>
      </c>
      <c r="M43" s="236"/>
      <c r="N43" s="235">
        <f ca="1">IF(M43="",IFERROR(VLOOKUP($D43,'Employee Master'!$A:$F,6,FALSE)+365,""),M43)</f>
        <v>45023</v>
      </c>
      <c r="O43" s="71"/>
      <c r="P43" s="235">
        <f t="shared" ca="1" si="2"/>
        <v>45107</v>
      </c>
      <c r="Q43" s="237">
        <f t="shared" ca="1" si="3"/>
        <v>200</v>
      </c>
      <c r="R43" s="237">
        <f t="shared" ca="1" si="4"/>
        <v>61</v>
      </c>
      <c r="S43" s="237">
        <f t="shared" ca="1" si="5"/>
        <v>261</v>
      </c>
      <c r="T43" s="238">
        <f t="shared" ca="1" si="6"/>
        <v>60073.094682629788</v>
      </c>
      <c r="U43" s="229">
        <f t="shared" ca="1" si="7"/>
        <v>60073.094682629788</v>
      </c>
      <c r="V43" s="233">
        <f t="shared" ca="1" si="8"/>
        <v>11620.577380150375</v>
      </c>
      <c r="W43" s="246"/>
      <c r="X43" s="247"/>
      <c r="Y43" s="229">
        <f t="shared" ca="1" si="9"/>
        <v>61897.361147331583</v>
      </c>
      <c r="Z43" s="71"/>
      <c r="AA43" s="235">
        <f t="shared" ca="1" si="10"/>
        <v>44743</v>
      </c>
      <c r="AB43" s="71"/>
      <c r="AC43" s="235">
        <f ca="1">IF(AB43="",IFERROR(VLOOKUP($D43,'Employee Master'!$A:$F,6,FALSE)+365,""),AB43)</f>
        <v>45023</v>
      </c>
      <c r="AD43" s="234"/>
      <c r="AE43" s="235">
        <f t="shared" ca="1" si="11"/>
        <v>45107</v>
      </c>
      <c r="AF43" s="237">
        <f t="shared" ca="1" si="12"/>
        <v>200</v>
      </c>
      <c r="AG43" s="237">
        <f t="shared" ca="1" si="13"/>
        <v>61</v>
      </c>
      <c r="AH43" s="237">
        <f t="shared" ca="1" si="14"/>
        <v>261</v>
      </c>
      <c r="AI43" s="238">
        <f t="shared" ca="1" si="15"/>
        <v>60073.094682629788</v>
      </c>
      <c r="AJ43" s="229">
        <f t="shared" ca="1" si="16"/>
        <v>60073.094682629788</v>
      </c>
      <c r="AK43" s="233">
        <f t="shared" ca="1" si="17"/>
        <v>11620.577380150375</v>
      </c>
      <c r="AL43" s="248"/>
      <c r="AM43" s="233">
        <f t="shared" ca="1" si="18"/>
        <v>0</v>
      </c>
      <c r="AN43" s="233">
        <f t="shared" ca="1" si="19"/>
        <v>0</v>
      </c>
      <c r="AO43" s="233">
        <f t="shared" ca="1" si="20"/>
        <v>0</v>
      </c>
      <c r="AP43" s="233">
        <f t="shared" ca="1" si="21"/>
        <v>0</v>
      </c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6"/>
      <c r="BF43" s="226"/>
      <c r="BN43" s="244" t="str">
        <f ca="1">IF('Budgeting Model'!C43="Vacant",'Budgeting Model'!AK43,"")</f>
        <v/>
      </c>
      <c r="BO43" s="195">
        <f t="shared" ca="1" si="22"/>
        <v>4</v>
      </c>
      <c r="BP43" s="195" t="str">
        <f t="shared" ca="1" si="23"/>
        <v/>
      </c>
    </row>
    <row r="44" spans="1:68" s="195" customFormat="1" ht="15" customHeight="1" thickBot="1">
      <c r="A44" s="227" t="s">
        <v>102</v>
      </c>
      <c r="B44" s="228" t="str">
        <f>IF(ISNA(VLOOKUP($A44,'Position Master'!B:C,2,FALSE)),"Missing",VLOOKUP($A44,'Position Master'!B:C,2,FALSE))</f>
        <v>Dept 4</v>
      </c>
      <c r="C44" s="211" t="str">
        <f ca="1">_xlfn.IFNA(INDEX('Employee Master'!$C:$C,MATCH($D44,'Employee Master'!$A:$A,0))&amp;", "&amp;INDEX('Employee Master'!$B:$B,MATCH($D44,'Employee Master'!$A:$A,0)),"Vacant")</f>
        <v>Jogani, Huiying</v>
      </c>
      <c r="D44" s="211">
        <f>IF(INDEX('Position Master'!$A$7:$A$97,MATCH(A44,'Position Master'!$B$7:$B$97,0))=0,"Vacant",INDEX('Position Master'!$A$7:$A$97,MATCH(A44,'Position Master'!$B$7:$B$97,0)))</f>
        <v>5161953</v>
      </c>
      <c r="E44" s="229">
        <f ca="1">IFERROR(VLOOKUP(D44,'Employee Master'!A:F,5,FALSE),"")</f>
        <v>67546.230069506331</v>
      </c>
      <c r="F44" s="230" t="str">
        <f ca="1">IF(C44="Vacant","No",IF(AND(VLOOKUP(D44,'Employee Master'!A:F,6,FALSE)+360&lt;B$4,VLOOKUP(D44,'Employee Master'!A:F,6,FALSE)+360&lt;B38),"Yes","No"))</f>
        <v>Yes</v>
      </c>
      <c r="G44" s="229">
        <f ca="1">IF(C44="Vacant",VLOOKUP(A44,'Position Master'!B:D,3,FALSE),E44)*(1+IF(F44="Yes",F$8,0))</f>
        <v>69572.616971591517</v>
      </c>
      <c r="H44" s="245"/>
      <c r="I44" s="232"/>
      <c r="J44" s="233">
        <f t="shared" ca="1" si="0"/>
        <v>72355.521650455179</v>
      </c>
      <c r="K44" s="234"/>
      <c r="L44" s="235">
        <f t="shared" ca="1" si="1"/>
        <v>44743</v>
      </c>
      <c r="M44" s="236"/>
      <c r="N44" s="235">
        <f ca="1">IF(M44="",IFERROR(VLOOKUP($D44,'Employee Master'!$A:$F,6,FALSE)+365,""),M44)</f>
        <v>44822</v>
      </c>
      <c r="O44" s="71"/>
      <c r="P44" s="235">
        <f t="shared" ca="1" si="2"/>
        <v>45107</v>
      </c>
      <c r="Q44" s="237">
        <f t="shared" ca="1" si="3"/>
        <v>56</v>
      </c>
      <c r="R44" s="237">
        <f t="shared" ca="1" si="4"/>
        <v>205</v>
      </c>
      <c r="S44" s="237">
        <f t="shared" ca="1" si="5"/>
        <v>261</v>
      </c>
      <c r="T44" s="238">
        <f t="shared" ca="1" si="6"/>
        <v>71758.423328553399</v>
      </c>
      <c r="U44" s="229">
        <f t="shared" ca="1" si="7"/>
        <v>71758.423328553399</v>
      </c>
      <c r="V44" s="233">
        <f t="shared" ca="1" si="8"/>
        <v>13583.986823265532</v>
      </c>
      <c r="W44" s="246"/>
      <c r="X44" s="247"/>
      <c r="Y44" s="229">
        <f t="shared" ca="1" si="9"/>
        <v>72355.521650455179</v>
      </c>
      <c r="Z44" s="71"/>
      <c r="AA44" s="235">
        <f t="shared" ca="1" si="10"/>
        <v>44743</v>
      </c>
      <c r="AB44" s="71"/>
      <c r="AC44" s="235">
        <f ca="1">IF(AB44="",IFERROR(VLOOKUP($D44,'Employee Master'!$A:$F,6,FALSE)+365,""),AB44)</f>
        <v>44822</v>
      </c>
      <c r="AD44" s="234"/>
      <c r="AE44" s="235">
        <f t="shared" ca="1" si="11"/>
        <v>45107</v>
      </c>
      <c r="AF44" s="237">
        <f t="shared" ca="1" si="12"/>
        <v>56</v>
      </c>
      <c r="AG44" s="237">
        <f t="shared" ca="1" si="13"/>
        <v>205</v>
      </c>
      <c r="AH44" s="237">
        <f t="shared" ca="1" si="14"/>
        <v>261</v>
      </c>
      <c r="AI44" s="238">
        <f t="shared" ca="1" si="15"/>
        <v>71758.423328553399</v>
      </c>
      <c r="AJ44" s="229">
        <f t="shared" ca="1" si="16"/>
        <v>71758.423328553399</v>
      </c>
      <c r="AK44" s="233">
        <f t="shared" ca="1" si="17"/>
        <v>13583.986823265532</v>
      </c>
      <c r="AL44" s="248"/>
      <c r="AM44" s="233">
        <f t="shared" ca="1" si="18"/>
        <v>0</v>
      </c>
      <c r="AN44" s="233">
        <f t="shared" ca="1" si="19"/>
        <v>0</v>
      </c>
      <c r="AO44" s="233">
        <f t="shared" ca="1" si="20"/>
        <v>0</v>
      </c>
      <c r="AP44" s="233">
        <f t="shared" ca="1" si="21"/>
        <v>0</v>
      </c>
      <c r="AR44" s="226"/>
      <c r="AS44" s="226"/>
      <c r="AT44" s="226"/>
      <c r="AU44" s="226"/>
      <c r="AV44" s="226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N44" s="244" t="str">
        <f ca="1">IF('Budgeting Model'!C44="Vacant",'Budgeting Model'!AK44,"")</f>
        <v/>
      </c>
      <c r="BO44" s="195">
        <f t="shared" ca="1" si="22"/>
        <v>9</v>
      </c>
      <c r="BP44" s="195" t="str">
        <f t="shared" ca="1" si="23"/>
        <v/>
      </c>
    </row>
    <row r="45" spans="1:68" s="195" customFormat="1" ht="15" customHeight="1" thickBot="1">
      <c r="A45" s="227" t="s">
        <v>103</v>
      </c>
      <c r="B45" s="228" t="str">
        <f>IF(ISNA(VLOOKUP($A45,'Position Master'!B:C,2,FALSE)),"Missing",VLOOKUP($A45,'Position Master'!B:C,2,FALSE))</f>
        <v>Dept 7</v>
      </c>
      <c r="C45" s="211" t="str">
        <f ca="1">_xlfn.IFNA(INDEX('Employee Master'!$C:$C,MATCH($D45,'Employee Master'!$A:$A,0))&amp;", "&amp;INDEX('Employee Master'!$B:$B,MATCH($D45,'Employee Master'!$A:$A,0)),"Vacant")</f>
        <v>Joseph, Huiying</v>
      </c>
      <c r="D45" s="211">
        <f>IF(INDEX('Position Master'!$A$7:$A$97,MATCH(A45,'Position Master'!$B$7:$B$97,0))=0,"Vacant",INDEX('Position Master'!$A$7:$A$97,MATCH(A45,'Position Master'!$B$7:$B$97,0)))</f>
        <v>5284637</v>
      </c>
      <c r="E45" s="229">
        <f ca="1">IFERROR(VLOOKUP(D45,'Employee Master'!A:F,5,FALSE),"")</f>
        <v>55965.731511299135</v>
      </c>
      <c r="F45" s="230" t="str">
        <f ca="1">IF(C45="Vacant","No",IF(AND(VLOOKUP(D45,'Employee Master'!A:F,6,FALSE)+360&lt;B$4,VLOOKUP(D45,'Employee Master'!A:F,6,FALSE)+360&lt;B39),"Yes","No"))</f>
        <v>No</v>
      </c>
      <c r="G45" s="229">
        <f ca="1">IF(C45="Vacant",VLOOKUP(A45,'Position Master'!B:D,3,FALSE),E45)*(1+IF(F45="Yes",F$8,0))</f>
        <v>55965.731511299135</v>
      </c>
      <c r="H45" s="245"/>
      <c r="I45" s="232"/>
      <c r="J45" s="233">
        <f t="shared" ca="1" si="0"/>
        <v>58204.360771751104</v>
      </c>
      <c r="K45" s="234"/>
      <c r="L45" s="235">
        <f t="shared" ca="1" si="1"/>
        <v>44743</v>
      </c>
      <c r="M45" s="236"/>
      <c r="N45" s="235">
        <f ca="1">IF(M45="",IFERROR(VLOOKUP($D45,'Employee Master'!$A:$F,6,FALSE)+365,""),M45)</f>
        <v>45067</v>
      </c>
      <c r="O45" s="71"/>
      <c r="P45" s="235">
        <f t="shared" ca="1" si="2"/>
        <v>45107</v>
      </c>
      <c r="Q45" s="237">
        <f t="shared" ca="1" si="3"/>
        <v>231</v>
      </c>
      <c r="R45" s="237">
        <f t="shared" ca="1" si="4"/>
        <v>30</v>
      </c>
      <c r="S45" s="237">
        <f t="shared" ca="1" si="5"/>
        <v>261</v>
      </c>
      <c r="T45" s="238">
        <f t="shared" ca="1" si="6"/>
        <v>56223.045219397056</v>
      </c>
      <c r="U45" s="229">
        <f t="shared" ca="1" si="7"/>
        <v>56223.045219397056</v>
      </c>
      <c r="V45" s="233">
        <f t="shared" ca="1" si="8"/>
        <v>10764.290122096616</v>
      </c>
      <c r="W45" s="246"/>
      <c r="X45" s="247"/>
      <c r="Y45" s="229">
        <f t="shared" ca="1" si="9"/>
        <v>58204.360771751104</v>
      </c>
      <c r="Z45" s="71"/>
      <c r="AA45" s="235">
        <f t="shared" ca="1" si="10"/>
        <v>44743</v>
      </c>
      <c r="AB45" s="71"/>
      <c r="AC45" s="235">
        <f ca="1">IF(AB45="",IFERROR(VLOOKUP($D45,'Employee Master'!$A:$F,6,FALSE)+365,""),AB45)</f>
        <v>45067</v>
      </c>
      <c r="AD45" s="234"/>
      <c r="AE45" s="235">
        <f t="shared" ca="1" si="11"/>
        <v>45107</v>
      </c>
      <c r="AF45" s="237">
        <f t="shared" ca="1" si="12"/>
        <v>231</v>
      </c>
      <c r="AG45" s="237">
        <f t="shared" ca="1" si="13"/>
        <v>30</v>
      </c>
      <c r="AH45" s="237">
        <f t="shared" ca="1" si="14"/>
        <v>261</v>
      </c>
      <c r="AI45" s="238">
        <f t="shared" ca="1" si="15"/>
        <v>56223.045219397056</v>
      </c>
      <c r="AJ45" s="229">
        <f t="shared" ca="1" si="16"/>
        <v>56223.045219397056</v>
      </c>
      <c r="AK45" s="233">
        <f t="shared" ca="1" si="17"/>
        <v>10764.290122096616</v>
      </c>
      <c r="AL45" s="248"/>
      <c r="AM45" s="233">
        <f t="shared" ca="1" si="18"/>
        <v>0</v>
      </c>
      <c r="AN45" s="233">
        <f t="shared" ca="1" si="19"/>
        <v>0</v>
      </c>
      <c r="AO45" s="233">
        <f t="shared" ca="1" si="20"/>
        <v>0</v>
      </c>
      <c r="AP45" s="233">
        <f t="shared" ca="1" si="21"/>
        <v>0</v>
      </c>
      <c r="AR45" s="226"/>
      <c r="AS45" s="226"/>
      <c r="AT45" s="226"/>
      <c r="AU45" s="226"/>
      <c r="AV45" s="226"/>
      <c r="AW45" s="226"/>
      <c r="AX45" s="226"/>
      <c r="AY45" s="226"/>
      <c r="AZ45" s="226"/>
      <c r="BA45" s="226"/>
      <c r="BB45" s="226"/>
      <c r="BC45" s="226"/>
      <c r="BD45" s="226"/>
      <c r="BE45" s="226"/>
      <c r="BF45" s="226"/>
      <c r="BN45" s="244" t="str">
        <f ca="1">IF('Budgeting Model'!C45="Vacant",'Budgeting Model'!AK45,"")</f>
        <v/>
      </c>
      <c r="BO45" s="195">
        <f t="shared" ca="1" si="22"/>
        <v>5</v>
      </c>
      <c r="BP45" s="195" t="str">
        <f t="shared" ca="1" si="23"/>
        <v/>
      </c>
    </row>
    <row r="46" spans="1:68" s="195" customFormat="1" ht="15" customHeight="1" thickBot="1">
      <c r="A46" s="227" t="s">
        <v>104</v>
      </c>
      <c r="B46" s="228" t="str">
        <f>IF(ISNA(VLOOKUP($A46,'Position Master'!B:C,2,FALSE)),"Missing",VLOOKUP($A46,'Position Master'!B:C,2,FALSE))</f>
        <v>Dept 3</v>
      </c>
      <c r="C46" s="211" t="str">
        <f ca="1">_xlfn.IFNA(INDEX('Employee Master'!$C:$C,MATCH($D46,'Employee Master'!$A:$A,0))&amp;", "&amp;INDEX('Employee Master'!$B:$B,MATCH($D46,'Employee Master'!$A:$A,0)),"Vacant")</f>
        <v>Kazi, Iqra</v>
      </c>
      <c r="D46" s="211">
        <f>IF(INDEX('Position Master'!$A$7:$A$97,MATCH(A46,'Position Master'!$B$7:$B$97,0))=0,"Vacant",INDEX('Position Master'!$A$7:$A$97,MATCH(A46,'Position Master'!$B$7:$B$97,0)))</f>
        <v>5320193</v>
      </c>
      <c r="E46" s="229">
        <f ca="1">IFERROR(VLOOKUP(D46,'Employee Master'!A:F,5,FALSE),"")</f>
        <v>44171.151181219713</v>
      </c>
      <c r="F46" s="230" t="str">
        <f ca="1">IF(C46="Vacant","No",IF(AND(VLOOKUP(D46,'Employee Master'!A:F,6,FALSE)+360&lt;B$4,VLOOKUP(D46,'Employee Master'!A:F,6,FALSE)+360&lt;B40),"Yes","No"))</f>
        <v>Yes</v>
      </c>
      <c r="G46" s="229">
        <f ca="1">IF(C46="Vacant",VLOOKUP(A46,'Position Master'!B:D,3,FALSE),E46)*(1+IF(F46="Yes",F$8,0))</f>
        <v>45496.285716656304</v>
      </c>
      <c r="H46" s="245"/>
      <c r="I46" s="232"/>
      <c r="J46" s="233">
        <f t="shared" ca="1" si="0"/>
        <v>47316.137145322558</v>
      </c>
      <c r="K46" s="234"/>
      <c r="L46" s="235">
        <f t="shared" ca="1" si="1"/>
        <v>44743</v>
      </c>
      <c r="M46" s="236"/>
      <c r="N46" s="235">
        <f ca="1">IF(M46="",IFERROR(VLOOKUP($D46,'Employee Master'!$A:$F,6,FALSE)+365,""),M46)</f>
        <v>44917</v>
      </c>
      <c r="O46" s="249">
        <v>44926</v>
      </c>
      <c r="P46" s="235">
        <f t="shared" si="2"/>
        <v>44926</v>
      </c>
      <c r="Q46" s="237">
        <f t="shared" ca="1" si="3"/>
        <v>124</v>
      </c>
      <c r="R46" s="237">
        <f t="shared" ca="1" si="4"/>
        <v>7</v>
      </c>
      <c r="S46" s="237">
        <f t="shared" ca="1" si="5"/>
        <v>131</v>
      </c>
      <c r="T46" s="238">
        <f t="shared" ca="1" si="6"/>
        <v>45593.529686127018</v>
      </c>
      <c r="U46" s="229">
        <f t="shared" ca="1" si="7"/>
        <v>22884.108769665283</v>
      </c>
      <c r="V46" s="233">
        <f t="shared" ca="1" si="8"/>
        <v>0</v>
      </c>
      <c r="W46" s="246"/>
      <c r="X46" s="247"/>
      <c r="Y46" s="229">
        <f t="shared" ca="1" si="9"/>
        <v>47316.137145322558</v>
      </c>
      <c r="Z46" s="71"/>
      <c r="AA46" s="235">
        <f t="shared" ca="1" si="10"/>
        <v>44743</v>
      </c>
      <c r="AB46" s="71"/>
      <c r="AC46" s="235">
        <f ca="1">IF(AB46="",IFERROR(VLOOKUP($D46,'Employee Master'!$A:$F,6,FALSE)+365,""),AB46)</f>
        <v>44917</v>
      </c>
      <c r="AD46" s="234"/>
      <c r="AE46" s="235">
        <f t="shared" ca="1" si="11"/>
        <v>45107</v>
      </c>
      <c r="AF46" s="237">
        <f t="shared" ca="1" si="12"/>
        <v>124</v>
      </c>
      <c r="AG46" s="237">
        <f t="shared" ca="1" si="13"/>
        <v>137</v>
      </c>
      <c r="AH46" s="237">
        <f t="shared" ca="1" si="14"/>
        <v>261</v>
      </c>
      <c r="AI46" s="238">
        <f t="shared" ca="1" si="15"/>
        <v>46451.533401435139</v>
      </c>
      <c r="AJ46" s="229">
        <f t="shared" ca="1" si="16"/>
        <v>46451.533401435139</v>
      </c>
      <c r="AK46" s="233">
        <f t="shared" ca="1" si="17"/>
        <v>8883.1062073594076</v>
      </c>
      <c r="AL46" s="248"/>
      <c r="AM46" s="233">
        <f t="shared" ca="1" si="18"/>
        <v>858.00371530812117</v>
      </c>
      <c r="AN46" s="233">
        <f t="shared" ca="1" si="19"/>
        <v>22709.420916461735</v>
      </c>
      <c r="AO46" s="233">
        <f t="shared" ca="1" si="20"/>
        <v>23567.424631769856</v>
      </c>
      <c r="AP46" s="233">
        <f t="shared" ca="1" si="21"/>
        <v>8883.1062073594076</v>
      </c>
      <c r="AR46" s="226"/>
      <c r="AS46" s="226"/>
      <c r="AT46" s="226"/>
      <c r="AU46" s="226"/>
      <c r="AV46" s="226"/>
      <c r="AW46" s="226"/>
      <c r="AX46" s="226"/>
      <c r="AY46" s="226"/>
      <c r="AZ46" s="226"/>
      <c r="BA46" s="226"/>
      <c r="BB46" s="226"/>
      <c r="BC46" s="226"/>
      <c r="BD46" s="226"/>
      <c r="BE46" s="226"/>
      <c r="BF46" s="226"/>
      <c r="BN46" s="244" t="str">
        <f ca="1">IF('Budgeting Model'!C46="Vacant",'Budgeting Model'!AK46,"")</f>
        <v/>
      </c>
      <c r="BO46" s="195">
        <f t="shared" ca="1" si="22"/>
        <v>12</v>
      </c>
      <c r="BP46" s="195">
        <f t="shared" ca="1" si="23"/>
        <v>44171.151181219713</v>
      </c>
    </row>
    <row r="47" spans="1:68" s="195" customFormat="1" ht="15" customHeight="1" thickBot="1">
      <c r="A47" s="227" t="s">
        <v>105</v>
      </c>
      <c r="B47" s="228" t="str">
        <f>IF(ISNA(VLOOKUP($A47,'Position Master'!B:C,2,FALSE)),"Missing",VLOOKUP($A47,'Position Master'!B:C,2,FALSE))</f>
        <v>Dept 11</v>
      </c>
      <c r="C47" s="211" t="str">
        <f ca="1">_xlfn.IFNA(INDEX('Employee Master'!$C:$C,MATCH($D47,'Employee Master'!$A:$A,0))&amp;", "&amp;INDEX('Employee Master'!$B:$B,MATCH($D47,'Employee Master'!$A:$A,0)),"Vacant")</f>
        <v>Kemelman, Danielle</v>
      </c>
      <c r="D47" s="211">
        <f>IF(INDEX('Position Master'!$A$7:$A$97,MATCH(A47,'Position Master'!$B$7:$B$97,0))=0,"Vacant",INDEX('Position Master'!$A$7:$A$97,MATCH(A47,'Position Master'!$B$7:$B$97,0)))</f>
        <v>5360868</v>
      </c>
      <c r="E47" s="229">
        <f ca="1">IFERROR(VLOOKUP(D47,'Employee Master'!A:F,5,FALSE),"")</f>
        <v>86853.015231473124</v>
      </c>
      <c r="F47" s="230" t="str">
        <f ca="1">IF(C47="Vacant","No",IF(AND(VLOOKUP(D47,'Employee Master'!A:F,6,FALSE)+360&lt;B$4,VLOOKUP(D47,'Employee Master'!A:F,6,FALSE)+360&lt;B41),"Yes","No"))</f>
        <v>Yes</v>
      </c>
      <c r="G47" s="229">
        <f ca="1">IF(C47="Vacant",VLOOKUP(A47,'Position Master'!B:D,3,FALSE),E47)*(1+IF(F47="Yes",F$8,0))</f>
        <v>89458.605688417316</v>
      </c>
      <c r="H47" s="245"/>
      <c r="I47" s="232"/>
      <c r="J47" s="233">
        <f t="shared" ca="1" si="0"/>
        <v>93036.949915954014</v>
      </c>
      <c r="K47" s="234"/>
      <c r="L47" s="235">
        <f t="shared" ca="1" si="1"/>
        <v>44743</v>
      </c>
      <c r="M47" s="236"/>
      <c r="N47" s="235">
        <f ca="1">IF(M47="",IFERROR(VLOOKUP($D47,'Employee Master'!$A:$F,6,FALSE)+365,""),M47)</f>
        <v>44967</v>
      </c>
      <c r="O47" s="71"/>
      <c r="P47" s="235">
        <f t="shared" ca="1" si="2"/>
        <v>45107</v>
      </c>
      <c r="Q47" s="237">
        <f t="shared" ca="1" si="3"/>
        <v>160</v>
      </c>
      <c r="R47" s="237">
        <f t="shared" ca="1" si="4"/>
        <v>101</v>
      </c>
      <c r="S47" s="237">
        <f t="shared" ca="1" si="5"/>
        <v>261</v>
      </c>
      <c r="T47" s="238">
        <f t="shared" ca="1" si="6"/>
        <v>90843.32893355604</v>
      </c>
      <c r="U47" s="229">
        <f t="shared" ca="1" si="7"/>
        <v>90843.32893355604</v>
      </c>
      <c r="V47" s="233">
        <f t="shared" ca="1" si="8"/>
        <v>17466.707072343856</v>
      </c>
      <c r="W47" s="246"/>
      <c r="X47" s="247"/>
      <c r="Y47" s="229">
        <f t="shared" ca="1" si="9"/>
        <v>93036.949915954014</v>
      </c>
      <c r="Z47" s="71"/>
      <c r="AA47" s="235">
        <f t="shared" ca="1" si="10"/>
        <v>44743</v>
      </c>
      <c r="AB47" s="71"/>
      <c r="AC47" s="235">
        <f ca="1">IF(AB47="",IFERROR(VLOOKUP($D47,'Employee Master'!$A:$F,6,FALSE)+365,""),AB47)</f>
        <v>44967</v>
      </c>
      <c r="AD47" s="234"/>
      <c r="AE47" s="235">
        <f t="shared" ca="1" si="11"/>
        <v>45107</v>
      </c>
      <c r="AF47" s="237">
        <f t="shared" ca="1" si="12"/>
        <v>160</v>
      </c>
      <c r="AG47" s="237">
        <f t="shared" ca="1" si="13"/>
        <v>101</v>
      </c>
      <c r="AH47" s="237">
        <f t="shared" ca="1" si="14"/>
        <v>261</v>
      </c>
      <c r="AI47" s="238">
        <f t="shared" ca="1" si="15"/>
        <v>90843.32893355604</v>
      </c>
      <c r="AJ47" s="229">
        <f t="shared" ca="1" si="16"/>
        <v>90843.32893355604</v>
      </c>
      <c r="AK47" s="233">
        <f t="shared" ca="1" si="17"/>
        <v>17466.707072343856</v>
      </c>
      <c r="AL47" s="248"/>
      <c r="AM47" s="233">
        <f t="shared" ca="1" si="18"/>
        <v>0</v>
      </c>
      <c r="AN47" s="233">
        <f t="shared" ca="1" si="19"/>
        <v>0</v>
      </c>
      <c r="AO47" s="233">
        <f t="shared" ca="1" si="20"/>
        <v>0</v>
      </c>
      <c r="AP47" s="233">
        <f t="shared" ca="1" si="21"/>
        <v>0</v>
      </c>
      <c r="AR47" s="226"/>
      <c r="AS47" s="226"/>
      <c r="AT47" s="226"/>
      <c r="AU47" s="226"/>
      <c r="AV47" s="226"/>
      <c r="AW47" s="226"/>
      <c r="AX47" s="226"/>
      <c r="AY47" s="226"/>
      <c r="AZ47" s="226"/>
      <c r="BA47" s="226"/>
      <c r="BB47" s="226"/>
      <c r="BC47" s="226"/>
      <c r="BD47" s="226"/>
      <c r="BE47" s="226"/>
      <c r="BF47" s="226"/>
      <c r="BN47" s="244" t="str">
        <f ca="1">IF('Budgeting Model'!C47="Vacant",'Budgeting Model'!AK47,"")</f>
        <v/>
      </c>
      <c r="BO47" s="195">
        <f t="shared" ca="1" si="22"/>
        <v>2</v>
      </c>
      <c r="BP47" s="195">
        <f t="shared" ca="1" si="23"/>
        <v>86853.015231473124</v>
      </c>
    </row>
    <row r="48" spans="1:68" s="195" customFormat="1" ht="15" customHeight="1" thickBot="1">
      <c r="A48" s="227" t="s">
        <v>106</v>
      </c>
      <c r="B48" s="228" t="str">
        <f>IF(ISNA(VLOOKUP($A48,'Position Master'!B:C,2,FALSE)),"Missing",VLOOKUP($A48,'Position Master'!B:C,2,FALSE))</f>
        <v>Dept 6</v>
      </c>
      <c r="C48" s="211" t="str">
        <f ca="1">_xlfn.IFNA(INDEX('Employee Master'!$C:$C,MATCH($D48,'Employee Master'!$A:$A,0))&amp;", "&amp;INDEX('Employee Master'!$B:$B,MATCH($D48,'Employee Master'!$A:$A,0)),"Vacant")</f>
        <v>Khaim, Victoria</v>
      </c>
      <c r="D48" s="211">
        <f>IF(INDEX('Position Master'!$A$7:$A$97,MATCH(A48,'Position Master'!$B$7:$B$97,0))=0,"Vacant",INDEX('Position Master'!$A$7:$A$97,MATCH(A48,'Position Master'!$B$7:$B$97,0)))</f>
        <v>5369503</v>
      </c>
      <c r="E48" s="229">
        <f ca="1">IFERROR(VLOOKUP(D48,'Employee Master'!A:F,5,FALSE),"")</f>
        <v>63737.153101434677</v>
      </c>
      <c r="F48" s="230" t="str">
        <f ca="1">IF(C48="Vacant","No",IF(AND(VLOOKUP(D48,'Employee Master'!A:F,6,FALSE)+360&lt;B$4,VLOOKUP(D48,'Employee Master'!A:F,6,FALSE)+360&lt;B42),"Yes","No"))</f>
        <v>No</v>
      </c>
      <c r="G48" s="229">
        <f ca="1">IF(C48="Vacant",VLOOKUP(A48,'Position Master'!B:D,3,FALSE),E48)*(1+IF(F48="Yes",F$8,0))</f>
        <v>63737.153101434677</v>
      </c>
      <c r="H48" s="245"/>
      <c r="I48" s="232"/>
      <c r="J48" s="233">
        <f t="shared" ca="1" si="0"/>
        <v>66286.639225492065</v>
      </c>
      <c r="K48" s="234"/>
      <c r="L48" s="235">
        <f t="shared" ca="1" si="1"/>
        <v>44743</v>
      </c>
      <c r="M48" s="236"/>
      <c r="N48" s="235">
        <f ca="1">IF(M48="",IFERROR(VLOOKUP($D48,'Employee Master'!$A:$F,6,FALSE)+365,""),M48)</f>
        <v>45059</v>
      </c>
      <c r="O48" s="71"/>
      <c r="P48" s="235">
        <f t="shared" ca="1" si="2"/>
        <v>45107</v>
      </c>
      <c r="Q48" s="237">
        <f t="shared" ca="1" si="3"/>
        <v>226</v>
      </c>
      <c r="R48" s="237">
        <f t="shared" ca="1" si="4"/>
        <v>35</v>
      </c>
      <c r="S48" s="237">
        <f t="shared" ca="1" si="5"/>
        <v>261</v>
      </c>
      <c r="T48" s="238">
        <f t="shared" ca="1" si="6"/>
        <v>64079.038213856162</v>
      </c>
      <c r="U48" s="229">
        <f t="shared" ca="1" si="7"/>
        <v>64079.038213856162</v>
      </c>
      <c r="V48" s="233">
        <f t="shared" ca="1" si="8"/>
        <v>12307.864047173593</v>
      </c>
      <c r="W48" s="246"/>
      <c r="X48" s="247"/>
      <c r="Y48" s="229">
        <f t="shared" ca="1" si="9"/>
        <v>66286.639225492065</v>
      </c>
      <c r="Z48" s="71"/>
      <c r="AA48" s="235">
        <f t="shared" ca="1" si="10"/>
        <v>44743</v>
      </c>
      <c r="AB48" s="71"/>
      <c r="AC48" s="235">
        <f ca="1">IF(AB48="",IFERROR(VLOOKUP($D48,'Employee Master'!$A:$F,6,FALSE)+365,""),AB48)</f>
        <v>45059</v>
      </c>
      <c r="AD48" s="234"/>
      <c r="AE48" s="235">
        <f t="shared" ca="1" si="11"/>
        <v>45107</v>
      </c>
      <c r="AF48" s="237">
        <f t="shared" ca="1" si="12"/>
        <v>226</v>
      </c>
      <c r="AG48" s="237">
        <f t="shared" ca="1" si="13"/>
        <v>35</v>
      </c>
      <c r="AH48" s="237">
        <f t="shared" ca="1" si="14"/>
        <v>261</v>
      </c>
      <c r="AI48" s="238">
        <f t="shared" ca="1" si="15"/>
        <v>64079.038213856162</v>
      </c>
      <c r="AJ48" s="229">
        <f t="shared" ca="1" si="16"/>
        <v>64079.038213856162</v>
      </c>
      <c r="AK48" s="233">
        <f t="shared" ca="1" si="17"/>
        <v>12307.864047173593</v>
      </c>
      <c r="AL48" s="248"/>
      <c r="AM48" s="233">
        <f t="shared" ca="1" si="18"/>
        <v>0</v>
      </c>
      <c r="AN48" s="233">
        <f t="shared" ca="1" si="19"/>
        <v>0</v>
      </c>
      <c r="AO48" s="233">
        <f t="shared" ca="1" si="20"/>
        <v>0</v>
      </c>
      <c r="AP48" s="233">
        <f t="shared" ca="1" si="21"/>
        <v>0</v>
      </c>
      <c r="AR48" s="226"/>
      <c r="AS48" s="226"/>
      <c r="AT48" s="226"/>
      <c r="AU48" s="226"/>
      <c r="AV48" s="226"/>
      <c r="AW48" s="226"/>
      <c r="AX48" s="226"/>
      <c r="AY48" s="226"/>
      <c r="AZ48" s="226"/>
      <c r="BA48" s="226"/>
      <c r="BB48" s="226"/>
      <c r="BC48" s="226"/>
      <c r="BD48" s="226"/>
      <c r="BE48" s="226"/>
      <c r="BF48" s="226"/>
      <c r="BN48" s="244" t="str">
        <f ca="1">IF('Budgeting Model'!C48="Vacant",'Budgeting Model'!AK48,"")</f>
        <v/>
      </c>
      <c r="BO48" s="195">
        <f t="shared" ca="1" si="22"/>
        <v>5</v>
      </c>
      <c r="BP48" s="195" t="str">
        <f t="shared" ca="1" si="23"/>
        <v/>
      </c>
    </row>
    <row r="49" spans="1:68" s="195" customFormat="1" ht="15" customHeight="1" thickBot="1">
      <c r="A49" s="227" t="s">
        <v>107</v>
      </c>
      <c r="B49" s="228" t="str">
        <f>IF(ISNA(VLOOKUP($A49,'Position Master'!B:C,2,FALSE)),"Missing",VLOOKUP($A49,'Position Master'!B:C,2,FALSE))</f>
        <v>Dept 9</v>
      </c>
      <c r="C49" s="211" t="str">
        <f ca="1">_xlfn.IFNA(INDEX('Employee Master'!$C:$C,MATCH($D49,'Employee Master'!$A:$A,0))&amp;", "&amp;INDEX('Employee Master'!$B:$B,MATCH($D49,'Employee Master'!$A:$A,0)),"Vacant")</f>
        <v>Khan, Jing Wen</v>
      </c>
      <c r="D49" s="211">
        <f>IF(INDEX('Position Master'!$A$7:$A$97,MATCH(A49,'Position Master'!$B$7:$B$97,0))=0,"Vacant",INDEX('Position Master'!$A$7:$A$97,MATCH(A49,'Position Master'!$B$7:$B$97,0)))</f>
        <v>5606287</v>
      </c>
      <c r="E49" s="229">
        <f ca="1">IFERROR(VLOOKUP(D49,'Employee Master'!A:F,5,FALSE),"")</f>
        <v>75033.756688150315</v>
      </c>
      <c r="F49" s="230" t="str">
        <f ca="1">IF(C49="Vacant","No",IF(AND(VLOOKUP(D49,'Employee Master'!A:F,6,FALSE)+360&lt;B$4,VLOOKUP(D49,'Employee Master'!A:F,6,FALSE)+360&lt;B43),"Yes","No"))</f>
        <v>Yes</v>
      </c>
      <c r="G49" s="229">
        <f ca="1">IF(C49="Vacant",VLOOKUP(A49,'Position Master'!B:D,3,FALSE),E49)*(1+IF(F49="Yes",F$8,0))</f>
        <v>77284.769388794826</v>
      </c>
      <c r="H49" s="245"/>
      <c r="I49" s="232"/>
      <c r="J49" s="233">
        <f t="shared" ca="1" si="0"/>
        <v>80376.160164346627</v>
      </c>
      <c r="K49" s="234"/>
      <c r="L49" s="235">
        <f t="shared" ca="1" si="1"/>
        <v>44743</v>
      </c>
      <c r="M49" s="236"/>
      <c r="N49" s="235">
        <f ca="1">IF(M49="",IFERROR(VLOOKUP($D49,'Employee Master'!$A:$F,6,FALSE)+365,""),M49)</f>
        <v>44848</v>
      </c>
      <c r="O49" s="71"/>
      <c r="P49" s="235">
        <f t="shared" ca="1" si="2"/>
        <v>45107</v>
      </c>
      <c r="Q49" s="237">
        <f t="shared" ca="1" si="3"/>
        <v>75</v>
      </c>
      <c r="R49" s="237">
        <f t="shared" ca="1" si="4"/>
        <v>186</v>
      </c>
      <c r="S49" s="237">
        <f t="shared" ca="1" si="5"/>
        <v>261</v>
      </c>
      <c r="T49" s="238">
        <f t="shared" ca="1" si="6"/>
        <v>79487.829481716792</v>
      </c>
      <c r="U49" s="229">
        <f t="shared" ca="1" si="7"/>
        <v>79487.829481716792</v>
      </c>
      <c r="V49" s="233">
        <f t="shared" ca="1" si="8"/>
        <v>15089.777195605306</v>
      </c>
      <c r="W49" s="246"/>
      <c r="X49" s="247"/>
      <c r="Y49" s="229">
        <f t="shared" ca="1" si="9"/>
        <v>80376.160164346627</v>
      </c>
      <c r="Z49" s="71"/>
      <c r="AA49" s="235">
        <f t="shared" ca="1" si="10"/>
        <v>44743</v>
      </c>
      <c r="AB49" s="71"/>
      <c r="AC49" s="235">
        <f ca="1">IF(AB49="",IFERROR(VLOOKUP($D49,'Employee Master'!$A:$F,6,FALSE)+365,""),AB49)</f>
        <v>44848</v>
      </c>
      <c r="AD49" s="234"/>
      <c r="AE49" s="235">
        <f t="shared" ca="1" si="11"/>
        <v>45107</v>
      </c>
      <c r="AF49" s="237">
        <f t="shared" ca="1" si="12"/>
        <v>75</v>
      </c>
      <c r="AG49" s="237">
        <f t="shared" ca="1" si="13"/>
        <v>186</v>
      </c>
      <c r="AH49" s="237">
        <f t="shared" ca="1" si="14"/>
        <v>261</v>
      </c>
      <c r="AI49" s="238">
        <f t="shared" ca="1" si="15"/>
        <v>79487.829481716792</v>
      </c>
      <c r="AJ49" s="229">
        <f t="shared" ca="1" si="16"/>
        <v>79487.829481716792</v>
      </c>
      <c r="AK49" s="233">
        <f t="shared" ca="1" si="17"/>
        <v>15089.777195605306</v>
      </c>
      <c r="AL49" s="248"/>
      <c r="AM49" s="233">
        <f t="shared" ca="1" si="18"/>
        <v>0</v>
      </c>
      <c r="AN49" s="233">
        <f t="shared" ca="1" si="19"/>
        <v>0</v>
      </c>
      <c r="AO49" s="233">
        <f t="shared" ca="1" si="20"/>
        <v>0</v>
      </c>
      <c r="AP49" s="233">
        <f t="shared" ca="1" si="21"/>
        <v>0</v>
      </c>
      <c r="AR49" s="226"/>
      <c r="AS49" s="226"/>
      <c r="AT49" s="226"/>
      <c r="AU49" s="226"/>
      <c r="AV49" s="226"/>
      <c r="AW49" s="226"/>
      <c r="AX49" s="226"/>
      <c r="AY49" s="226"/>
      <c r="AZ49" s="226"/>
      <c r="BA49" s="226"/>
      <c r="BB49" s="226"/>
      <c r="BC49" s="226"/>
      <c r="BD49" s="226"/>
      <c r="BE49" s="226"/>
      <c r="BF49" s="226"/>
      <c r="BN49" s="244" t="str">
        <f ca="1">IF('Budgeting Model'!C49="Vacant",'Budgeting Model'!AK49,"")</f>
        <v/>
      </c>
      <c r="BO49" s="195">
        <f t="shared" ca="1" si="22"/>
        <v>10</v>
      </c>
      <c r="BP49" s="195">
        <f t="shared" ca="1" si="23"/>
        <v>75033.756688150315</v>
      </c>
    </row>
    <row r="50" spans="1:68" s="195" customFormat="1" ht="15" customHeight="1" thickBot="1">
      <c r="A50" s="227" t="s">
        <v>108</v>
      </c>
      <c r="B50" s="228" t="str">
        <f>IF(ISNA(VLOOKUP($A50,'Position Master'!B:C,2,FALSE)),"Missing",VLOOKUP($A50,'Position Master'!B:C,2,FALSE))</f>
        <v>Dept 2</v>
      </c>
      <c r="C50" s="211" t="str">
        <f ca="1">_xlfn.IFNA(INDEX('Employee Master'!$C:$C,MATCH($D50,'Employee Master'!$A:$A,0))&amp;", "&amp;INDEX('Employee Master'!$B:$B,MATCH($D50,'Employee Master'!$A:$A,0)),"Vacant")</f>
        <v>Khanna, Ting Ting</v>
      </c>
      <c r="D50" s="211">
        <f>IF(INDEX('Position Master'!$A$7:$A$97,MATCH(A50,'Position Master'!$B$7:$B$97,0))=0,"Vacant",INDEX('Position Master'!$A$7:$A$97,MATCH(A50,'Position Master'!$B$7:$B$97,0)))</f>
        <v>5610062</v>
      </c>
      <c r="E50" s="229">
        <f ca="1">IFERROR(VLOOKUP(D50,'Employee Master'!A:F,5,FALSE),"")</f>
        <v>50194.454600207377</v>
      </c>
      <c r="F50" s="230" t="str">
        <f ca="1">IF(C50="Vacant","No",IF(AND(VLOOKUP(D50,'Employee Master'!A:F,6,FALSE)+360&lt;B$4,VLOOKUP(D50,'Employee Master'!A:F,6,FALSE)+360&lt;B44),"Yes","No"))</f>
        <v>Yes</v>
      </c>
      <c r="G50" s="229">
        <f ca="1">IF(C50="Vacant",VLOOKUP(A50,'Position Master'!B:D,3,FALSE),E50)*(1+IF(F50="Yes",F$8,0))</f>
        <v>51700.288238213601</v>
      </c>
      <c r="H50" s="245"/>
      <c r="I50" s="232"/>
      <c r="J50" s="233">
        <f t="shared" ca="1" si="0"/>
        <v>53768.299767742144</v>
      </c>
      <c r="K50" s="234"/>
      <c r="L50" s="235">
        <f t="shared" ca="1" si="1"/>
        <v>44743</v>
      </c>
      <c r="M50" s="236"/>
      <c r="N50" s="235">
        <f ca="1">IF(M50="",IFERROR(VLOOKUP($D50,'Employee Master'!$A:$F,6,FALSE)+365,""),M50)</f>
        <v>44937</v>
      </c>
      <c r="O50" s="71"/>
      <c r="P50" s="235">
        <f t="shared" ca="1" si="2"/>
        <v>45107</v>
      </c>
      <c r="Q50" s="237">
        <f t="shared" ca="1" si="3"/>
        <v>138</v>
      </c>
      <c r="R50" s="237">
        <f t="shared" ca="1" si="4"/>
        <v>123</v>
      </c>
      <c r="S50" s="237">
        <f t="shared" ca="1" si="5"/>
        <v>261</v>
      </c>
      <c r="T50" s="238">
        <f t="shared" ca="1" si="6"/>
        <v>52674.86838431326</v>
      </c>
      <c r="U50" s="229">
        <f t="shared" ca="1" si="7"/>
        <v>52674.86838431326</v>
      </c>
      <c r="V50" s="233">
        <f t="shared" ca="1" si="8"/>
        <v>10094.431757162318</v>
      </c>
      <c r="W50" s="246"/>
      <c r="X50" s="247"/>
      <c r="Y50" s="229">
        <f t="shared" ca="1" si="9"/>
        <v>53768.299767742144</v>
      </c>
      <c r="Z50" s="71"/>
      <c r="AA50" s="235">
        <f t="shared" ca="1" si="10"/>
        <v>44743</v>
      </c>
      <c r="AB50" s="71"/>
      <c r="AC50" s="235">
        <f ca="1">IF(AB50="",IFERROR(VLOOKUP($D50,'Employee Master'!$A:$F,6,FALSE)+365,""),AB50)</f>
        <v>44937</v>
      </c>
      <c r="AD50" s="234"/>
      <c r="AE50" s="235">
        <f t="shared" ca="1" si="11"/>
        <v>45107</v>
      </c>
      <c r="AF50" s="237">
        <f t="shared" ca="1" si="12"/>
        <v>138</v>
      </c>
      <c r="AG50" s="237">
        <f t="shared" ca="1" si="13"/>
        <v>123</v>
      </c>
      <c r="AH50" s="237">
        <f t="shared" ca="1" si="14"/>
        <v>261</v>
      </c>
      <c r="AI50" s="238">
        <f t="shared" ca="1" si="15"/>
        <v>52674.86838431326</v>
      </c>
      <c r="AJ50" s="229">
        <f t="shared" ca="1" si="16"/>
        <v>52674.86838431326</v>
      </c>
      <c r="AK50" s="233">
        <f t="shared" ca="1" si="17"/>
        <v>10094.431757162318</v>
      </c>
      <c r="AL50" s="248"/>
      <c r="AM50" s="233">
        <f t="shared" ca="1" si="18"/>
        <v>0</v>
      </c>
      <c r="AN50" s="233">
        <f t="shared" ca="1" si="19"/>
        <v>0</v>
      </c>
      <c r="AO50" s="233">
        <f t="shared" ca="1" si="20"/>
        <v>0</v>
      </c>
      <c r="AP50" s="233">
        <f t="shared" ca="1" si="21"/>
        <v>0</v>
      </c>
      <c r="AR50" s="226"/>
      <c r="AS50" s="226"/>
      <c r="AT50" s="226"/>
      <c r="AU50" s="226"/>
      <c r="AV50" s="226"/>
      <c r="AW50" s="226"/>
      <c r="AX50" s="226"/>
      <c r="AY50" s="226"/>
      <c r="AZ50" s="226"/>
      <c r="BA50" s="226"/>
      <c r="BB50" s="226"/>
      <c r="BC50" s="226"/>
      <c r="BD50" s="226"/>
      <c r="BE50" s="226"/>
      <c r="BF50" s="226"/>
      <c r="BN50" s="244" t="str">
        <f ca="1">IF('Budgeting Model'!C50="Vacant",'Budgeting Model'!AK50,"")</f>
        <v/>
      </c>
      <c r="BO50" s="195">
        <f t="shared" ca="1" si="22"/>
        <v>1</v>
      </c>
      <c r="BP50" s="195">
        <f t="shared" ca="1" si="23"/>
        <v>50194.454600207377</v>
      </c>
    </row>
    <row r="51" spans="1:68" s="195" customFormat="1" ht="15" customHeight="1" thickBot="1">
      <c r="A51" s="227" t="s">
        <v>109</v>
      </c>
      <c r="B51" s="228" t="str">
        <f>IF(ISNA(VLOOKUP($A51,'Position Master'!B:C,2,FALSE)),"Missing",VLOOKUP($A51,'Position Master'!B:C,2,FALSE))</f>
        <v>Dept 1</v>
      </c>
      <c r="C51" s="211" t="str">
        <f ca="1">_xlfn.IFNA(INDEX('Employee Master'!$C:$C,MATCH($D51,'Employee Master'!$A:$A,0))&amp;", "&amp;INDEX('Employee Master'!$B:$B,MATCH($D51,'Employee Master'!$A:$A,0)),"Vacant")</f>
        <v>Kobzarenko, Qetsiyah</v>
      </c>
      <c r="D51" s="211">
        <f>IF(INDEX('Position Master'!$A$7:$A$97,MATCH(A51,'Position Master'!$B$7:$B$97,0))=0,"Vacant",INDEX('Position Master'!$A$7:$A$97,MATCH(A51,'Position Master'!$B$7:$B$97,0)))</f>
        <v>5857397</v>
      </c>
      <c r="E51" s="229">
        <f ca="1">IFERROR(VLOOKUP(D51,'Employee Master'!A:F,5,FALSE),"")</f>
        <v>83056.168204901012</v>
      </c>
      <c r="F51" s="230" t="str">
        <f ca="1">IF(C51="Vacant","No",IF(AND(VLOOKUP(D51,'Employee Master'!A:F,6,FALSE)+360&lt;B$4,VLOOKUP(D51,'Employee Master'!A:F,6,FALSE)+360&lt;B45),"Yes","No"))</f>
        <v>No</v>
      </c>
      <c r="G51" s="229">
        <f ca="1">IF(C51="Vacant",VLOOKUP(A51,'Position Master'!B:D,3,FALSE),E51)*(1+IF(F51="Yes",F$8,0))</f>
        <v>83056.168204901012</v>
      </c>
      <c r="H51" s="245"/>
      <c r="I51" s="232"/>
      <c r="J51" s="233">
        <f t="shared" ca="1" si="0"/>
        <v>86378.414933097054</v>
      </c>
      <c r="K51" s="234"/>
      <c r="L51" s="235">
        <f t="shared" ca="1" si="1"/>
        <v>44743</v>
      </c>
      <c r="M51" s="236"/>
      <c r="N51" s="235">
        <f ca="1">IF(M51="",IFERROR(VLOOKUP($D51,'Employee Master'!$A:$F,6,FALSE)+365,""),M51)</f>
        <v>45069</v>
      </c>
      <c r="O51" s="71"/>
      <c r="P51" s="235">
        <f t="shared" ca="1" si="2"/>
        <v>45107</v>
      </c>
      <c r="Q51" s="237">
        <f t="shared" ca="1" si="3"/>
        <v>232</v>
      </c>
      <c r="R51" s="237">
        <f t="shared" ca="1" si="4"/>
        <v>29</v>
      </c>
      <c r="S51" s="237">
        <f t="shared" ca="1" si="5"/>
        <v>261</v>
      </c>
      <c r="T51" s="238">
        <f t="shared" ca="1" si="6"/>
        <v>83425.306730256125</v>
      </c>
      <c r="U51" s="229">
        <f t="shared" ca="1" si="7"/>
        <v>83425.306730256125</v>
      </c>
      <c r="V51" s="233">
        <f t="shared" ca="1" si="8"/>
        <v>15962.058992941897</v>
      </c>
      <c r="W51" s="246"/>
      <c r="X51" s="247"/>
      <c r="Y51" s="229">
        <f t="shared" ca="1" si="9"/>
        <v>86378.414933097054</v>
      </c>
      <c r="Z51" s="71"/>
      <c r="AA51" s="235">
        <f t="shared" ca="1" si="10"/>
        <v>44743</v>
      </c>
      <c r="AB51" s="71"/>
      <c r="AC51" s="235">
        <f ca="1">IF(AB51="",IFERROR(VLOOKUP($D51,'Employee Master'!$A:$F,6,FALSE)+365,""),AB51)</f>
        <v>45069</v>
      </c>
      <c r="AD51" s="234"/>
      <c r="AE51" s="235">
        <f t="shared" ca="1" si="11"/>
        <v>45107</v>
      </c>
      <c r="AF51" s="237">
        <f t="shared" ca="1" si="12"/>
        <v>232</v>
      </c>
      <c r="AG51" s="237">
        <f t="shared" ca="1" si="13"/>
        <v>29</v>
      </c>
      <c r="AH51" s="237">
        <f t="shared" ca="1" si="14"/>
        <v>261</v>
      </c>
      <c r="AI51" s="238">
        <f t="shared" ca="1" si="15"/>
        <v>83425.306730256125</v>
      </c>
      <c r="AJ51" s="229">
        <f t="shared" ca="1" si="16"/>
        <v>83425.306730256125</v>
      </c>
      <c r="AK51" s="233">
        <f t="shared" ca="1" si="17"/>
        <v>15962.058992941897</v>
      </c>
      <c r="AL51" s="248"/>
      <c r="AM51" s="233">
        <f t="shared" ca="1" si="18"/>
        <v>0</v>
      </c>
      <c r="AN51" s="233">
        <f t="shared" ca="1" si="19"/>
        <v>0</v>
      </c>
      <c r="AO51" s="233">
        <f t="shared" ca="1" si="20"/>
        <v>0</v>
      </c>
      <c r="AP51" s="233">
        <f t="shared" ca="1" si="21"/>
        <v>0</v>
      </c>
      <c r="AR51" s="226"/>
      <c r="AS51" s="226"/>
      <c r="AT51" s="226"/>
      <c r="AU51" s="226"/>
      <c r="AV51" s="226"/>
      <c r="AW51" s="226"/>
      <c r="AX51" s="226"/>
      <c r="AY51" s="226"/>
      <c r="AZ51" s="226"/>
      <c r="BA51" s="226"/>
      <c r="BB51" s="226"/>
      <c r="BC51" s="226"/>
      <c r="BD51" s="226"/>
      <c r="BE51" s="226"/>
      <c r="BF51" s="226"/>
      <c r="BN51" s="244" t="str">
        <f ca="1">IF('Budgeting Model'!C51="Vacant",'Budgeting Model'!AK51,"")</f>
        <v/>
      </c>
      <c r="BO51" s="195">
        <f t="shared" ca="1" si="22"/>
        <v>5</v>
      </c>
      <c r="BP51" s="195" t="str">
        <f t="shared" ca="1" si="23"/>
        <v/>
      </c>
    </row>
    <row r="52" spans="1:68" s="195" customFormat="1" ht="15" customHeight="1" thickBot="1">
      <c r="A52" s="227" t="s">
        <v>110</v>
      </c>
      <c r="B52" s="228" t="str">
        <f>IF(ISNA(VLOOKUP($A52,'Position Master'!B:C,2,FALSE)),"Missing",VLOOKUP($A52,'Position Master'!B:C,2,FALSE))</f>
        <v>Dept 10</v>
      </c>
      <c r="C52" s="211" t="str">
        <f ca="1">_xlfn.IFNA(INDEX('Employee Master'!$C:$C,MATCH($D52,'Employee Master'!$A:$A,0))&amp;", "&amp;INDEX('Employee Master'!$B:$B,MATCH($D52,'Employee Master'!$A:$A,0)),"Vacant")</f>
        <v>Kumar, Yllana</v>
      </c>
      <c r="D52" s="211">
        <f>IF(INDEX('Position Master'!$A$7:$A$97,MATCH(A52,'Position Master'!$B$7:$B$97,0))=0,"Vacant",INDEX('Position Master'!$A$7:$A$97,MATCH(A52,'Position Master'!$B$7:$B$97,0)))</f>
        <v>5937943</v>
      </c>
      <c r="E52" s="229">
        <f ca="1">IFERROR(VLOOKUP(D52,'Employee Master'!A:F,5,FALSE),"")</f>
        <v>73182.260557611007</v>
      </c>
      <c r="F52" s="230" t="str">
        <f ca="1">IF(C52="Vacant","No",IF(AND(VLOOKUP(D52,'Employee Master'!A:F,6,FALSE)+360&lt;B$4,VLOOKUP(D52,'Employee Master'!A:F,6,FALSE)+360&lt;B46),"Yes","No"))</f>
        <v>Yes</v>
      </c>
      <c r="G52" s="229">
        <f ca="1">IF(C52="Vacant",VLOOKUP(A52,'Position Master'!B:D,3,FALSE),E52)*(1+IF(F52="Yes",F$8,0))</f>
        <v>75377.728374339335</v>
      </c>
      <c r="H52" s="245"/>
      <c r="I52" s="232"/>
      <c r="J52" s="233">
        <f t="shared" ca="1" si="0"/>
        <v>78392.837509312914</v>
      </c>
      <c r="K52" s="234"/>
      <c r="L52" s="235">
        <f t="shared" ca="1" si="1"/>
        <v>44743</v>
      </c>
      <c r="M52" s="236"/>
      <c r="N52" s="235">
        <f ca="1">IF(M52="",IFERROR(VLOOKUP($D52,'Employee Master'!$A:$F,6,FALSE)+365,""),M52)</f>
        <v>45027</v>
      </c>
      <c r="O52" s="71"/>
      <c r="P52" s="235">
        <f t="shared" ca="1" si="2"/>
        <v>45107</v>
      </c>
      <c r="Q52" s="237">
        <f t="shared" ca="1" si="3"/>
        <v>202</v>
      </c>
      <c r="R52" s="237">
        <f t="shared" ca="1" si="4"/>
        <v>59</v>
      </c>
      <c r="S52" s="237">
        <f t="shared" ca="1" si="5"/>
        <v>261</v>
      </c>
      <c r="T52" s="238">
        <f t="shared" ca="1" si="6"/>
        <v>76059.304768835282</v>
      </c>
      <c r="U52" s="229">
        <f t="shared" ca="1" si="7"/>
        <v>76059.304768835282</v>
      </c>
      <c r="V52" s="233">
        <f t="shared" ca="1" si="8"/>
        <v>14717.429264200509</v>
      </c>
      <c r="W52" s="246"/>
      <c r="X52" s="247"/>
      <c r="Y52" s="229">
        <f t="shared" ca="1" si="9"/>
        <v>78392.837509312914</v>
      </c>
      <c r="Z52" s="71"/>
      <c r="AA52" s="235">
        <f t="shared" ca="1" si="10"/>
        <v>44743</v>
      </c>
      <c r="AB52" s="71"/>
      <c r="AC52" s="235">
        <f ca="1">IF(AB52="",IFERROR(VLOOKUP($D52,'Employee Master'!$A:$F,6,FALSE)+365,""),AB52)</f>
        <v>45027</v>
      </c>
      <c r="AD52" s="234"/>
      <c r="AE52" s="235">
        <f t="shared" ca="1" si="11"/>
        <v>45107</v>
      </c>
      <c r="AF52" s="237">
        <f t="shared" ca="1" si="12"/>
        <v>202</v>
      </c>
      <c r="AG52" s="237">
        <f t="shared" ca="1" si="13"/>
        <v>59</v>
      </c>
      <c r="AH52" s="237">
        <f t="shared" ca="1" si="14"/>
        <v>261</v>
      </c>
      <c r="AI52" s="238">
        <f t="shared" ca="1" si="15"/>
        <v>76059.304768835282</v>
      </c>
      <c r="AJ52" s="229">
        <f t="shared" ca="1" si="16"/>
        <v>76059.304768835282</v>
      </c>
      <c r="AK52" s="233">
        <f t="shared" ca="1" si="17"/>
        <v>14717.429264200509</v>
      </c>
      <c r="AL52" s="248"/>
      <c r="AM52" s="233">
        <f t="shared" ca="1" si="18"/>
        <v>0</v>
      </c>
      <c r="AN52" s="233">
        <f t="shared" ca="1" si="19"/>
        <v>0</v>
      </c>
      <c r="AO52" s="233">
        <f t="shared" ca="1" si="20"/>
        <v>0</v>
      </c>
      <c r="AP52" s="233">
        <f t="shared" ca="1" si="21"/>
        <v>0</v>
      </c>
      <c r="AR52" s="226"/>
      <c r="AS52" s="226"/>
      <c r="AT52" s="226"/>
      <c r="AU52" s="226"/>
      <c r="AV52" s="226"/>
      <c r="AW52" s="226"/>
      <c r="AX52" s="226"/>
      <c r="AY52" s="226"/>
      <c r="AZ52" s="226"/>
      <c r="BA52" s="226"/>
      <c r="BB52" s="226"/>
      <c r="BC52" s="226"/>
      <c r="BD52" s="226"/>
      <c r="BE52" s="226"/>
      <c r="BF52" s="226"/>
      <c r="BN52" s="244" t="str">
        <f ca="1">IF('Budgeting Model'!C52="Vacant",'Budgeting Model'!AK52,"")</f>
        <v/>
      </c>
      <c r="BO52" s="195">
        <f t="shared" ca="1" si="22"/>
        <v>4</v>
      </c>
      <c r="BP52" s="195" t="str">
        <f t="shared" ca="1" si="23"/>
        <v/>
      </c>
    </row>
    <row r="53" spans="1:68" s="195" customFormat="1" ht="15" customHeight="1" thickBot="1">
      <c r="A53" s="227" t="s">
        <v>111</v>
      </c>
      <c r="B53" s="228" t="str">
        <f>IF(ISNA(VLOOKUP($A53,'Position Master'!B:C,2,FALSE)),"Missing",VLOOKUP($A53,'Position Master'!B:C,2,FALSE))</f>
        <v>Dept 13</v>
      </c>
      <c r="C53" s="211" t="str">
        <f ca="1">_xlfn.IFNA(INDEX('Employee Master'!$C:$C,MATCH($D53,'Employee Master'!$A:$A,0))&amp;", "&amp;INDEX('Employee Master'!$B:$B,MATCH($D53,'Employee Master'!$A:$A,0)),"Vacant")</f>
        <v>Lao, Rebecca</v>
      </c>
      <c r="D53" s="211">
        <f>IF(INDEX('Position Master'!$A$7:$A$97,MATCH(A53,'Position Master'!$B$7:$B$97,0))=0,"Vacant",INDEX('Position Master'!$A$7:$A$97,MATCH(A53,'Position Master'!$B$7:$B$97,0)))</f>
        <v>5992705</v>
      </c>
      <c r="E53" s="229">
        <f ca="1">IFERROR(VLOOKUP(D53,'Employee Master'!A:F,5,FALSE),"")</f>
        <v>47227.207773976283</v>
      </c>
      <c r="F53" s="230" t="str">
        <f ca="1">IF(C53="Vacant","No",IF(AND(VLOOKUP(D53,'Employee Master'!A:F,6,FALSE)+360&lt;B$4,VLOOKUP(D53,'Employee Master'!A:F,6,FALSE)+360&lt;B47),"Yes","No"))</f>
        <v>Yes</v>
      </c>
      <c r="G53" s="229">
        <f ca="1">IF(C53="Vacant",VLOOKUP(A53,'Position Master'!B:D,3,FALSE),E53)*(1+IF(F53="Yes",F$8,0))</f>
        <v>48644.02400719557</v>
      </c>
      <c r="H53" s="245"/>
      <c r="I53" s="232"/>
      <c r="J53" s="233">
        <f t="shared" ca="1" si="0"/>
        <v>50589.784967483392</v>
      </c>
      <c r="K53" s="234"/>
      <c r="L53" s="235">
        <f t="shared" ca="1" si="1"/>
        <v>44743</v>
      </c>
      <c r="M53" s="236"/>
      <c r="N53" s="235">
        <f ca="1">IF(M53="",IFERROR(VLOOKUP($D53,'Employee Master'!$A:$F,6,FALSE)+365,""),M53)</f>
        <v>44797</v>
      </c>
      <c r="O53" s="249">
        <v>44926</v>
      </c>
      <c r="P53" s="235">
        <f t="shared" si="2"/>
        <v>44926</v>
      </c>
      <c r="Q53" s="237">
        <f t="shared" ca="1" si="3"/>
        <v>38</v>
      </c>
      <c r="R53" s="237">
        <f t="shared" ca="1" si="4"/>
        <v>93</v>
      </c>
      <c r="S53" s="237">
        <f t="shared" ca="1" si="5"/>
        <v>131</v>
      </c>
      <c r="T53" s="238">
        <f t="shared" ca="1" si="6"/>
        <v>50025.365757628912</v>
      </c>
      <c r="U53" s="229">
        <f t="shared" ca="1" si="7"/>
        <v>25108.5169128329</v>
      </c>
      <c r="V53" s="233">
        <f t="shared" ca="1" si="8"/>
        <v>0</v>
      </c>
      <c r="W53" s="246"/>
      <c r="X53" s="247"/>
      <c r="Y53" s="229">
        <f t="shared" ca="1" si="9"/>
        <v>50589.784967483392</v>
      </c>
      <c r="Z53" s="71"/>
      <c r="AA53" s="235">
        <f t="shared" ca="1" si="10"/>
        <v>44743</v>
      </c>
      <c r="AB53" s="71"/>
      <c r="AC53" s="235">
        <f ca="1">IF(AB53="",IFERROR(VLOOKUP($D53,'Employee Master'!$A:$F,6,FALSE)+365,""),AB53)</f>
        <v>44797</v>
      </c>
      <c r="AD53" s="234"/>
      <c r="AE53" s="235">
        <f t="shared" ca="1" si="11"/>
        <v>45107</v>
      </c>
      <c r="AF53" s="237">
        <f t="shared" ca="1" si="12"/>
        <v>38</v>
      </c>
      <c r="AG53" s="237">
        <f t="shared" ca="1" si="13"/>
        <v>223</v>
      </c>
      <c r="AH53" s="237">
        <f t="shared" ca="1" si="14"/>
        <v>261</v>
      </c>
      <c r="AI53" s="238">
        <f t="shared" ca="1" si="15"/>
        <v>50306.494099702024</v>
      </c>
      <c r="AJ53" s="229">
        <f t="shared" ca="1" si="16"/>
        <v>50306.494099702024</v>
      </c>
      <c r="AK53" s="233">
        <f t="shared" ca="1" si="17"/>
        <v>9497.6990935122085</v>
      </c>
      <c r="AL53" s="248"/>
      <c r="AM53" s="233">
        <f t="shared" ca="1" si="18"/>
        <v>281.12834207311244</v>
      </c>
      <c r="AN53" s="233">
        <f t="shared" ca="1" si="19"/>
        <v>24916.848844796012</v>
      </c>
      <c r="AO53" s="233">
        <f t="shared" ca="1" si="20"/>
        <v>25197.977186869124</v>
      </c>
      <c r="AP53" s="233">
        <f t="shared" ca="1" si="21"/>
        <v>9497.6990935122085</v>
      </c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226"/>
      <c r="BF53" s="226"/>
      <c r="BN53" s="244" t="str">
        <f ca="1">IF('Budgeting Model'!C53="Vacant",'Budgeting Model'!AK53,"")</f>
        <v/>
      </c>
      <c r="BO53" s="195">
        <f t="shared" ca="1" si="22"/>
        <v>8</v>
      </c>
      <c r="BP53" s="195" t="str">
        <f t="shared" ca="1" si="23"/>
        <v/>
      </c>
    </row>
    <row r="54" spans="1:68" s="195" customFormat="1" ht="15" customHeight="1" thickBot="1">
      <c r="A54" s="227" t="s">
        <v>112</v>
      </c>
      <c r="B54" s="228" t="str">
        <f>IF(ISNA(VLOOKUP($A54,'Position Master'!B:C,2,FALSE)),"Missing",VLOOKUP($A54,'Position Master'!B:C,2,FALSE))</f>
        <v>Dept 8</v>
      </c>
      <c r="C54" s="211" t="str">
        <f ca="1">_xlfn.IFNA(INDEX('Employee Master'!$C:$C,MATCH($D54,'Employee Master'!$A:$A,0))&amp;", "&amp;INDEX('Employee Master'!$B:$B,MATCH($D54,'Employee Master'!$A:$A,0)),"Vacant")</f>
        <v>Vacant</v>
      </c>
      <c r="D54" s="211" t="str">
        <f>IF(INDEX('Position Master'!$A$7:$A$97,MATCH(A54,'Position Master'!$B$7:$B$97,0))=0,"Vacant",INDEX('Position Master'!$A$7:$A$97,MATCH(A54,'Position Master'!$B$7:$B$97,0)))</f>
        <v>Vacant</v>
      </c>
      <c r="E54" s="229" t="str">
        <f ca="1">IFERROR(VLOOKUP(D54,'Employee Master'!A:F,5,FALSE),"")</f>
        <v/>
      </c>
      <c r="F54" s="230" t="str">
        <f ca="1">IF(C54="Vacant","No",IF(AND(VLOOKUP(D54,'Employee Master'!A:F,6,FALSE)+360&lt;B$4,VLOOKUP(D54,'Employee Master'!A:F,6,FALSE)+360&lt;B48),"Yes","No"))</f>
        <v>No</v>
      </c>
      <c r="G54" s="229">
        <f ca="1">IF(C54="Vacant",VLOOKUP(A54,'Position Master'!B:D,3,FALSE),E54)*(1+IF(F54="Yes",F$8,0))</f>
        <v>44280.91233617493</v>
      </c>
      <c r="H54" s="245"/>
      <c r="I54" s="232"/>
      <c r="J54" s="233">
        <f t="shared" ca="1" si="0"/>
        <v>46052.148829621925</v>
      </c>
      <c r="K54" s="234"/>
      <c r="L54" s="235">
        <f t="shared" ca="1" si="1"/>
        <v>44833</v>
      </c>
      <c r="M54" s="236"/>
      <c r="N54" s="235" t="str">
        <f ca="1">IF(M54="",IFERROR(VLOOKUP($D54,'Employee Master'!$A:$F,6,FALSE)+365,""),M54)</f>
        <v/>
      </c>
      <c r="O54" s="249">
        <v>44927</v>
      </c>
      <c r="P54" s="235">
        <f t="shared" si="2"/>
        <v>44927</v>
      </c>
      <c r="Q54" s="237">
        <f t="shared" ca="1" si="3"/>
        <v>67</v>
      </c>
      <c r="R54" s="237">
        <f t="shared" ca="1" si="4"/>
        <v>0</v>
      </c>
      <c r="S54" s="237">
        <f t="shared" ca="1" si="5"/>
        <v>67</v>
      </c>
      <c r="T54" s="238">
        <f t="shared" ca="1" si="6"/>
        <v>44280.91233617493</v>
      </c>
      <c r="U54" s="229">
        <f t="shared" ca="1" si="7"/>
        <v>11367.130752964445</v>
      </c>
      <c r="V54" s="233">
        <f t="shared" ca="1" si="8"/>
        <v>0</v>
      </c>
      <c r="W54" s="246"/>
      <c r="X54" s="247"/>
      <c r="Y54" s="229">
        <f t="shared" ca="1" si="9"/>
        <v>46052.148829621925</v>
      </c>
      <c r="Z54" s="71"/>
      <c r="AA54" s="235">
        <f t="shared" ca="1" si="10"/>
        <v>44833</v>
      </c>
      <c r="AB54" s="71"/>
      <c r="AC54" s="235" t="str">
        <f ca="1">IF(AB54="",IFERROR(VLOOKUP($D54,'Employee Master'!$A:$F,6,FALSE)+365,""),AB54)</f>
        <v/>
      </c>
      <c r="AD54" s="234"/>
      <c r="AE54" s="235">
        <f t="shared" ca="1" si="11"/>
        <v>45107</v>
      </c>
      <c r="AF54" s="237">
        <f t="shared" ca="1" si="12"/>
        <v>197</v>
      </c>
      <c r="AG54" s="237">
        <f t="shared" ca="1" si="13"/>
        <v>0</v>
      </c>
      <c r="AH54" s="237">
        <f t="shared" ca="1" si="14"/>
        <v>197</v>
      </c>
      <c r="AI54" s="238">
        <f t="shared" ca="1" si="15"/>
        <v>44280.91233617493</v>
      </c>
      <c r="AJ54" s="229">
        <f t="shared" ca="1" si="16"/>
        <v>33422.757587074564</v>
      </c>
      <c r="AK54" s="233">
        <f t="shared" ca="1" si="17"/>
        <v>33422.757587074564</v>
      </c>
      <c r="AL54" s="248"/>
      <c r="AM54" s="233">
        <f t="shared" ca="1" si="18"/>
        <v>0</v>
      </c>
      <c r="AN54" s="233">
        <f t="shared" ca="1" si="19"/>
        <v>22055.626834110117</v>
      </c>
      <c r="AO54" s="233">
        <f t="shared" ca="1" si="20"/>
        <v>22055.626834110117</v>
      </c>
      <c r="AP54" s="233">
        <f t="shared" ca="1" si="21"/>
        <v>33422.757587074564</v>
      </c>
      <c r="AR54" s="226"/>
      <c r="AS54" s="226"/>
      <c r="AT54" s="226"/>
      <c r="AU54" s="226"/>
      <c r="AV54" s="226"/>
      <c r="AW54" s="226"/>
      <c r="AX54" s="226"/>
      <c r="AY54" s="226"/>
      <c r="AZ54" s="226"/>
      <c r="BA54" s="226"/>
      <c r="BB54" s="226"/>
      <c r="BC54" s="226"/>
      <c r="BD54" s="226"/>
      <c r="BE54" s="226"/>
      <c r="BF54" s="226"/>
      <c r="BN54" s="244">
        <f ca="1">IF('Budgeting Model'!C54="Vacant",'Budgeting Model'!AK54,"")</f>
        <v>33422.757587074564</v>
      </c>
      <c r="BO54" s="195" t="str">
        <f t="shared" ca="1" si="22"/>
        <v/>
      </c>
      <c r="BP54" s="195" t="str">
        <f t="shared" ca="1" si="23"/>
        <v/>
      </c>
    </row>
    <row r="55" spans="1:68" s="195" customFormat="1" ht="15" customHeight="1" thickBot="1">
      <c r="A55" s="227" t="s">
        <v>113</v>
      </c>
      <c r="B55" s="228" t="str">
        <f>IF(ISNA(VLOOKUP($A55,'Position Master'!B:C,2,FALSE)),"Missing",VLOOKUP($A55,'Position Master'!B:C,2,FALSE))</f>
        <v>Dept 14</v>
      </c>
      <c r="C55" s="211" t="str">
        <f ca="1">_xlfn.IFNA(INDEX('Employee Master'!$C:$C,MATCH($D55,'Employee Master'!$A:$A,0))&amp;", "&amp;INDEX('Employee Master'!$B:$B,MATCH($D55,'Employee Master'!$A:$A,0)),"Vacant")</f>
        <v>Lavi, Jose</v>
      </c>
      <c r="D55" s="211">
        <f>IF(INDEX('Position Master'!$A$7:$A$97,MATCH(A55,'Position Master'!$B$7:$B$97,0))=0,"Vacant",INDEX('Position Master'!$A$7:$A$97,MATCH(A55,'Position Master'!$B$7:$B$97,0)))</f>
        <v>6182382</v>
      </c>
      <c r="E55" s="229">
        <f ca="1">IFERROR(VLOOKUP(D55,'Employee Master'!A:F,5,FALSE),"")</f>
        <v>68558.35810588504</v>
      </c>
      <c r="F55" s="230" t="str">
        <f ca="1">IF(C55="Vacant","No",IF(AND(VLOOKUP(D55,'Employee Master'!A:F,6,FALSE)+360&lt;B$4,VLOOKUP(D55,'Employee Master'!A:F,6,FALSE)+360&lt;B49),"Yes","No"))</f>
        <v>Yes</v>
      </c>
      <c r="G55" s="229">
        <f ca="1">IF(C55="Vacant",VLOOKUP(A55,'Position Master'!B:D,3,FALSE),E55)*(1+IF(F55="Yes",F$8,0))</f>
        <v>70615.108849061595</v>
      </c>
      <c r="H55" s="245"/>
      <c r="I55" s="232"/>
      <c r="J55" s="233">
        <f t="shared" ca="1" si="0"/>
        <v>73439.713203024061</v>
      </c>
      <c r="K55" s="234"/>
      <c r="L55" s="235">
        <f t="shared" ca="1" si="1"/>
        <v>44743</v>
      </c>
      <c r="M55" s="236"/>
      <c r="N55" s="235">
        <f ca="1">IF(M55="",IFERROR(VLOOKUP($D55,'Employee Master'!$A:$F,6,FALSE)+365,""),M55)</f>
        <v>45020</v>
      </c>
      <c r="O55" s="71"/>
      <c r="P55" s="235">
        <f t="shared" ca="1" si="2"/>
        <v>45107</v>
      </c>
      <c r="Q55" s="237">
        <f t="shared" ca="1" si="3"/>
        <v>197</v>
      </c>
      <c r="R55" s="237">
        <f t="shared" ca="1" si="4"/>
        <v>64</v>
      </c>
      <c r="S55" s="237">
        <f t="shared" ca="1" si="5"/>
        <v>261</v>
      </c>
      <c r="T55" s="238">
        <f t="shared" ca="1" si="6"/>
        <v>71307.732138922118</v>
      </c>
      <c r="U55" s="229">
        <f t="shared" ca="1" si="7"/>
        <v>71307.732138922118</v>
      </c>
      <c r="V55" s="233">
        <f t="shared" ca="1" si="8"/>
        <v>13787.532363786127</v>
      </c>
      <c r="W55" s="246"/>
      <c r="X55" s="247"/>
      <c r="Y55" s="229">
        <f t="shared" ca="1" si="9"/>
        <v>73439.713203024061</v>
      </c>
      <c r="Z55" s="71"/>
      <c r="AA55" s="235">
        <f t="shared" ca="1" si="10"/>
        <v>44743</v>
      </c>
      <c r="AB55" s="71"/>
      <c r="AC55" s="235">
        <f ca="1">IF(AB55="",IFERROR(VLOOKUP($D55,'Employee Master'!$A:$F,6,FALSE)+365,""),AB55)</f>
        <v>45020</v>
      </c>
      <c r="AD55" s="234"/>
      <c r="AE55" s="235">
        <f t="shared" ca="1" si="11"/>
        <v>45107</v>
      </c>
      <c r="AF55" s="237">
        <f t="shared" ca="1" si="12"/>
        <v>197</v>
      </c>
      <c r="AG55" s="237">
        <f t="shared" ca="1" si="13"/>
        <v>64</v>
      </c>
      <c r="AH55" s="237">
        <f t="shared" ca="1" si="14"/>
        <v>261</v>
      </c>
      <c r="AI55" s="238">
        <f t="shared" ca="1" si="15"/>
        <v>71307.732138922118</v>
      </c>
      <c r="AJ55" s="229">
        <f t="shared" ca="1" si="16"/>
        <v>71307.732138922118</v>
      </c>
      <c r="AK55" s="233">
        <f t="shared" ca="1" si="17"/>
        <v>13787.532363786127</v>
      </c>
      <c r="AL55" s="248"/>
      <c r="AM55" s="233">
        <f t="shared" ca="1" si="18"/>
        <v>0</v>
      </c>
      <c r="AN55" s="233">
        <f t="shared" ca="1" si="19"/>
        <v>0</v>
      </c>
      <c r="AO55" s="233">
        <f t="shared" ca="1" si="20"/>
        <v>0</v>
      </c>
      <c r="AP55" s="233">
        <f t="shared" ca="1" si="21"/>
        <v>0</v>
      </c>
      <c r="AR55" s="226"/>
      <c r="AS55" s="226"/>
      <c r="AT55" s="226"/>
      <c r="AU55" s="226"/>
      <c r="AV55" s="226"/>
      <c r="AW55" s="226"/>
      <c r="AX55" s="226"/>
      <c r="AY55" s="226"/>
      <c r="AZ55" s="226"/>
      <c r="BA55" s="226"/>
      <c r="BB55" s="226"/>
      <c r="BC55" s="226"/>
      <c r="BD55" s="226"/>
      <c r="BE55" s="226"/>
      <c r="BF55" s="226"/>
      <c r="BN55" s="244" t="str">
        <f ca="1">IF('Budgeting Model'!C55="Vacant",'Budgeting Model'!AK55,"")</f>
        <v/>
      </c>
      <c r="BO55" s="195">
        <f t="shared" ca="1" si="22"/>
        <v>4</v>
      </c>
      <c r="BP55" s="195" t="str">
        <f t="shared" ca="1" si="23"/>
        <v/>
      </c>
    </row>
    <row r="56" spans="1:68" s="195" customFormat="1" ht="15" customHeight="1" thickBot="1">
      <c r="A56" s="227" t="s">
        <v>114</v>
      </c>
      <c r="B56" s="228" t="str">
        <f>IF(ISNA(VLOOKUP($A56,'Position Master'!B:C,2,FALSE)),"Missing",VLOOKUP($A56,'Position Master'!B:C,2,FALSE))</f>
        <v>Dept 5</v>
      </c>
      <c r="C56" s="211" t="str">
        <f ca="1">_xlfn.IFNA(INDEX('Employee Master'!$C:$C,MATCH($D56,'Employee Master'!$A:$A,0))&amp;", "&amp;INDEX('Employee Master'!$B:$B,MATCH($D56,'Employee Master'!$A:$A,0)),"Vacant")</f>
        <v>Lee, George</v>
      </c>
      <c r="D56" s="211">
        <f>IF(INDEX('Position Master'!$A$7:$A$97,MATCH(A56,'Position Master'!$B$7:$B$97,0))=0,"Vacant",INDEX('Position Master'!$A$7:$A$97,MATCH(A56,'Position Master'!$B$7:$B$97,0)))</f>
        <v>6191433</v>
      </c>
      <c r="E56" s="229">
        <f ca="1">IFERROR(VLOOKUP(D56,'Employee Master'!A:F,5,FALSE),"")</f>
        <v>79376.45668273553</v>
      </c>
      <c r="F56" s="230" t="str">
        <f ca="1">IF(C56="Vacant","No",IF(AND(VLOOKUP(D56,'Employee Master'!A:F,6,FALSE)+360&lt;B$4,VLOOKUP(D56,'Employee Master'!A:F,6,FALSE)+360&lt;B50),"Yes","No"))</f>
        <v>Yes</v>
      </c>
      <c r="G56" s="229">
        <f ca="1">IF(C56="Vacant",VLOOKUP(A56,'Position Master'!B:D,3,FALSE),E56)*(1+IF(F56="Yes",F$8,0))</f>
        <v>81757.750383217601</v>
      </c>
      <c r="H56" s="245"/>
      <c r="I56" s="232"/>
      <c r="J56" s="233">
        <f t="shared" ca="1" si="0"/>
        <v>85028.060398546309</v>
      </c>
      <c r="K56" s="234"/>
      <c r="L56" s="235">
        <f t="shared" ca="1" si="1"/>
        <v>44743</v>
      </c>
      <c r="M56" s="236"/>
      <c r="N56" s="235">
        <f ca="1">IF(M56="",IFERROR(VLOOKUP($D56,'Employee Master'!$A:$F,6,FALSE)+365,""),M56)</f>
        <v>44848</v>
      </c>
      <c r="O56" s="71"/>
      <c r="P56" s="235">
        <f t="shared" ca="1" si="2"/>
        <v>45107</v>
      </c>
      <c r="Q56" s="237">
        <f t="shared" ca="1" si="3"/>
        <v>75</v>
      </c>
      <c r="R56" s="237">
        <f t="shared" ca="1" si="4"/>
        <v>186</v>
      </c>
      <c r="S56" s="237">
        <f t="shared" ca="1" si="5"/>
        <v>261</v>
      </c>
      <c r="T56" s="238">
        <f t="shared" ca="1" si="6"/>
        <v>84088.316141267947</v>
      </c>
      <c r="U56" s="229">
        <f t="shared" ca="1" si="7"/>
        <v>84088.316141267947</v>
      </c>
      <c r="V56" s="233">
        <f t="shared" ca="1" si="8"/>
        <v>15963.122450301798</v>
      </c>
      <c r="W56" s="246"/>
      <c r="X56" s="247"/>
      <c r="Y56" s="229">
        <f t="shared" ca="1" si="9"/>
        <v>85028.060398546309</v>
      </c>
      <c r="Z56" s="71"/>
      <c r="AA56" s="235">
        <f t="shared" ca="1" si="10"/>
        <v>44743</v>
      </c>
      <c r="AB56" s="71"/>
      <c r="AC56" s="235">
        <f ca="1">IF(AB56="",IFERROR(VLOOKUP($D56,'Employee Master'!$A:$F,6,FALSE)+365,""),AB56)</f>
        <v>44848</v>
      </c>
      <c r="AD56" s="234"/>
      <c r="AE56" s="235">
        <f t="shared" ca="1" si="11"/>
        <v>45107</v>
      </c>
      <c r="AF56" s="237">
        <f t="shared" ca="1" si="12"/>
        <v>75</v>
      </c>
      <c r="AG56" s="237">
        <f t="shared" ca="1" si="13"/>
        <v>186</v>
      </c>
      <c r="AH56" s="237">
        <f t="shared" ca="1" si="14"/>
        <v>261</v>
      </c>
      <c r="AI56" s="238">
        <f t="shared" ca="1" si="15"/>
        <v>84088.316141267947</v>
      </c>
      <c r="AJ56" s="229">
        <f t="shared" ca="1" si="16"/>
        <v>84088.316141267947</v>
      </c>
      <c r="AK56" s="233">
        <f t="shared" ca="1" si="17"/>
        <v>15963.122450301798</v>
      </c>
      <c r="AL56" s="248"/>
      <c r="AM56" s="233">
        <f t="shared" ca="1" si="18"/>
        <v>0</v>
      </c>
      <c r="AN56" s="233">
        <f t="shared" ca="1" si="19"/>
        <v>0</v>
      </c>
      <c r="AO56" s="233">
        <f t="shared" ca="1" si="20"/>
        <v>0</v>
      </c>
      <c r="AP56" s="233">
        <f t="shared" ca="1" si="21"/>
        <v>0</v>
      </c>
      <c r="AR56" s="226"/>
      <c r="AS56" s="226"/>
      <c r="AT56" s="226"/>
      <c r="AU56" s="226"/>
      <c r="AV56" s="226"/>
      <c r="AW56" s="226"/>
      <c r="AX56" s="226"/>
      <c r="AY56" s="226"/>
      <c r="AZ56" s="226"/>
      <c r="BA56" s="226"/>
      <c r="BB56" s="226"/>
      <c r="BC56" s="226"/>
      <c r="BD56" s="226"/>
      <c r="BE56" s="226"/>
      <c r="BF56" s="226"/>
      <c r="BN56" s="244" t="str">
        <f ca="1">IF('Budgeting Model'!C56="Vacant",'Budgeting Model'!AK56,"")</f>
        <v/>
      </c>
      <c r="BO56" s="195">
        <f t="shared" ca="1" si="22"/>
        <v>10</v>
      </c>
      <c r="BP56" s="195">
        <f t="shared" ca="1" si="23"/>
        <v>79376.45668273553</v>
      </c>
    </row>
    <row r="57" spans="1:68" s="195" customFormat="1" ht="15" customHeight="1" thickBot="1">
      <c r="A57" s="227" t="s">
        <v>115</v>
      </c>
      <c r="B57" s="228" t="str">
        <f>IF(ISNA(VLOOKUP($A57,'Position Master'!B:C,2,FALSE)),"Missing",VLOOKUP($A57,'Position Master'!B:C,2,FALSE))</f>
        <v>Dept 12</v>
      </c>
      <c r="C57" s="211" t="str">
        <f ca="1">_xlfn.IFNA(INDEX('Employee Master'!$C:$C,MATCH($D57,'Employee Master'!$A:$A,0))&amp;", "&amp;INDEX('Employee Master'!$B:$B,MATCH($D57,'Employee Master'!$A:$A,0)),"Vacant")</f>
        <v>Vacant</v>
      </c>
      <c r="D57" s="211" t="str">
        <f>IF(INDEX('Position Master'!$A$7:$A$97,MATCH(A57,'Position Master'!$B$7:$B$97,0))=0,"Vacant",INDEX('Position Master'!$A$7:$A$97,MATCH(A57,'Position Master'!$B$7:$B$97,0)))</f>
        <v>Vacant</v>
      </c>
      <c r="E57" s="229" t="str">
        <f ca="1">IFERROR(VLOOKUP(D57,'Employee Master'!A:F,5,FALSE),"")</f>
        <v/>
      </c>
      <c r="F57" s="230" t="str">
        <f ca="1">IF(C57="Vacant","No",IF(AND(VLOOKUP(D57,'Employee Master'!A:F,6,FALSE)+360&lt;B$4,VLOOKUP(D57,'Employee Master'!A:F,6,FALSE)+360&lt;B51),"Yes","No"))</f>
        <v>No</v>
      </c>
      <c r="G57" s="229">
        <f ca="1">IF(C57="Vacant",VLOOKUP(A57,'Position Master'!B:D,3,FALSE),E57)*(1+IF(F57="Yes",F$8,0))</f>
        <v>66397.974881596252</v>
      </c>
      <c r="H57" s="245"/>
      <c r="I57" s="232"/>
      <c r="J57" s="233">
        <f t="shared" ca="1" si="0"/>
        <v>69053.893876860107</v>
      </c>
      <c r="K57" s="234"/>
      <c r="L57" s="235">
        <f t="shared" ca="1" si="1"/>
        <v>44833</v>
      </c>
      <c r="M57" s="236"/>
      <c r="N57" s="235" t="str">
        <f ca="1">IF(M57="",IFERROR(VLOOKUP($D57,'Employee Master'!$A:$F,6,FALSE)+365,""),M57)</f>
        <v/>
      </c>
      <c r="O57" s="71"/>
      <c r="P57" s="235">
        <f t="shared" ca="1" si="2"/>
        <v>45107</v>
      </c>
      <c r="Q57" s="237">
        <f t="shared" ca="1" si="3"/>
        <v>197</v>
      </c>
      <c r="R57" s="237">
        <f t="shared" ca="1" si="4"/>
        <v>0</v>
      </c>
      <c r="S57" s="237">
        <f t="shared" ca="1" si="5"/>
        <v>197</v>
      </c>
      <c r="T57" s="238">
        <f t="shared" ca="1" si="6"/>
        <v>66397.974881596252</v>
      </c>
      <c r="U57" s="229">
        <f t="shared" ca="1" si="7"/>
        <v>50116.479125189508</v>
      </c>
      <c r="V57" s="233">
        <f t="shared" ca="1" si="8"/>
        <v>50116.479125189508</v>
      </c>
      <c r="W57" s="246"/>
      <c r="X57" s="247"/>
      <c r="Y57" s="229">
        <f t="shared" ca="1" si="9"/>
        <v>69053.893876860107</v>
      </c>
      <c r="Z57" s="71"/>
      <c r="AA57" s="235">
        <f t="shared" ca="1" si="10"/>
        <v>44833</v>
      </c>
      <c r="AB57" s="71"/>
      <c r="AC57" s="235" t="str">
        <f ca="1">IF(AB57="",IFERROR(VLOOKUP($D57,'Employee Master'!$A:$F,6,FALSE)+365,""),AB57)</f>
        <v/>
      </c>
      <c r="AD57" s="234"/>
      <c r="AE57" s="235">
        <f t="shared" ca="1" si="11"/>
        <v>45107</v>
      </c>
      <c r="AF57" s="237">
        <f t="shared" ca="1" si="12"/>
        <v>197</v>
      </c>
      <c r="AG57" s="237">
        <f t="shared" ca="1" si="13"/>
        <v>0</v>
      </c>
      <c r="AH57" s="237">
        <f t="shared" ca="1" si="14"/>
        <v>197</v>
      </c>
      <c r="AI57" s="238">
        <f t="shared" ca="1" si="15"/>
        <v>66397.974881596252</v>
      </c>
      <c r="AJ57" s="229">
        <f t="shared" ca="1" si="16"/>
        <v>50116.479125189508</v>
      </c>
      <c r="AK57" s="233">
        <f t="shared" ca="1" si="17"/>
        <v>50116.479125189508</v>
      </c>
      <c r="AL57" s="248"/>
      <c r="AM57" s="233">
        <f t="shared" ca="1" si="18"/>
        <v>0</v>
      </c>
      <c r="AN57" s="233">
        <f t="shared" ca="1" si="19"/>
        <v>0</v>
      </c>
      <c r="AO57" s="233">
        <f t="shared" ca="1" si="20"/>
        <v>0</v>
      </c>
      <c r="AP57" s="233">
        <f t="shared" ca="1" si="21"/>
        <v>0</v>
      </c>
      <c r="AR57" s="226"/>
      <c r="AS57" s="226"/>
      <c r="AT57" s="226"/>
      <c r="AU57" s="226"/>
      <c r="AV57" s="226"/>
      <c r="AW57" s="226"/>
      <c r="AX57" s="226"/>
      <c r="AY57" s="226"/>
      <c r="AZ57" s="226"/>
      <c r="BA57" s="226"/>
      <c r="BB57" s="226"/>
      <c r="BC57" s="226"/>
      <c r="BD57" s="226"/>
      <c r="BE57" s="226"/>
      <c r="BF57" s="226"/>
      <c r="BN57" s="244">
        <f ca="1">IF('Budgeting Model'!C57="Vacant",'Budgeting Model'!AK57,"")</f>
        <v>50116.479125189508</v>
      </c>
      <c r="BO57" s="195" t="str">
        <f t="shared" ca="1" si="22"/>
        <v/>
      </c>
      <c r="BP57" s="195" t="str">
        <f t="shared" ca="1" si="23"/>
        <v/>
      </c>
    </row>
    <row r="58" spans="1:68" s="195" customFormat="1" ht="15" customHeight="1" thickBot="1">
      <c r="A58" s="227" t="s">
        <v>116</v>
      </c>
      <c r="B58" s="228" t="str">
        <f>IF(ISNA(VLOOKUP($A58,'Position Master'!B:C,2,FALSE)),"Missing",VLOOKUP($A58,'Position Master'!B:C,2,FALSE))</f>
        <v>Dept 4</v>
      </c>
      <c r="C58" s="211" t="str">
        <f ca="1">_xlfn.IFNA(INDEX('Employee Master'!$C:$C,MATCH($D58,'Employee Master'!$A:$A,0))&amp;", "&amp;INDEX('Employee Master'!$B:$B,MATCH($D58,'Employee Master'!$A:$A,0)),"Vacant")</f>
        <v>Lei, Wei Bin</v>
      </c>
      <c r="D58" s="211">
        <f>IF(INDEX('Position Master'!$A$7:$A$97,MATCH(A58,'Position Master'!$B$7:$B$97,0))=0,"Vacant",INDEX('Position Master'!$A$7:$A$97,MATCH(A58,'Position Master'!$B$7:$B$97,0)))</f>
        <v>6349261</v>
      </c>
      <c r="E58" s="229">
        <f ca="1">IFERROR(VLOOKUP(D58,'Employee Master'!A:F,5,FALSE),"")</f>
        <v>68262.60991382091</v>
      </c>
      <c r="F58" s="230" t="str">
        <f ca="1">IF(C58="Vacant","No",IF(AND(VLOOKUP(D58,'Employee Master'!A:F,6,FALSE)+360&lt;B$4,VLOOKUP(D58,'Employee Master'!A:F,6,FALSE)+360&lt;B52),"Yes","No"))</f>
        <v>Yes</v>
      </c>
      <c r="G58" s="229">
        <f ca="1">IF(C58="Vacant",VLOOKUP(A58,'Position Master'!B:D,3,FALSE),E58)*(1+IF(F58="Yes",F$8,0))</f>
        <v>70310.488211235541</v>
      </c>
      <c r="H58" s="245"/>
      <c r="I58" s="232"/>
      <c r="J58" s="233">
        <f t="shared" ca="1" si="0"/>
        <v>73122.907739684961</v>
      </c>
      <c r="K58" s="234"/>
      <c r="L58" s="235">
        <f t="shared" ca="1" si="1"/>
        <v>44743</v>
      </c>
      <c r="M58" s="236"/>
      <c r="N58" s="235">
        <f ca="1">IF(M58="",IFERROR(VLOOKUP($D58,'Employee Master'!$A:$F,6,FALSE)+365,""),M58)</f>
        <v>44757</v>
      </c>
      <c r="O58" s="249">
        <v>44926</v>
      </c>
      <c r="P58" s="235">
        <f t="shared" si="2"/>
        <v>44926</v>
      </c>
      <c r="Q58" s="237">
        <f t="shared" ca="1" si="3"/>
        <v>10</v>
      </c>
      <c r="R58" s="237">
        <f t="shared" ca="1" si="4"/>
        <v>121</v>
      </c>
      <c r="S58" s="237">
        <f t="shared" ca="1" si="5"/>
        <v>131</v>
      </c>
      <c r="T58" s="238">
        <f t="shared" ca="1" si="6"/>
        <v>72908.219226062851</v>
      </c>
      <c r="U58" s="229">
        <f t="shared" ca="1" si="7"/>
        <v>36593.780531089025</v>
      </c>
      <c r="V58" s="233">
        <f t="shared" ca="1" si="8"/>
        <v>0</v>
      </c>
      <c r="W58" s="246"/>
      <c r="X58" s="247"/>
      <c r="Y58" s="229">
        <f t="shared" ca="1" si="9"/>
        <v>73122.907739684961</v>
      </c>
      <c r="Z58" s="71"/>
      <c r="AA58" s="235">
        <f t="shared" ca="1" si="10"/>
        <v>44743</v>
      </c>
      <c r="AB58" s="71"/>
      <c r="AC58" s="235">
        <f ca="1">IF(AB58="",IFERROR(VLOOKUP($D58,'Employee Master'!$A:$F,6,FALSE)+365,""),AB58)</f>
        <v>44757</v>
      </c>
      <c r="AD58" s="234"/>
      <c r="AE58" s="235">
        <f t="shared" ca="1" si="11"/>
        <v>45107</v>
      </c>
      <c r="AF58" s="237">
        <f t="shared" ca="1" si="12"/>
        <v>10</v>
      </c>
      <c r="AG58" s="237">
        <f t="shared" ca="1" si="13"/>
        <v>251</v>
      </c>
      <c r="AH58" s="237">
        <f t="shared" ca="1" si="14"/>
        <v>261</v>
      </c>
      <c r="AI58" s="238">
        <f t="shared" ca="1" si="15"/>
        <v>73015.152202196492</v>
      </c>
      <c r="AJ58" s="229">
        <f t="shared" ca="1" si="16"/>
        <v>73015.152202196492</v>
      </c>
      <c r="AK58" s="233">
        <f t="shared" ca="1" si="17"/>
        <v>13728.055476032809</v>
      </c>
      <c r="AL58" s="248"/>
      <c r="AM58" s="233">
        <f t="shared" ca="1" si="18"/>
        <v>106.9329761336412</v>
      </c>
      <c r="AN58" s="233">
        <f t="shared" ca="1" si="19"/>
        <v>36314.438694973825</v>
      </c>
      <c r="AO58" s="233">
        <f t="shared" ca="1" si="20"/>
        <v>36421.371671107467</v>
      </c>
      <c r="AP58" s="233">
        <f t="shared" ca="1" si="21"/>
        <v>13728.055476032809</v>
      </c>
      <c r="AR58" s="226"/>
      <c r="AS58" s="226"/>
      <c r="AT58" s="226"/>
      <c r="AU58" s="226"/>
      <c r="AV58" s="226"/>
      <c r="AW58" s="226"/>
      <c r="AX58" s="226"/>
      <c r="AY58" s="226"/>
      <c r="AZ58" s="226"/>
      <c r="BA58" s="226"/>
      <c r="BB58" s="226"/>
      <c r="BC58" s="226"/>
      <c r="BD58" s="226"/>
      <c r="BE58" s="226"/>
      <c r="BF58" s="226"/>
      <c r="BN58" s="244" t="str">
        <f ca="1">IF('Budgeting Model'!C58="Vacant",'Budgeting Model'!AK58,"")</f>
        <v/>
      </c>
      <c r="BO58" s="195">
        <f t="shared" ca="1" si="22"/>
        <v>7</v>
      </c>
      <c r="BP58" s="195" t="str">
        <f t="shared" ca="1" si="23"/>
        <v/>
      </c>
    </row>
    <row r="59" spans="1:68" s="195" customFormat="1" ht="15" customHeight="1" thickBot="1">
      <c r="A59" s="227" t="s">
        <v>117</v>
      </c>
      <c r="B59" s="228" t="str">
        <f>IF(ISNA(VLOOKUP($A59,'Position Master'!B:C,2,FALSE)),"Missing",VLOOKUP($A59,'Position Master'!B:C,2,FALSE))</f>
        <v>Dept 7</v>
      </c>
      <c r="C59" s="211" t="str">
        <f ca="1">_xlfn.IFNA(INDEX('Employee Master'!$C:$C,MATCH($D59,'Employee Master'!$A:$A,0))&amp;", "&amp;INDEX('Employee Master'!$B:$B,MATCH($D59,'Employee Master'!$A:$A,0)),"Vacant")</f>
        <v>Vacant</v>
      </c>
      <c r="D59" s="211" t="str">
        <f>IF(INDEX('Position Master'!$A$7:$A$97,MATCH(A59,'Position Master'!$B$7:$B$97,0))=0,"Vacant",INDEX('Position Master'!$A$7:$A$97,MATCH(A59,'Position Master'!$B$7:$B$97,0)))</f>
        <v>Vacant</v>
      </c>
      <c r="E59" s="229" t="str">
        <f ca="1">IFERROR(VLOOKUP(D59,'Employee Master'!A:F,5,FALSE),"")</f>
        <v/>
      </c>
      <c r="F59" s="230" t="str">
        <f ca="1">IF(C59="Vacant","No",IF(AND(VLOOKUP(D59,'Employee Master'!A:F,6,FALSE)+360&lt;B$4,VLOOKUP(D59,'Employee Master'!A:F,6,FALSE)+360&lt;B53),"Yes","No"))</f>
        <v>No</v>
      </c>
      <c r="G59" s="229">
        <f ca="1">IF(C59="Vacant",VLOOKUP(A59,'Position Master'!B:D,3,FALSE),E59)*(1+IF(F59="Yes",F$8,0))</f>
        <v>86380.567725529385</v>
      </c>
      <c r="H59" s="245"/>
      <c r="I59" s="232"/>
      <c r="J59" s="233">
        <f t="shared" ca="1" si="0"/>
        <v>89835.790434550567</v>
      </c>
      <c r="K59" s="234"/>
      <c r="L59" s="235">
        <f t="shared" ca="1" si="1"/>
        <v>44833</v>
      </c>
      <c r="M59" s="236"/>
      <c r="N59" s="235" t="str">
        <f ca="1">IF(M59="",IFERROR(VLOOKUP($D59,'Employee Master'!$A:$F,6,FALSE)+365,""),M59)</f>
        <v/>
      </c>
      <c r="O59" s="71"/>
      <c r="P59" s="235">
        <f t="shared" ca="1" si="2"/>
        <v>45107</v>
      </c>
      <c r="Q59" s="237">
        <f t="shared" ca="1" si="3"/>
        <v>197</v>
      </c>
      <c r="R59" s="237">
        <f t="shared" ca="1" si="4"/>
        <v>0</v>
      </c>
      <c r="S59" s="237">
        <f t="shared" ca="1" si="5"/>
        <v>197</v>
      </c>
      <c r="T59" s="238">
        <f t="shared" ca="1" si="6"/>
        <v>86380.567725529399</v>
      </c>
      <c r="U59" s="229">
        <f t="shared" ca="1" si="7"/>
        <v>65199.12583114671</v>
      </c>
      <c r="V59" s="233">
        <f t="shared" ca="1" si="8"/>
        <v>65199.12583114671</v>
      </c>
      <c r="W59" s="246"/>
      <c r="X59" s="247"/>
      <c r="Y59" s="229">
        <f t="shared" ca="1" si="9"/>
        <v>89835.790434550567</v>
      </c>
      <c r="Z59" s="71"/>
      <c r="AA59" s="235">
        <f t="shared" ca="1" si="10"/>
        <v>44833</v>
      </c>
      <c r="AB59" s="71"/>
      <c r="AC59" s="235" t="str">
        <f ca="1">IF(AB59="",IFERROR(VLOOKUP($D59,'Employee Master'!$A:$F,6,FALSE)+365,""),AB59)</f>
        <v/>
      </c>
      <c r="AD59" s="234"/>
      <c r="AE59" s="235">
        <f t="shared" ca="1" si="11"/>
        <v>45107</v>
      </c>
      <c r="AF59" s="237">
        <f t="shared" ca="1" si="12"/>
        <v>197</v>
      </c>
      <c r="AG59" s="237">
        <f t="shared" ca="1" si="13"/>
        <v>0</v>
      </c>
      <c r="AH59" s="237">
        <f t="shared" ca="1" si="14"/>
        <v>197</v>
      </c>
      <c r="AI59" s="238">
        <f t="shared" ca="1" si="15"/>
        <v>86380.567725529399</v>
      </c>
      <c r="AJ59" s="229">
        <f t="shared" ca="1" si="16"/>
        <v>65199.12583114671</v>
      </c>
      <c r="AK59" s="233">
        <f t="shared" ca="1" si="17"/>
        <v>65199.12583114671</v>
      </c>
      <c r="AL59" s="248"/>
      <c r="AM59" s="233">
        <f t="shared" ca="1" si="18"/>
        <v>0</v>
      </c>
      <c r="AN59" s="233">
        <f t="shared" ca="1" si="19"/>
        <v>0</v>
      </c>
      <c r="AO59" s="233">
        <f t="shared" ca="1" si="20"/>
        <v>0</v>
      </c>
      <c r="AP59" s="233">
        <f t="shared" ca="1" si="21"/>
        <v>0</v>
      </c>
      <c r="AR59" s="226"/>
      <c r="AS59" s="226"/>
      <c r="AT59" s="226"/>
      <c r="AU59" s="226"/>
      <c r="AV59" s="226"/>
      <c r="AW59" s="226"/>
      <c r="AX59" s="226"/>
      <c r="AY59" s="226"/>
      <c r="AZ59" s="226"/>
      <c r="BA59" s="226"/>
      <c r="BB59" s="226"/>
      <c r="BC59" s="226"/>
      <c r="BD59" s="226"/>
      <c r="BE59" s="226"/>
      <c r="BF59" s="226"/>
      <c r="BN59" s="244">
        <f ca="1">IF('Budgeting Model'!C59="Vacant",'Budgeting Model'!AK59,"")</f>
        <v>65199.12583114671</v>
      </c>
      <c r="BO59" s="195" t="str">
        <f t="shared" ca="1" si="22"/>
        <v/>
      </c>
      <c r="BP59" s="195" t="str">
        <f t="shared" ca="1" si="23"/>
        <v/>
      </c>
    </row>
    <row r="60" spans="1:68" s="195" customFormat="1" ht="15" customHeight="1" thickBot="1">
      <c r="A60" s="227" t="s">
        <v>118</v>
      </c>
      <c r="B60" s="228" t="str">
        <f>IF(ISNA(VLOOKUP($A60,'Position Master'!B:C,2,FALSE)),"Missing",VLOOKUP($A60,'Position Master'!B:C,2,FALSE))</f>
        <v>Dept 3</v>
      </c>
      <c r="C60" s="211" t="str">
        <f ca="1">_xlfn.IFNA(INDEX('Employee Master'!$C:$C,MATCH($D60,'Employee Master'!$A:$A,0))&amp;", "&amp;INDEX('Employee Master'!$B:$B,MATCH($D60,'Employee Master'!$A:$A,0)),"Vacant")</f>
        <v>Leung, Andres</v>
      </c>
      <c r="D60" s="211">
        <f>IF(INDEX('Position Master'!$A$7:$A$97,MATCH(A60,'Position Master'!$B$7:$B$97,0))=0,"Vacant",INDEX('Position Master'!$A$7:$A$97,MATCH(A60,'Position Master'!$B$7:$B$97,0)))</f>
        <v>6540916</v>
      </c>
      <c r="E60" s="229">
        <f ca="1">IFERROR(VLOOKUP(D60,'Employee Master'!A:F,5,FALSE),"")</f>
        <v>69912.163925211236</v>
      </c>
      <c r="F60" s="230" t="str">
        <f ca="1">IF(C60="Vacant","No",IF(AND(VLOOKUP(D60,'Employee Master'!A:F,6,FALSE)+360&lt;B$4,VLOOKUP(D60,'Employee Master'!A:F,6,FALSE)+360&lt;B54),"Yes","No"))</f>
        <v>Yes</v>
      </c>
      <c r="G60" s="229">
        <f ca="1">IF(C60="Vacant",VLOOKUP(A60,'Position Master'!B:D,3,FALSE),E60)*(1+IF(F60="Yes",F$8,0))</f>
        <v>72009.528842967571</v>
      </c>
      <c r="H60" s="245"/>
      <c r="I60" s="232"/>
      <c r="J60" s="233">
        <f t="shared" ca="1" si="0"/>
        <v>74889.90999668627</v>
      </c>
      <c r="K60" s="234"/>
      <c r="L60" s="235">
        <f t="shared" ca="1" si="1"/>
        <v>44743</v>
      </c>
      <c r="M60" s="236"/>
      <c r="N60" s="235">
        <f ca="1">IF(M60="",IFERROR(VLOOKUP($D60,'Employee Master'!$A:$F,6,FALSE)+365,""),M60)</f>
        <v>44812</v>
      </c>
      <c r="O60" s="71"/>
      <c r="P60" s="235">
        <f t="shared" ca="1" si="2"/>
        <v>45107</v>
      </c>
      <c r="Q60" s="237">
        <f t="shared" ca="1" si="3"/>
        <v>49</v>
      </c>
      <c r="R60" s="237">
        <f t="shared" ca="1" si="4"/>
        <v>212</v>
      </c>
      <c r="S60" s="237">
        <f t="shared" ca="1" si="5"/>
        <v>261</v>
      </c>
      <c r="T60" s="238">
        <f t="shared" ca="1" si="6"/>
        <v>74349.148783919154</v>
      </c>
      <c r="U60" s="229">
        <f t="shared" ca="1" si="7"/>
        <v>74349.148783919154</v>
      </c>
      <c r="V60" s="233">
        <f t="shared" ca="1" si="8"/>
        <v>14059.791531944933</v>
      </c>
      <c r="W60" s="246"/>
      <c r="X60" s="247"/>
      <c r="Y60" s="229">
        <f t="shared" ca="1" si="9"/>
        <v>74889.90999668627</v>
      </c>
      <c r="Z60" s="71"/>
      <c r="AA60" s="235">
        <f t="shared" ca="1" si="10"/>
        <v>44743</v>
      </c>
      <c r="AB60" s="71"/>
      <c r="AC60" s="235">
        <f ca="1">IF(AB60="",IFERROR(VLOOKUP($D60,'Employee Master'!$A:$F,6,FALSE)+365,""),AB60)</f>
        <v>44812</v>
      </c>
      <c r="AD60" s="234"/>
      <c r="AE60" s="235">
        <f t="shared" ca="1" si="11"/>
        <v>45107</v>
      </c>
      <c r="AF60" s="237">
        <f t="shared" ca="1" si="12"/>
        <v>49</v>
      </c>
      <c r="AG60" s="237">
        <f t="shared" ca="1" si="13"/>
        <v>212</v>
      </c>
      <c r="AH60" s="237">
        <f t="shared" ca="1" si="14"/>
        <v>261</v>
      </c>
      <c r="AI60" s="238">
        <f t="shared" ca="1" si="15"/>
        <v>74349.148783919154</v>
      </c>
      <c r="AJ60" s="229">
        <f t="shared" ca="1" si="16"/>
        <v>74349.148783919154</v>
      </c>
      <c r="AK60" s="233">
        <f t="shared" ca="1" si="17"/>
        <v>14059.791531944933</v>
      </c>
      <c r="AL60" s="248"/>
      <c r="AM60" s="233">
        <f t="shared" ca="1" si="18"/>
        <v>0</v>
      </c>
      <c r="AN60" s="233">
        <f t="shared" ca="1" si="19"/>
        <v>0</v>
      </c>
      <c r="AO60" s="233">
        <f t="shared" ca="1" si="20"/>
        <v>0</v>
      </c>
      <c r="AP60" s="233">
        <f t="shared" ca="1" si="21"/>
        <v>0</v>
      </c>
      <c r="AR60" s="226"/>
      <c r="AS60" s="226"/>
      <c r="AT60" s="226"/>
      <c r="AU60" s="226"/>
      <c r="AV60" s="226"/>
      <c r="AW60" s="226"/>
      <c r="AX60" s="226"/>
      <c r="AY60" s="226"/>
      <c r="AZ60" s="226"/>
      <c r="BA60" s="226"/>
      <c r="BB60" s="226"/>
      <c r="BC60" s="226"/>
      <c r="BD60" s="226"/>
      <c r="BE60" s="226"/>
      <c r="BF60" s="226"/>
      <c r="BN60" s="244" t="str">
        <f ca="1">IF('Budgeting Model'!C60="Vacant",'Budgeting Model'!AK60,"")</f>
        <v/>
      </c>
      <c r="BO60" s="195">
        <f t="shared" ca="1" si="22"/>
        <v>9</v>
      </c>
      <c r="BP60" s="195" t="str">
        <f t="shared" ca="1" si="23"/>
        <v/>
      </c>
    </row>
    <row r="61" spans="1:68" s="195" customFormat="1" ht="15" customHeight="1" thickBot="1">
      <c r="A61" s="227" t="s">
        <v>119</v>
      </c>
      <c r="B61" s="228" t="str">
        <f>IF(ISNA(VLOOKUP($A61,'Position Master'!B:C,2,FALSE)),"Missing",VLOOKUP($A61,'Position Master'!B:C,2,FALSE))</f>
        <v>Dept 11</v>
      </c>
      <c r="C61" s="211" t="str">
        <f ca="1">_xlfn.IFNA(INDEX('Employee Master'!$C:$C,MATCH($D61,'Employee Master'!$A:$A,0))&amp;", "&amp;INDEX('Employee Master'!$B:$B,MATCH($D61,'Employee Master'!$A:$A,0)),"Vacant")</f>
        <v>Li, Ndeye</v>
      </c>
      <c r="D61" s="211">
        <f>IF(INDEX('Position Master'!$A$7:$A$97,MATCH(A61,'Position Master'!$B$7:$B$97,0))=0,"Vacant",INDEX('Position Master'!$A$7:$A$97,MATCH(A61,'Position Master'!$B$7:$B$97,0)))</f>
        <v>6584356</v>
      </c>
      <c r="E61" s="229">
        <f ca="1">IFERROR(VLOOKUP(D61,'Employee Master'!A:F,5,FALSE),"")</f>
        <v>65677.255370302213</v>
      </c>
      <c r="F61" s="230" t="str">
        <f ca="1">IF(C61="Vacant","No",IF(AND(VLOOKUP(D61,'Employee Master'!A:F,6,FALSE)+360&lt;B$4,VLOOKUP(D61,'Employee Master'!A:F,6,FALSE)+360&lt;B55),"Yes","No"))</f>
        <v>Yes</v>
      </c>
      <c r="G61" s="229">
        <f ca="1">IF(C61="Vacant",VLOOKUP(A61,'Position Master'!B:D,3,FALSE),E61)*(1+IF(F61="Yes",F$8,0))</f>
        <v>67647.573031411288</v>
      </c>
      <c r="H61" s="245"/>
      <c r="I61" s="232"/>
      <c r="J61" s="233">
        <f t="shared" ca="1" si="0"/>
        <v>70353.475952667737</v>
      </c>
      <c r="K61" s="234"/>
      <c r="L61" s="235">
        <f t="shared" ca="1" si="1"/>
        <v>44743</v>
      </c>
      <c r="M61" s="236"/>
      <c r="N61" s="235">
        <f ca="1">IF(M61="",IFERROR(VLOOKUP($D61,'Employee Master'!$A:$F,6,FALSE)+365,""),M61)</f>
        <v>44779</v>
      </c>
      <c r="O61" s="249">
        <v>44926</v>
      </c>
      <c r="P61" s="235">
        <f t="shared" si="2"/>
        <v>44926</v>
      </c>
      <c r="Q61" s="237">
        <f t="shared" ca="1" si="3"/>
        <v>26</v>
      </c>
      <c r="R61" s="237">
        <f t="shared" ca="1" si="4"/>
        <v>105</v>
      </c>
      <c r="S61" s="237">
        <f t="shared" ca="1" si="5"/>
        <v>131</v>
      </c>
      <c r="T61" s="238">
        <f t="shared" ca="1" si="6"/>
        <v>69816.426517914544</v>
      </c>
      <c r="U61" s="229">
        <f t="shared" ca="1" si="7"/>
        <v>35041.961202478182</v>
      </c>
      <c r="V61" s="233">
        <f t="shared" ca="1" si="8"/>
        <v>0</v>
      </c>
      <c r="W61" s="246"/>
      <c r="X61" s="247"/>
      <c r="Y61" s="229">
        <f t="shared" ca="1" si="9"/>
        <v>70353.475952667737</v>
      </c>
      <c r="Z61" s="71"/>
      <c r="AA61" s="235">
        <f t="shared" ca="1" si="10"/>
        <v>44743</v>
      </c>
      <c r="AB61" s="71"/>
      <c r="AC61" s="235">
        <f ca="1">IF(AB61="",IFERROR(VLOOKUP($D61,'Employee Master'!$A:$F,6,FALSE)+365,""),AB61)</f>
        <v>44779</v>
      </c>
      <c r="AD61" s="234"/>
      <c r="AE61" s="235">
        <f t="shared" ca="1" si="11"/>
        <v>45107</v>
      </c>
      <c r="AF61" s="237">
        <f t="shared" ca="1" si="12"/>
        <v>26</v>
      </c>
      <c r="AG61" s="237">
        <f t="shared" ca="1" si="13"/>
        <v>235</v>
      </c>
      <c r="AH61" s="237">
        <f t="shared" ca="1" si="14"/>
        <v>261</v>
      </c>
      <c r="AI61" s="238">
        <f t="shared" ca="1" si="15"/>
        <v>70083.922404956364</v>
      </c>
      <c r="AJ61" s="229">
        <f t="shared" ca="1" si="16"/>
        <v>70083.922404956364</v>
      </c>
      <c r="AK61" s="233">
        <f t="shared" ca="1" si="17"/>
        <v>13208.123837857162</v>
      </c>
      <c r="AL61" s="248"/>
      <c r="AM61" s="233">
        <f t="shared" ca="1" si="18"/>
        <v>267.49588704181951</v>
      </c>
      <c r="AN61" s="233">
        <f t="shared" ca="1" si="19"/>
        <v>34774.465315436362</v>
      </c>
      <c r="AO61" s="233">
        <f t="shared" ca="1" si="20"/>
        <v>35041.961202478182</v>
      </c>
      <c r="AP61" s="233">
        <f t="shared" ca="1" si="21"/>
        <v>13208.123837857162</v>
      </c>
      <c r="AR61" s="226"/>
      <c r="AS61" s="226"/>
      <c r="AT61" s="226"/>
      <c r="AU61" s="226"/>
      <c r="AV61" s="226"/>
      <c r="AW61" s="226"/>
      <c r="AX61" s="226"/>
      <c r="AY61" s="226"/>
      <c r="AZ61" s="226"/>
      <c r="BA61" s="226"/>
      <c r="BB61" s="226"/>
      <c r="BC61" s="226"/>
      <c r="BD61" s="226"/>
      <c r="BE61" s="226"/>
      <c r="BF61" s="226"/>
      <c r="BN61" s="244" t="str">
        <f ca="1">IF('Budgeting Model'!C61="Vacant",'Budgeting Model'!AK61,"")</f>
        <v/>
      </c>
      <c r="BO61" s="195">
        <f t="shared" ca="1" si="22"/>
        <v>8</v>
      </c>
      <c r="BP61" s="195" t="str">
        <f t="shared" ca="1" si="23"/>
        <v/>
      </c>
    </row>
    <row r="62" spans="1:68" s="195" customFormat="1" ht="15" customHeight="1" thickBot="1">
      <c r="A62" s="227" t="s">
        <v>120</v>
      </c>
      <c r="B62" s="228" t="str">
        <f>IF(ISNA(VLOOKUP($A62,'Position Master'!B:C,2,FALSE)),"Missing",VLOOKUP($A62,'Position Master'!B:C,2,FALSE))</f>
        <v>Dept 6</v>
      </c>
      <c r="C62" s="211" t="str">
        <f ca="1">_xlfn.IFNA(INDEX('Employee Master'!$C:$C,MATCH($D62,'Employee Master'!$A:$A,0))&amp;", "&amp;INDEX('Employee Master'!$B:$B,MATCH($D62,'Employee Master'!$A:$A,0)),"Vacant")</f>
        <v>Vacant</v>
      </c>
      <c r="D62" s="211" t="str">
        <f>IF(INDEX('Position Master'!$A$7:$A$97,MATCH(A62,'Position Master'!$B$7:$B$97,0))=0,"Vacant",INDEX('Position Master'!$A$7:$A$97,MATCH(A62,'Position Master'!$B$7:$B$97,0)))</f>
        <v>Vacant</v>
      </c>
      <c r="E62" s="229" t="str">
        <f ca="1">IFERROR(VLOOKUP(D62,'Employee Master'!A:F,5,FALSE),"")</f>
        <v/>
      </c>
      <c r="F62" s="230" t="str">
        <f ca="1">IF(C62="Vacant","No",IF(AND(VLOOKUP(D62,'Employee Master'!A:F,6,FALSE)+360&lt;B$4,VLOOKUP(D62,'Employee Master'!A:F,6,FALSE)+360&lt;B56),"Yes","No"))</f>
        <v>No</v>
      </c>
      <c r="G62" s="229">
        <f ca="1">IF(C62="Vacant",VLOOKUP(A62,'Position Master'!B:D,3,FALSE),E62)*(1+IF(F62="Yes",F$8,0))</f>
        <v>95070.662689154677</v>
      </c>
      <c r="H62" s="245"/>
      <c r="I62" s="232"/>
      <c r="J62" s="233">
        <f t="shared" ca="1" si="0"/>
        <v>98873.489196720868</v>
      </c>
      <c r="K62" s="234"/>
      <c r="L62" s="235">
        <f t="shared" ca="1" si="1"/>
        <v>44833</v>
      </c>
      <c r="M62" s="236"/>
      <c r="N62" s="235" t="str">
        <f ca="1">IF(M62="",IFERROR(VLOOKUP($D62,'Employee Master'!$A:$F,6,FALSE)+365,""),M62)</f>
        <v/>
      </c>
      <c r="O62" s="71"/>
      <c r="P62" s="235">
        <f t="shared" ca="1" si="2"/>
        <v>45107</v>
      </c>
      <c r="Q62" s="237">
        <f t="shared" ca="1" si="3"/>
        <v>197</v>
      </c>
      <c r="R62" s="237">
        <f t="shared" ca="1" si="4"/>
        <v>0</v>
      </c>
      <c r="S62" s="237">
        <f t="shared" ca="1" si="5"/>
        <v>197</v>
      </c>
      <c r="T62" s="238">
        <f t="shared" ca="1" si="6"/>
        <v>95070.662689154677</v>
      </c>
      <c r="U62" s="229">
        <f t="shared" ca="1" si="7"/>
        <v>71758.31628261866</v>
      </c>
      <c r="V62" s="233">
        <f t="shared" ca="1" si="8"/>
        <v>71758.31628261866</v>
      </c>
      <c r="W62" s="246"/>
      <c r="X62" s="247"/>
      <c r="Y62" s="229">
        <f t="shared" ca="1" si="9"/>
        <v>98873.489196720868</v>
      </c>
      <c r="Z62" s="71"/>
      <c r="AA62" s="235">
        <f t="shared" ca="1" si="10"/>
        <v>44833</v>
      </c>
      <c r="AB62" s="71"/>
      <c r="AC62" s="235" t="str">
        <f ca="1">IF(AB62="",IFERROR(VLOOKUP($D62,'Employee Master'!$A:$F,6,FALSE)+365,""),AB62)</f>
        <v/>
      </c>
      <c r="AD62" s="234"/>
      <c r="AE62" s="235">
        <f t="shared" ca="1" si="11"/>
        <v>45107</v>
      </c>
      <c r="AF62" s="237">
        <f t="shared" ca="1" si="12"/>
        <v>197</v>
      </c>
      <c r="AG62" s="237">
        <f t="shared" ca="1" si="13"/>
        <v>0</v>
      </c>
      <c r="AH62" s="237">
        <f t="shared" ca="1" si="14"/>
        <v>197</v>
      </c>
      <c r="AI62" s="238">
        <f t="shared" ca="1" si="15"/>
        <v>95070.662689154677</v>
      </c>
      <c r="AJ62" s="229">
        <f t="shared" ca="1" si="16"/>
        <v>71758.31628261866</v>
      </c>
      <c r="AK62" s="233">
        <f t="shared" ca="1" si="17"/>
        <v>71758.31628261866</v>
      </c>
      <c r="AL62" s="248"/>
      <c r="AM62" s="233">
        <f t="shared" ca="1" si="18"/>
        <v>0</v>
      </c>
      <c r="AN62" s="233">
        <f t="shared" ca="1" si="19"/>
        <v>0</v>
      </c>
      <c r="AO62" s="233">
        <f t="shared" ca="1" si="20"/>
        <v>0</v>
      </c>
      <c r="AP62" s="233">
        <f t="shared" ca="1" si="21"/>
        <v>0</v>
      </c>
      <c r="AR62" s="226"/>
      <c r="AS62" s="226"/>
      <c r="AT62" s="226"/>
      <c r="AU62" s="226"/>
      <c r="AV62" s="226"/>
      <c r="AW62" s="226"/>
      <c r="AX62" s="226"/>
      <c r="AY62" s="226"/>
      <c r="AZ62" s="226"/>
      <c r="BA62" s="226"/>
      <c r="BB62" s="226"/>
      <c r="BC62" s="226"/>
      <c r="BD62" s="226"/>
      <c r="BE62" s="226"/>
      <c r="BF62" s="226"/>
      <c r="BN62" s="244">
        <f ca="1">IF('Budgeting Model'!C62="Vacant",'Budgeting Model'!AK62,"")</f>
        <v>71758.31628261866</v>
      </c>
      <c r="BO62" s="195" t="str">
        <f t="shared" ca="1" si="22"/>
        <v/>
      </c>
      <c r="BP62" s="195" t="str">
        <f t="shared" ca="1" si="23"/>
        <v/>
      </c>
    </row>
    <row r="63" spans="1:68" s="195" customFormat="1" ht="15" customHeight="1" thickBot="1">
      <c r="A63" s="227" t="s">
        <v>121</v>
      </c>
      <c r="B63" s="228" t="str">
        <f>IF(ISNA(VLOOKUP($A63,'Position Master'!B:C,2,FALSE)),"Missing",VLOOKUP($A63,'Position Master'!B:C,2,FALSE))</f>
        <v>Dept 9</v>
      </c>
      <c r="C63" s="211" t="str">
        <f ca="1">_xlfn.IFNA(INDEX('Employee Master'!$C:$C,MATCH($D63,'Employee Master'!$A:$A,0))&amp;", "&amp;INDEX('Employee Master'!$B:$B,MATCH($D63,'Employee Master'!$A:$A,0)),"Vacant")</f>
        <v>Lian, Fechar</v>
      </c>
      <c r="D63" s="211">
        <f>IF(INDEX('Position Master'!$A$7:$A$97,MATCH(A63,'Position Master'!$B$7:$B$97,0))=0,"Vacant",INDEX('Position Master'!$A$7:$A$97,MATCH(A63,'Position Master'!$B$7:$B$97,0)))</f>
        <v>6606821</v>
      </c>
      <c r="E63" s="229">
        <f ca="1">IFERROR(VLOOKUP(D63,'Employee Master'!A:F,5,FALSE),"")</f>
        <v>89622.015137677226</v>
      </c>
      <c r="F63" s="230" t="str">
        <f ca="1">IF(C63="Vacant","No",IF(AND(VLOOKUP(D63,'Employee Master'!A:F,6,FALSE)+360&lt;B$4,VLOOKUP(D63,'Employee Master'!A:F,6,FALSE)+360&lt;B57),"Yes","No"))</f>
        <v>Yes</v>
      </c>
      <c r="G63" s="229">
        <f ca="1">IF(C63="Vacant",VLOOKUP(A63,'Position Master'!B:D,3,FALSE),E63)*(1+IF(F63="Yes",F$8,0))</f>
        <v>92310.675591807551</v>
      </c>
      <c r="H63" s="245"/>
      <c r="I63" s="232"/>
      <c r="J63" s="233">
        <f t="shared" ca="1" si="0"/>
        <v>96003.10261547986</v>
      </c>
      <c r="K63" s="234"/>
      <c r="L63" s="235">
        <f t="shared" ca="1" si="1"/>
        <v>44743</v>
      </c>
      <c r="M63" s="236"/>
      <c r="N63" s="235">
        <f ca="1">IF(M63="",IFERROR(VLOOKUP($D63,'Employee Master'!$A:$F,6,FALSE)+365,""),M63)</f>
        <v>45021</v>
      </c>
      <c r="O63" s="71"/>
      <c r="P63" s="235">
        <f t="shared" ca="1" si="2"/>
        <v>45107</v>
      </c>
      <c r="Q63" s="237">
        <f t="shared" ca="1" si="3"/>
        <v>198</v>
      </c>
      <c r="R63" s="237">
        <f t="shared" ca="1" si="4"/>
        <v>63</v>
      </c>
      <c r="S63" s="237">
        <f t="shared" ca="1" si="5"/>
        <v>261</v>
      </c>
      <c r="T63" s="238">
        <f t="shared" ca="1" si="6"/>
        <v>93201.951080280181</v>
      </c>
      <c r="U63" s="229">
        <f t="shared" ca="1" si="7"/>
        <v>93201.951080280181</v>
      </c>
      <c r="V63" s="233">
        <f t="shared" ca="1" si="8"/>
        <v>18023.570989113075</v>
      </c>
      <c r="W63" s="246"/>
      <c r="X63" s="247"/>
      <c r="Y63" s="229">
        <f t="shared" ca="1" si="9"/>
        <v>96003.10261547986</v>
      </c>
      <c r="Z63" s="71"/>
      <c r="AA63" s="235">
        <f t="shared" ca="1" si="10"/>
        <v>44743</v>
      </c>
      <c r="AB63" s="71"/>
      <c r="AC63" s="235">
        <f ca="1">IF(AB63="",IFERROR(VLOOKUP($D63,'Employee Master'!$A:$F,6,FALSE)+365,""),AB63)</f>
        <v>45021</v>
      </c>
      <c r="AD63" s="234"/>
      <c r="AE63" s="235">
        <f t="shared" ca="1" si="11"/>
        <v>45107</v>
      </c>
      <c r="AF63" s="237">
        <f t="shared" ca="1" si="12"/>
        <v>198</v>
      </c>
      <c r="AG63" s="237">
        <f t="shared" ca="1" si="13"/>
        <v>63</v>
      </c>
      <c r="AH63" s="237">
        <f t="shared" ca="1" si="14"/>
        <v>261</v>
      </c>
      <c r="AI63" s="238">
        <f t="shared" ca="1" si="15"/>
        <v>93201.951080280181</v>
      </c>
      <c r="AJ63" s="229">
        <f t="shared" ca="1" si="16"/>
        <v>93201.951080280181</v>
      </c>
      <c r="AK63" s="233">
        <f t="shared" ca="1" si="17"/>
        <v>18023.570989113075</v>
      </c>
      <c r="AL63" s="248"/>
      <c r="AM63" s="233">
        <f t="shared" ca="1" si="18"/>
        <v>0</v>
      </c>
      <c r="AN63" s="233">
        <f t="shared" ca="1" si="19"/>
        <v>0</v>
      </c>
      <c r="AO63" s="233">
        <f t="shared" ca="1" si="20"/>
        <v>0</v>
      </c>
      <c r="AP63" s="233">
        <f t="shared" ca="1" si="21"/>
        <v>0</v>
      </c>
      <c r="AR63" s="226"/>
      <c r="AS63" s="226"/>
      <c r="AT63" s="226"/>
      <c r="AU63" s="226"/>
      <c r="AV63" s="226"/>
      <c r="AW63" s="226"/>
      <c r="AX63" s="226"/>
      <c r="AY63" s="226"/>
      <c r="AZ63" s="226"/>
      <c r="BA63" s="226"/>
      <c r="BB63" s="226"/>
      <c r="BC63" s="226"/>
      <c r="BD63" s="226"/>
      <c r="BE63" s="226"/>
      <c r="BF63" s="226"/>
      <c r="BN63" s="244" t="str">
        <f ca="1">IF('Budgeting Model'!C63="Vacant",'Budgeting Model'!AK63,"")</f>
        <v/>
      </c>
      <c r="BO63" s="195">
        <f t="shared" ca="1" si="22"/>
        <v>4</v>
      </c>
      <c r="BP63" s="195" t="str">
        <f t="shared" ca="1" si="23"/>
        <v/>
      </c>
    </row>
    <row r="64" spans="1:68" s="195" customFormat="1" ht="15" customHeight="1" thickBot="1">
      <c r="A64" s="227" t="s">
        <v>122</v>
      </c>
      <c r="B64" s="228" t="str">
        <f>IF(ISNA(VLOOKUP($A64,'Position Master'!B:C,2,FALSE)),"Missing",VLOOKUP($A64,'Position Master'!B:C,2,FALSE))</f>
        <v>Dept 2</v>
      </c>
      <c r="C64" s="211" t="str">
        <f ca="1">_xlfn.IFNA(INDEX('Employee Master'!$C:$C,MATCH($D64,'Employee Master'!$A:$A,0))&amp;", "&amp;INDEX('Employee Master'!$B:$B,MATCH($D64,'Employee Master'!$A:$A,0)),"Vacant")</f>
        <v>Liang, Romel</v>
      </c>
      <c r="D64" s="211">
        <f>IF(INDEX('Position Master'!$A$7:$A$97,MATCH(A64,'Position Master'!$B$7:$B$97,0))=0,"Vacant",INDEX('Position Master'!$A$7:$A$97,MATCH(A64,'Position Master'!$B$7:$B$97,0)))</f>
        <v>6669387</v>
      </c>
      <c r="E64" s="229">
        <f ca="1">IFERROR(VLOOKUP(D64,'Employee Master'!A:F,5,FALSE),"")</f>
        <v>76365.258444293722</v>
      </c>
      <c r="F64" s="230" t="str">
        <f ca="1">IF(C64="Vacant","No",IF(AND(VLOOKUP(D64,'Employee Master'!A:F,6,FALSE)+360&lt;B$4,VLOOKUP(D64,'Employee Master'!A:F,6,FALSE)+360&lt;B58),"Yes","No"))</f>
        <v>No</v>
      </c>
      <c r="G64" s="229">
        <f ca="1">IF(C64="Vacant",VLOOKUP(A64,'Position Master'!B:D,3,FALSE),E64)*(1+IF(F64="Yes",F$8,0))</f>
        <v>76365.258444293722</v>
      </c>
      <c r="H64" s="245"/>
      <c r="I64" s="232"/>
      <c r="J64" s="233">
        <f t="shared" ca="1" si="0"/>
        <v>79419.868782065474</v>
      </c>
      <c r="K64" s="234"/>
      <c r="L64" s="235">
        <f t="shared" ca="1" si="1"/>
        <v>44743</v>
      </c>
      <c r="M64" s="236"/>
      <c r="N64" s="235">
        <f ca="1">IF(M64="",IFERROR(VLOOKUP($D64,'Employee Master'!$A:$F,6,FALSE)+365,""),M64)</f>
        <v>45087</v>
      </c>
      <c r="O64" s="71"/>
      <c r="P64" s="235">
        <f t="shared" ca="1" si="2"/>
        <v>45107</v>
      </c>
      <c r="Q64" s="237">
        <f t="shared" ca="1" si="3"/>
        <v>246</v>
      </c>
      <c r="R64" s="237">
        <f t="shared" ca="1" si="4"/>
        <v>15</v>
      </c>
      <c r="S64" s="237">
        <f t="shared" ca="1" si="5"/>
        <v>261</v>
      </c>
      <c r="T64" s="238">
        <f t="shared" ca="1" si="6"/>
        <v>76540.810762556459</v>
      </c>
      <c r="U64" s="229">
        <f t="shared" ca="1" si="7"/>
        <v>76540.810762556459</v>
      </c>
      <c r="V64" s="233">
        <f t="shared" ca="1" si="8"/>
        <v>14512.324976386852</v>
      </c>
      <c r="W64" s="246"/>
      <c r="X64" s="247"/>
      <c r="Y64" s="229">
        <f t="shared" ca="1" si="9"/>
        <v>79419.868782065474</v>
      </c>
      <c r="Z64" s="71"/>
      <c r="AA64" s="235">
        <f t="shared" ca="1" si="10"/>
        <v>44743</v>
      </c>
      <c r="AB64" s="249">
        <v>44844</v>
      </c>
      <c r="AC64" s="235">
        <f>IF(AB64="",IFERROR(VLOOKUP($D64,'Employee Master'!$A:$F,6,FALSE)+365,""),AB64)</f>
        <v>44844</v>
      </c>
      <c r="AD64" s="234"/>
      <c r="AE64" s="235">
        <f t="shared" ca="1" si="11"/>
        <v>45107</v>
      </c>
      <c r="AF64" s="237">
        <f t="shared" ca="1" si="12"/>
        <v>71</v>
      </c>
      <c r="AG64" s="237">
        <f t="shared" ca="1" si="13"/>
        <v>190</v>
      </c>
      <c r="AH64" s="237">
        <f t="shared" ca="1" si="14"/>
        <v>261</v>
      </c>
      <c r="AI64" s="238">
        <f t="shared" ca="1" si="15"/>
        <v>78588.921142288484</v>
      </c>
      <c r="AJ64" s="229">
        <f t="shared" ca="1" si="16"/>
        <v>78588.921142288484</v>
      </c>
      <c r="AK64" s="233">
        <f t="shared" ca="1" si="17"/>
        <v>14910.243564449074</v>
      </c>
      <c r="AL64" s="248"/>
      <c r="AM64" s="233">
        <f t="shared" ca="1" si="18"/>
        <v>2048.1103797320247</v>
      </c>
      <c r="AN64" s="233">
        <f t="shared" ca="1" si="19"/>
        <v>0</v>
      </c>
      <c r="AO64" s="233">
        <f t="shared" ca="1" si="20"/>
        <v>2048.1103797320247</v>
      </c>
      <c r="AP64" s="233">
        <f t="shared" ca="1" si="21"/>
        <v>397.91858806222263</v>
      </c>
      <c r="AR64" s="226"/>
      <c r="AS64" s="226"/>
      <c r="AT64" s="226"/>
      <c r="AU64" s="226"/>
      <c r="AV64" s="226"/>
      <c r="AW64" s="226"/>
      <c r="AX64" s="226"/>
      <c r="AY64" s="226"/>
      <c r="AZ64" s="226"/>
      <c r="BA64" s="226"/>
      <c r="BB64" s="226"/>
      <c r="BC64" s="226"/>
      <c r="BD64" s="226"/>
      <c r="BE64" s="226"/>
      <c r="BF64" s="226"/>
      <c r="BN64" s="244" t="str">
        <f ca="1">IF('Budgeting Model'!C64="Vacant",'Budgeting Model'!AK64,"")</f>
        <v/>
      </c>
      <c r="BO64" s="195">
        <f t="shared" ca="1" si="22"/>
        <v>6</v>
      </c>
      <c r="BP64" s="195" t="str">
        <f t="shared" ca="1" si="23"/>
        <v/>
      </c>
    </row>
    <row r="65" spans="1:68" s="195" customFormat="1" ht="15" customHeight="1" thickBot="1">
      <c r="A65" s="227" t="s">
        <v>123</v>
      </c>
      <c r="B65" s="228" t="str">
        <f>IF(ISNA(VLOOKUP($A65,'Position Master'!B:C,2,FALSE)),"Missing",VLOOKUP($A65,'Position Master'!B:C,2,FALSE))</f>
        <v>Dept 1</v>
      </c>
      <c r="C65" s="211" t="str">
        <f ca="1">_xlfn.IFNA(INDEX('Employee Master'!$C:$C,MATCH($D65,'Employee Master'!$A:$A,0))&amp;", "&amp;INDEX('Employee Master'!$B:$B,MATCH($D65,'Employee Master'!$A:$A,0)),"Vacant")</f>
        <v>Vacant</v>
      </c>
      <c r="D65" s="211" t="str">
        <f>IF(INDEX('Position Master'!$A$7:$A$97,MATCH(A65,'Position Master'!$B$7:$B$97,0))=0,"Vacant",INDEX('Position Master'!$A$7:$A$97,MATCH(A65,'Position Master'!$B$7:$B$97,0)))</f>
        <v>Vacant</v>
      </c>
      <c r="E65" s="229" t="str">
        <f ca="1">IFERROR(VLOOKUP(D65,'Employee Master'!A:F,5,FALSE),"")</f>
        <v/>
      </c>
      <c r="F65" s="230" t="str">
        <f ca="1">IF(C65="Vacant","No",IF(AND(VLOOKUP(D65,'Employee Master'!A:F,6,FALSE)+360&lt;B$4,VLOOKUP(D65,'Employee Master'!A:F,6,FALSE)+360&lt;B59),"Yes","No"))</f>
        <v>No</v>
      </c>
      <c r="G65" s="229">
        <f ca="1">IF(C65="Vacant",VLOOKUP(A65,'Position Master'!B:D,3,FALSE),E65)*(1+IF(F65="Yes",F$8,0))</f>
        <v>48278.142712785993</v>
      </c>
      <c r="H65" s="245"/>
      <c r="I65" s="232"/>
      <c r="J65" s="233">
        <f t="shared" ca="1" si="0"/>
        <v>50209.268421297435</v>
      </c>
      <c r="K65" s="234"/>
      <c r="L65" s="235">
        <f t="shared" ca="1" si="1"/>
        <v>44833</v>
      </c>
      <c r="M65" s="236"/>
      <c r="N65" s="235" t="str">
        <f ca="1">IF(M65="",IFERROR(VLOOKUP($D65,'Employee Master'!$A:$F,6,FALSE)+365,""),M65)</f>
        <v/>
      </c>
      <c r="O65" s="71"/>
      <c r="P65" s="235">
        <f t="shared" ca="1" si="2"/>
        <v>45107</v>
      </c>
      <c r="Q65" s="237">
        <f t="shared" ca="1" si="3"/>
        <v>197</v>
      </c>
      <c r="R65" s="237">
        <f t="shared" ca="1" si="4"/>
        <v>0</v>
      </c>
      <c r="S65" s="237">
        <f t="shared" ca="1" si="5"/>
        <v>197</v>
      </c>
      <c r="T65" s="238">
        <f t="shared" ca="1" si="6"/>
        <v>48278.142712785993</v>
      </c>
      <c r="U65" s="229">
        <f t="shared" ca="1" si="7"/>
        <v>36439.824193175635</v>
      </c>
      <c r="V65" s="233">
        <f t="shared" ca="1" si="8"/>
        <v>36439.824193175635</v>
      </c>
      <c r="W65" s="246"/>
      <c r="X65" s="247"/>
      <c r="Y65" s="229">
        <f t="shared" ca="1" si="9"/>
        <v>50209.268421297435</v>
      </c>
      <c r="Z65" s="71"/>
      <c r="AA65" s="235">
        <f t="shared" ca="1" si="10"/>
        <v>44833</v>
      </c>
      <c r="AB65" s="71"/>
      <c r="AC65" s="235" t="str">
        <f ca="1">IF(AB65="",IFERROR(VLOOKUP($D65,'Employee Master'!$A:$F,6,FALSE)+365,""),AB65)</f>
        <v/>
      </c>
      <c r="AD65" s="234"/>
      <c r="AE65" s="235">
        <f t="shared" ca="1" si="11"/>
        <v>45107</v>
      </c>
      <c r="AF65" s="237">
        <f t="shared" ca="1" si="12"/>
        <v>197</v>
      </c>
      <c r="AG65" s="237">
        <f t="shared" ca="1" si="13"/>
        <v>0</v>
      </c>
      <c r="AH65" s="237">
        <f t="shared" ca="1" si="14"/>
        <v>197</v>
      </c>
      <c r="AI65" s="238">
        <f t="shared" ca="1" si="15"/>
        <v>48278.142712785993</v>
      </c>
      <c r="AJ65" s="229">
        <f t="shared" ca="1" si="16"/>
        <v>36439.824193175635</v>
      </c>
      <c r="AK65" s="233">
        <f t="shared" ca="1" si="17"/>
        <v>36439.824193175635</v>
      </c>
      <c r="AL65" s="248"/>
      <c r="AM65" s="233">
        <f t="shared" ca="1" si="18"/>
        <v>0</v>
      </c>
      <c r="AN65" s="233">
        <f t="shared" ca="1" si="19"/>
        <v>0</v>
      </c>
      <c r="AO65" s="233">
        <f t="shared" ca="1" si="20"/>
        <v>0</v>
      </c>
      <c r="AP65" s="233">
        <f t="shared" ca="1" si="21"/>
        <v>0</v>
      </c>
      <c r="AR65" s="226"/>
      <c r="AS65" s="226"/>
      <c r="AT65" s="226"/>
      <c r="AU65" s="226"/>
      <c r="AV65" s="226"/>
      <c r="AW65" s="226"/>
      <c r="AX65" s="226"/>
      <c r="AY65" s="226"/>
      <c r="AZ65" s="226"/>
      <c r="BA65" s="226"/>
      <c r="BB65" s="226"/>
      <c r="BC65" s="226"/>
      <c r="BD65" s="226"/>
      <c r="BE65" s="226"/>
      <c r="BF65" s="226"/>
      <c r="BN65" s="244">
        <f ca="1">IF('Budgeting Model'!C65="Vacant",'Budgeting Model'!AK65,"")</f>
        <v>36439.824193175635</v>
      </c>
      <c r="BO65" s="195" t="str">
        <f t="shared" ca="1" si="22"/>
        <v/>
      </c>
      <c r="BP65" s="195" t="str">
        <f t="shared" ca="1" si="23"/>
        <v/>
      </c>
    </row>
    <row r="66" spans="1:68" s="195" customFormat="1" ht="15" customHeight="1" thickBot="1">
      <c r="A66" s="227" t="s">
        <v>124</v>
      </c>
      <c r="B66" s="228" t="str">
        <f>IF(ISNA(VLOOKUP($A66,'Position Master'!B:C,2,FALSE)),"Missing",VLOOKUP($A66,'Position Master'!B:C,2,FALSE))</f>
        <v>Dept 10</v>
      </c>
      <c r="C66" s="211" t="str">
        <f ca="1">_xlfn.IFNA(INDEX('Employee Master'!$C:$C,MATCH($D66,'Employee Master'!$A:$A,0))&amp;", "&amp;INDEX('Employee Master'!$B:$B,MATCH($D66,'Employee Master'!$A:$A,0)),"Vacant")</f>
        <v>Lieberman, Bellamy</v>
      </c>
      <c r="D66" s="211">
        <f>IF(INDEX('Position Master'!$A$7:$A$97,MATCH(A66,'Position Master'!$B$7:$B$97,0))=0,"Vacant",INDEX('Position Master'!$A$7:$A$97,MATCH(A66,'Position Master'!$B$7:$B$97,0)))</f>
        <v>6768299</v>
      </c>
      <c r="E66" s="229">
        <f ca="1">IFERROR(VLOOKUP(D66,'Employee Master'!A:F,5,FALSE),"")</f>
        <v>54533.282461792362</v>
      </c>
      <c r="F66" s="230" t="str">
        <f ca="1">IF(C66="Vacant","No",IF(AND(VLOOKUP(D66,'Employee Master'!A:F,6,FALSE)+360&lt;B$4,VLOOKUP(D66,'Employee Master'!A:F,6,FALSE)+360&lt;B60),"Yes","No"))</f>
        <v>No</v>
      </c>
      <c r="G66" s="229">
        <f ca="1">IF(C66="Vacant",VLOOKUP(A66,'Position Master'!B:D,3,FALSE),E66)*(1+IF(F66="Yes",F$8,0))</f>
        <v>54533.282461792362</v>
      </c>
      <c r="H66" s="245"/>
      <c r="I66" s="232"/>
      <c r="J66" s="233">
        <f t="shared" ca="1" si="0"/>
        <v>56714.613760264059</v>
      </c>
      <c r="K66" s="234"/>
      <c r="L66" s="235">
        <f t="shared" ca="1" si="1"/>
        <v>44743</v>
      </c>
      <c r="M66" s="236"/>
      <c r="N66" s="235">
        <f ca="1">IF(M66="",IFERROR(VLOOKUP($D66,'Employee Master'!$A:$F,6,FALSE)+365,""),M66)</f>
        <v>45100</v>
      </c>
      <c r="O66" s="71"/>
      <c r="P66" s="235">
        <f t="shared" ca="1" si="2"/>
        <v>45107</v>
      </c>
      <c r="Q66" s="237">
        <f t="shared" ca="1" si="3"/>
        <v>255</v>
      </c>
      <c r="R66" s="237">
        <f t="shared" ca="1" si="4"/>
        <v>6</v>
      </c>
      <c r="S66" s="237">
        <f t="shared" ca="1" si="5"/>
        <v>261</v>
      </c>
      <c r="T66" s="238">
        <f t="shared" ca="1" si="6"/>
        <v>54583.428008883668</v>
      </c>
      <c r="U66" s="229">
        <f t="shared" ca="1" si="7"/>
        <v>54583.428008883668</v>
      </c>
      <c r="V66" s="233">
        <f t="shared" ca="1" si="8"/>
        <v>10288.194744899065</v>
      </c>
      <c r="W66" s="246"/>
      <c r="X66" s="247"/>
      <c r="Y66" s="229">
        <f t="shared" ca="1" si="9"/>
        <v>56714.613760264059</v>
      </c>
      <c r="Z66" s="71"/>
      <c r="AA66" s="235">
        <f t="shared" ca="1" si="10"/>
        <v>44743</v>
      </c>
      <c r="AB66" s="71"/>
      <c r="AC66" s="235">
        <f ca="1">IF(AB66="",IFERROR(VLOOKUP($D66,'Employee Master'!$A:$F,6,FALSE)+365,""),AB66)</f>
        <v>45100</v>
      </c>
      <c r="AD66" s="234"/>
      <c r="AE66" s="235">
        <f t="shared" ca="1" si="11"/>
        <v>45107</v>
      </c>
      <c r="AF66" s="237">
        <f t="shared" ca="1" si="12"/>
        <v>255</v>
      </c>
      <c r="AG66" s="237">
        <f t="shared" ca="1" si="13"/>
        <v>6</v>
      </c>
      <c r="AH66" s="237">
        <f t="shared" ca="1" si="14"/>
        <v>261</v>
      </c>
      <c r="AI66" s="238">
        <f t="shared" ca="1" si="15"/>
        <v>54583.428008883668</v>
      </c>
      <c r="AJ66" s="229">
        <f t="shared" ca="1" si="16"/>
        <v>54583.428008883668</v>
      </c>
      <c r="AK66" s="233">
        <f t="shared" ca="1" si="17"/>
        <v>10288.194744899065</v>
      </c>
      <c r="AL66" s="248"/>
      <c r="AM66" s="233">
        <f t="shared" ca="1" si="18"/>
        <v>0</v>
      </c>
      <c r="AN66" s="233">
        <f t="shared" ca="1" si="19"/>
        <v>0</v>
      </c>
      <c r="AO66" s="233">
        <f t="shared" ca="1" si="20"/>
        <v>0</v>
      </c>
      <c r="AP66" s="233">
        <f t="shared" ca="1" si="21"/>
        <v>0</v>
      </c>
      <c r="AR66" s="226"/>
      <c r="AS66" s="226"/>
      <c r="AT66" s="226"/>
      <c r="AU66" s="226"/>
      <c r="AV66" s="226"/>
      <c r="AW66" s="226"/>
      <c r="AX66" s="226"/>
      <c r="AY66" s="226"/>
      <c r="AZ66" s="226"/>
      <c r="BA66" s="226"/>
      <c r="BB66" s="226"/>
      <c r="BC66" s="226"/>
      <c r="BD66" s="226"/>
      <c r="BE66" s="226"/>
      <c r="BF66" s="226"/>
      <c r="BN66" s="244" t="str">
        <f ca="1">IF('Budgeting Model'!C66="Vacant",'Budgeting Model'!AK66,"")</f>
        <v/>
      </c>
      <c r="BO66" s="195">
        <f t="shared" ca="1" si="22"/>
        <v>6</v>
      </c>
      <c r="BP66" s="195" t="str">
        <f t="shared" ca="1" si="23"/>
        <v/>
      </c>
    </row>
    <row r="67" spans="1:68" s="195" customFormat="1" ht="15" customHeight="1" thickBot="1">
      <c r="A67" s="227" t="s">
        <v>125</v>
      </c>
      <c r="B67" s="228" t="str">
        <f>IF(ISNA(VLOOKUP($A67,'Position Master'!B:C,2,FALSE)),"Missing",VLOOKUP($A67,'Position Master'!B:C,2,FALSE))</f>
        <v>Dept 13</v>
      </c>
      <c r="C67" s="211" t="str">
        <f ca="1">_xlfn.IFNA(INDEX('Employee Master'!$C:$C,MATCH($D67,'Employee Master'!$A:$A,0))&amp;", "&amp;INDEX('Employee Master'!$B:$B,MATCH($D67,'Employee Master'!$A:$A,0)),"Vacant")</f>
        <v>Vacant</v>
      </c>
      <c r="D67" s="211" t="str">
        <f>IF(INDEX('Position Master'!$A$7:$A$97,MATCH(A67,'Position Master'!$B$7:$B$97,0))=0,"Vacant",INDEX('Position Master'!$A$7:$A$97,MATCH(A67,'Position Master'!$B$7:$B$97,0)))</f>
        <v>Vacant</v>
      </c>
      <c r="E67" s="229" t="str">
        <f ca="1">IFERROR(VLOOKUP(D67,'Employee Master'!A:F,5,FALSE),"")</f>
        <v/>
      </c>
      <c r="F67" s="230" t="str">
        <f ca="1">IF(C67="Vacant","No",IF(AND(VLOOKUP(D67,'Employee Master'!A:F,6,FALSE)+360&lt;B$4,VLOOKUP(D67,'Employee Master'!A:F,6,FALSE)+360&lt;B61),"Yes","No"))</f>
        <v>No</v>
      </c>
      <c r="G67" s="229">
        <f ca="1">IF(C67="Vacant",VLOOKUP(A67,'Position Master'!B:D,3,FALSE),E67)*(1+IF(F67="Yes",F$8,0))</f>
        <v>53101.517268436117</v>
      </c>
      <c r="H67" s="245"/>
      <c r="I67" s="232"/>
      <c r="J67" s="233">
        <f t="shared" ca="1" si="0"/>
        <v>55225.577959173563</v>
      </c>
      <c r="K67" s="234"/>
      <c r="L67" s="235">
        <f t="shared" ca="1" si="1"/>
        <v>44833</v>
      </c>
      <c r="M67" s="236"/>
      <c r="N67" s="235" t="str">
        <f ca="1">IF(M67="",IFERROR(VLOOKUP($D67,'Employee Master'!$A:$F,6,FALSE)+365,""),M67)</f>
        <v/>
      </c>
      <c r="O67" s="71"/>
      <c r="P67" s="235">
        <f t="shared" ca="1" si="2"/>
        <v>45107</v>
      </c>
      <c r="Q67" s="237">
        <f t="shared" ca="1" si="3"/>
        <v>197</v>
      </c>
      <c r="R67" s="237">
        <f t="shared" ca="1" si="4"/>
        <v>0</v>
      </c>
      <c r="S67" s="237">
        <f t="shared" ca="1" si="5"/>
        <v>197</v>
      </c>
      <c r="T67" s="238">
        <f t="shared" ca="1" si="6"/>
        <v>53101.517268436117</v>
      </c>
      <c r="U67" s="229">
        <f t="shared" ca="1" si="7"/>
        <v>40080.455562765957</v>
      </c>
      <c r="V67" s="233">
        <f t="shared" ca="1" si="8"/>
        <v>40080.455562765957</v>
      </c>
      <c r="W67" s="246"/>
      <c r="X67" s="247"/>
      <c r="Y67" s="229">
        <f t="shared" ca="1" si="9"/>
        <v>55225.577959173563</v>
      </c>
      <c r="Z67" s="71"/>
      <c r="AA67" s="235">
        <f t="shared" ca="1" si="10"/>
        <v>44833</v>
      </c>
      <c r="AB67" s="71"/>
      <c r="AC67" s="235" t="str">
        <f ca="1">IF(AB67="",IFERROR(VLOOKUP($D67,'Employee Master'!$A:$F,6,FALSE)+365,""),AB67)</f>
        <v/>
      </c>
      <c r="AD67" s="234"/>
      <c r="AE67" s="235">
        <f t="shared" ca="1" si="11"/>
        <v>45107</v>
      </c>
      <c r="AF67" s="237">
        <f t="shared" ca="1" si="12"/>
        <v>197</v>
      </c>
      <c r="AG67" s="237">
        <f t="shared" ca="1" si="13"/>
        <v>0</v>
      </c>
      <c r="AH67" s="237">
        <f t="shared" ca="1" si="14"/>
        <v>197</v>
      </c>
      <c r="AI67" s="238">
        <f t="shared" ca="1" si="15"/>
        <v>53101.517268436117</v>
      </c>
      <c r="AJ67" s="229">
        <f t="shared" ca="1" si="16"/>
        <v>40080.455562765957</v>
      </c>
      <c r="AK67" s="233">
        <f t="shared" ca="1" si="17"/>
        <v>40080.455562765957</v>
      </c>
      <c r="AL67" s="248"/>
      <c r="AM67" s="233">
        <f t="shared" ca="1" si="18"/>
        <v>0</v>
      </c>
      <c r="AN67" s="233">
        <f t="shared" ca="1" si="19"/>
        <v>0</v>
      </c>
      <c r="AO67" s="233">
        <f t="shared" ca="1" si="20"/>
        <v>0</v>
      </c>
      <c r="AP67" s="233">
        <f t="shared" ca="1" si="21"/>
        <v>0</v>
      </c>
      <c r="AR67" s="226"/>
      <c r="AS67" s="226"/>
      <c r="AT67" s="226"/>
      <c r="AU67" s="226"/>
      <c r="AV67" s="226"/>
      <c r="AW67" s="226"/>
      <c r="AX67" s="226"/>
      <c r="AY67" s="226"/>
      <c r="AZ67" s="226"/>
      <c r="BA67" s="226"/>
      <c r="BB67" s="226"/>
      <c r="BC67" s="226"/>
      <c r="BD67" s="226"/>
      <c r="BE67" s="226"/>
      <c r="BF67" s="226"/>
      <c r="BN67" s="244">
        <f ca="1">IF('Budgeting Model'!C67="Vacant",'Budgeting Model'!AK67,"")</f>
        <v>40080.455562765957</v>
      </c>
      <c r="BO67" s="195" t="str">
        <f t="shared" ca="1" si="22"/>
        <v/>
      </c>
      <c r="BP67" s="195" t="str">
        <f t="shared" ca="1" si="23"/>
        <v/>
      </c>
    </row>
    <row r="68" spans="1:68" s="195" customFormat="1" ht="15" customHeight="1" thickBot="1">
      <c r="A68" s="227" t="s">
        <v>126</v>
      </c>
      <c r="B68" s="228" t="str">
        <f>IF(ISNA(VLOOKUP($A68,'Position Master'!B:C,2,FALSE)),"Missing",VLOOKUP($A68,'Position Master'!B:C,2,FALSE))</f>
        <v>Dept 8</v>
      </c>
      <c r="C68" s="211" t="str">
        <f ca="1">_xlfn.IFNA(INDEX('Employee Master'!$C:$C,MATCH($D68,'Employee Master'!$A:$A,0))&amp;", "&amp;INDEX('Employee Master'!$B:$B,MATCH($D68,'Employee Master'!$A:$A,0)),"Vacant")</f>
        <v>Lin, Shirley</v>
      </c>
      <c r="D68" s="211">
        <f>IF(INDEX('Position Master'!$A$7:$A$97,MATCH(A68,'Position Master'!$B$7:$B$97,0))=0,"Vacant",INDEX('Position Master'!$A$7:$A$97,MATCH(A68,'Position Master'!$B$7:$B$97,0)))</f>
        <v>6878675</v>
      </c>
      <c r="E68" s="229">
        <f ca="1">IFERROR(VLOOKUP(D68,'Employee Master'!A:F,5,FALSE),"")</f>
        <v>65832.741189585315</v>
      </c>
      <c r="F68" s="230" t="str">
        <f ca="1">IF(C68="Vacant","No",IF(AND(VLOOKUP(D68,'Employee Master'!A:F,6,FALSE)+360&lt;B$4,VLOOKUP(D68,'Employee Master'!A:F,6,FALSE)+360&lt;B62),"Yes","No"))</f>
        <v>Yes</v>
      </c>
      <c r="G68" s="229">
        <f ca="1">IF(C68="Vacant",VLOOKUP(A68,'Position Master'!B:D,3,FALSE),E68)*(1+IF(F68="Yes",F$8,0))</f>
        <v>67807.723425272881</v>
      </c>
      <c r="H68" s="245"/>
      <c r="I68" s="232"/>
      <c r="J68" s="233">
        <f t="shared" ca="1" si="0"/>
        <v>70520.032362283804</v>
      </c>
      <c r="K68" s="234"/>
      <c r="L68" s="235">
        <f t="shared" ca="1" si="1"/>
        <v>44743</v>
      </c>
      <c r="M68" s="236"/>
      <c r="N68" s="235">
        <f ca="1">IF(M68="",IFERROR(VLOOKUP($D68,'Employee Master'!$A:$F,6,FALSE)+365,""),M68)</f>
        <v>44980</v>
      </c>
      <c r="O68" s="71"/>
      <c r="P68" s="235">
        <f t="shared" ca="1" si="2"/>
        <v>45107</v>
      </c>
      <c r="Q68" s="237">
        <f t="shared" ca="1" si="3"/>
        <v>169</v>
      </c>
      <c r="R68" s="237">
        <f t="shared" ca="1" si="4"/>
        <v>92</v>
      </c>
      <c r="S68" s="237">
        <f t="shared" ca="1" si="5"/>
        <v>261</v>
      </c>
      <c r="T68" s="238">
        <f t="shared" ca="1" si="6"/>
        <v>68763.786345598579</v>
      </c>
      <c r="U68" s="229">
        <f t="shared" ca="1" si="7"/>
        <v>68763.786345598579</v>
      </c>
      <c r="V68" s="233">
        <f t="shared" ca="1" si="8"/>
        <v>13239.393048857879</v>
      </c>
      <c r="W68" s="246"/>
      <c r="X68" s="247"/>
      <c r="Y68" s="229">
        <f t="shared" ca="1" si="9"/>
        <v>70520.032362283804</v>
      </c>
      <c r="Z68" s="71"/>
      <c r="AA68" s="235">
        <f t="shared" ca="1" si="10"/>
        <v>44743</v>
      </c>
      <c r="AB68" s="71"/>
      <c r="AC68" s="235">
        <f ca="1">IF(AB68="",IFERROR(VLOOKUP($D68,'Employee Master'!$A:$F,6,FALSE)+365,""),AB68)</f>
        <v>44980</v>
      </c>
      <c r="AD68" s="234"/>
      <c r="AE68" s="235">
        <f t="shared" ca="1" si="11"/>
        <v>45107</v>
      </c>
      <c r="AF68" s="237">
        <f t="shared" ca="1" si="12"/>
        <v>169</v>
      </c>
      <c r="AG68" s="237">
        <f t="shared" ca="1" si="13"/>
        <v>92</v>
      </c>
      <c r="AH68" s="237">
        <f t="shared" ca="1" si="14"/>
        <v>261</v>
      </c>
      <c r="AI68" s="238">
        <f t="shared" ca="1" si="15"/>
        <v>68763.786345598579</v>
      </c>
      <c r="AJ68" s="229">
        <f t="shared" ca="1" si="16"/>
        <v>68763.786345598579</v>
      </c>
      <c r="AK68" s="233">
        <f t="shared" ca="1" si="17"/>
        <v>13239.393048857879</v>
      </c>
      <c r="AL68" s="248"/>
      <c r="AM68" s="233">
        <f t="shared" ca="1" si="18"/>
        <v>0</v>
      </c>
      <c r="AN68" s="233">
        <f t="shared" ca="1" si="19"/>
        <v>0</v>
      </c>
      <c r="AO68" s="233">
        <f t="shared" ca="1" si="20"/>
        <v>0</v>
      </c>
      <c r="AP68" s="233">
        <f t="shared" ca="1" si="21"/>
        <v>0</v>
      </c>
      <c r="AR68" s="226"/>
      <c r="AS68" s="226"/>
      <c r="AT68" s="226"/>
      <c r="AU68" s="226"/>
      <c r="AV68" s="226"/>
      <c r="AW68" s="226"/>
      <c r="AX68" s="226"/>
      <c r="AY68" s="226"/>
      <c r="AZ68" s="226"/>
      <c r="BA68" s="226"/>
      <c r="BB68" s="226"/>
      <c r="BC68" s="226"/>
      <c r="BD68" s="226"/>
      <c r="BE68" s="226"/>
      <c r="BF68" s="226"/>
      <c r="BN68" s="244" t="str">
        <f ca="1">IF('Budgeting Model'!C68="Vacant",'Budgeting Model'!AK68,"")</f>
        <v/>
      </c>
      <c r="BO68" s="195">
        <f t="shared" ca="1" si="22"/>
        <v>2</v>
      </c>
      <c r="BP68" s="195">
        <f t="shared" ca="1" si="23"/>
        <v>65832.741189585315</v>
      </c>
    </row>
    <row r="69" spans="1:68" s="195" customFormat="1" ht="15" customHeight="1" thickBot="1">
      <c r="A69" s="227" t="s">
        <v>127</v>
      </c>
      <c r="B69" s="228" t="str">
        <f>IF(ISNA(VLOOKUP($A69,'Position Master'!B:C,2,FALSE)),"Missing",VLOOKUP($A69,'Position Master'!B:C,2,FALSE))</f>
        <v>Dept 14</v>
      </c>
      <c r="C69" s="211" t="str">
        <f ca="1">_xlfn.IFNA(INDEX('Employee Master'!$C:$C,MATCH($D69,'Employee Master'!$A:$A,0))&amp;", "&amp;INDEX('Employee Master'!$B:$B,MATCH($D69,'Employee Master'!$A:$A,0)),"Vacant")</f>
        <v>Louadah, Joel</v>
      </c>
      <c r="D69" s="211">
        <f>IF(INDEX('Position Master'!$A$7:$A$97,MATCH(A69,'Position Master'!$B$7:$B$97,0))=0,"Vacant",INDEX('Position Master'!$A$7:$A$97,MATCH(A69,'Position Master'!$B$7:$B$97,0)))</f>
        <v>7068036</v>
      </c>
      <c r="E69" s="229">
        <f ca="1">IFERROR(VLOOKUP(D69,'Employee Master'!A:F,5,FALSE),"")</f>
        <v>62797.962137445531</v>
      </c>
      <c r="F69" s="230" t="str">
        <f ca="1">IF(C69="Vacant","No",IF(AND(VLOOKUP(D69,'Employee Master'!A:F,6,FALSE)+360&lt;B$4,VLOOKUP(D69,'Employee Master'!A:F,6,FALSE)+360&lt;B63),"Yes","No"))</f>
        <v>Yes</v>
      </c>
      <c r="G69" s="229">
        <f ca="1">IF(C69="Vacant",VLOOKUP(A69,'Position Master'!B:D,3,FALSE),E69)*(1+IF(F69="Yes",F$8,0))</f>
        <v>64681.901001568898</v>
      </c>
      <c r="H69" s="245"/>
      <c r="I69" s="232"/>
      <c r="J69" s="233">
        <f t="shared" ca="1" si="0"/>
        <v>67269.177041631658</v>
      </c>
      <c r="K69" s="234"/>
      <c r="L69" s="235">
        <f t="shared" ca="1" si="1"/>
        <v>44743</v>
      </c>
      <c r="M69" s="236"/>
      <c r="N69" s="235">
        <f ca="1">IF(M69="",IFERROR(VLOOKUP($D69,'Employee Master'!$A:$F,6,FALSE)+365,""),M69)</f>
        <v>44863</v>
      </c>
      <c r="O69" s="71"/>
      <c r="P69" s="235">
        <f t="shared" ca="1" si="2"/>
        <v>45107</v>
      </c>
      <c r="Q69" s="237">
        <f t="shared" ca="1" si="3"/>
        <v>86</v>
      </c>
      <c r="R69" s="237">
        <f t="shared" ca="1" si="4"/>
        <v>175</v>
      </c>
      <c r="S69" s="237">
        <f t="shared" ca="1" si="5"/>
        <v>261</v>
      </c>
      <c r="T69" s="238">
        <f t="shared" ca="1" si="6"/>
        <v>66416.664629963459</v>
      </c>
      <c r="U69" s="229">
        <f t="shared" ca="1" si="7"/>
        <v>66416.664629963459</v>
      </c>
      <c r="V69" s="233">
        <f t="shared" ca="1" si="8"/>
        <v>12629.079214712458</v>
      </c>
      <c r="W69" s="246"/>
      <c r="X69" s="247"/>
      <c r="Y69" s="229">
        <f t="shared" ca="1" si="9"/>
        <v>67269.177041631658</v>
      </c>
      <c r="Z69" s="71"/>
      <c r="AA69" s="235">
        <f t="shared" ca="1" si="10"/>
        <v>44743</v>
      </c>
      <c r="AB69" s="71"/>
      <c r="AC69" s="235">
        <f ca="1">IF(AB69="",IFERROR(VLOOKUP($D69,'Employee Master'!$A:$F,6,FALSE)+365,""),AB69)</f>
        <v>44863</v>
      </c>
      <c r="AD69" s="234"/>
      <c r="AE69" s="235">
        <f t="shared" ca="1" si="11"/>
        <v>45107</v>
      </c>
      <c r="AF69" s="237">
        <f t="shared" ca="1" si="12"/>
        <v>86</v>
      </c>
      <c r="AG69" s="237">
        <f t="shared" ca="1" si="13"/>
        <v>175</v>
      </c>
      <c r="AH69" s="237">
        <f t="shared" ca="1" si="14"/>
        <v>261</v>
      </c>
      <c r="AI69" s="238">
        <f t="shared" ca="1" si="15"/>
        <v>66416.664629963459</v>
      </c>
      <c r="AJ69" s="229">
        <f t="shared" ca="1" si="16"/>
        <v>66416.664629963459</v>
      </c>
      <c r="AK69" s="233">
        <f t="shared" ca="1" si="17"/>
        <v>12629.079214712458</v>
      </c>
      <c r="AL69" s="248"/>
      <c r="AM69" s="233">
        <f t="shared" ca="1" si="18"/>
        <v>0</v>
      </c>
      <c r="AN69" s="233">
        <f t="shared" ca="1" si="19"/>
        <v>0</v>
      </c>
      <c r="AO69" s="233">
        <f t="shared" ca="1" si="20"/>
        <v>0</v>
      </c>
      <c r="AP69" s="233">
        <f t="shared" ca="1" si="21"/>
        <v>0</v>
      </c>
      <c r="AR69" s="226"/>
      <c r="AS69" s="226"/>
      <c r="AT69" s="226"/>
      <c r="AU69" s="226"/>
      <c r="AV69" s="226"/>
      <c r="AW69" s="226"/>
      <c r="AX69" s="226"/>
      <c r="AY69" s="226"/>
      <c r="AZ69" s="226"/>
      <c r="BA69" s="226"/>
      <c r="BB69" s="226"/>
      <c r="BC69" s="226"/>
      <c r="BD69" s="226"/>
      <c r="BE69" s="226"/>
      <c r="BF69" s="226"/>
      <c r="BN69" s="244" t="str">
        <f ca="1">IF('Budgeting Model'!C69="Vacant",'Budgeting Model'!AK69,"")</f>
        <v/>
      </c>
      <c r="BO69" s="195">
        <f t="shared" ca="1" si="22"/>
        <v>10</v>
      </c>
      <c r="BP69" s="195">
        <f t="shared" ca="1" si="23"/>
        <v>62797.962137445531</v>
      </c>
    </row>
    <row r="70" spans="1:68" s="195" customFormat="1" ht="15" customHeight="1" thickBot="1">
      <c r="A70" s="227" t="s">
        <v>128</v>
      </c>
      <c r="B70" s="228" t="str">
        <f>IF(ISNA(VLOOKUP($A70,'Position Master'!B:C,2,FALSE)),"Missing",VLOOKUP($A70,'Position Master'!B:C,2,FALSE))</f>
        <v>Dept 5</v>
      </c>
      <c r="C70" s="211" t="str">
        <f ca="1">_xlfn.IFNA(INDEX('Employee Master'!$C:$C,MATCH($D70,'Employee Master'!$A:$A,0))&amp;", "&amp;INDEX('Employee Master'!$B:$B,MATCH($D70,'Employee Master'!$A:$A,0)),"Vacant")</f>
        <v>Vacant</v>
      </c>
      <c r="D70" s="211" t="str">
        <f>IF(INDEX('Position Master'!$A$7:$A$97,MATCH(A70,'Position Master'!$B$7:$B$97,0))=0,"Vacant",INDEX('Position Master'!$A$7:$A$97,MATCH(A70,'Position Master'!$B$7:$B$97,0)))</f>
        <v>Vacant</v>
      </c>
      <c r="E70" s="229" t="str">
        <f ca="1">IFERROR(VLOOKUP(D70,'Employee Master'!A:F,5,FALSE),"")</f>
        <v/>
      </c>
      <c r="F70" s="230" t="str">
        <f ca="1">IF(C70="Vacant","No",IF(AND(VLOOKUP(D70,'Employee Master'!A:F,6,FALSE)+360&lt;B$4,VLOOKUP(D70,'Employee Master'!A:F,6,FALSE)+360&lt;B64),"Yes","No"))</f>
        <v>No</v>
      </c>
      <c r="G70" s="229">
        <f ca="1">IF(C70="Vacant",VLOOKUP(A70,'Position Master'!B:D,3,FALSE),E70)*(1+IF(F70="Yes",F$8,0))</f>
        <v>91855.743496201001</v>
      </c>
      <c r="H70" s="245"/>
      <c r="I70" s="232"/>
      <c r="J70" s="233">
        <f t="shared" ca="1" si="0"/>
        <v>95529.973236049045</v>
      </c>
      <c r="K70" s="234"/>
      <c r="L70" s="235">
        <f t="shared" ca="1" si="1"/>
        <v>44833</v>
      </c>
      <c r="M70" s="236"/>
      <c r="N70" s="235" t="str">
        <f ca="1">IF(M70="",IFERROR(VLOOKUP($D70,'Employee Master'!$A:$F,6,FALSE)+365,""),M70)</f>
        <v/>
      </c>
      <c r="O70" s="71"/>
      <c r="P70" s="235">
        <f t="shared" ca="1" si="2"/>
        <v>45107</v>
      </c>
      <c r="Q70" s="237">
        <f t="shared" ca="1" si="3"/>
        <v>197</v>
      </c>
      <c r="R70" s="237">
        <f t="shared" ca="1" si="4"/>
        <v>0</v>
      </c>
      <c r="S70" s="237">
        <f t="shared" ca="1" si="5"/>
        <v>197</v>
      </c>
      <c r="T70" s="238">
        <f t="shared" ca="1" si="6"/>
        <v>91855.743496201001</v>
      </c>
      <c r="U70" s="229">
        <f t="shared" ca="1" si="7"/>
        <v>69331.729765331795</v>
      </c>
      <c r="V70" s="233">
        <f t="shared" ca="1" si="8"/>
        <v>69331.729765331795</v>
      </c>
      <c r="W70" s="246"/>
      <c r="X70" s="247"/>
      <c r="Y70" s="229">
        <f t="shared" ca="1" si="9"/>
        <v>95529.973236049045</v>
      </c>
      <c r="Z70" s="71"/>
      <c r="AA70" s="235">
        <f t="shared" ca="1" si="10"/>
        <v>44833</v>
      </c>
      <c r="AB70" s="71"/>
      <c r="AC70" s="235" t="str">
        <f ca="1">IF(AB70="",IFERROR(VLOOKUP($D70,'Employee Master'!$A:$F,6,FALSE)+365,""),AB70)</f>
        <v/>
      </c>
      <c r="AD70" s="234"/>
      <c r="AE70" s="235">
        <f t="shared" ca="1" si="11"/>
        <v>45107</v>
      </c>
      <c r="AF70" s="237">
        <f t="shared" ca="1" si="12"/>
        <v>197</v>
      </c>
      <c r="AG70" s="237">
        <f t="shared" ca="1" si="13"/>
        <v>0</v>
      </c>
      <c r="AH70" s="237">
        <f t="shared" ca="1" si="14"/>
        <v>197</v>
      </c>
      <c r="AI70" s="238">
        <f t="shared" ca="1" si="15"/>
        <v>91855.743496201001</v>
      </c>
      <c r="AJ70" s="229">
        <f t="shared" ca="1" si="16"/>
        <v>69331.729765331795</v>
      </c>
      <c r="AK70" s="233">
        <f t="shared" ca="1" si="17"/>
        <v>69331.729765331795</v>
      </c>
      <c r="AL70" s="248"/>
      <c r="AM70" s="233">
        <f t="shared" ca="1" si="18"/>
        <v>0</v>
      </c>
      <c r="AN70" s="233">
        <f t="shared" ca="1" si="19"/>
        <v>0</v>
      </c>
      <c r="AO70" s="233">
        <f t="shared" ca="1" si="20"/>
        <v>0</v>
      </c>
      <c r="AP70" s="233">
        <f t="shared" ca="1" si="21"/>
        <v>0</v>
      </c>
      <c r="AR70" s="226"/>
      <c r="AS70" s="226"/>
      <c r="AT70" s="226"/>
      <c r="AU70" s="226"/>
      <c r="AV70" s="226"/>
      <c r="AW70" s="226"/>
      <c r="AX70" s="226"/>
      <c r="AY70" s="226"/>
      <c r="AZ70" s="226"/>
      <c r="BA70" s="226"/>
      <c r="BB70" s="226"/>
      <c r="BC70" s="226"/>
      <c r="BD70" s="226"/>
      <c r="BE70" s="226"/>
      <c r="BF70" s="226"/>
      <c r="BN70" s="244">
        <f ca="1">IF('Budgeting Model'!C70="Vacant",'Budgeting Model'!AK70,"")</f>
        <v>69331.729765331795</v>
      </c>
      <c r="BO70" s="195" t="str">
        <f t="shared" ca="1" si="22"/>
        <v/>
      </c>
      <c r="BP70" s="195" t="str">
        <f t="shared" ca="1" si="23"/>
        <v/>
      </c>
    </row>
    <row r="71" spans="1:68" s="195" customFormat="1" ht="15" customHeight="1" thickBot="1">
      <c r="A71" s="227" t="s">
        <v>129</v>
      </c>
      <c r="B71" s="228" t="str">
        <f>IF(ISNA(VLOOKUP($A71,'Position Master'!B:C,2,FALSE)),"Missing",VLOOKUP($A71,'Position Master'!B:C,2,FALSE))</f>
        <v>Dept 12</v>
      </c>
      <c r="C71" s="211" t="str">
        <f ca="1">_xlfn.IFNA(INDEX('Employee Master'!$C:$C,MATCH($D71,'Employee Master'!$A:$A,0))&amp;", "&amp;INDEX('Employee Master'!$B:$B,MATCH($D71,'Employee Master'!$A:$A,0)),"Vacant")</f>
        <v>Vacant</v>
      </c>
      <c r="D71" s="211" t="str">
        <f>IF(INDEX('Position Master'!$A$7:$A$97,MATCH(A71,'Position Master'!$B$7:$B$97,0))=0,"Vacant",INDEX('Position Master'!$A$7:$A$97,MATCH(A71,'Position Master'!$B$7:$B$97,0)))</f>
        <v>Vacant</v>
      </c>
      <c r="E71" s="229" t="str">
        <f ca="1">IFERROR(VLOOKUP(D71,'Employee Master'!A:F,5,FALSE),"")</f>
        <v/>
      </c>
      <c r="F71" s="230" t="str">
        <f ca="1">IF(C71="Vacant","No",IF(AND(VLOOKUP(D71,'Employee Master'!A:F,6,FALSE)+360&lt;B$4,VLOOKUP(D71,'Employee Master'!A:F,6,FALSE)+360&lt;B65),"Yes","No"))</f>
        <v>No</v>
      </c>
      <c r="G71" s="229">
        <f ca="1">IF(C71="Vacant",VLOOKUP(A71,'Position Master'!B:D,3,FALSE),E71)*(1+IF(F71="Yes",F$8,0))</f>
        <v>77400.623255255108</v>
      </c>
      <c r="H71" s="245"/>
      <c r="I71" s="232"/>
      <c r="J71" s="233">
        <f t="shared" ca="1" si="0"/>
        <v>80496.64818546531</v>
      </c>
      <c r="K71" s="234"/>
      <c r="L71" s="235">
        <f t="shared" ca="1" si="1"/>
        <v>44833</v>
      </c>
      <c r="M71" s="236"/>
      <c r="N71" s="235" t="str">
        <f ca="1">IF(M71="",IFERROR(VLOOKUP($D71,'Employee Master'!$A:$F,6,FALSE)+365,""),M71)</f>
        <v/>
      </c>
      <c r="O71" s="71"/>
      <c r="P71" s="235">
        <f t="shared" ca="1" si="2"/>
        <v>45107</v>
      </c>
      <c r="Q71" s="237">
        <f t="shared" ca="1" si="3"/>
        <v>197</v>
      </c>
      <c r="R71" s="237">
        <f t="shared" ca="1" si="4"/>
        <v>0</v>
      </c>
      <c r="S71" s="237">
        <f t="shared" ca="1" si="5"/>
        <v>197</v>
      </c>
      <c r="T71" s="238">
        <f t="shared" ca="1" si="6"/>
        <v>77400.623255255108</v>
      </c>
      <c r="U71" s="229">
        <f t="shared" ca="1" si="7"/>
        <v>58421.160081552705</v>
      </c>
      <c r="V71" s="233">
        <f t="shared" ca="1" si="8"/>
        <v>58421.160081552705</v>
      </c>
      <c r="W71" s="246"/>
      <c r="X71" s="247"/>
      <c r="Y71" s="229">
        <f t="shared" ca="1" si="9"/>
        <v>80496.64818546531</v>
      </c>
      <c r="Z71" s="71"/>
      <c r="AA71" s="235">
        <f t="shared" ca="1" si="10"/>
        <v>44833</v>
      </c>
      <c r="AB71" s="71"/>
      <c r="AC71" s="235" t="str">
        <f ca="1">IF(AB71="",IFERROR(VLOOKUP($D71,'Employee Master'!$A:$F,6,FALSE)+365,""),AB71)</f>
        <v/>
      </c>
      <c r="AD71" s="234"/>
      <c r="AE71" s="235">
        <f t="shared" ca="1" si="11"/>
        <v>45107</v>
      </c>
      <c r="AF71" s="237">
        <f t="shared" ca="1" si="12"/>
        <v>197</v>
      </c>
      <c r="AG71" s="237">
        <f t="shared" ca="1" si="13"/>
        <v>0</v>
      </c>
      <c r="AH71" s="237">
        <f t="shared" ca="1" si="14"/>
        <v>197</v>
      </c>
      <c r="AI71" s="238">
        <f t="shared" ca="1" si="15"/>
        <v>77400.623255255108</v>
      </c>
      <c r="AJ71" s="229">
        <f t="shared" ca="1" si="16"/>
        <v>58421.160081552705</v>
      </c>
      <c r="AK71" s="233">
        <f t="shared" ca="1" si="17"/>
        <v>58421.160081552705</v>
      </c>
      <c r="AL71" s="248"/>
      <c r="AM71" s="233">
        <f t="shared" ca="1" si="18"/>
        <v>0</v>
      </c>
      <c r="AN71" s="233">
        <f t="shared" ca="1" si="19"/>
        <v>0</v>
      </c>
      <c r="AO71" s="233">
        <f t="shared" ca="1" si="20"/>
        <v>0</v>
      </c>
      <c r="AP71" s="233">
        <f t="shared" ca="1" si="21"/>
        <v>0</v>
      </c>
      <c r="AR71" s="226"/>
      <c r="AS71" s="226"/>
      <c r="AT71" s="226"/>
      <c r="AU71" s="226"/>
      <c r="AV71" s="226"/>
      <c r="AW71" s="226"/>
      <c r="AX71" s="226"/>
      <c r="AY71" s="226"/>
      <c r="AZ71" s="226"/>
      <c r="BA71" s="226"/>
      <c r="BB71" s="226"/>
      <c r="BC71" s="226"/>
      <c r="BD71" s="226"/>
      <c r="BE71" s="226"/>
      <c r="BF71" s="226"/>
      <c r="BN71" s="244">
        <f ca="1">IF('Budgeting Model'!C71="Vacant",'Budgeting Model'!AK71,"")</f>
        <v>58421.160081552705</v>
      </c>
      <c r="BO71" s="195" t="str">
        <f t="shared" ca="1" si="22"/>
        <v/>
      </c>
      <c r="BP71" s="195" t="str">
        <f t="shared" ca="1" si="23"/>
        <v/>
      </c>
    </row>
    <row r="72" spans="1:68" s="195" customFormat="1" ht="15" customHeight="1" thickBot="1">
      <c r="A72" s="227" t="s">
        <v>130</v>
      </c>
      <c r="B72" s="228" t="str">
        <f>IF(ISNA(VLOOKUP($A72,'Position Master'!B:C,2,FALSE)),"Missing",VLOOKUP($A72,'Position Master'!B:C,2,FALSE))</f>
        <v>Dept 4</v>
      </c>
      <c r="C72" s="211" t="str">
        <f ca="1">_xlfn.IFNA(INDEX('Employee Master'!$C:$C,MATCH($D72,'Employee Master'!$A:$A,0))&amp;", "&amp;INDEX('Employee Master'!$B:$B,MATCH($D72,'Employee Master'!$A:$A,0)),"Vacant")</f>
        <v>Martin, Laura</v>
      </c>
      <c r="D72" s="211">
        <f>IF(INDEX('Position Master'!$A$7:$A$97,MATCH(A72,'Position Master'!$B$7:$B$97,0))=0,"Vacant",INDEX('Position Master'!$A$7:$A$97,MATCH(A72,'Position Master'!$B$7:$B$97,0)))</f>
        <v>7151567</v>
      </c>
      <c r="E72" s="229">
        <f ca="1">IFERROR(VLOOKUP(D72,'Employee Master'!A:F,5,FALSE),"")</f>
        <v>72036.471157910637</v>
      </c>
      <c r="F72" s="230" t="str">
        <f ca="1">IF(C72="Vacant","No",IF(AND(VLOOKUP(D72,'Employee Master'!A:F,6,FALSE)+360&lt;B$4,VLOOKUP(D72,'Employee Master'!A:F,6,FALSE)+360&lt;B66),"Yes","No"))</f>
        <v>Yes</v>
      </c>
      <c r="G72" s="229">
        <f ca="1">IF(C72="Vacant",VLOOKUP(A72,'Position Master'!B:D,3,FALSE),E72)*(1+IF(F72="Yes",F$8,0))</f>
        <v>74197.565292647952</v>
      </c>
      <c r="H72" s="245"/>
      <c r="I72" s="232"/>
      <c r="J72" s="233">
        <f t="shared" ca="1" si="0"/>
        <v>77165.467904353878</v>
      </c>
      <c r="K72" s="234"/>
      <c r="L72" s="235">
        <f t="shared" ca="1" si="1"/>
        <v>44743</v>
      </c>
      <c r="M72" s="236"/>
      <c r="N72" s="235">
        <f ca="1">IF(M72="",IFERROR(VLOOKUP($D72,'Employee Master'!$A:$F,6,FALSE)+365,""),M72)</f>
        <v>44934</v>
      </c>
      <c r="O72" s="71"/>
      <c r="P72" s="235">
        <f t="shared" ca="1" si="2"/>
        <v>45107</v>
      </c>
      <c r="Q72" s="237">
        <f t="shared" ca="1" si="3"/>
        <v>136</v>
      </c>
      <c r="R72" s="237">
        <f t="shared" ca="1" si="4"/>
        <v>125</v>
      </c>
      <c r="S72" s="237">
        <f t="shared" ca="1" si="5"/>
        <v>261</v>
      </c>
      <c r="T72" s="238">
        <f t="shared" ca="1" si="6"/>
        <v>75618.974589441976</v>
      </c>
      <c r="U72" s="229">
        <f t="shared" ca="1" si="7"/>
        <v>75618.974589441976</v>
      </c>
      <c r="V72" s="233">
        <f t="shared" ca="1" si="8"/>
        <v>14487.003552924674</v>
      </c>
      <c r="W72" s="246"/>
      <c r="X72" s="247"/>
      <c r="Y72" s="229">
        <f t="shared" ca="1" si="9"/>
        <v>77165.467904353878</v>
      </c>
      <c r="Z72" s="71"/>
      <c r="AA72" s="235">
        <f t="shared" ca="1" si="10"/>
        <v>44743</v>
      </c>
      <c r="AB72" s="71"/>
      <c r="AC72" s="235">
        <f ca="1">IF(AB72="",IFERROR(VLOOKUP($D72,'Employee Master'!$A:$F,6,FALSE)+365,""),AB72)</f>
        <v>44934</v>
      </c>
      <c r="AD72" s="234"/>
      <c r="AE72" s="235">
        <f t="shared" ca="1" si="11"/>
        <v>45107</v>
      </c>
      <c r="AF72" s="237">
        <f t="shared" ca="1" si="12"/>
        <v>136</v>
      </c>
      <c r="AG72" s="237">
        <f t="shared" ca="1" si="13"/>
        <v>125</v>
      </c>
      <c r="AH72" s="237">
        <f t="shared" ca="1" si="14"/>
        <v>261</v>
      </c>
      <c r="AI72" s="238">
        <f t="shared" ca="1" si="15"/>
        <v>75618.974589441976</v>
      </c>
      <c r="AJ72" s="229">
        <f t="shared" ca="1" si="16"/>
        <v>75618.974589441976</v>
      </c>
      <c r="AK72" s="233">
        <f t="shared" ca="1" si="17"/>
        <v>14487.003552924674</v>
      </c>
      <c r="AL72" s="248"/>
      <c r="AM72" s="233">
        <f t="shared" ca="1" si="18"/>
        <v>0</v>
      </c>
      <c r="AN72" s="233">
        <f t="shared" ca="1" si="19"/>
        <v>0</v>
      </c>
      <c r="AO72" s="233">
        <f t="shared" ca="1" si="20"/>
        <v>0</v>
      </c>
      <c r="AP72" s="233">
        <f t="shared" ca="1" si="21"/>
        <v>0</v>
      </c>
      <c r="AR72" s="226"/>
      <c r="AS72" s="226"/>
      <c r="AT72" s="226"/>
      <c r="AU72" s="226"/>
      <c r="AV72" s="226"/>
      <c r="AW72" s="226"/>
      <c r="AX72" s="226"/>
      <c r="AY72" s="226"/>
      <c r="AZ72" s="226"/>
      <c r="BA72" s="226"/>
      <c r="BB72" s="226"/>
      <c r="BC72" s="226"/>
      <c r="BD72" s="226"/>
      <c r="BE72" s="226"/>
      <c r="BF72" s="226"/>
      <c r="BN72" s="244" t="str">
        <f ca="1">IF('Budgeting Model'!C72="Vacant",'Budgeting Model'!AK72,"")</f>
        <v/>
      </c>
      <c r="BO72" s="195">
        <f t="shared" ca="1" si="22"/>
        <v>1</v>
      </c>
      <c r="BP72" s="195">
        <f t="shared" ca="1" si="23"/>
        <v>72036.471157910637</v>
      </c>
    </row>
    <row r="73" spans="1:68" s="195" customFormat="1" ht="15" customHeight="1" thickBot="1">
      <c r="A73" s="227" t="s">
        <v>131</v>
      </c>
      <c r="B73" s="228" t="str">
        <f>IF(ISNA(VLOOKUP($A73,'Position Master'!B:C,2,FALSE)),"Missing",VLOOKUP($A73,'Position Master'!B:C,2,FALSE))</f>
        <v>Dept 7</v>
      </c>
      <c r="C73" s="211" t="str">
        <f ca="1">_xlfn.IFNA(INDEX('Employee Master'!$C:$C,MATCH($D73,'Employee Master'!$A:$A,0))&amp;", "&amp;INDEX('Employee Master'!$B:$B,MATCH($D73,'Employee Master'!$A:$A,0)),"Vacant")</f>
        <v>Mathur, Shadman</v>
      </c>
      <c r="D73" s="211">
        <f>IF(INDEX('Position Master'!$A$7:$A$97,MATCH(A73,'Position Master'!$B$7:$B$97,0))=0,"Vacant",INDEX('Position Master'!$A$7:$A$97,MATCH(A73,'Position Master'!$B$7:$B$97,0)))</f>
        <v>7158061</v>
      </c>
      <c r="E73" s="229">
        <f ca="1">IFERROR(VLOOKUP(D73,'Employee Master'!A:F,5,FALSE),"")</f>
        <v>65432.306672875085</v>
      </c>
      <c r="F73" s="230" t="str">
        <f ca="1">IF(C73="Vacant","No",IF(AND(VLOOKUP(D73,'Employee Master'!A:F,6,FALSE)+360&lt;B$4,VLOOKUP(D73,'Employee Master'!A:F,6,FALSE)+360&lt;B67),"Yes","No"))</f>
        <v>Yes</v>
      </c>
      <c r="G73" s="229">
        <f ca="1">IF(C73="Vacant",VLOOKUP(A73,'Position Master'!B:D,3,FALSE),E73)*(1+IF(F73="Yes",F$8,0))</f>
        <v>67395.275873061342</v>
      </c>
      <c r="H73" s="245"/>
      <c r="I73" s="232"/>
      <c r="J73" s="233">
        <f t="shared" ca="1" si="0"/>
        <v>70091.086907983801</v>
      </c>
      <c r="K73" s="234"/>
      <c r="L73" s="235">
        <f t="shared" ca="1" si="1"/>
        <v>44743</v>
      </c>
      <c r="M73" s="236"/>
      <c r="N73" s="235">
        <f ca="1">IF(M73="",IFERROR(VLOOKUP($D73,'Employee Master'!$A:$F,6,FALSE)+365,""),M73)</f>
        <v>44817</v>
      </c>
      <c r="O73" s="71"/>
      <c r="P73" s="235">
        <f t="shared" ca="1" si="2"/>
        <v>45107</v>
      </c>
      <c r="Q73" s="237">
        <f t="shared" ca="1" si="3"/>
        <v>52</v>
      </c>
      <c r="R73" s="237">
        <f t="shared" ca="1" si="4"/>
        <v>209</v>
      </c>
      <c r="S73" s="237">
        <f t="shared" ca="1" si="5"/>
        <v>261</v>
      </c>
      <c r="T73" s="238">
        <f t="shared" ca="1" si="6"/>
        <v>69553.990456581625</v>
      </c>
      <c r="U73" s="229">
        <f t="shared" ca="1" si="7"/>
        <v>69553.990456581625</v>
      </c>
      <c r="V73" s="233">
        <f t="shared" ca="1" si="8"/>
        <v>13158.863059353282</v>
      </c>
      <c r="W73" s="246"/>
      <c r="X73" s="247"/>
      <c r="Y73" s="229">
        <f t="shared" ca="1" si="9"/>
        <v>70091.086907983801</v>
      </c>
      <c r="Z73" s="71"/>
      <c r="AA73" s="235">
        <f t="shared" ca="1" si="10"/>
        <v>44743</v>
      </c>
      <c r="AB73" s="71"/>
      <c r="AC73" s="235">
        <f ca="1">IF(AB73="",IFERROR(VLOOKUP($D73,'Employee Master'!$A:$F,6,FALSE)+365,""),AB73)</f>
        <v>44817</v>
      </c>
      <c r="AD73" s="234"/>
      <c r="AE73" s="235">
        <f t="shared" ca="1" si="11"/>
        <v>45107</v>
      </c>
      <c r="AF73" s="237">
        <f t="shared" ca="1" si="12"/>
        <v>52</v>
      </c>
      <c r="AG73" s="237">
        <f t="shared" ca="1" si="13"/>
        <v>209</v>
      </c>
      <c r="AH73" s="237">
        <f t="shared" ca="1" si="14"/>
        <v>261</v>
      </c>
      <c r="AI73" s="238">
        <f t="shared" ca="1" si="15"/>
        <v>69553.990456581625</v>
      </c>
      <c r="AJ73" s="229">
        <f t="shared" ca="1" si="16"/>
        <v>69553.990456581625</v>
      </c>
      <c r="AK73" s="233">
        <f t="shared" ca="1" si="17"/>
        <v>13158.863059353282</v>
      </c>
      <c r="AL73" s="248"/>
      <c r="AM73" s="233">
        <f t="shared" ca="1" si="18"/>
        <v>0</v>
      </c>
      <c r="AN73" s="233">
        <f t="shared" ca="1" si="19"/>
        <v>0</v>
      </c>
      <c r="AO73" s="233">
        <f t="shared" ca="1" si="20"/>
        <v>0</v>
      </c>
      <c r="AP73" s="233">
        <f t="shared" ca="1" si="21"/>
        <v>0</v>
      </c>
      <c r="AR73" s="226"/>
      <c r="AS73" s="226"/>
      <c r="AT73" s="226"/>
      <c r="AU73" s="226"/>
      <c r="AV73" s="226"/>
      <c r="AW73" s="226"/>
      <c r="AX73" s="226"/>
      <c r="AY73" s="226"/>
      <c r="AZ73" s="226"/>
      <c r="BA73" s="226"/>
      <c r="BB73" s="226"/>
      <c r="BC73" s="226"/>
      <c r="BD73" s="226"/>
      <c r="BE73" s="226"/>
      <c r="BF73" s="226"/>
      <c r="BN73" s="244" t="str">
        <f ca="1">IF('Budgeting Model'!C73="Vacant",'Budgeting Model'!AK73,"")</f>
        <v/>
      </c>
      <c r="BO73" s="195">
        <f t="shared" ca="1" si="22"/>
        <v>9</v>
      </c>
      <c r="BP73" s="195" t="str">
        <f t="shared" ca="1" si="23"/>
        <v/>
      </c>
    </row>
    <row r="74" spans="1:68" s="195" customFormat="1" ht="15" customHeight="1" thickBot="1">
      <c r="A74" s="227" t="s">
        <v>132</v>
      </c>
      <c r="B74" s="228" t="str">
        <f>IF(ISNA(VLOOKUP($A74,'Position Master'!B:C,2,FALSE)),"Missing",VLOOKUP($A74,'Position Master'!B:C,2,FALSE))</f>
        <v>Dept 3</v>
      </c>
      <c r="C74" s="211" t="str">
        <f ca="1">_xlfn.IFNA(INDEX('Employee Master'!$C:$C,MATCH($D74,'Employee Master'!$A:$A,0))&amp;", "&amp;INDEX('Employee Master'!$B:$B,MATCH($D74,'Employee Master'!$A:$A,0)),"Vacant")</f>
        <v>Mei, Amanda</v>
      </c>
      <c r="D74" s="211">
        <f>IF(INDEX('Position Master'!$A$7:$A$97,MATCH(A74,'Position Master'!$B$7:$B$97,0))=0,"Vacant",INDEX('Position Master'!$A$7:$A$97,MATCH(A74,'Position Master'!$B$7:$B$97,0)))</f>
        <v>7481703</v>
      </c>
      <c r="E74" s="229">
        <f ca="1">IFERROR(VLOOKUP(D74,'Employee Master'!A:F,5,FALSE),"")</f>
        <v>41554.187361475633</v>
      </c>
      <c r="F74" s="230" t="str">
        <f ca="1">IF(C74="Vacant","No",IF(AND(VLOOKUP(D74,'Employee Master'!A:F,6,FALSE)+360&lt;B$4,VLOOKUP(D74,'Employee Master'!A:F,6,FALSE)+360&lt;B68),"Yes","No"))</f>
        <v>Yes</v>
      </c>
      <c r="G74" s="229">
        <f ca="1">IF(C74="Vacant",VLOOKUP(A74,'Position Master'!B:D,3,FALSE),E74)*(1+IF(F74="Yes",F$8,0))</f>
        <v>42800.812982319905</v>
      </c>
      <c r="H74" s="245"/>
      <c r="I74" s="232"/>
      <c r="J74" s="233">
        <f t="shared" ca="1" si="0"/>
        <v>44512.845501612705</v>
      </c>
      <c r="K74" s="234"/>
      <c r="L74" s="235">
        <f t="shared" ca="1" si="1"/>
        <v>44743</v>
      </c>
      <c r="M74" s="236"/>
      <c r="N74" s="235">
        <f ca="1">IF(M74="",IFERROR(VLOOKUP($D74,'Employee Master'!$A:$F,6,FALSE)+365,""),M74)</f>
        <v>44956</v>
      </c>
      <c r="O74" s="71"/>
      <c r="P74" s="235">
        <f t="shared" ca="1" si="2"/>
        <v>45107</v>
      </c>
      <c r="Q74" s="237">
        <f t="shared" ca="1" si="3"/>
        <v>151</v>
      </c>
      <c r="R74" s="237">
        <f t="shared" ca="1" si="4"/>
        <v>110</v>
      </c>
      <c r="S74" s="237">
        <f t="shared" ca="1" si="5"/>
        <v>261</v>
      </c>
      <c r="T74" s="238">
        <f t="shared" ca="1" si="6"/>
        <v>43522.359254818788</v>
      </c>
      <c r="U74" s="229">
        <f t="shared" ca="1" si="7"/>
        <v>43522.359254818788</v>
      </c>
      <c r="V74" s="233">
        <f t="shared" ca="1" si="8"/>
        <v>8356.8177378506607</v>
      </c>
      <c r="W74" s="246"/>
      <c r="X74" s="247"/>
      <c r="Y74" s="229">
        <f t="shared" ca="1" si="9"/>
        <v>44512.845501612705</v>
      </c>
      <c r="Z74" s="71"/>
      <c r="AA74" s="235">
        <f t="shared" ca="1" si="10"/>
        <v>44743</v>
      </c>
      <c r="AB74" s="71"/>
      <c r="AC74" s="235">
        <f ca="1">IF(AB74="",IFERROR(VLOOKUP($D74,'Employee Master'!$A:$F,6,FALSE)+365,""),AB74)</f>
        <v>44956</v>
      </c>
      <c r="AD74" s="234"/>
      <c r="AE74" s="235">
        <f t="shared" ca="1" si="11"/>
        <v>45107</v>
      </c>
      <c r="AF74" s="237">
        <f t="shared" ca="1" si="12"/>
        <v>151</v>
      </c>
      <c r="AG74" s="237">
        <f t="shared" ca="1" si="13"/>
        <v>110</v>
      </c>
      <c r="AH74" s="237">
        <f t="shared" ca="1" si="14"/>
        <v>261</v>
      </c>
      <c r="AI74" s="238">
        <f t="shared" ca="1" si="15"/>
        <v>43522.359254818788</v>
      </c>
      <c r="AJ74" s="229">
        <f t="shared" ca="1" si="16"/>
        <v>43522.359254818788</v>
      </c>
      <c r="AK74" s="233">
        <f t="shared" ca="1" si="17"/>
        <v>8356.8177378506607</v>
      </c>
      <c r="AL74" s="248"/>
      <c r="AM74" s="233">
        <f t="shared" ca="1" si="18"/>
        <v>0</v>
      </c>
      <c r="AN74" s="233">
        <f t="shared" ca="1" si="19"/>
        <v>0</v>
      </c>
      <c r="AO74" s="233">
        <f t="shared" ca="1" si="20"/>
        <v>0</v>
      </c>
      <c r="AP74" s="233">
        <f t="shared" ca="1" si="21"/>
        <v>0</v>
      </c>
      <c r="AR74" s="226"/>
      <c r="AS74" s="226"/>
      <c r="AT74" s="226"/>
      <c r="AU74" s="226"/>
      <c r="AV74" s="226"/>
      <c r="AW74" s="226"/>
      <c r="AX74" s="226"/>
      <c r="AY74" s="226"/>
      <c r="AZ74" s="226"/>
      <c r="BA74" s="226"/>
      <c r="BB74" s="226"/>
      <c r="BC74" s="226"/>
      <c r="BD74" s="226"/>
      <c r="BE74" s="226"/>
      <c r="BF74" s="226"/>
      <c r="BN74" s="244" t="str">
        <f ca="1">IF('Budgeting Model'!C74="Vacant",'Budgeting Model'!AK74,"")</f>
        <v/>
      </c>
      <c r="BO74" s="195">
        <f t="shared" ca="1" si="22"/>
        <v>1</v>
      </c>
      <c r="BP74" s="195">
        <f t="shared" ca="1" si="23"/>
        <v>41554.187361475633</v>
      </c>
    </row>
    <row r="75" spans="1:68" s="195" customFormat="1" ht="15" customHeight="1" thickBot="1">
      <c r="A75" s="227" t="s">
        <v>133</v>
      </c>
      <c r="B75" s="228" t="str">
        <f>IF(ISNA(VLOOKUP($A75,'Position Master'!B:C,2,FALSE)),"Missing",VLOOKUP($A75,'Position Master'!B:C,2,FALSE))</f>
        <v>Dept 11</v>
      </c>
      <c r="C75" s="211" t="str">
        <f ca="1">_xlfn.IFNA(INDEX('Employee Master'!$C:$C,MATCH($D75,'Employee Master'!$A:$A,0))&amp;", "&amp;INDEX('Employee Master'!$B:$B,MATCH($D75,'Employee Master'!$A:$A,0)),"Vacant")</f>
        <v>Moon, Prokhor</v>
      </c>
      <c r="D75" s="211">
        <f>IF(INDEX('Position Master'!$A$7:$A$97,MATCH(A75,'Position Master'!$B$7:$B$97,0))=0,"Vacant",INDEX('Position Master'!$A$7:$A$97,MATCH(A75,'Position Master'!$B$7:$B$97,0)))</f>
        <v>7684611</v>
      </c>
      <c r="E75" s="229">
        <f ca="1">IFERROR(VLOOKUP(D75,'Employee Master'!A:F,5,FALSE),"")</f>
        <v>50324.920437202782</v>
      </c>
      <c r="F75" s="230" t="str">
        <f ca="1">IF(C75="Vacant","No",IF(AND(VLOOKUP(D75,'Employee Master'!A:F,6,FALSE)+360&lt;B$4,VLOOKUP(D75,'Employee Master'!A:F,6,FALSE)+360&lt;B69),"Yes","No"))</f>
        <v>Yes</v>
      </c>
      <c r="G75" s="229">
        <f ca="1">IF(C75="Vacant",VLOOKUP(A75,'Position Master'!B:D,3,FALSE),E75)*(1+IF(F75="Yes",F$8,0))</f>
        <v>51834.668050318869</v>
      </c>
      <c r="H75" s="245"/>
      <c r="I75" s="232"/>
      <c r="J75" s="233">
        <f t="shared" ca="1" si="0"/>
        <v>53908.054772331627</v>
      </c>
      <c r="K75" s="234"/>
      <c r="L75" s="235">
        <f t="shared" ca="1" si="1"/>
        <v>44743</v>
      </c>
      <c r="M75" s="236"/>
      <c r="N75" s="235">
        <f ca="1">IF(M75="",IFERROR(VLOOKUP($D75,'Employee Master'!$A:$F,6,FALSE)+365,""),M75)</f>
        <v>44761</v>
      </c>
      <c r="O75" s="71"/>
      <c r="P75" s="235">
        <f t="shared" ca="1" si="2"/>
        <v>45107</v>
      </c>
      <c r="Q75" s="237">
        <f t="shared" ca="1" si="3"/>
        <v>12</v>
      </c>
      <c r="R75" s="237">
        <f t="shared" ca="1" si="4"/>
        <v>249</v>
      </c>
      <c r="S75" s="237">
        <f t="shared" ca="1" si="5"/>
        <v>261</v>
      </c>
      <c r="T75" s="238">
        <f t="shared" ca="1" si="6"/>
        <v>53812.726647181618</v>
      </c>
      <c r="U75" s="229">
        <f t="shared" ca="1" si="7"/>
        <v>53812.726647181618</v>
      </c>
      <c r="V75" s="233">
        <f t="shared" ca="1" si="8"/>
        <v>10120.669286759578</v>
      </c>
      <c r="W75" s="246"/>
      <c r="X75" s="247"/>
      <c r="Y75" s="229">
        <f t="shared" ca="1" si="9"/>
        <v>53908.054772331627</v>
      </c>
      <c r="Z75" s="71"/>
      <c r="AA75" s="235">
        <f t="shared" ca="1" si="10"/>
        <v>44743</v>
      </c>
      <c r="AB75" s="71"/>
      <c r="AC75" s="235">
        <f ca="1">IF(AB75="",IFERROR(VLOOKUP($D75,'Employee Master'!$A:$F,6,FALSE)+365,""),AB75)</f>
        <v>44761</v>
      </c>
      <c r="AD75" s="234"/>
      <c r="AE75" s="235">
        <f t="shared" ca="1" si="11"/>
        <v>45107</v>
      </c>
      <c r="AF75" s="237">
        <f t="shared" ca="1" si="12"/>
        <v>12</v>
      </c>
      <c r="AG75" s="237">
        <f t="shared" ca="1" si="13"/>
        <v>249</v>
      </c>
      <c r="AH75" s="237">
        <f t="shared" ca="1" si="14"/>
        <v>261</v>
      </c>
      <c r="AI75" s="238">
        <f t="shared" ca="1" si="15"/>
        <v>53812.726647181618</v>
      </c>
      <c r="AJ75" s="229">
        <f t="shared" ca="1" si="16"/>
        <v>53812.726647181618</v>
      </c>
      <c r="AK75" s="233">
        <f t="shared" ca="1" si="17"/>
        <v>10120.669286759578</v>
      </c>
      <c r="AL75" s="248"/>
      <c r="AM75" s="233">
        <f t="shared" ca="1" si="18"/>
        <v>0</v>
      </c>
      <c r="AN75" s="233">
        <f t="shared" ca="1" si="19"/>
        <v>0</v>
      </c>
      <c r="AO75" s="233">
        <f t="shared" ca="1" si="20"/>
        <v>0</v>
      </c>
      <c r="AP75" s="233">
        <f t="shared" ca="1" si="21"/>
        <v>0</v>
      </c>
      <c r="AR75" s="226"/>
      <c r="AS75" s="226"/>
      <c r="AT75" s="226"/>
      <c r="AU75" s="226"/>
      <c r="AV75" s="226"/>
      <c r="AW75" s="226"/>
      <c r="AX75" s="226"/>
      <c r="AY75" s="226"/>
      <c r="AZ75" s="226"/>
      <c r="BA75" s="226"/>
      <c r="BB75" s="226"/>
      <c r="BC75" s="226"/>
      <c r="BD75" s="226"/>
      <c r="BE75" s="226"/>
      <c r="BF75" s="226"/>
      <c r="BN75" s="244" t="str">
        <f ca="1">IF('Budgeting Model'!C75="Vacant",'Budgeting Model'!AK75,"")</f>
        <v/>
      </c>
      <c r="BO75" s="195">
        <f t="shared" ca="1" si="22"/>
        <v>7</v>
      </c>
      <c r="BP75" s="195" t="str">
        <f t="shared" ca="1" si="23"/>
        <v/>
      </c>
    </row>
    <row r="76" spans="1:68" s="195" customFormat="1" ht="15" customHeight="1" thickBot="1">
      <c r="A76" s="227" t="s">
        <v>134</v>
      </c>
      <c r="B76" s="228" t="str">
        <f>IF(ISNA(VLOOKUP($A76,'Position Master'!B:C,2,FALSE)),"Missing",VLOOKUP($A76,'Position Master'!B:C,2,FALSE))</f>
        <v>Dept 6</v>
      </c>
      <c r="C76" s="211" t="str">
        <f ca="1">_xlfn.IFNA(INDEX('Employee Master'!$C:$C,MATCH($D76,'Employee Master'!$A:$A,0))&amp;", "&amp;INDEX('Employee Master'!$B:$B,MATCH($D76,'Employee Master'!$A:$A,0)),"Vacant")</f>
        <v>Vacant</v>
      </c>
      <c r="D76" s="211" t="str">
        <f>IF(INDEX('Position Master'!$A$7:$A$97,MATCH(A76,'Position Master'!$B$7:$B$97,0))=0,"Vacant",INDEX('Position Master'!$A$7:$A$97,MATCH(A76,'Position Master'!$B$7:$B$97,0)))</f>
        <v>Vacant</v>
      </c>
      <c r="E76" s="229" t="str">
        <f ca="1">IFERROR(VLOOKUP(D76,'Employee Master'!A:F,5,FALSE),"")</f>
        <v/>
      </c>
      <c r="F76" s="230" t="str">
        <f ca="1">IF(C76="Vacant","No",IF(AND(VLOOKUP(D76,'Employee Master'!A:F,6,FALSE)+360&lt;B$4,VLOOKUP(D76,'Employee Master'!A:F,6,FALSE)+360&lt;B70),"Yes","No"))</f>
        <v>No</v>
      </c>
      <c r="G76" s="229">
        <f ca="1">IF(C76="Vacant",VLOOKUP(A76,'Position Master'!B:D,3,FALSE),E76)*(1+IF(F76="Yes",F$8,0))</f>
        <v>59992.331119620794</v>
      </c>
      <c r="H76" s="245"/>
      <c r="I76" s="232"/>
      <c r="J76" s="233">
        <f t="shared" ref="J76:J100" ca="1" si="24">$G76*(1+IF($I76="",$G$8,$I76))</f>
        <v>62392.024364405625</v>
      </c>
      <c r="K76" s="234"/>
      <c r="L76" s="235">
        <f t="shared" ref="L76:L100" ca="1" si="25">IF(K76="",IF(D76="Vacant",B$5+90,$B$5),K76)</f>
        <v>44833</v>
      </c>
      <c r="M76" s="236"/>
      <c r="N76" s="235" t="str">
        <f ca="1">IF(M76="",IFERROR(VLOOKUP($D76,'Employee Master'!$A:$F,6,FALSE)+365,""),M76)</f>
        <v/>
      </c>
      <c r="O76" s="71"/>
      <c r="P76" s="235">
        <f t="shared" ref="P76:P100" ca="1" si="26">IF(O76="",$B$6,O76)</f>
        <v>45107</v>
      </c>
      <c r="Q76" s="237">
        <f t="shared" ref="Q76:Q100" ca="1" si="27">IF(N76="",NETWORKDAYS(L76,P76),NETWORKDAYS(L76,N76-1))</f>
        <v>197</v>
      </c>
      <c r="R76" s="237">
        <f t="shared" ref="R76:R100" ca="1" si="28">IF(N76="",0,NETWORKDAYS(N76,P76))</f>
        <v>0</v>
      </c>
      <c r="S76" s="237">
        <f t="shared" ref="S76:S100" ca="1" si="29">Q76+R76</f>
        <v>197</v>
      </c>
      <c r="T76" s="238">
        <f t="shared" ref="T76:T100" ca="1" si="30">((G76*Q76)/S76)+((J76*R76)/S76)</f>
        <v>59992.331119620794</v>
      </c>
      <c r="U76" s="229">
        <f t="shared" ref="U76:U100" ca="1" si="31">((G76*Q76)/$B$7)+((J76*R76)/$B$7)</f>
        <v>45281.567933200371</v>
      </c>
      <c r="V76" s="233">
        <f t="shared" ref="V76:V100" ca="1" si="32">IF($B$4&gt;P76,0,IF(OR(N76="",$B$4&lt;L76),U76,IF($B$4&lt;N76,NETWORKDAYS($B$4,N76-1)*$G76/$B$7+R76*J76/$B$7,NETWORKDAYS($B$4,P76)*J76/$B$7)))</f>
        <v>45281.567933200371</v>
      </c>
      <c r="W76" s="246"/>
      <c r="X76" s="247"/>
      <c r="Y76" s="229">
        <f t="shared" ref="Y76:Y100" ca="1" si="33">IF(ISBLANK(X76),J76,G76+(G76*X76))</f>
        <v>62392.024364405625</v>
      </c>
      <c r="Z76" s="71"/>
      <c r="AA76" s="235">
        <f t="shared" ref="AA76:AA100" ca="1" si="34">IF(Z76="",IF($D76="Vacant",$B$5+90,$B$5),Z76)</f>
        <v>44833</v>
      </c>
      <c r="AB76" s="71"/>
      <c r="AC76" s="235" t="str">
        <f ca="1">IF(AB76="",IFERROR(VLOOKUP($D76,'Employee Master'!$A:$F,6,FALSE)+365,""),AB76)</f>
        <v/>
      </c>
      <c r="AD76" s="234"/>
      <c r="AE76" s="235">
        <f t="shared" ref="AE76:AE100" ca="1" si="35">IF(AD76="",$B$6,AD76)</f>
        <v>45107</v>
      </c>
      <c r="AF76" s="237">
        <f t="shared" ref="AF76:AF100" ca="1" si="36">IF(AC76="",NETWORKDAYS(AA76,AE76),NETWORKDAYS(AA76,AC76-1))</f>
        <v>197</v>
      </c>
      <c r="AG76" s="237">
        <f t="shared" ref="AG76:AG100" ca="1" si="37">IF(AC76="",0,NETWORKDAYS(AC76,AE76))</f>
        <v>0</v>
      </c>
      <c r="AH76" s="237">
        <f t="shared" ref="AH76:AH100" ca="1" si="38">AF76+AG76</f>
        <v>197</v>
      </c>
      <c r="AI76" s="238">
        <f t="shared" ref="AI76:AI100" ca="1" si="39">((G76*AF76)/AH76)+((Y76*AG76)/AH76)</f>
        <v>59992.331119620794</v>
      </c>
      <c r="AJ76" s="229">
        <f t="shared" ref="AJ76:AJ100" ca="1" si="40">((G76*AF76)/$B$7)+((Y76*AG76)/$B$7)</f>
        <v>45281.567933200371</v>
      </c>
      <c r="AK76" s="233">
        <f t="shared" ref="AK76:AK100" ca="1" si="41">IF($B$4&gt;AE76,0,IF(OR(AC76="",$B$4&lt;AA76),AJ76,IF($B$4&lt;AC76,NETWORKDAYS($B$4,AC76-1)*$G76/$B$7+AG76*Y76/$B$7,NETWORKDAYS($B$4,AE76)*Y76/$B$7)))</f>
        <v>45281.567933200371</v>
      </c>
      <c r="AL76" s="248"/>
      <c r="AM76" s="233">
        <f t="shared" ref="AM76:AM100" ca="1" si="42">AI76-T76</f>
        <v>0</v>
      </c>
      <c r="AN76" s="233">
        <f t="shared" ref="AN76:AN100" ca="1" si="43">AO76-AM76</f>
        <v>0</v>
      </c>
      <c r="AO76" s="233">
        <f t="shared" ref="AO76:AO100" ca="1" si="44">AJ76-U76</f>
        <v>0</v>
      </c>
      <c r="AP76" s="233">
        <f t="shared" ref="AP76:AP100" ca="1" si="45">AK76-V76</f>
        <v>0</v>
      </c>
      <c r="AR76" s="226"/>
      <c r="AS76" s="226"/>
      <c r="AT76" s="226"/>
      <c r="AU76" s="226"/>
      <c r="AV76" s="226"/>
      <c r="AW76" s="226"/>
      <c r="AX76" s="226"/>
      <c r="AY76" s="226"/>
      <c r="AZ76" s="226"/>
      <c r="BA76" s="226"/>
      <c r="BB76" s="226"/>
      <c r="BC76" s="226"/>
      <c r="BD76" s="226"/>
      <c r="BE76" s="226"/>
      <c r="BF76" s="226"/>
      <c r="BN76" s="244">
        <f ca="1">IF('Budgeting Model'!C76="Vacant",'Budgeting Model'!AK76,"")</f>
        <v>45281.567933200371</v>
      </c>
      <c r="BO76" s="195" t="str">
        <f t="shared" ref="BO76:BO100" ca="1" si="46">IFERROR(MONTH(N76),"")</f>
        <v/>
      </c>
      <c r="BP76" s="195" t="str">
        <f t="shared" ref="BP76:BP100" ca="1" si="47">IF(OR(BO76&gt;9,BO76&lt;3),E76,"")</f>
        <v/>
      </c>
    </row>
    <row r="77" spans="1:68" s="195" customFormat="1" ht="15" customHeight="1" thickBot="1">
      <c r="A77" s="227" t="s">
        <v>135</v>
      </c>
      <c r="B77" s="228" t="str">
        <f>IF(ISNA(VLOOKUP($A77,'Position Master'!B:C,2,FALSE)),"Missing",VLOOKUP($A77,'Position Master'!B:C,2,FALSE))</f>
        <v>Dept 9</v>
      </c>
      <c r="C77" s="211" t="str">
        <f ca="1">_xlfn.IFNA(INDEX('Employee Master'!$C:$C,MATCH($D77,'Employee Master'!$A:$A,0))&amp;", "&amp;INDEX('Employee Master'!$B:$B,MATCH($D77,'Employee Master'!$A:$A,0)),"Vacant")</f>
        <v>Vacant</v>
      </c>
      <c r="D77" s="211" t="str">
        <f>IF(INDEX('Position Master'!$A$7:$A$97,MATCH(A77,'Position Master'!$B$7:$B$97,0))=0,"Vacant",INDEX('Position Master'!$A$7:$A$97,MATCH(A77,'Position Master'!$B$7:$B$97,0)))</f>
        <v>Vacant</v>
      </c>
      <c r="E77" s="229" t="str">
        <f ca="1">IFERROR(VLOOKUP(D77,'Employee Master'!A:F,5,FALSE),"")</f>
        <v/>
      </c>
      <c r="F77" s="230" t="str">
        <f ca="1">IF(C77="Vacant","No",IF(AND(VLOOKUP(D77,'Employee Master'!A:F,6,FALSE)+360&lt;B$4,VLOOKUP(D77,'Employee Master'!A:F,6,FALSE)+360&lt;B71),"Yes","No"))</f>
        <v>No</v>
      </c>
      <c r="G77" s="229">
        <f ca="1">IF(C77="Vacant",VLOOKUP(A77,'Position Master'!B:D,3,FALSE),E77)*(1+IF(F77="Yes",F$8,0))</f>
        <v>62985.741122919208</v>
      </c>
      <c r="H77" s="245"/>
      <c r="I77" s="232"/>
      <c r="J77" s="233">
        <f t="shared" ca="1" si="24"/>
        <v>65505.170767835982</v>
      </c>
      <c r="K77" s="234"/>
      <c r="L77" s="235">
        <f t="shared" ca="1" si="25"/>
        <v>44833</v>
      </c>
      <c r="M77" s="236"/>
      <c r="N77" s="235" t="str">
        <f ca="1">IF(M77="",IFERROR(VLOOKUP($D77,'Employee Master'!$A:$F,6,FALSE)+365,""),M77)</f>
        <v/>
      </c>
      <c r="O77" s="71"/>
      <c r="P77" s="235">
        <f t="shared" ca="1" si="26"/>
        <v>45107</v>
      </c>
      <c r="Q77" s="237">
        <f t="shared" ca="1" si="27"/>
        <v>197</v>
      </c>
      <c r="R77" s="237">
        <f t="shared" ca="1" si="28"/>
        <v>0</v>
      </c>
      <c r="S77" s="237">
        <f t="shared" ca="1" si="29"/>
        <v>197</v>
      </c>
      <c r="T77" s="238">
        <f t="shared" ca="1" si="30"/>
        <v>62985.741122919208</v>
      </c>
      <c r="U77" s="229">
        <f t="shared" ca="1" si="31"/>
        <v>47540.961690479249</v>
      </c>
      <c r="V77" s="233">
        <f t="shared" ca="1" si="32"/>
        <v>47540.961690479249</v>
      </c>
      <c r="W77" s="246"/>
      <c r="X77" s="247"/>
      <c r="Y77" s="229">
        <f t="shared" ca="1" si="33"/>
        <v>65505.170767835982</v>
      </c>
      <c r="Z77" s="71"/>
      <c r="AA77" s="235">
        <f t="shared" ca="1" si="34"/>
        <v>44833</v>
      </c>
      <c r="AB77" s="71"/>
      <c r="AC77" s="235" t="str">
        <f ca="1">IF(AB77="",IFERROR(VLOOKUP($D77,'Employee Master'!$A:$F,6,FALSE)+365,""),AB77)</f>
        <v/>
      </c>
      <c r="AD77" s="234"/>
      <c r="AE77" s="235">
        <f t="shared" ca="1" si="35"/>
        <v>45107</v>
      </c>
      <c r="AF77" s="237">
        <f t="shared" ca="1" si="36"/>
        <v>197</v>
      </c>
      <c r="AG77" s="237">
        <f t="shared" ca="1" si="37"/>
        <v>0</v>
      </c>
      <c r="AH77" s="237">
        <f t="shared" ca="1" si="38"/>
        <v>197</v>
      </c>
      <c r="AI77" s="238">
        <f t="shared" ca="1" si="39"/>
        <v>62985.741122919208</v>
      </c>
      <c r="AJ77" s="229">
        <f t="shared" ca="1" si="40"/>
        <v>47540.961690479249</v>
      </c>
      <c r="AK77" s="233">
        <f t="shared" ca="1" si="41"/>
        <v>47540.961690479249</v>
      </c>
      <c r="AL77" s="248"/>
      <c r="AM77" s="233">
        <f t="shared" ca="1" si="42"/>
        <v>0</v>
      </c>
      <c r="AN77" s="233">
        <f t="shared" ca="1" si="43"/>
        <v>0</v>
      </c>
      <c r="AO77" s="233">
        <f t="shared" ca="1" si="44"/>
        <v>0</v>
      </c>
      <c r="AP77" s="233">
        <f t="shared" ca="1" si="45"/>
        <v>0</v>
      </c>
      <c r="AR77" s="226"/>
      <c r="AS77" s="226"/>
      <c r="AT77" s="226"/>
      <c r="AU77" s="226"/>
      <c r="AV77" s="226"/>
      <c r="AW77" s="226"/>
      <c r="AX77" s="226"/>
      <c r="AY77" s="226"/>
      <c r="AZ77" s="226"/>
      <c r="BA77" s="226"/>
      <c r="BB77" s="226"/>
      <c r="BC77" s="226"/>
      <c r="BD77" s="226"/>
      <c r="BE77" s="226"/>
      <c r="BF77" s="226"/>
      <c r="BN77" s="244">
        <f ca="1">IF('Budgeting Model'!C77="Vacant",'Budgeting Model'!AK77,"")</f>
        <v>47540.961690479249</v>
      </c>
      <c r="BO77" s="195" t="str">
        <f t="shared" ca="1" si="46"/>
        <v/>
      </c>
      <c r="BP77" s="195" t="str">
        <f t="shared" ca="1" si="47"/>
        <v/>
      </c>
    </row>
    <row r="78" spans="1:68" s="195" customFormat="1" ht="15" customHeight="1" thickBot="1">
      <c r="A78" s="227" t="s">
        <v>136</v>
      </c>
      <c r="B78" s="228" t="str">
        <f>IF(ISNA(VLOOKUP($A78,'Position Master'!B:C,2,FALSE)),"Missing",VLOOKUP($A78,'Position Master'!B:C,2,FALSE))</f>
        <v>Dept 2</v>
      </c>
      <c r="C78" s="211" t="str">
        <f ca="1">_xlfn.IFNA(INDEX('Employee Master'!$C:$C,MATCH($D78,'Employee Master'!$A:$A,0))&amp;", "&amp;INDEX('Employee Master'!$B:$B,MATCH($D78,'Employee Master'!$A:$A,0)),"Vacant")</f>
        <v>Nabatian, David</v>
      </c>
      <c r="D78" s="211">
        <f>IF(INDEX('Position Master'!$A$7:$A$97,MATCH(A78,'Position Master'!$B$7:$B$97,0))=0,"Vacant",INDEX('Position Master'!$A$7:$A$97,MATCH(A78,'Position Master'!$B$7:$B$97,0)))</f>
        <v>7777919</v>
      </c>
      <c r="E78" s="229">
        <f ca="1">IFERROR(VLOOKUP(D78,'Employee Master'!A:F,5,FALSE),"")</f>
        <v>44636.404484090825</v>
      </c>
      <c r="F78" s="230" t="str">
        <f ca="1">IF(C78="Vacant","No",IF(AND(VLOOKUP(D78,'Employee Master'!A:F,6,FALSE)+360&lt;B$4,VLOOKUP(D78,'Employee Master'!A:F,6,FALSE)+360&lt;B72),"Yes","No"))</f>
        <v>Yes</v>
      </c>
      <c r="G78" s="229">
        <f ca="1">IF(C78="Vacant",VLOOKUP(A78,'Position Master'!B:D,3,FALSE),E78)*(1+IF(F78="Yes",F$8,0))</f>
        <v>45975.49661861355</v>
      </c>
      <c r="H78" s="245"/>
      <c r="I78" s="232"/>
      <c r="J78" s="233">
        <f t="shared" ca="1" si="24"/>
        <v>47814.516483358093</v>
      </c>
      <c r="K78" s="234"/>
      <c r="L78" s="235">
        <f t="shared" ca="1" si="25"/>
        <v>44743</v>
      </c>
      <c r="M78" s="236"/>
      <c r="N78" s="235">
        <f ca="1">IF(M78="",IFERROR(VLOOKUP($D78,'Employee Master'!$A:$F,6,FALSE)+365,""),M78)</f>
        <v>44786</v>
      </c>
      <c r="O78" s="71"/>
      <c r="P78" s="235">
        <f t="shared" ca="1" si="26"/>
        <v>45107</v>
      </c>
      <c r="Q78" s="237">
        <f t="shared" ca="1" si="27"/>
        <v>31</v>
      </c>
      <c r="R78" s="237">
        <f t="shared" ca="1" si="28"/>
        <v>230</v>
      </c>
      <c r="S78" s="237">
        <f t="shared" ca="1" si="29"/>
        <v>261</v>
      </c>
      <c r="T78" s="238">
        <f t="shared" ca="1" si="30"/>
        <v>47596.088836587667</v>
      </c>
      <c r="U78" s="229">
        <f t="shared" ca="1" si="31"/>
        <v>47596.088836587667</v>
      </c>
      <c r="V78" s="233">
        <f t="shared" ca="1" si="32"/>
        <v>8976.6716769522845</v>
      </c>
      <c r="W78" s="246"/>
      <c r="X78" s="247"/>
      <c r="Y78" s="229">
        <f t="shared" ca="1" si="33"/>
        <v>47814.516483358093</v>
      </c>
      <c r="Z78" s="249"/>
      <c r="AA78" s="235">
        <f t="shared" ca="1" si="34"/>
        <v>44743</v>
      </c>
      <c r="AB78" s="71"/>
      <c r="AC78" s="235">
        <f ca="1">IF(AB78="",IFERROR(VLOOKUP($D78,'Employee Master'!$A:$F,6,FALSE)+365,""),AB78)</f>
        <v>44786</v>
      </c>
      <c r="AD78" s="234"/>
      <c r="AE78" s="235">
        <f t="shared" ca="1" si="35"/>
        <v>45107</v>
      </c>
      <c r="AF78" s="237">
        <f t="shared" ca="1" si="36"/>
        <v>31</v>
      </c>
      <c r="AG78" s="237">
        <f t="shared" ca="1" si="37"/>
        <v>230</v>
      </c>
      <c r="AH78" s="237">
        <f t="shared" ca="1" si="38"/>
        <v>261</v>
      </c>
      <c r="AI78" s="238">
        <f t="shared" ca="1" si="39"/>
        <v>47596.088836587667</v>
      </c>
      <c r="AJ78" s="229">
        <f t="shared" ca="1" si="40"/>
        <v>47596.088836587667</v>
      </c>
      <c r="AK78" s="233">
        <f t="shared" ca="1" si="41"/>
        <v>8976.6716769522845</v>
      </c>
      <c r="AL78" s="248"/>
      <c r="AM78" s="233">
        <f t="shared" ca="1" si="42"/>
        <v>0</v>
      </c>
      <c r="AN78" s="233">
        <f t="shared" ca="1" si="43"/>
        <v>0</v>
      </c>
      <c r="AO78" s="233">
        <f t="shared" ca="1" si="44"/>
        <v>0</v>
      </c>
      <c r="AP78" s="233">
        <f t="shared" ca="1" si="45"/>
        <v>0</v>
      </c>
      <c r="AR78" s="226"/>
      <c r="AS78" s="226"/>
      <c r="AT78" s="226"/>
      <c r="AU78" s="226"/>
      <c r="AV78" s="226"/>
      <c r="AW78" s="226"/>
      <c r="AX78" s="226"/>
      <c r="AY78" s="226"/>
      <c r="AZ78" s="226"/>
      <c r="BA78" s="226"/>
      <c r="BB78" s="226"/>
      <c r="BC78" s="226"/>
      <c r="BD78" s="226"/>
      <c r="BE78" s="226"/>
      <c r="BF78" s="226"/>
      <c r="BN78" s="244" t="str">
        <f ca="1">IF('Budgeting Model'!C78="Vacant",'Budgeting Model'!AK78,"")</f>
        <v/>
      </c>
      <c r="BO78" s="195">
        <f t="shared" ca="1" si="46"/>
        <v>8</v>
      </c>
      <c r="BP78" s="195" t="str">
        <f t="shared" ca="1" si="47"/>
        <v/>
      </c>
    </row>
    <row r="79" spans="1:68" s="195" customFormat="1" ht="15" customHeight="1" thickBot="1">
      <c r="A79" s="227" t="s">
        <v>137</v>
      </c>
      <c r="B79" s="228" t="str">
        <f>IF(ISNA(VLOOKUP($A79,'Position Master'!B:C,2,FALSE)),"Missing",VLOOKUP($A79,'Position Master'!B:C,2,FALSE))</f>
        <v>Dept 1</v>
      </c>
      <c r="C79" s="211" t="str">
        <f ca="1">_xlfn.IFNA(INDEX('Employee Master'!$C:$C,MATCH($D79,'Employee Master'!$A:$A,0))&amp;", "&amp;INDEX('Employee Master'!$B:$B,MATCH($D79,'Employee Master'!$A:$A,0)),"Vacant")</f>
        <v>Nguyen, Janet</v>
      </c>
      <c r="D79" s="211">
        <f>IF(INDEX('Position Master'!$A$7:$A$97,MATCH(A79,'Position Master'!$B$7:$B$97,0))=0,"Vacant",INDEX('Position Master'!$A$7:$A$97,MATCH(A79,'Position Master'!$B$7:$B$97,0)))</f>
        <v>7839723</v>
      </c>
      <c r="E79" s="229">
        <f ca="1">IFERROR(VLOOKUP(D79,'Employee Master'!A:F,5,FALSE),"")</f>
        <v>44914.228807177737</v>
      </c>
      <c r="F79" s="230" t="str">
        <f ca="1">IF(C79="Vacant","No",IF(AND(VLOOKUP(D79,'Employee Master'!A:F,6,FALSE)+360&lt;B$4,VLOOKUP(D79,'Employee Master'!A:F,6,FALSE)+360&lt;B73),"Yes","No"))</f>
        <v>Yes</v>
      </c>
      <c r="G79" s="229">
        <f ca="1">IF(C79="Vacant",VLOOKUP(A79,'Position Master'!B:D,3,FALSE),E79)*(1+IF(F79="Yes",F$8,0))</f>
        <v>46261.655671393069</v>
      </c>
      <c r="H79" s="245"/>
      <c r="I79" s="232"/>
      <c r="J79" s="233">
        <f t="shared" ca="1" si="24"/>
        <v>48112.121898248792</v>
      </c>
      <c r="K79" s="234"/>
      <c r="L79" s="235">
        <f t="shared" ca="1" si="25"/>
        <v>44743</v>
      </c>
      <c r="M79" s="236"/>
      <c r="N79" s="235">
        <f ca="1">IF(M79="",IFERROR(VLOOKUP($D79,'Employee Master'!$A:$F,6,FALSE)+365,""),M79)</f>
        <v>45026</v>
      </c>
      <c r="O79" s="71"/>
      <c r="P79" s="235">
        <f t="shared" ca="1" si="26"/>
        <v>45107</v>
      </c>
      <c r="Q79" s="237">
        <f t="shared" ca="1" si="27"/>
        <v>201</v>
      </c>
      <c r="R79" s="237">
        <f t="shared" ca="1" si="28"/>
        <v>60</v>
      </c>
      <c r="S79" s="237">
        <f t="shared" ca="1" si="29"/>
        <v>261</v>
      </c>
      <c r="T79" s="238">
        <f t="shared" ca="1" si="30"/>
        <v>46687.050206302432</v>
      </c>
      <c r="U79" s="229">
        <f t="shared" ca="1" si="31"/>
        <v>46687.050206302432</v>
      </c>
      <c r="V79" s="233">
        <f t="shared" ca="1" si="32"/>
        <v>9032.5439579087779</v>
      </c>
      <c r="W79" s="246"/>
      <c r="X79" s="247"/>
      <c r="Y79" s="229">
        <f t="shared" ca="1" si="33"/>
        <v>48112.121898248792</v>
      </c>
      <c r="Z79" s="71"/>
      <c r="AA79" s="235">
        <f t="shared" ca="1" si="34"/>
        <v>44743</v>
      </c>
      <c r="AB79" s="71"/>
      <c r="AC79" s="235">
        <f ca="1">IF(AB79="",IFERROR(VLOOKUP($D79,'Employee Master'!$A:$F,6,FALSE)+365,""),AB79)</f>
        <v>45026</v>
      </c>
      <c r="AD79" s="234"/>
      <c r="AE79" s="235">
        <f t="shared" ca="1" si="35"/>
        <v>45107</v>
      </c>
      <c r="AF79" s="237">
        <f t="shared" ca="1" si="36"/>
        <v>201</v>
      </c>
      <c r="AG79" s="237">
        <f t="shared" ca="1" si="37"/>
        <v>60</v>
      </c>
      <c r="AH79" s="237">
        <f t="shared" ca="1" si="38"/>
        <v>261</v>
      </c>
      <c r="AI79" s="238">
        <f t="shared" ca="1" si="39"/>
        <v>46687.050206302432</v>
      </c>
      <c r="AJ79" s="229">
        <f t="shared" ca="1" si="40"/>
        <v>46687.050206302432</v>
      </c>
      <c r="AK79" s="233">
        <f t="shared" ca="1" si="41"/>
        <v>9032.5439579087779</v>
      </c>
      <c r="AL79" s="248"/>
      <c r="AM79" s="233">
        <f t="shared" ca="1" si="42"/>
        <v>0</v>
      </c>
      <c r="AN79" s="233">
        <f t="shared" ca="1" si="43"/>
        <v>0</v>
      </c>
      <c r="AO79" s="233">
        <f t="shared" ca="1" si="44"/>
        <v>0</v>
      </c>
      <c r="AP79" s="233">
        <f t="shared" ca="1" si="45"/>
        <v>0</v>
      </c>
      <c r="AR79" s="226"/>
      <c r="AS79" s="226"/>
      <c r="AT79" s="226"/>
      <c r="AU79" s="226"/>
      <c r="AV79" s="226"/>
      <c r="AW79" s="226"/>
      <c r="AX79" s="226"/>
      <c r="AY79" s="226"/>
      <c r="AZ79" s="226"/>
      <c r="BA79" s="226"/>
      <c r="BB79" s="226"/>
      <c r="BC79" s="226"/>
      <c r="BD79" s="226"/>
      <c r="BE79" s="226"/>
      <c r="BF79" s="226"/>
      <c r="BN79" s="244" t="str">
        <f ca="1">IF('Budgeting Model'!C79="Vacant",'Budgeting Model'!AK79,"")</f>
        <v/>
      </c>
      <c r="BO79" s="195">
        <f t="shared" ca="1" si="46"/>
        <v>4</v>
      </c>
      <c r="BP79" s="195" t="str">
        <f t="shared" ca="1" si="47"/>
        <v/>
      </c>
    </row>
    <row r="80" spans="1:68" s="195" customFormat="1" ht="15" customHeight="1" thickBot="1">
      <c r="A80" s="227" t="s">
        <v>138</v>
      </c>
      <c r="B80" s="228" t="str">
        <f>IF(ISNA(VLOOKUP($A80,'Position Master'!B:C,2,FALSE)),"Missing",VLOOKUP($A80,'Position Master'!B:C,2,FALSE))</f>
        <v>Dept 10</v>
      </c>
      <c r="C80" s="211" t="str">
        <f ca="1">_xlfn.IFNA(INDEX('Employee Master'!$C:$C,MATCH($D80,'Employee Master'!$A:$A,0))&amp;", "&amp;INDEX('Employee Master'!$B:$B,MATCH($D80,'Employee Master'!$A:$A,0)),"Vacant")</f>
        <v>Patel, Andy</v>
      </c>
      <c r="D80" s="211">
        <f>IF(INDEX('Position Master'!$A$7:$A$97,MATCH(A80,'Position Master'!$B$7:$B$97,0))=0,"Vacant",INDEX('Position Master'!$A$7:$A$97,MATCH(A80,'Position Master'!$B$7:$B$97,0)))</f>
        <v>8406505</v>
      </c>
      <c r="E80" s="229">
        <f ca="1">IFERROR(VLOOKUP(D80,'Employee Master'!A:F,5,FALSE),"")</f>
        <v>69920.61868203315</v>
      </c>
      <c r="F80" s="230" t="str">
        <f ca="1">IF(C80="Vacant","No",IF(AND(VLOOKUP(D80,'Employee Master'!A:F,6,FALSE)+360&lt;B$4,VLOOKUP(D80,'Employee Master'!A:F,6,FALSE)+360&lt;B74),"Yes","No"))</f>
        <v>Yes</v>
      </c>
      <c r="G80" s="229">
        <f ca="1">IF(C80="Vacant",VLOOKUP(A80,'Position Master'!B:D,3,FALSE),E80)*(1+IF(F80="Yes",F$8,0))</f>
        <v>72018.237242494142</v>
      </c>
      <c r="H80" s="245"/>
      <c r="I80" s="232"/>
      <c r="J80" s="233">
        <f t="shared" ca="1" si="24"/>
        <v>74898.966732193905</v>
      </c>
      <c r="K80" s="234"/>
      <c r="L80" s="235">
        <f t="shared" ca="1" si="25"/>
        <v>44743</v>
      </c>
      <c r="M80" s="236"/>
      <c r="N80" s="235">
        <f ca="1">IF(M80="",IFERROR(VLOOKUP($D80,'Employee Master'!$A:$F,6,FALSE)+365,""),M80)</f>
        <v>44919</v>
      </c>
      <c r="O80" s="71"/>
      <c r="P80" s="235">
        <f t="shared" ca="1" si="26"/>
        <v>45107</v>
      </c>
      <c r="Q80" s="237">
        <f t="shared" ca="1" si="27"/>
        <v>126</v>
      </c>
      <c r="R80" s="237">
        <f t="shared" ca="1" si="28"/>
        <v>135</v>
      </c>
      <c r="S80" s="237">
        <f t="shared" ca="1" si="29"/>
        <v>261</v>
      </c>
      <c r="T80" s="238">
        <f t="shared" ca="1" si="30"/>
        <v>73508.26973716644</v>
      </c>
      <c r="U80" s="229">
        <f t="shared" ca="1" si="31"/>
        <v>73508.26973716644</v>
      </c>
      <c r="V80" s="233">
        <f t="shared" ca="1" si="32"/>
        <v>14061.491838611117</v>
      </c>
      <c r="W80" s="246"/>
      <c r="X80" s="247"/>
      <c r="Y80" s="229">
        <f t="shared" ca="1" si="33"/>
        <v>74898.966732193905</v>
      </c>
      <c r="Z80" s="71"/>
      <c r="AA80" s="235">
        <f t="shared" ca="1" si="34"/>
        <v>44743</v>
      </c>
      <c r="AB80" s="71"/>
      <c r="AC80" s="235">
        <f ca="1">IF(AB80="",IFERROR(VLOOKUP($D80,'Employee Master'!$A:$F,6,FALSE)+365,""),AB80)</f>
        <v>44919</v>
      </c>
      <c r="AD80" s="234"/>
      <c r="AE80" s="235">
        <f t="shared" ca="1" si="35"/>
        <v>45107</v>
      </c>
      <c r="AF80" s="237">
        <f t="shared" ca="1" si="36"/>
        <v>126</v>
      </c>
      <c r="AG80" s="237">
        <f t="shared" ca="1" si="37"/>
        <v>135</v>
      </c>
      <c r="AH80" s="237">
        <f t="shared" ca="1" si="38"/>
        <v>261</v>
      </c>
      <c r="AI80" s="238">
        <f t="shared" ca="1" si="39"/>
        <v>73508.26973716644</v>
      </c>
      <c r="AJ80" s="229">
        <f t="shared" ca="1" si="40"/>
        <v>73508.26973716644</v>
      </c>
      <c r="AK80" s="233">
        <f t="shared" ca="1" si="41"/>
        <v>14061.491838611117</v>
      </c>
      <c r="AL80" s="248"/>
      <c r="AM80" s="233">
        <f t="shared" ca="1" si="42"/>
        <v>0</v>
      </c>
      <c r="AN80" s="233">
        <f t="shared" ca="1" si="43"/>
        <v>0</v>
      </c>
      <c r="AO80" s="233">
        <f t="shared" ca="1" si="44"/>
        <v>0</v>
      </c>
      <c r="AP80" s="233">
        <f t="shared" ca="1" si="45"/>
        <v>0</v>
      </c>
      <c r="AR80" s="226"/>
      <c r="AS80" s="226"/>
      <c r="AT80" s="226"/>
      <c r="AU80" s="226"/>
      <c r="AV80" s="226"/>
      <c r="AW80" s="226"/>
      <c r="AX80" s="226"/>
      <c r="AY80" s="226"/>
      <c r="AZ80" s="226"/>
      <c r="BA80" s="226"/>
      <c r="BB80" s="226"/>
      <c r="BC80" s="226"/>
      <c r="BD80" s="226"/>
      <c r="BE80" s="226"/>
      <c r="BF80" s="226"/>
      <c r="BN80" s="244" t="str">
        <f ca="1">IF('Budgeting Model'!C80="Vacant",'Budgeting Model'!AK80,"")</f>
        <v/>
      </c>
      <c r="BO80" s="195">
        <f t="shared" ca="1" si="46"/>
        <v>12</v>
      </c>
      <c r="BP80" s="195">
        <f t="shared" ca="1" si="47"/>
        <v>69920.61868203315</v>
      </c>
    </row>
    <row r="81" spans="1:68" s="195" customFormat="1" ht="15" customHeight="1" thickBot="1">
      <c r="A81" s="227" t="s">
        <v>139</v>
      </c>
      <c r="B81" s="228" t="str">
        <f>IF(ISNA(VLOOKUP($A81,'Position Master'!B:C,2,FALSE)),"Missing",VLOOKUP($A81,'Position Master'!B:C,2,FALSE))</f>
        <v>Dept 13</v>
      </c>
      <c r="C81" s="211" t="str">
        <f ca="1">_xlfn.IFNA(INDEX('Employee Master'!$C:$C,MATCH($D81,'Employee Master'!$A:$A,0))&amp;", "&amp;INDEX('Employee Master'!$B:$B,MATCH($D81,'Employee Master'!$A:$A,0)),"Vacant")</f>
        <v>Petillo, Patrycja</v>
      </c>
      <c r="D81" s="211">
        <f>IF(INDEX('Position Master'!$A$7:$A$97,MATCH(A81,'Position Master'!$B$7:$B$97,0))=0,"Vacant",INDEX('Position Master'!$A$7:$A$97,MATCH(A81,'Position Master'!$B$7:$B$97,0)))</f>
        <v>8694735</v>
      </c>
      <c r="E81" s="229">
        <f ca="1">IFERROR(VLOOKUP(D81,'Employee Master'!A:F,5,FALSE),"")</f>
        <v>51759.61625085141</v>
      </c>
      <c r="F81" s="230" t="str">
        <f ca="1">IF(C81="Vacant","No",IF(AND(VLOOKUP(D81,'Employee Master'!A:F,6,FALSE)+360&lt;B$4,VLOOKUP(D81,'Employee Master'!A:F,6,FALSE)+360&lt;B75),"Yes","No"))</f>
        <v>No</v>
      </c>
      <c r="G81" s="229">
        <f ca="1">IF(C81="Vacant",VLOOKUP(A81,'Position Master'!B:D,3,FALSE),E81)*(1+IF(F81="Yes",F$8,0))</f>
        <v>51759.61625085141</v>
      </c>
      <c r="H81" s="245"/>
      <c r="I81" s="232"/>
      <c r="J81" s="233">
        <f t="shared" ca="1" si="24"/>
        <v>53830.000900885469</v>
      </c>
      <c r="K81" s="234"/>
      <c r="L81" s="235">
        <f t="shared" ca="1" si="25"/>
        <v>44743</v>
      </c>
      <c r="M81" s="236"/>
      <c r="N81" s="235">
        <f ca="1">IF(M81="",IFERROR(VLOOKUP($D81,'Employee Master'!$A:$F,6,FALSE)+365,""),M81)</f>
        <v>45075</v>
      </c>
      <c r="O81" s="71"/>
      <c r="P81" s="235">
        <f t="shared" ca="1" si="26"/>
        <v>45107</v>
      </c>
      <c r="Q81" s="237">
        <f t="shared" ca="1" si="27"/>
        <v>236</v>
      </c>
      <c r="R81" s="237">
        <f t="shared" ca="1" si="28"/>
        <v>25</v>
      </c>
      <c r="S81" s="237">
        <f t="shared" ca="1" si="29"/>
        <v>261</v>
      </c>
      <c r="T81" s="238">
        <f t="shared" ca="1" si="30"/>
        <v>51957.928956793374</v>
      </c>
      <c r="U81" s="229">
        <f t="shared" ca="1" si="31"/>
        <v>51957.928956793374</v>
      </c>
      <c r="V81" s="233">
        <f t="shared" ca="1" si="32"/>
        <v>9915.6352970979715</v>
      </c>
      <c r="W81" s="246"/>
      <c r="X81" s="247"/>
      <c r="Y81" s="229">
        <f t="shared" ca="1" si="33"/>
        <v>53830.000900885469</v>
      </c>
      <c r="Z81" s="71"/>
      <c r="AA81" s="235">
        <f t="shared" ca="1" si="34"/>
        <v>44743</v>
      </c>
      <c r="AB81" s="71"/>
      <c r="AC81" s="235">
        <f ca="1">IF(AB81="",IFERROR(VLOOKUP($D81,'Employee Master'!$A:$F,6,FALSE)+365,""),AB81)</f>
        <v>45075</v>
      </c>
      <c r="AD81" s="234"/>
      <c r="AE81" s="235">
        <f t="shared" ca="1" si="35"/>
        <v>45107</v>
      </c>
      <c r="AF81" s="237">
        <f t="shared" ca="1" si="36"/>
        <v>236</v>
      </c>
      <c r="AG81" s="237">
        <f t="shared" ca="1" si="37"/>
        <v>25</v>
      </c>
      <c r="AH81" s="237">
        <f t="shared" ca="1" si="38"/>
        <v>261</v>
      </c>
      <c r="AI81" s="238">
        <f t="shared" ca="1" si="39"/>
        <v>51957.928956793374</v>
      </c>
      <c r="AJ81" s="229">
        <f t="shared" ca="1" si="40"/>
        <v>51957.928956793374</v>
      </c>
      <c r="AK81" s="233">
        <f t="shared" ca="1" si="41"/>
        <v>9915.6352970979715</v>
      </c>
      <c r="AL81" s="248"/>
      <c r="AM81" s="233">
        <f t="shared" ca="1" si="42"/>
        <v>0</v>
      </c>
      <c r="AN81" s="233">
        <f t="shared" ca="1" si="43"/>
        <v>0</v>
      </c>
      <c r="AO81" s="233">
        <f t="shared" ca="1" si="44"/>
        <v>0</v>
      </c>
      <c r="AP81" s="233">
        <f t="shared" ca="1" si="45"/>
        <v>0</v>
      </c>
      <c r="AR81" s="226"/>
      <c r="AS81" s="226"/>
      <c r="AT81" s="226"/>
      <c r="AU81" s="226"/>
      <c r="AV81" s="226"/>
      <c r="AW81" s="226"/>
      <c r="AX81" s="226"/>
      <c r="AY81" s="226"/>
      <c r="AZ81" s="226"/>
      <c r="BA81" s="226"/>
      <c r="BB81" s="226"/>
      <c r="BC81" s="226"/>
      <c r="BD81" s="226"/>
      <c r="BE81" s="226"/>
      <c r="BF81" s="226"/>
      <c r="BN81" s="244" t="str">
        <f ca="1">IF('Budgeting Model'!C81="Vacant",'Budgeting Model'!AK81,"")</f>
        <v/>
      </c>
      <c r="BO81" s="195">
        <f t="shared" ca="1" si="46"/>
        <v>5</v>
      </c>
      <c r="BP81" s="195" t="str">
        <f t="shared" ca="1" si="47"/>
        <v/>
      </c>
    </row>
    <row r="82" spans="1:68" s="195" customFormat="1" ht="15" customHeight="1" thickBot="1">
      <c r="A82" s="227" t="s">
        <v>140</v>
      </c>
      <c r="B82" s="228" t="str">
        <f>IF(ISNA(VLOOKUP($A82,'Position Master'!B:C,2,FALSE)),"Missing",VLOOKUP($A82,'Position Master'!B:C,2,FALSE))</f>
        <v>Dept 8</v>
      </c>
      <c r="C82" s="211" t="str">
        <f ca="1">_xlfn.IFNA(INDEX('Employee Master'!$C:$C,MATCH($D82,'Employee Master'!$A:$A,0))&amp;", "&amp;INDEX('Employee Master'!$B:$B,MATCH($D82,'Employee Master'!$A:$A,0)),"Vacant")</f>
        <v>Qasim, Xu</v>
      </c>
      <c r="D82" s="211">
        <f>IF(INDEX('Position Master'!$A$7:$A$97,MATCH(A82,'Position Master'!$B$7:$B$97,0))=0,"Vacant",INDEX('Position Master'!$A$7:$A$97,MATCH(A82,'Position Master'!$B$7:$B$97,0)))</f>
        <v>8723688</v>
      </c>
      <c r="E82" s="229">
        <f ca="1">IFERROR(VLOOKUP(D82,'Employee Master'!A:F,5,FALSE),"")</f>
        <v>56928.864369479474</v>
      </c>
      <c r="F82" s="230" t="str">
        <f ca="1">IF(C82="Vacant","No",IF(AND(VLOOKUP(D82,'Employee Master'!A:F,6,FALSE)+360&lt;B$4,VLOOKUP(D82,'Employee Master'!A:F,6,FALSE)+360&lt;B76),"Yes","No"))</f>
        <v>Yes</v>
      </c>
      <c r="G82" s="229">
        <f ca="1">IF(C82="Vacant",VLOOKUP(A82,'Position Master'!B:D,3,FALSE),E82)*(1+IF(F82="Yes",F$8,0))</f>
        <v>58636.730300563861</v>
      </c>
      <c r="H82" s="245"/>
      <c r="I82" s="232"/>
      <c r="J82" s="233">
        <f t="shared" ca="1" si="24"/>
        <v>60982.19951258642</v>
      </c>
      <c r="K82" s="234"/>
      <c r="L82" s="235">
        <f t="shared" ca="1" si="25"/>
        <v>44743</v>
      </c>
      <c r="M82" s="236"/>
      <c r="N82" s="235">
        <f ca="1">IF(M82="",IFERROR(VLOOKUP($D82,'Employee Master'!$A:$F,6,FALSE)+365,""),M82)</f>
        <v>44770</v>
      </c>
      <c r="O82" s="71"/>
      <c r="P82" s="235">
        <f t="shared" ca="1" si="26"/>
        <v>45107</v>
      </c>
      <c r="Q82" s="237">
        <f t="shared" ca="1" si="27"/>
        <v>19</v>
      </c>
      <c r="R82" s="237">
        <f t="shared" ca="1" si="28"/>
        <v>242</v>
      </c>
      <c r="S82" s="237">
        <f t="shared" ca="1" si="29"/>
        <v>261</v>
      </c>
      <c r="T82" s="238">
        <f t="shared" ca="1" si="30"/>
        <v>60811.456543128836</v>
      </c>
      <c r="U82" s="229">
        <f t="shared" ca="1" si="31"/>
        <v>60811.456543128836</v>
      </c>
      <c r="V82" s="233">
        <f t="shared" ca="1" si="32"/>
        <v>11448.765425734615</v>
      </c>
      <c r="W82" s="246"/>
      <c r="X82" s="247"/>
      <c r="Y82" s="229">
        <f t="shared" ca="1" si="33"/>
        <v>60982.19951258642</v>
      </c>
      <c r="Z82" s="71"/>
      <c r="AA82" s="235">
        <f t="shared" ca="1" si="34"/>
        <v>44743</v>
      </c>
      <c r="AB82" s="71"/>
      <c r="AC82" s="235">
        <f ca="1">IF(AB82="",IFERROR(VLOOKUP($D82,'Employee Master'!$A:$F,6,FALSE)+365,""),AB82)</f>
        <v>44770</v>
      </c>
      <c r="AD82" s="234"/>
      <c r="AE82" s="235">
        <f t="shared" ca="1" si="35"/>
        <v>45107</v>
      </c>
      <c r="AF82" s="237">
        <f t="shared" ca="1" si="36"/>
        <v>19</v>
      </c>
      <c r="AG82" s="237">
        <f t="shared" ca="1" si="37"/>
        <v>242</v>
      </c>
      <c r="AH82" s="237">
        <f t="shared" ca="1" si="38"/>
        <v>261</v>
      </c>
      <c r="AI82" s="238">
        <f t="shared" ca="1" si="39"/>
        <v>60811.456543128836</v>
      </c>
      <c r="AJ82" s="229">
        <f t="shared" ca="1" si="40"/>
        <v>60811.456543128836</v>
      </c>
      <c r="AK82" s="233">
        <f t="shared" ca="1" si="41"/>
        <v>11448.765425734615</v>
      </c>
      <c r="AL82" s="248"/>
      <c r="AM82" s="233">
        <f t="shared" ca="1" si="42"/>
        <v>0</v>
      </c>
      <c r="AN82" s="233">
        <f t="shared" ca="1" si="43"/>
        <v>0</v>
      </c>
      <c r="AO82" s="233">
        <f t="shared" ca="1" si="44"/>
        <v>0</v>
      </c>
      <c r="AP82" s="233">
        <f t="shared" ca="1" si="45"/>
        <v>0</v>
      </c>
      <c r="AR82" s="226"/>
      <c r="AS82" s="226"/>
      <c r="AT82" s="226"/>
      <c r="AU82" s="226"/>
      <c r="AV82" s="226"/>
      <c r="AW82" s="226"/>
      <c r="AX82" s="226"/>
      <c r="AY82" s="226"/>
      <c r="AZ82" s="226"/>
      <c r="BA82" s="226"/>
      <c r="BB82" s="226"/>
      <c r="BC82" s="226"/>
      <c r="BD82" s="226"/>
      <c r="BE82" s="226"/>
      <c r="BF82" s="226"/>
      <c r="BN82" s="244" t="str">
        <f ca="1">IF('Budgeting Model'!C82="Vacant",'Budgeting Model'!AK82,"")</f>
        <v/>
      </c>
      <c r="BO82" s="195">
        <f t="shared" ca="1" si="46"/>
        <v>7</v>
      </c>
      <c r="BP82" s="195" t="str">
        <f t="shared" ca="1" si="47"/>
        <v/>
      </c>
    </row>
    <row r="83" spans="1:68" s="195" customFormat="1" ht="15" customHeight="1" thickBot="1">
      <c r="A83" s="227" t="s">
        <v>141</v>
      </c>
      <c r="B83" s="228" t="str">
        <f>IF(ISNA(VLOOKUP($A83,'Position Master'!B:C,2,FALSE)),"Missing",VLOOKUP($A83,'Position Master'!B:C,2,FALSE))</f>
        <v>Dept 14</v>
      </c>
      <c r="C83" s="211" t="str">
        <f ca="1">_xlfn.IFNA(INDEX('Employee Master'!$C:$C,MATCH($D83,'Employee Master'!$A:$A,0))&amp;", "&amp;INDEX('Employee Master'!$B:$B,MATCH($D83,'Employee Master'!$A:$A,0)),"Vacant")</f>
        <v>Quizhpe, Kristen</v>
      </c>
      <c r="D83" s="211">
        <f>IF(INDEX('Position Master'!$A$7:$A$97,MATCH(A83,'Position Master'!$B$7:$B$97,0))=0,"Vacant",INDEX('Position Master'!$A$7:$A$97,MATCH(A83,'Position Master'!$B$7:$B$97,0)))</f>
        <v>8841428</v>
      </c>
      <c r="E83" s="229">
        <f ca="1">IFERROR(VLOOKUP(D83,'Employee Master'!A:F,5,FALSE),"")</f>
        <v>64147.578015211926</v>
      </c>
      <c r="F83" s="230" t="str">
        <f ca="1">IF(C83="Vacant","No",IF(AND(VLOOKUP(D83,'Employee Master'!A:F,6,FALSE)+360&lt;B$4,VLOOKUP(D83,'Employee Master'!A:F,6,FALSE)+360&lt;B77),"Yes","No"))</f>
        <v>Yes</v>
      </c>
      <c r="G83" s="229">
        <f ca="1">IF(C83="Vacant",VLOOKUP(A83,'Position Master'!B:D,3,FALSE),E83)*(1+IF(F83="Yes",F$8,0))</f>
        <v>66072.005355668283</v>
      </c>
      <c r="H83" s="245"/>
      <c r="I83" s="232"/>
      <c r="J83" s="233">
        <f t="shared" ca="1" si="24"/>
        <v>68714.885569895021</v>
      </c>
      <c r="K83" s="234"/>
      <c r="L83" s="235">
        <f t="shared" ca="1" si="25"/>
        <v>44743</v>
      </c>
      <c r="M83" s="236"/>
      <c r="N83" s="235">
        <f ca="1">IF(M83="",IFERROR(VLOOKUP($D83,'Employee Master'!$A:$F,6,FALSE)+365,""),M83)</f>
        <v>44782</v>
      </c>
      <c r="O83" s="71"/>
      <c r="P83" s="235">
        <f t="shared" ca="1" si="26"/>
        <v>45107</v>
      </c>
      <c r="Q83" s="237">
        <f t="shared" ca="1" si="27"/>
        <v>27</v>
      </c>
      <c r="R83" s="237">
        <f t="shared" ca="1" si="28"/>
        <v>234</v>
      </c>
      <c r="S83" s="237">
        <f t="shared" ca="1" si="29"/>
        <v>261</v>
      </c>
      <c r="T83" s="238">
        <f t="shared" ca="1" si="30"/>
        <v>68441.484168423296</v>
      </c>
      <c r="U83" s="229">
        <f t="shared" ca="1" si="31"/>
        <v>68441.484168423296</v>
      </c>
      <c r="V83" s="233">
        <f t="shared" ca="1" si="32"/>
        <v>12900.495758332781</v>
      </c>
      <c r="W83" s="246"/>
      <c r="X83" s="247"/>
      <c r="Y83" s="229">
        <f t="shared" ca="1" si="33"/>
        <v>68714.885569895021</v>
      </c>
      <c r="Z83" s="71"/>
      <c r="AA83" s="235">
        <f t="shared" ca="1" si="34"/>
        <v>44743</v>
      </c>
      <c r="AB83" s="71"/>
      <c r="AC83" s="235">
        <f ca="1">IF(AB83="",IFERROR(VLOOKUP($D83,'Employee Master'!$A:$F,6,FALSE)+365,""),AB83)</f>
        <v>44782</v>
      </c>
      <c r="AD83" s="234"/>
      <c r="AE83" s="235">
        <f t="shared" ca="1" si="35"/>
        <v>45107</v>
      </c>
      <c r="AF83" s="237">
        <f t="shared" ca="1" si="36"/>
        <v>27</v>
      </c>
      <c r="AG83" s="237">
        <f t="shared" ca="1" si="37"/>
        <v>234</v>
      </c>
      <c r="AH83" s="237">
        <f t="shared" ca="1" si="38"/>
        <v>261</v>
      </c>
      <c r="AI83" s="238">
        <f t="shared" ca="1" si="39"/>
        <v>68441.484168423296</v>
      </c>
      <c r="AJ83" s="229">
        <f t="shared" ca="1" si="40"/>
        <v>68441.484168423296</v>
      </c>
      <c r="AK83" s="233">
        <f t="shared" ca="1" si="41"/>
        <v>12900.495758332781</v>
      </c>
      <c r="AL83" s="248"/>
      <c r="AM83" s="233">
        <f t="shared" ca="1" si="42"/>
        <v>0</v>
      </c>
      <c r="AN83" s="233">
        <f t="shared" ca="1" si="43"/>
        <v>0</v>
      </c>
      <c r="AO83" s="233">
        <f t="shared" ca="1" si="44"/>
        <v>0</v>
      </c>
      <c r="AP83" s="233">
        <f t="shared" ca="1" si="45"/>
        <v>0</v>
      </c>
      <c r="AR83" s="226"/>
      <c r="AS83" s="226"/>
      <c r="AT83" s="226"/>
      <c r="AU83" s="226"/>
      <c r="AV83" s="226"/>
      <c r="AW83" s="226"/>
      <c r="AX83" s="226"/>
      <c r="AY83" s="226"/>
      <c r="AZ83" s="226"/>
      <c r="BA83" s="226"/>
      <c r="BB83" s="226"/>
      <c r="BC83" s="226"/>
      <c r="BD83" s="226"/>
      <c r="BE83" s="226"/>
      <c r="BF83" s="226"/>
      <c r="BN83" s="244" t="str">
        <f ca="1">IF('Budgeting Model'!C83="Vacant",'Budgeting Model'!AK83,"")</f>
        <v/>
      </c>
      <c r="BO83" s="195">
        <f t="shared" ca="1" si="46"/>
        <v>8</v>
      </c>
      <c r="BP83" s="195" t="str">
        <f t="shared" ca="1" si="47"/>
        <v/>
      </c>
    </row>
    <row r="84" spans="1:68" s="195" customFormat="1" ht="15" customHeight="1" thickBot="1">
      <c r="A84" s="227" t="s">
        <v>142</v>
      </c>
      <c r="B84" s="228" t="str">
        <f>IF(ISNA(VLOOKUP($A84,'Position Master'!B:C,2,FALSE)),"Missing",VLOOKUP($A84,'Position Master'!B:C,2,FALSE))</f>
        <v>Dept 5</v>
      </c>
      <c r="C84" s="211" t="str">
        <f ca="1">_xlfn.IFNA(INDEX('Employee Master'!$C:$C,MATCH($D84,'Employee Master'!$A:$A,0))&amp;", "&amp;INDEX('Employee Master'!$B:$B,MATCH($D84,'Employee Master'!$A:$A,0)),"Vacant")</f>
        <v>Vacant</v>
      </c>
      <c r="D84" s="211" t="str">
        <f>IF(INDEX('Position Master'!$A$7:$A$97,MATCH(A84,'Position Master'!$B$7:$B$97,0))=0,"Vacant",INDEX('Position Master'!$A$7:$A$97,MATCH(A84,'Position Master'!$B$7:$B$97,0)))</f>
        <v>Vacant</v>
      </c>
      <c r="E84" s="229" t="str">
        <f ca="1">IFERROR(VLOOKUP(D84,'Employee Master'!A:F,5,FALSE),"")</f>
        <v/>
      </c>
      <c r="F84" s="230" t="str">
        <f ca="1">IF(C84="Vacant","No",IF(AND(VLOOKUP(D84,'Employee Master'!A:F,6,FALSE)+360&lt;B$4,VLOOKUP(D84,'Employee Master'!A:F,6,FALSE)+360&lt;B78),"Yes","No"))</f>
        <v>No</v>
      </c>
      <c r="G84" s="229">
        <f ca="1">IF(C84="Vacant",VLOOKUP(A84,'Position Master'!B:D,3,FALSE),E84)*(1+IF(F84="Yes",F$8,0))</f>
        <v>89375.792342291083</v>
      </c>
      <c r="H84" s="245"/>
      <c r="I84" s="232"/>
      <c r="J84" s="233">
        <f t="shared" ca="1" si="24"/>
        <v>92950.824035982732</v>
      </c>
      <c r="K84" s="234"/>
      <c r="L84" s="235">
        <f t="shared" ca="1" si="25"/>
        <v>44833</v>
      </c>
      <c r="M84" s="236"/>
      <c r="N84" s="235" t="str">
        <f ca="1">IF(M84="",IFERROR(VLOOKUP($D84,'Employee Master'!$A:$F,6,FALSE)+365,""),M84)</f>
        <v/>
      </c>
      <c r="O84" s="71"/>
      <c r="P84" s="235">
        <f t="shared" ca="1" si="26"/>
        <v>45107</v>
      </c>
      <c r="Q84" s="237">
        <f t="shared" ca="1" si="27"/>
        <v>197</v>
      </c>
      <c r="R84" s="237">
        <f t="shared" ca="1" si="28"/>
        <v>0</v>
      </c>
      <c r="S84" s="237">
        <f t="shared" ca="1" si="29"/>
        <v>197</v>
      </c>
      <c r="T84" s="238">
        <f t="shared" ca="1" si="30"/>
        <v>89375.792342291083</v>
      </c>
      <c r="U84" s="229">
        <f t="shared" ca="1" si="31"/>
        <v>67459.889239200551</v>
      </c>
      <c r="V84" s="233">
        <f t="shared" ca="1" si="32"/>
        <v>67459.889239200551</v>
      </c>
      <c r="W84" s="246"/>
      <c r="X84" s="247"/>
      <c r="Y84" s="229">
        <f t="shared" ca="1" si="33"/>
        <v>92950.824035982732</v>
      </c>
      <c r="Z84" s="71"/>
      <c r="AA84" s="235">
        <f t="shared" ca="1" si="34"/>
        <v>44833</v>
      </c>
      <c r="AB84" s="71"/>
      <c r="AC84" s="235" t="str">
        <f ca="1">IF(AB84="",IFERROR(VLOOKUP($D84,'Employee Master'!$A:$F,6,FALSE)+365,""),AB84)</f>
        <v/>
      </c>
      <c r="AD84" s="234"/>
      <c r="AE84" s="235">
        <f t="shared" ca="1" si="35"/>
        <v>45107</v>
      </c>
      <c r="AF84" s="237">
        <f t="shared" ca="1" si="36"/>
        <v>197</v>
      </c>
      <c r="AG84" s="237">
        <f t="shared" ca="1" si="37"/>
        <v>0</v>
      </c>
      <c r="AH84" s="237">
        <f t="shared" ca="1" si="38"/>
        <v>197</v>
      </c>
      <c r="AI84" s="238">
        <f t="shared" ca="1" si="39"/>
        <v>89375.792342291083</v>
      </c>
      <c r="AJ84" s="229">
        <f t="shared" ca="1" si="40"/>
        <v>67459.889239200551</v>
      </c>
      <c r="AK84" s="233">
        <f t="shared" ca="1" si="41"/>
        <v>67459.889239200551</v>
      </c>
      <c r="AL84" s="248"/>
      <c r="AM84" s="233">
        <f t="shared" ca="1" si="42"/>
        <v>0</v>
      </c>
      <c r="AN84" s="233">
        <f t="shared" ca="1" si="43"/>
        <v>0</v>
      </c>
      <c r="AO84" s="233">
        <f t="shared" ca="1" si="44"/>
        <v>0</v>
      </c>
      <c r="AP84" s="233">
        <f t="shared" ca="1" si="45"/>
        <v>0</v>
      </c>
      <c r="AR84" s="226"/>
      <c r="AS84" s="226"/>
      <c r="AT84" s="226"/>
      <c r="AU84" s="226"/>
      <c r="AV84" s="226"/>
      <c r="AW84" s="226"/>
      <c r="AX84" s="226"/>
      <c r="AY84" s="226"/>
      <c r="AZ84" s="226"/>
      <c r="BA84" s="226"/>
      <c r="BB84" s="226"/>
      <c r="BC84" s="226"/>
      <c r="BD84" s="226"/>
      <c r="BE84" s="226"/>
      <c r="BF84" s="226"/>
      <c r="BN84" s="244">
        <f ca="1">IF('Budgeting Model'!C84="Vacant",'Budgeting Model'!AK84,"")</f>
        <v>67459.889239200551</v>
      </c>
      <c r="BO84" s="195" t="str">
        <f t="shared" ca="1" si="46"/>
        <v/>
      </c>
      <c r="BP84" s="195" t="str">
        <f t="shared" ca="1" si="47"/>
        <v/>
      </c>
    </row>
    <row r="85" spans="1:68" s="195" customFormat="1" ht="15" customHeight="1" thickBot="1">
      <c r="A85" s="227" t="s">
        <v>143</v>
      </c>
      <c r="B85" s="228" t="str">
        <f>IF(ISNA(VLOOKUP($A85,'Position Master'!B:C,2,FALSE)),"Missing",VLOOKUP($A85,'Position Master'!B:C,2,FALSE))</f>
        <v>Dept 12</v>
      </c>
      <c r="C85" s="211" t="str">
        <f ca="1">_xlfn.IFNA(INDEX('Employee Master'!$C:$C,MATCH($D85,'Employee Master'!$A:$A,0))&amp;", "&amp;INDEX('Employee Master'!$B:$B,MATCH($D85,'Employee Master'!$A:$A,0)),"Vacant")</f>
        <v>Vacant</v>
      </c>
      <c r="D85" s="211" t="str">
        <f>IF(INDEX('Position Master'!$A$7:$A$97,MATCH(A85,'Position Master'!$B$7:$B$97,0))=0,"Vacant",INDEX('Position Master'!$A$7:$A$97,MATCH(A85,'Position Master'!$B$7:$B$97,0)))</f>
        <v>Vacant</v>
      </c>
      <c r="E85" s="229" t="str">
        <f ca="1">IFERROR(VLOOKUP(D85,'Employee Master'!A:F,5,FALSE),"")</f>
        <v/>
      </c>
      <c r="F85" s="230" t="str">
        <f ca="1">IF(C85="Vacant","No",IF(AND(VLOOKUP(D85,'Employee Master'!A:F,6,FALSE)+360&lt;B$4,VLOOKUP(D85,'Employee Master'!A:F,6,FALSE)+360&lt;B79),"Yes","No"))</f>
        <v>No</v>
      </c>
      <c r="G85" s="229">
        <f ca="1">IF(C85="Vacant",VLOOKUP(A85,'Position Master'!B:D,3,FALSE),E85)*(1+IF(F85="Yes",F$8,0))</f>
        <v>97827.049520897825</v>
      </c>
      <c r="H85" s="245"/>
      <c r="I85" s="232"/>
      <c r="J85" s="233">
        <f t="shared" ca="1" si="24"/>
        <v>101740.13150173375</v>
      </c>
      <c r="K85" s="234"/>
      <c r="L85" s="235">
        <f t="shared" ca="1" si="25"/>
        <v>44833</v>
      </c>
      <c r="M85" s="236"/>
      <c r="N85" s="235" t="str">
        <f ca="1">IF(M85="",IFERROR(VLOOKUP($D85,'Employee Master'!$A:$F,6,FALSE)+365,""),M85)</f>
        <v/>
      </c>
      <c r="O85" s="71"/>
      <c r="P85" s="235">
        <f t="shared" ca="1" si="26"/>
        <v>45107</v>
      </c>
      <c r="Q85" s="237">
        <f t="shared" ca="1" si="27"/>
        <v>197</v>
      </c>
      <c r="R85" s="237">
        <f t="shared" ca="1" si="28"/>
        <v>0</v>
      </c>
      <c r="S85" s="237">
        <f t="shared" ca="1" si="29"/>
        <v>197</v>
      </c>
      <c r="T85" s="238">
        <f t="shared" ca="1" si="30"/>
        <v>97827.04952089781</v>
      </c>
      <c r="U85" s="229">
        <f t="shared" ca="1" si="31"/>
        <v>73838.807492784937</v>
      </c>
      <c r="V85" s="233">
        <f t="shared" ca="1" si="32"/>
        <v>73838.807492784937</v>
      </c>
      <c r="W85" s="246"/>
      <c r="X85" s="247"/>
      <c r="Y85" s="229">
        <f t="shared" ca="1" si="33"/>
        <v>101740.13150173375</v>
      </c>
      <c r="Z85" s="71"/>
      <c r="AA85" s="235">
        <f t="shared" ca="1" si="34"/>
        <v>44833</v>
      </c>
      <c r="AB85" s="71"/>
      <c r="AC85" s="235" t="str">
        <f ca="1">IF(AB85="",IFERROR(VLOOKUP($D85,'Employee Master'!$A:$F,6,FALSE)+365,""),AB85)</f>
        <v/>
      </c>
      <c r="AD85" s="234"/>
      <c r="AE85" s="235">
        <f t="shared" ca="1" si="35"/>
        <v>45107</v>
      </c>
      <c r="AF85" s="237">
        <f t="shared" ca="1" si="36"/>
        <v>197</v>
      </c>
      <c r="AG85" s="237">
        <f t="shared" ca="1" si="37"/>
        <v>0</v>
      </c>
      <c r="AH85" s="237">
        <f t="shared" ca="1" si="38"/>
        <v>197</v>
      </c>
      <c r="AI85" s="238">
        <f t="shared" ca="1" si="39"/>
        <v>97827.04952089781</v>
      </c>
      <c r="AJ85" s="229">
        <f t="shared" ca="1" si="40"/>
        <v>73838.807492784937</v>
      </c>
      <c r="AK85" s="233">
        <f t="shared" ca="1" si="41"/>
        <v>73838.807492784937</v>
      </c>
      <c r="AL85" s="248"/>
      <c r="AM85" s="233">
        <f t="shared" ca="1" si="42"/>
        <v>0</v>
      </c>
      <c r="AN85" s="233">
        <f t="shared" ca="1" si="43"/>
        <v>0</v>
      </c>
      <c r="AO85" s="233">
        <f t="shared" ca="1" si="44"/>
        <v>0</v>
      </c>
      <c r="AP85" s="233">
        <f t="shared" ca="1" si="45"/>
        <v>0</v>
      </c>
      <c r="AR85" s="226"/>
      <c r="AS85" s="226"/>
      <c r="AT85" s="226"/>
      <c r="AU85" s="226"/>
      <c r="AV85" s="226"/>
      <c r="AW85" s="226"/>
      <c r="AX85" s="226"/>
      <c r="AY85" s="226"/>
      <c r="AZ85" s="226"/>
      <c r="BA85" s="226"/>
      <c r="BB85" s="226"/>
      <c r="BC85" s="226"/>
      <c r="BD85" s="226"/>
      <c r="BE85" s="226"/>
      <c r="BF85" s="226"/>
      <c r="BN85" s="244">
        <f ca="1">IF('Budgeting Model'!C85="Vacant",'Budgeting Model'!AK85,"")</f>
        <v>73838.807492784937</v>
      </c>
      <c r="BO85" s="195" t="str">
        <f t="shared" ca="1" si="46"/>
        <v/>
      </c>
      <c r="BP85" s="195" t="str">
        <f t="shared" ca="1" si="47"/>
        <v/>
      </c>
    </row>
    <row r="86" spans="1:68" s="195" customFormat="1" ht="15" customHeight="1" thickBot="1">
      <c r="A86" s="227" t="s">
        <v>144</v>
      </c>
      <c r="B86" s="228" t="str">
        <f>IF(ISNA(VLOOKUP($A86,'Position Master'!B:C,2,FALSE)),"Missing",VLOOKUP($A86,'Position Master'!B:C,2,FALSE))</f>
        <v>Dept 4</v>
      </c>
      <c r="C86" s="211" t="str">
        <f ca="1">_xlfn.IFNA(INDEX('Employee Master'!$C:$C,MATCH($D86,'Employee Master'!$A:$A,0))&amp;", "&amp;INDEX('Employee Master'!$B:$B,MATCH($D86,'Employee Master'!$A:$A,0)),"Vacant")</f>
        <v>Romero, Muhammad</v>
      </c>
      <c r="D86" s="211">
        <f>IF(INDEX('Position Master'!$A$7:$A$97,MATCH(A86,'Position Master'!$B$7:$B$97,0))=0,"Vacant",INDEX('Position Master'!$A$7:$A$97,MATCH(A86,'Position Master'!$B$7:$B$97,0)))</f>
        <v>9015512</v>
      </c>
      <c r="E86" s="229">
        <f ca="1">IFERROR(VLOOKUP(D86,'Employee Master'!A:F,5,FALSE),"")</f>
        <v>82154.467357095884</v>
      </c>
      <c r="F86" s="230" t="str">
        <f ca="1">IF(C86="Vacant","No",IF(AND(VLOOKUP(D86,'Employee Master'!A:F,6,FALSE)+360&lt;B$4,VLOOKUP(D86,'Employee Master'!A:F,6,FALSE)+360&lt;B80),"Yes","No"))</f>
        <v>Yes</v>
      </c>
      <c r="G86" s="229">
        <f ca="1">IF(C86="Vacant",VLOOKUP(A86,'Position Master'!B:D,3,FALSE),E86)*(1+IF(F86="Yes",F$8,0))</f>
        <v>84619.101377808765</v>
      </c>
      <c r="H86" s="245"/>
      <c r="I86" s="232"/>
      <c r="J86" s="233">
        <f t="shared" ca="1" si="24"/>
        <v>88003.865432921113</v>
      </c>
      <c r="K86" s="234"/>
      <c r="L86" s="235">
        <f t="shared" ca="1" si="25"/>
        <v>44743</v>
      </c>
      <c r="M86" s="236"/>
      <c r="N86" s="235">
        <f ca="1">IF(M86="",IFERROR(VLOOKUP($D86,'Employee Master'!$A:$F,6,FALSE)+365,""),M86)</f>
        <v>44978</v>
      </c>
      <c r="O86" s="71"/>
      <c r="P86" s="235">
        <f t="shared" ca="1" si="26"/>
        <v>45107</v>
      </c>
      <c r="Q86" s="237">
        <f t="shared" ca="1" si="27"/>
        <v>167</v>
      </c>
      <c r="R86" s="237">
        <f t="shared" ca="1" si="28"/>
        <v>94</v>
      </c>
      <c r="S86" s="237">
        <f t="shared" ca="1" si="29"/>
        <v>261</v>
      </c>
      <c r="T86" s="238">
        <f t="shared" ca="1" si="30"/>
        <v>85838.13517543544</v>
      </c>
      <c r="U86" s="229">
        <f t="shared" ca="1" si="31"/>
        <v>85838.13517543544</v>
      </c>
      <c r="V86" s="233">
        <f t="shared" ca="1" si="32"/>
        <v>16521.798491238063</v>
      </c>
      <c r="W86" s="246"/>
      <c r="X86" s="247"/>
      <c r="Y86" s="229">
        <f t="shared" ca="1" si="33"/>
        <v>88003.865432921113</v>
      </c>
      <c r="Z86" s="71"/>
      <c r="AA86" s="235">
        <f t="shared" ca="1" si="34"/>
        <v>44743</v>
      </c>
      <c r="AB86" s="71"/>
      <c r="AC86" s="235">
        <f ca="1">IF(AB86="",IFERROR(VLOOKUP($D86,'Employee Master'!$A:$F,6,FALSE)+365,""),AB86)</f>
        <v>44978</v>
      </c>
      <c r="AD86" s="234"/>
      <c r="AE86" s="235">
        <f t="shared" ca="1" si="35"/>
        <v>45107</v>
      </c>
      <c r="AF86" s="237">
        <f t="shared" ca="1" si="36"/>
        <v>167</v>
      </c>
      <c r="AG86" s="237">
        <f t="shared" ca="1" si="37"/>
        <v>94</v>
      </c>
      <c r="AH86" s="237">
        <f t="shared" ca="1" si="38"/>
        <v>261</v>
      </c>
      <c r="AI86" s="238">
        <f t="shared" ca="1" si="39"/>
        <v>85838.13517543544</v>
      </c>
      <c r="AJ86" s="229">
        <f t="shared" ca="1" si="40"/>
        <v>85838.13517543544</v>
      </c>
      <c r="AK86" s="233">
        <f t="shared" ca="1" si="41"/>
        <v>16521.798491238063</v>
      </c>
      <c r="AL86" s="248"/>
      <c r="AM86" s="233">
        <f t="shared" ca="1" si="42"/>
        <v>0</v>
      </c>
      <c r="AN86" s="233">
        <f t="shared" ca="1" si="43"/>
        <v>0</v>
      </c>
      <c r="AO86" s="233">
        <f t="shared" ca="1" si="44"/>
        <v>0</v>
      </c>
      <c r="AP86" s="233">
        <f t="shared" ca="1" si="45"/>
        <v>0</v>
      </c>
      <c r="AR86" s="226"/>
      <c r="AS86" s="226"/>
      <c r="AT86" s="226"/>
      <c r="AU86" s="226"/>
      <c r="AV86" s="226"/>
      <c r="AW86" s="226"/>
      <c r="AX86" s="226"/>
      <c r="AY86" s="226"/>
      <c r="AZ86" s="226"/>
      <c r="BA86" s="226"/>
      <c r="BB86" s="226"/>
      <c r="BC86" s="226"/>
      <c r="BD86" s="226"/>
      <c r="BE86" s="226"/>
      <c r="BF86" s="226"/>
      <c r="BN86" s="244" t="str">
        <f ca="1">IF('Budgeting Model'!C86="Vacant",'Budgeting Model'!AK86,"")</f>
        <v/>
      </c>
      <c r="BO86" s="195">
        <f t="shared" ca="1" si="46"/>
        <v>2</v>
      </c>
      <c r="BP86" s="195">
        <f t="shared" ca="1" si="47"/>
        <v>82154.467357095884</v>
      </c>
    </row>
    <row r="87" spans="1:68" s="195" customFormat="1" ht="15" customHeight="1" thickBot="1">
      <c r="A87" s="227" t="s">
        <v>145</v>
      </c>
      <c r="B87" s="228" t="str">
        <f>IF(ISNA(VLOOKUP($A87,'Position Master'!B:C,2,FALSE)),"Missing",VLOOKUP($A87,'Position Master'!B:C,2,FALSE))</f>
        <v>Dept 7</v>
      </c>
      <c r="C87" s="211" t="str">
        <f ca="1">_xlfn.IFNA(INDEX('Employee Master'!$C:$C,MATCH($D87,'Employee Master'!$A:$A,0))&amp;", "&amp;INDEX('Employee Master'!$B:$B,MATCH($D87,'Employee Master'!$A:$A,0)),"Vacant")</f>
        <v>Rios, Syed</v>
      </c>
      <c r="D87" s="211">
        <f>IF(INDEX('Position Master'!$A$7:$A$97,MATCH(A87,'Position Master'!$B$7:$B$97,0))=0,"Vacant",INDEX('Position Master'!$A$7:$A$97,MATCH(A87,'Position Master'!$B$7:$B$97,0)))</f>
        <v>9072661</v>
      </c>
      <c r="E87" s="229">
        <f ca="1">IFERROR(VLOOKUP(D87,'Employee Master'!A:F,5,FALSE),"")</f>
        <v>61083.58108021746</v>
      </c>
      <c r="F87" s="230" t="str">
        <f ca="1">IF(C87="Vacant","No",IF(AND(VLOOKUP(D87,'Employee Master'!A:F,6,FALSE)+360&lt;B$4,VLOOKUP(D87,'Employee Master'!A:F,6,FALSE)+360&lt;B81),"Yes","No"))</f>
        <v>Yes</v>
      </c>
      <c r="G87" s="229">
        <f ca="1">IF(C87="Vacant",VLOOKUP(A87,'Position Master'!B:D,3,FALSE),E87)*(1+IF(F87="Yes",F$8,0))</f>
        <v>62916.088512623988</v>
      </c>
      <c r="H87" s="245"/>
      <c r="I87" s="232"/>
      <c r="J87" s="233">
        <f t="shared" ca="1" si="24"/>
        <v>65432.732053128952</v>
      </c>
      <c r="K87" s="234"/>
      <c r="L87" s="235">
        <f t="shared" ca="1" si="25"/>
        <v>44743</v>
      </c>
      <c r="M87" s="236"/>
      <c r="N87" s="235">
        <f ca="1">IF(M87="",IFERROR(VLOOKUP($D87,'Employee Master'!$A:$F,6,FALSE)+365,""),M87)</f>
        <v>45033</v>
      </c>
      <c r="O87" s="71"/>
      <c r="P87" s="235">
        <f t="shared" ca="1" si="26"/>
        <v>45107</v>
      </c>
      <c r="Q87" s="237">
        <f t="shared" ca="1" si="27"/>
        <v>206</v>
      </c>
      <c r="R87" s="237">
        <f t="shared" ca="1" si="28"/>
        <v>55</v>
      </c>
      <c r="S87" s="237">
        <f t="shared" ca="1" si="29"/>
        <v>261</v>
      </c>
      <c r="T87" s="238">
        <f t="shared" ca="1" si="30"/>
        <v>63446.41569548902</v>
      </c>
      <c r="U87" s="229">
        <f t="shared" ca="1" si="31"/>
        <v>63446.41569548902</v>
      </c>
      <c r="V87" s="233">
        <f t="shared" ca="1" si="32"/>
        <v>12284.306017637236</v>
      </c>
      <c r="W87" s="246"/>
      <c r="X87" s="247"/>
      <c r="Y87" s="229">
        <f t="shared" ca="1" si="33"/>
        <v>65432.732053128952</v>
      </c>
      <c r="Z87" s="71"/>
      <c r="AA87" s="235">
        <f t="shared" ca="1" si="34"/>
        <v>44743</v>
      </c>
      <c r="AB87" s="71"/>
      <c r="AC87" s="235">
        <f ca="1">IF(AB87="",IFERROR(VLOOKUP($D87,'Employee Master'!$A:$F,6,FALSE)+365,""),AB87)</f>
        <v>45033</v>
      </c>
      <c r="AD87" s="234"/>
      <c r="AE87" s="235">
        <f t="shared" ca="1" si="35"/>
        <v>45107</v>
      </c>
      <c r="AF87" s="237">
        <f t="shared" ca="1" si="36"/>
        <v>206</v>
      </c>
      <c r="AG87" s="237">
        <f t="shared" ca="1" si="37"/>
        <v>55</v>
      </c>
      <c r="AH87" s="237">
        <f t="shared" ca="1" si="38"/>
        <v>261</v>
      </c>
      <c r="AI87" s="238">
        <f t="shared" ca="1" si="39"/>
        <v>63446.41569548902</v>
      </c>
      <c r="AJ87" s="229">
        <f t="shared" ca="1" si="40"/>
        <v>63446.41569548902</v>
      </c>
      <c r="AK87" s="233">
        <f t="shared" ca="1" si="41"/>
        <v>12284.306017637236</v>
      </c>
      <c r="AL87" s="248"/>
      <c r="AM87" s="233">
        <f t="shared" ca="1" si="42"/>
        <v>0</v>
      </c>
      <c r="AN87" s="233">
        <f t="shared" ca="1" si="43"/>
        <v>0</v>
      </c>
      <c r="AO87" s="233">
        <f t="shared" ca="1" si="44"/>
        <v>0</v>
      </c>
      <c r="AP87" s="233">
        <f t="shared" ca="1" si="45"/>
        <v>0</v>
      </c>
      <c r="AR87" s="226"/>
      <c r="AS87" s="226"/>
      <c r="AT87" s="226"/>
      <c r="AU87" s="226"/>
      <c r="AV87" s="226"/>
      <c r="AW87" s="226"/>
      <c r="AX87" s="226"/>
      <c r="AY87" s="226"/>
      <c r="AZ87" s="226"/>
      <c r="BA87" s="226"/>
      <c r="BB87" s="226"/>
      <c r="BC87" s="226"/>
      <c r="BD87" s="226"/>
      <c r="BE87" s="226"/>
      <c r="BF87" s="226"/>
      <c r="BN87" s="244" t="str">
        <f ca="1">IF('Budgeting Model'!C87="Vacant",'Budgeting Model'!AK87,"")</f>
        <v/>
      </c>
      <c r="BO87" s="195">
        <f t="shared" ca="1" si="46"/>
        <v>4</v>
      </c>
      <c r="BP87" s="195" t="str">
        <f t="shared" ca="1" si="47"/>
        <v/>
      </c>
    </row>
    <row r="88" spans="1:68" s="195" customFormat="1" ht="15" customHeight="1" thickBot="1">
      <c r="A88" s="227" t="s">
        <v>146</v>
      </c>
      <c r="B88" s="228" t="str">
        <f>IF(ISNA(VLOOKUP($A88,'Position Master'!B:C,2,FALSE)),"Missing",VLOOKUP($A88,'Position Master'!B:C,2,FALSE))</f>
        <v>Dept 3</v>
      </c>
      <c r="C88" s="211" t="str">
        <f ca="1">_xlfn.IFNA(INDEX('Employee Master'!$C:$C,MATCH($D88,'Employee Master'!$A:$A,0))&amp;", "&amp;INDEX('Employee Master'!$B:$B,MATCH($D88,'Employee Master'!$A:$A,0)),"Vacant")</f>
        <v>Rowe, Muqsiteen</v>
      </c>
      <c r="D88" s="211">
        <f>IF(INDEX('Position Master'!$A$7:$A$97,MATCH(A88,'Position Master'!$B$7:$B$97,0))=0,"Vacant",INDEX('Position Master'!$A$7:$A$97,MATCH(A88,'Position Master'!$B$7:$B$97,0)))</f>
        <v>9078679</v>
      </c>
      <c r="E88" s="229">
        <f ca="1">IFERROR(VLOOKUP(D88,'Employee Master'!A:F,5,FALSE),"")</f>
        <v>71274.239774832022</v>
      </c>
      <c r="F88" s="230" t="str">
        <f ca="1">IF(C88="Vacant","No",IF(AND(VLOOKUP(D88,'Employee Master'!A:F,6,FALSE)+360&lt;B$4,VLOOKUP(D88,'Employee Master'!A:F,6,FALSE)+360&lt;B82),"Yes","No"))</f>
        <v>Yes</v>
      </c>
      <c r="G88" s="229">
        <f ca="1">IF(C88="Vacant",VLOOKUP(A88,'Position Master'!B:D,3,FALSE),E88)*(1+IF(F88="Yes",F$8,0))</f>
        <v>73412.466968076988</v>
      </c>
      <c r="H88" s="245"/>
      <c r="I88" s="232"/>
      <c r="J88" s="233">
        <f t="shared" ca="1" si="24"/>
        <v>76348.965646800076</v>
      </c>
      <c r="K88" s="234"/>
      <c r="L88" s="235">
        <f t="shared" ca="1" si="25"/>
        <v>44743</v>
      </c>
      <c r="M88" s="236"/>
      <c r="N88" s="235">
        <f ca="1">IF(M88="",IFERROR(VLOOKUP($D88,'Employee Master'!$A:$F,6,FALSE)+365,""),M88)</f>
        <v>45043</v>
      </c>
      <c r="O88" s="71"/>
      <c r="P88" s="235">
        <f t="shared" ca="1" si="26"/>
        <v>45107</v>
      </c>
      <c r="Q88" s="237">
        <f t="shared" ca="1" si="27"/>
        <v>214</v>
      </c>
      <c r="R88" s="237">
        <f t="shared" ca="1" si="28"/>
        <v>47</v>
      </c>
      <c r="S88" s="237">
        <f t="shared" ca="1" si="29"/>
        <v>261</v>
      </c>
      <c r="T88" s="238">
        <f t="shared" ca="1" si="30"/>
        <v>73941.261749302983</v>
      </c>
      <c r="U88" s="229">
        <f t="shared" ca="1" si="31"/>
        <v>73941.261749302983</v>
      </c>
      <c r="V88" s="233">
        <f t="shared" ca="1" si="32"/>
        <v>14311.211951477999</v>
      </c>
      <c r="W88" s="246"/>
      <c r="X88" s="247"/>
      <c r="Y88" s="229">
        <f t="shared" ca="1" si="33"/>
        <v>76348.965646800076</v>
      </c>
      <c r="Z88" s="249">
        <v>44823</v>
      </c>
      <c r="AA88" s="235">
        <f t="shared" si="34"/>
        <v>44823</v>
      </c>
      <c r="AB88" s="71"/>
      <c r="AC88" s="235">
        <f ca="1">IF(AB88="",IFERROR(VLOOKUP($D88,'Employee Master'!$A:$F,6,FALSE)+365,""),AB88)</f>
        <v>45043</v>
      </c>
      <c r="AD88" s="234"/>
      <c r="AE88" s="235">
        <f t="shared" ca="1" si="35"/>
        <v>45107</v>
      </c>
      <c r="AF88" s="237">
        <f t="shared" ca="1" si="36"/>
        <v>158</v>
      </c>
      <c r="AG88" s="237">
        <f t="shared" ca="1" si="37"/>
        <v>47</v>
      </c>
      <c r="AH88" s="237">
        <f t="shared" ca="1" si="38"/>
        <v>205</v>
      </c>
      <c r="AI88" s="238">
        <f t="shared" ca="1" si="39"/>
        <v>74085.7130066135</v>
      </c>
      <c r="AJ88" s="229">
        <f t="shared" ca="1" si="40"/>
        <v>58189.927840443561</v>
      </c>
      <c r="AK88" s="233">
        <f t="shared" ca="1" si="41"/>
        <v>14311.211951477999</v>
      </c>
      <c r="AL88" s="248"/>
      <c r="AM88" s="233">
        <f t="shared" ca="1" si="42"/>
        <v>144.45125731051667</v>
      </c>
      <c r="AN88" s="233">
        <f t="shared" ca="1" si="43"/>
        <v>-15895.785166169939</v>
      </c>
      <c r="AO88" s="233">
        <f t="shared" ca="1" si="44"/>
        <v>-15751.333908859422</v>
      </c>
      <c r="AP88" s="233">
        <f t="shared" ca="1" si="45"/>
        <v>0</v>
      </c>
      <c r="AR88" s="226"/>
      <c r="AS88" s="226"/>
      <c r="AT88" s="226"/>
      <c r="AU88" s="226"/>
      <c r="AV88" s="226"/>
      <c r="AW88" s="226"/>
      <c r="AX88" s="226"/>
      <c r="AY88" s="226"/>
      <c r="AZ88" s="226"/>
      <c r="BA88" s="226"/>
      <c r="BB88" s="226"/>
      <c r="BC88" s="226"/>
      <c r="BD88" s="226"/>
      <c r="BE88" s="226"/>
      <c r="BF88" s="226"/>
      <c r="BN88" s="244" t="str">
        <f ca="1">IF('Budgeting Model'!C88="Vacant",'Budgeting Model'!AK88,"")</f>
        <v/>
      </c>
      <c r="BO88" s="195">
        <f t="shared" ca="1" si="46"/>
        <v>4</v>
      </c>
      <c r="BP88" s="195" t="str">
        <f t="shared" ca="1" si="47"/>
        <v/>
      </c>
    </row>
    <row r="89" spans="1:68" s="195" customFormat="1" ht="15" customHeight="1" thickBot="1">
      <c r="A89" s="227" t="s">
        <v>147</v>
      </c>
      <c r="B89" s="228" t="str">
        <f>IF(ISNA(VLOOKUP($A89,'Position Master'!B:C,2,FALSE)),"Missing",VLOOKUP($A89,'Position Master'!B:C,2,FALSE))</f>
        <v>Dept 11</v>
      </c>
      <c r="C89" s="211" t="str">
        <f ca="1">_xlfn.IFNA(INDEX('Employee Master'!$C:$C,MATCH($D89,'Employee Master'!$A:$A,0))&amp;", "&amp;INDEX('Employee Master'!$B:$B,MATCH($D89,'Employee Master'!$A:$A,0)),"Vacant")</f>
        <v>Ruan, Anjali</v>
      </c>
      <c r="D89" s="211">
        <f>IF(INDEX('Position Master'!$A$7:$A$97,MATCH(A89,'Position Master'!$B$7:$B$97,0))=0,"Vacant",INDEX('Position Master'!$A$7:$A$97,MATCH(A89,'Position Master'!$B$7:$B$97,0)))</f>
        <v>9238859</v>
      </c>
      <c r="E89" s="229">
        <f ca="1">IFERROR(VLOOKUP(D89,'Employee Master'!A:F,5,FALSE),"")</f>
        <v>52749.935741385481</v>
      </c>
      <c r="F89" s="230" t="str">
        <f ca="1">IF(C89="Vacant","No",IF(AND(VLOOKUP(D89,'Employee Master'!A:F,6,FALSE)+360&lt;B$4,VLOOKUP(D89,'Employee Master'!A:F,6,FALSE)+360&lt;B83),"Yes","No"))</f>
        <v>Yes</v>
      </c>
      <c r="G89" s="229">
        <f ca="1">IF(C89="Vacant",VLOOKUP(A89,'Position Master'!B:D,3,FALSE),E89)*(1+IF(F89="Yes",F$8,0))</f>
        <v>54332.433813627045</v>
      </c>
      <c r="H89" s="245"/>
      <c r="I89" s="232"/>
      <c r="J89" s="233">
        <f t="shared" ca="1" si="24"/>
        <v>56505.731166172132</v>
      </c>
      <c r="K89" s="234"/>
      <c r="L89" s="235">
        <f t="shared" ca="1" si="25"/>
        <v>44743</v>
      </c>
      <c r="M89" s="236"/>
      <c r="N89" s="235">
        <f ca="1">IF(M89="",IFERROR(VLOOKUP($D89,'Employee Master'!$A:$F,6,FALSE)+365,""),M89)</f>
        <v>44869</v>
      </c>
      <c r="O89" s="71"/>
      <c r="P89" s="235">
        <f t="shared" ca="1" si="26"/>
        <v>45107</v>
      </c>
      <c r="Q89" s="237">
        <f t="shared" ca="1" si="27"/>
        <v>90</v>
      </c>
      <c r="R89" s="237">
        <f t="shared" ca="1" si="28"/>
        <v>171</v>
      </c>
      <c r="S89" s="237">
        <f t="shared" ca="1" si="29"/>
        <v>261</v>
      </c>
      <c r="T89" s="238">
        <f t="shared" ca="1" si="30"/>
        <v>55756.318285984169</v>
      </c>
      <c r="U89" s="229">
        <f t="shared" ca="1" si="31"/>
        <v>55756.318285984169</v>
      </c>
      <c r="V89" s="233">
        <f t="shared" ca="1" si="32"/>
        <v>10608.355659549557</v>
      </c>
      <c r="W89" s="246"/>
      <c r="X89" s="247"/>
      <c r="Y89" s="229">
        <f t="shared" ca="1" si="33"/>
        <v>56505.731166172132</v>
      </c>
      <c r="Z89" s="249">
        <v>44830</v>
      </c>
      <c r="AA89" s="235">
        <f t="shared" si="34"/>
        <v>44830</v>
      </c>
      <c r="AB89" s="71"/>
      <c r="AC89" s="235">
        <f ca="1">IF(AB89="",IFERROR(VLOOKUP($D89,'Employee Master'!$A:$F,6,FALSE)+365,""),AB89)</f>
        <v>44869</v>
      </c>
      <c r="AD89" s="234"/>
      <c r="AE89" s="235">
        <f t="shared" ca="1" si="35"/>
        <v>45107</v>
      </c>
      <c r="AF89" s="237">
        <f t="shared" ca="1" si="36"/>
        <v>29</v>
      </c>
      <c r="AG89" s="237">
        <f t="shared" ca="1" si="37"/>
        <v>171</v>
      </c>
      <c r="AH89" s="237">
        <f t="shared" ca="1" si="38"/>
        <v>200</v>
      </c>
      <c r="AI89" s="238">
        <f t="shared" ca="1" si="39"/>
        <v>56190.603050053091</v>
      </c>
      <c r="AJ89" s="229">
        <f t="shared" ca="1" si="40"/>
        <v>43057.933371688196</v>
      </c>
      <c r="AK89" s="233">
        <f t="shared" ca="1" si="41"/>
        <v>10608.355659549557</v>
      </c>
      <c r="AL89" s="248"/>
      <c r="AM89" s="233">
        <f t="shared" ca="1" si="42"/>
        <v>434.2847640689215</v>
      </c>
      <c r="AN89" s="233">
        <f t="shared" ca="1" si="43"/>
        <v>-13132.669678364895</v>
      </c>
      <c r="AO89" s="233">
        <f t="shared" ca="1" si="44"/>
        <v>-12698.384914295973</v>
      </c>
      <c r="AP89" s="233">
        <f t="shared" ca="1" si="45"/>
        <v>0</v>
      </c>
      <c r="AR89" s="226"/>
      <c r="AS89" s="226"/>
      <c r="AT89" s="226"/>
      <c r="AU89" s="226"/>
      <c r="AV89" s="226"/>
      <c r="AW89" s="226"/>
      <c r="AX89" s="226"/>
      <c r="AY89" s="226"/>
      <c r="AZ89" s="226"/>
      <c r="BA89" s="226"/>
      <c r="BB89" s="226"/>
      <c r="BC89" s="226"/>
      <c r="BD89" s="226"/>
      <c r="BE89" s="226"/>
      <c r="BF89" s="226"/>
      <c r="BN89" s="244" t="str">
        <f ca="1">IF('Budgeting Model'!C89="Vacant",'Budgeting Model'!AK89,"")</f>
        <v/>
      </c>
      <c r="BO89" s="195">
        <f t="shared" ca="1" si="46"/>
        <v>11</v>
      </c>
      <c r="BP89" s="195">
        <f t="shared" ca="1" si="47"/>
        <v>52749.935741385481</v>
      </c>
    </row>
    <row r="90" spans="1:68" s="195" customFormat="1" ht="15" customHeight="1" thickBot="1">
      <c r="A90" s="227" t="s">
        <v>148</v>
      </c>
      <c r="B90" s="228" t="str">
        <f>IF(ISNA(VLOOKUP($A90,'Position Master'!B:C,2,FALSE)),"Missing",VLOOKUP($A90,'Position Master'!B:C,2,FALSE))</f>
        <v>Dept 6</v>
      </c>
      <c r="C90" s="211" t="str">
        <f ca="1">_xlfn.IFNA(INDEX('Employee Master'!$C:$C,MATCH($D90,'Employee Master'!$A:$A,0))&amp;", "&amp;INDEX('Employee Master'!$B:$B,MATCH($D90,'Employee Master'!$A:$A,0)),"Vacant")</f>
        <v>Vacant</v>
      </c>
      <c r="D90" s="211" t="str">
        <f>IF(INDEX('Position Master'!$A$7:$A$97,MATCH(A90,'Position Master'!$B$7:$B$97,0))=0,"Vacant",INDEX('Position Master'!$A$7:$A$97,MATCH(A90,'Position Master'!$B$7:$B$97,0)))</f>
        <v>Vacant</v>
      </c>
      <c r="E90" s="229" t="str">
        <f ca="1">IFERROR(VLOOKUP(D90,'Employee Master'!A:F,5,FALSE),"")</f>
        <v/>
      </c>
      <c r="F90" s="230" t="str">
        <f ca="1">IF(C90="Vacant","No",IF(AND(VLOOKUP(D90,'Employee Master'!A:F,6,FALSE)+360&lt;B$4,VLOOKUP(D90,'Employee Master'!A:F,6,FALSE)+360&lt;B84),"Yes","No"))</f>
        <v>No</v>
      </c>
      <c r="G90" s="229">
        <f ca="1">IF(C90="Vacant",VLOOKUP(A90,'Position Master'!B:D,3,FALSE),E90)*(1+IF(F90="Yes",F$8,0))</f>
        <v>69906.028107361708</v>
      </c>
      <c r="H90" s="245"/>
      <c r="I90" s="232"/>
      <c r="J90" s="233">
        <f t="shared" ca="1" si="24"/>
        <v>72702.269231656173</v>
      </c>
      <c r="K90" s="234"/>
      <c r="L90" s="235">
        <f t="shared" ca="1" si="25"/>
        <v>44833</v>
      </c>
      <c r="M90" s="236"/>
      <c r="N90" s="235" t="str">
        <f ca="1">IF(M90="",IFERROR(VLOOKUP($D90,'Employee Master'!$A:$F,6,FALSE)+365,""),M90)</f>
        <v/>
      </c>
      <c r="O90" s="71"/>
      <c r="P90" s="235">
        <f t="shared" ca="1" si="26"/>
        <v>45107</v>
      </c>
      <c r="Q90" s="237">
        <f t="shared" ca="1" si="27"/>
        <v>197</v>
      </c>
      <c r="R90" s="237">
        <f t="shared" ca="1" si="28"/>
        <v>0</v>
      </c>
      <c r="S90" s="237">
        <f t="shared" ca="1" si="29"/>
        <v>197</v>
      </c>
      <c r="T90" s="238">
        <f t="shared" ca="1" si="30"/>
        <v>69906.028107361708</v>
      </c>
      <c r="U90" s="229">
        <f t="shared" ca="1" si="31"/>
        <v>52764.320065709791</v>
      </c>
      <c r="V90" s="233">
        <f t="shared" ca="1" si="32"/>
        <v>52764.320065709791</v>
      </c>
      <c r="W90" s="246"/>
      <c r="X90" s="247"/>
      <c r="Y90" s="229">
        <f t="shared" ca="1" si="33"/>
        <v>72702.269231656173</v>
      </c>
      <c r="Z90" s="249">
        <v>44798</v>
      </c>
      <c r="AA90" s="235">
        <f t="shared" si="34"/>
        <v>44798</v>
      </c>
      <c r="AB90" s="249">
        <v>44866</v>
      </c>
      <c r="AC90" s="235">
        <f>IF(AB90="",IFERROR(VLOOKUP($D90,'Employee Master'!$A:$F,6,FALSE)+365,""),AB90)</f>
        <v>44866</v>
      </c>
      <c r="AD90" s="234"/>
      <c r="AE90" s="235">
        <f t="shared" ca="1" si="35"/>
        <v>45107</v>
      </c>
      <c r="AF90" s="237">
        <f t="shared" si="36"/>
        <v>48</v>
      </c>
      <c r="AG90" s="237">
        <f t="shared" ca="1" si="37"/>
        <v>174</v>
      </c>
      <c r="AH90" s="237">
        <f t="shared" ca="1" si="38"/>
        <v>222</v>
      </c>
      <c r="AI90" s="238">
        <f t="shared" ca="1" si="39"/>
        <v>72097.676556133039</v>
      </c>
      <c r="AJ90" s="229">
        <f t="shared" ca="1" si="40"/>
        <v>61324.460519009714</v>
      </c>
      <c r="AK90" s="233">
        <f t="shared" ca="1" si="41"/>
        <v>13649.085028165337</v>
      </c>
      <c r="AL90" s="248"/>
      <c r="AM90" s="233">
        <f t="shared" ca="1" si="42"/>
        <v>2191.6484487713315</v>
      </c>
      <c r="AN90" s="233">
        <f t="shared" ca="1" si="43"/>
        <v>6368.4920045285908</v>
      </c>
      <c r="AO90" s="233">
        <f t="shared" ca="1" si="44"/>
        <v>8560.1404532999222</v>
      </c>
      <c r="AP90" s="233">
        <f t="shared" ca="1" si="45"/>
        <v>-39115.235037544451</v>
      </c>
      <c r="AR90" s="226"/>
      <c r="AS90" s="226"/>
      <c r="AT90" s="226"/>
      <c r="AU90" s="226"/>
      <c r="AV90" s="226"/>
      <c r="AW90" s="226"/>
      <c r="AX90" s="226"/>
      <c r="AY90" s="226"/>
      <c r="AZ90" s="226"/>
      <c r="BA90" s="226"/>
      <c r="BB90" s="226"/>
      <c r="BC90" s="226"/>
      <c r="BD90" s="226"/>
      <c r="BE90" s="226"/>
      <c r="BF90" s="226"/>
      <c r="BN90" s="244">
        <f ca="1">IF('Budgeting Model'!C90="Vacant",'Budgeting Model'!AK90,"")</f>
        <v>13649.085028165337</v>
      </c>
      <c r="BO90" s="195" t="str">
        <f t="shared" ca="1" si="46"/>
        <v/>
      </c>
      <c r="BP90" s="195" t="str">
        <f t="shared" ca="1" si="47"/>
        <v/>
      </c>
    </row>
    <row r="91" spans="1:68" s="195" customFormat="1" ht="15" customHeight="1" thickBot="1">
      <c r="A91" s="227" t="s">
        <v>149</v>
      </c>
      <c r="B91" s="228" t="str">
        <f>IF(ISNA(VLOOKUP($A91,'Position Master'!B:C,2,FALSE)),"Missing",VLOOKUP($A91,'Position Master'!B:C,2,FALSE))</f>
        <v>Dept 9</v>
      </c>
      <c r="C91" s="211" t="str">
        <f ca="1">_xlfn.IFNA(INDEX('Employee Master'!$C:$C,MATCH($D91,'Employee Master'!$A:$A,0))&amp;", "&amp;INDEX('Employee Master'!$B:$B,MATCH($D91,'Employee Master'!$A:$A,0)),"Vacant")</f>
        <v>Sanghavi, Fidencio</v>
      </c>
      <c r="D91" s="211">
        <f>IF(INDEX('Position Master'!$A$7:$A$97,MATCH(A91,'Position Master'!$B$7:$B$97,0))=0,"Vacant",INDEX('Position Master'!$A$7:$A$97,MATCH(A91,'Position Master'!$B$7:$B$97,0)))</f>
        <v>9246666</v>
      </c>
      <c r="E91" s="229">
        <f ca="1">IFERROR(VLOOKUP(D91,'Employee Master'!A:F,5,FALSE),"")</f>
        <v>46246.841724590704</v>
      </c>
      <c r="F91" s="230" t="str">
        <f ca="1">IF(C91="Vacant","No",IF(AND(VLOOKUP(D91,'Employee Master'!A:F,6,FALSE)+360&lt;B$4,VLOOKUP(D91,'Employee Master'!A:F,6,FALSE)+360&lt;B85),"Yes","No"))</f>
        <v>Yes</v>
      </c>
      <c r="G91" s="229">
        <f ca="1">IF(C91="Vacant",VLOOKUP(A91,'Position Master'!B:D,3,FALSE),E91)*(1+IF(F91="Yes",F$8,0))</f>
        <v>47634.246976328424</v>
      </c>
      <c r="H91" s="245"/>
      <c r="I91" s="232"/>
      <c r="J91" s="233">
        <f t="shared" ca="1" si="24"/>
        <v>49539.616855381566</v>
      </c>
      <c r="K91" s="234"/>
      <c r="L91" s="235">
        <f t="shared" ca="1" si="25"/>
        <v>44743</v>
      </c>
      <c r="M91" s="236"/>
      <c r="N91" s="235">
        <f ca="1">IF(M91="",IFERROR(VLOOKUP($D91,'Employee Master'!$A:$F,6,FALSE)+365,""),M91)</f>
        <v>44862</v>
      </c>
      <c r="O91" s="249">
        <v>45077</v>
      </c>
      <c r="P91" s="235">
        <f t="shared" si="26"/>
        <v>45077</v>
      </c>
      <c r="Q91" s="237">
        <f t="shared" ca="1" si="27"/>
        <v>85</v>
      </c>
      <c r="R91" s="237">
        <f t="shared" ca="1" si="28"/>
        <v>154</v>
      </c>
      <c r="S91" s="237">
        <f t="shared" ca="1" si="29"/>
        <v>239</v>
      </c>
      <c r="T91" s="238">
        <f t="shared" ca="1" si="30"/>
        <v>48861.974848186932</v>
      </c>
      <c r="U91" s="229">
        <f t="shared" ca="1" si="31"/>
        <v>44743.340952937462</v>
      </c>
      <c r="V91" s="233">
        <f t="shared" ca="1" si="32"/>
        <v>5124.7879505567134</v>
      </c>
      <c r="W91" s="246"/>
      <c r="X91" s="247"/>
      <c r="Y91" s="229">
        <f t="shared" ca="1" si="33"/>
        <v>49539.616855381566</v>
      </c>
      <c r="Z91" s="249">
        <v>44747</v>
      </c>
      <c r="AA91" s="235">
        <f t="shared" si="34"/>
        <v>44747</v>
      </c>
      <c r="AB91" s="71"/>
      <c r="AC91" s="235">
        <f ca="1">IF(AB91="",IFERROR(VLOOKUP($D91,'Employee Master'!$A:$F,6,FALSE)+365,""),AB91)</f>
        <v>44862</v>
      </c>
      <c r="AD91" s="234"/>
      <c r="AE91" s="235">
        <f t="shared" ca="1" si="35"/>
        <v>45107</v>
      </c>
      <c r="AF91" s="237">
        <f t="shared" ca="1" si="36"/>
        <v>83</v>
      </c>
      <c r="AG91" s="237">
        <f t="shared" ca="1" si="37"/>
        <v>176</v>
      </c>
      <c r="AH91" s="237">
        <f t="shared" ca="1" si="38"/>
        <v>259</v>
      </c>
      <c r="AI91" s="238">
        <f t="shared" ca="1" si="39"/>
        <v>48929.015697229399</v>
      </c>
      <c r="AJ91" s="229">
        <f t="shared" ca="1" si="40"/>
        <v>48554.080711043731</v>
      </c>
      <c r="AK91" s="233">
        <f t="shared" ca="1" si="41"/>
        <v>9300.541095454777</v>
      </c>
      <c r="AL91" s="248"/>
      <c r="AM91" s="233">
        <f t="shared" ca="1" si="42"/>
        <v>67.040849042467016</v>
      </c>
      <c r="AN91" s="233">
        <f t="shared" ca="1" si="43"/>
        <v>3743.6989090638017</v>
      </c>
      <c r="AO91" s="233">
        <f t="shared" ca="1" si="44"/>
        <v>3810.7397581062687</v>
      </c>
      <c r="AP91" s="233">
        <f t="shared" ca="1" si="45"/>
        <v>4175.7531448980635</v>
      </c>
      <c r="AR91" s="226"/>
      <c r="AS91" s="226"/>
      <c r="AT91" s="226"/>
      <c r="AU91" s="226"/>
      <c r="AV91" s="226"/>
      <c r="AW91" s="226"/>
      <c r="AX91" s="226"/>
      <c r="AY91" s="226"/>
      <c r="AZ91" s="226"/>
      <c r="BA91" s="226"/>
      <c r="BB91" s="226"/>
      <c r="BC91" s="226"/>
      <c r="BD91" s="226"/>
      <c r="BE91" s="226"/>
      <c r="BF91" s="226"/>
      <c r="BN91" s="244" t="str">
        <f ca="1">IF('Budgeting Model'!C91="Vacant",'Budgeting Model'!AK91,"")</f>
        <v/>
      </c>
      <c r="BO91" s="195">
        <f t="shared" ca="1" si="46"/>
        <v>10</v>
      </c>
      <c r="BP91" s="195">
        <f t="shared" ca="1" si="47"/>
        <v>46246.841724590704</v>
      </c>
    </row>
    <row r="92" spans="1:68" s="195" customFormat="1" ht="15" customHeight="1" thickBot="1">
      <c r="A92" s="227" t="s">
        <v>150</v>
      </c>
      <c r="B92" s="228" t="str">
        <f>IF(ISNA(VLOOKUP($A92,'Position Master'!B:C,2,FALSE)),"Missing",VLOOKUP($A92,'Position Master'!B:C,2,FALSE))</f>
        <v>Dept 2</v>
      </c>
      <c r="C92" s="211" t="str">
        <f ca="1">_xlfn.IFNA(INDEX('Employee Master'!$C:$C,MATCH($D92,'Employee Master'!$A:$A,0))&amp;", "&amp;INDEX('Employee Master'!$B:$B,MATCH($D92,'Employee Master'!$A:$A,0)),"Vacant")</f>
        <v>Sanoulis, Denzel</v>
      </c>
      <c r="D92" s="211">
        <f>IF(INDEX('Position Master'!$A$7:$A$97,MATCH(A92,'Position Master'!$B$7:$B$97,0))=0,"Vacant",INDEX('Position Master'!$A$7:$A$97,MATCH(A92,'Position Master'!$B$7:$B$97,0)))</f>
        <v>9495233</v>
      </c>
      <c r="E92" s="229">
        <f ca="1">IFERROR(VLOOKUP(D92,'Employee Master'!A:F,5,FALSE),"")</f>
        <v>89748.843404155748</v>
      </c>
      <c r="F92" s="230" t="str">
        <f ca="1">IF(C92="Vacant","No",IF(AND(VLOOKUP(D92,'Employee Master'!A:F,6,FALSE)+360&lt;B$4,VLOOKUP(D92,'Employee Master'!A:F,6,FALSE)+360&lt;B86),"Yes","No"))</f>
        <v>Yes</v>
      </c>
      <c r="G92" s="229">
        <f ca="1">IF(C92="Vacant",VLOOKUP(A92,'Position Master'!B:D,3,FALSE),E92)*(1+IF(F92="Yes",F$8,0))</f>
        <v>92441.308706280426</v>
      </c>
      <c r="H92" s="245"/>
      <c r="I92" s="232"/>
      <c r="J92" s="233">
        <f t="shared" ca="1" si="24"/>
        <v>96138.961054531654</v>
      </c>
      <c r="K92" s="234"/>
      <c r="L92" s="235">
        <f t="shared" ca="1" si="25"/>
        <v>44743</v>
      </c>
      <c r="M92" s="236"/>
      <c r="N92" s="235">
        <f ca="1">IF(M92="",IFERROR(VLOOKUP($D92,'Employee Master'!$A:$F,6,FALSE)+365,""),M92)</f>
        <v>44922</v>
      </c>
      <c r="O92" s="71"/>
      <c r="P92" s="235">
        <f t="shared" ca="1" si="26"/>
        <v>45107</v>
      </c>
      <c r="Q92" s="237">
        <f t="shared" ca="1" si="27"/>
        <v>127</v>
      </c>
      <c r="R92" s="237">
        <f t="shared" ca="1" si="28"/>
        <v>134</v>
      </c>
      <c r="S92" s="237">
        <f t="shared" ca="1" si="29"/>
        <v>261</v>
      </c>
      <c r="T92" s="238">
        <f t="shared" ca="1" si="30"/>
        <v>94339.72025672358</v>
      </c>
      <c r="U92" s="229">
        <f t="shared" ca="1" si="31"/>
        <v>94339.72025672358</v>
      </c>
      <c r="V92" s="233">
        <f t="shared" ca="1" si="32"/>
        <v>18049.0769795864</v>
      </c>
      <c r="W92" s="246"/>
      <c r="X92" s="247"/>
      <c r="Y92" s="229">
        <f t="shared" ca="1" si="33"/>
        <v>96138.961054531654</v>
      </c>
      <c r="Z92" s="71"/>
      <c r="AA92" s="235">
        <f t="shared" ca="1" si="34"/>
        <v>44743</v>
      </c>
      <c r="AB92" s="71"/>
      <c r="AC92" s="235">
        <f ca="1">IF(AB92="",IFERROR(VLOOKUP($D92,'Employee Master'!$A:$F,6,FALSE)+365,""),AB92)</f>
        <v>44922</v>
      </c>
      <c r="AD92" s="234"/>
      <c r="AE92" s="235">
        <f t="shared" ca="1" si="35"/>
        <v>45107</v>
      </c>
      <c r="AF92" s="237">
        <f t="shared" ca="1" si="36"/>
        <v>127</v>
      </c>
      <c r="AG92" s="237">
        <f t="shared" ca="1" si="37"/>
        <v>134</v>
      </c>
      <c r="AH92" s="237">
        <f t="shared" ca="1" si="38"/>
        <v>261</v>
      </c>
      <c r="AI92" s="238">
        <f t="shared" ca="1" si="39"/>
        <v>94339.72025672358</v>
      </c>
      <c r="AJ92" s="229">
        <f t="shared" ca="1" si="40"/>
        <v>94339.72025672358</v>
      </c>
      <c r="AK92" s="233">
        <f t="shared" ca="1" si="41"/>
        <v>18049.0769795864</v>
      </c>
      <c r="AL92" s="248"/>
      <c r="AM92" s="233">
        <f t="shared" ca="1" si="42"/>
        <v>0</v>
      </c>
      <c r="AN92" s="233">
        <f t="shared" ca="1" si="43"/>
        <v>0</v>
      </c>
      <c r="AO92" s="233">
        <f t="shared" ca="1" si="44"/>
        <v>0</v>
      </c>
      <c r="AP92" s="233">
        <f t="shared" ca="1" si="45"/>
        <v>0</v>
      </c>
      <c r="AR92" s="226"/>
      <c r="AS92" s="226"/>
      <c r="AT92" s="226"/>
      <c r="AU92" s="226"/>
      <c r="AV92" s="226"/>
      <c r="AW92" s="226"/>
      <c r="AX92" s="226"/>
      <c r="AY92" s="226"/>
      <c r="AZ92" s="226"/>
      <c r="BA92" s="226"/>
      <c r="BB92" s="226"/>
      <c r="BC92" s="226"/>
      <c r="BD92" s="226"/>
      <c r="BE92" s="226"/>
      <c r="BF92" s="226"/>
      <c r="BN92" s="244" t="str">
        <f ca="1">IF('Budgeting Model'!C92="Vacant",'Budgeting Model'!AK92,"")</f>
        <v/>
      </c>
      <c r="BO92" s="195">
        <f t="shared" ca="1" si="46"/>
        <v>12</v>
      </c>
      <c r="BP92" s="195">
        <f t="shared" ca="1" si="47"/>
        <v>89748.843404155748</v>
      </c>
    </row>
    <row r="93" spans="1:68" s="195" customFormat="1" ht="15" customHeight="1" thickBot="1">
      <c r="A93" s="227" t="s">
        <v>151</v>
      </c>
      <c r="B93" s="228" t="str">
        <f>IF(ISNA(VLOOKUP($A93,'Position Master'!B:C,2,FALSE)),"Missing",VLOOKUP($A93,'Position Master'!B:C,2,FALSE))</f>
        <v>Dept 1</v>
      </c>
      <c r="C93" s="211" t="str">
        <f ca="1">_xlfn.IFNA(INDEX('Employee Master'!$C:$C,MATCH($D93,'Employee Master'!$A:$A,0))&amp;", "&amp;INDEX('Employee Master'!$B:$B,MATCH($D93,'Employee Master'!$A:$A,0)),"Vacant")</f>
        <v>Santos, Stefan</v>
      </c>
      <c r="D93" s="211">
        <f>IF(INDEX('Position Master'!$A$7:$A$97,MATCH(A93,'Position Master'!$B$7:$B$97,0))=0,"Vacant",INDEX('Position Master'!$A$7:$A$97,MATCH(A93,'Position Master'!$B$7:$B$97,0)))</f>
        <v>9599390</v>
      </c>
      <c r="E93" s="229">
        <f ca="1">IFERROR(VLOOKUP(D93,'Employee Master'!A:F,5,FALSE),"")</f>
        <v>42725.606051473347</v>
      </c>
      <c r="F93" s="230" t="str">
        <f ca="1">IF(C93="Vacant","No",IF(AND(VLOOKUP(D93,'Employee Master'!A:F,6,FALSE)+360&lt;B$4,VLOOKUP(D93,'Employee Master'!A:F,6,FALSE)+360&lt;B87),"Yes","No"))</f>
        <v>Yes</v>
      </c>
      <c r="G93" s="229">
        <f ca="1">IF(C93="Vacant",VLOOKUP(A93,'Position Master'!B:D,3,FALSE),E93)*(1+IF(F93="Yes",F$8,0))</f>
        <v>44007.374233017552</v>
      </c>
      <c r="H93" s="245"/>
      <c r="I93" s="232"/>
      <c r="J93" s="233">
        <f t="shared" ca="1" si="24"/>
        <v>45767.669202338257</v>
      </c>
      <c r="K93" s="234"/>
      <c r="L93" s="235">
        <f t="shared" ca="1" si="25"/>
        <v>44743</v>
      </c>
      <c r="M93" s="236"/>
      <c r="N93" s="235">
        <f ca="1">IF(M93="",IFERROR(VLOOKUP($D93,'Employee Master'!$A:$F,6,FALSE)+365,""),M93)</f>
        <v>44883</v>
      </c>
      <c r="O93" s="71"/>
      <c r="P93" s="235">
        <f t="shared" ca="1" si="26"/>
        <v>45107</v>
      </c>
      <c r="Q93" s="237">
        <f t="shared" ca="1" si="27"/>
        <v>100</v>
      </c>
      <c r="R93" s="237">
        <f t="shared" ca="1" si="28"/>
        <v>161</v>
      </c>
      <c r="S93" s="237">
        <f t="shared" ca="1" si="29"/>
        <v>261</v>
      </c>
      <c r="T93" s="238">
        <f t="shared" ca="1" si="30"/>
        <v>45093.226685357149</v>
      </c>
      <c r="U93" s="229">
        <f t="shared" ca="1" si="31"/>
        <v>45093.226685357149</v>
      </c>
      <c r="V93" s="233">
        <f t="shared" ca="1" si="32"/>
        <v>8592.397666339366</v>
      </c>
      <c r="W93" s="246"/>
      <c r="X93" s="247"/>
      <c r="Y93" s="229">
        <f t="shared" ca="1" si="33"/>
        <v>45767.669202338257</v>
      </c>
      <c r="Z93" s="249">
        <v>44830</v>
      </c>
      <c r="AA93" s="235">
        <f t="shared" si="34"/>
        <v>44830</v>
      </c>
      <c r="AB93" s="71"/>
      <c r="AC93" s="235">
        <f ca="1">IF(AB93="",IFERROR(VLOOKUP($D93,'Employee Master'!$A:$F,6,FALSE)+365,""),AB93)</f>
        <v>44883</v>
      </c>
      <c r="AD93" s="234"/>
      <c r="AE93" s="235">
        <f t="shared" ca="1" si="35"/>
        <v>45107</v>
      </c>
      <c r="AF93" s="237">
        <f t="shared" ca="1" si="36"/>
        <v>39</v>
      </c>
      <c r="AG93" s="237">
        <f t="shared" ca="1" si="37"/>
        <v>161</v>
      </c>
      <c r="AH93" s="237">
        <f t="shared" ca="1" si="38"/>
        <v>200</v>
      </c>
      <c r="AI93" s="238">
        <f t="shared" ca="1" si="39"/>
        <v>45424.411683320715</v>
      </c>
      <c r="AJ93" s="229">
        <f t="shared" ca="1" si="40"/>
        <v>34807.978301395189</v>
      </c>
      <c r="AK93" s="233">
        <f t="shared" ca="1" si="41"/>
        <v>8592.397666339366</v>
      </c>
      <c r="AL93" s="248"/>
      <c r="AM93" s="233">
        <f t="shared" ca="1" si="42"/>
        <v>331.18499796356627</v>
      </c>
      <c r="AN93" s="233">
        <f t="shared" ca="1" si="43"/>
        <v>-10616.433381925526</v>
      </c>
      <c r="AO93" s="233">
        <f t="shared" ca="1" si="44"/>
        <v>-10285.24838396196</v>
      </c>
      <c r="AP93" s="233">
        <f t="shared" ca="1" si="45"/>
        <v>0</v>
      </c>
      <c r="AR93" s="226"/>
      <c r="AS93" s="226"/>
      <c r="AT93" s="226"/>
      <c r="AU93" s="226"/>
      <c r="AV93" s="226"/>
      <c r="AW93" s="226"/>
      <c r="AX93" s="226"/>
      <c r="AY93" s="226"/>
      <c r="AZ93" s="226"/>
      <c r="BA93" s="226"/>
      <c r="BB93" s="226"/>
      <c r="BC93" s="226"/>
      <c r="BD93" s="226"/>
      <c r="BE93" s="226"/>
      <c r="BF93" s="226"/>
      <c r="BN93" s="244" t="str">
        <f ca="1">IF('Budgeting Model'!C93="Vacant",'Budgeting Model'!AK93,"")</f>
        <v/>
      </c>
      <c r="BO93" s="195">
        <f t="shared" ca="1" si="46"/>
        <v>11</v>
      </c>
      <c r="BP93" s="195">
        <f t="shared" ca="1" si="47"/>
        <v>42725.606051473347</v>
      </c>
    </row>
    <row r="94" spans="1:68" s="195" customFormat="1" ht="15" customHeight="1" thickBot="1">
      <c r="A94" s="227" t="s">
        <v>152</v>
      </c>
      <c r="B94" s="228" t="str">
        <f>IF(ISNA(VLOOKUP($A94,'Position Master'!B:C,2,FALSE)),"Missing",VLOOKUP($A94,'Position Master'!B:C,2,FALSE))</f>
        <v>Dept 10</v>
      </c>
      <c r="C94" s="211" t="str">
        <f ca="1">_xlfn.IFNA(INDEX('Employee Master'!$C:$C,MATCH($D94,'Employee Master'!$A:$A,0))&amp;", "&amp;INDEX('Employee Master'!$B:$B,MATCH($D94,'Employee Master'!$A:$A,0)),"Vacant")</f>
        <v>Vacant</v>
      </c>
      <c r="D94" s="211" t="str">
        <f>IF(INDEX('Position Master'!$A$7:$A$97,MATCH(A94,'Position Master'!$B$7:$B$97,0))=0,"Vacant",INDEX('Position Master'!$A$7:$A$97,MATCH(A94,'Position Master'!$B$7:$B$97,0)))</f>
        <v>Vacant</v>
      </c>
      <c r="E94" s="229" t="str">
        <f ca="1">IFERROR(VLOOKUP(D94,'Employee Master'!A:F,5,FALSE),"")</f>
        <v/>
      </c>
      <c r="F94" s="230" t="str">
        <f ca="1">IF(C94="Vacant","No",IF(AND(VLOOKUP(D94,'Employee Master'!A:F,6,FALSE)+360&lt;B$4,VLOOKUP(D94,'Employee Master'!A:F,6,FALSE)+360&lt;B88),"Yes","No"))</f>
        <v>No</v>
      </c>
      <c r="G94" s="229">
        <f ca="1">IF(C94="Vacant",VLOOKUP(A94,'Position Master'!B:D,3,FALSE),E94)*(1+IF(F94="Yes",F$8,0))</f>
        <v>53528.807740437755</v>
      </c>
      <c r="H94" s="245"/>
      <c r="I94" s="232"/>
      <c r="J94" s="233">
        <f t="shared" ca="1" si="24"/>
        <v>55669.96005005527</v>
      </c>
      <c r="K94" s="234"/>
      <c r="L94" s="235">
        <f t="shared" ca="1" si="25"/>
        <v>44833</v>
      </c>
      <c r="M94" s="236"/>
      <c r="N94" s="235" t="str">
        <f ca="1">IF(M94="",IFERROR(VLOOKUP($D94,'Employee Master'!$A:$F,6,FALSE)+365,""),M94)</f>
        <v/>
      </c>
      <c r="O94" s="71"/>
      <c r="P94" s="235">
        <f t="shared" ca="1" si="26"/>
        <v>45107</v>
      </c>
      <c r="Q94" s="237">
        <f t="shared" ca="1" si="27"/>
        <v>197</v>
      </c>
      <c r="R94" s="237">
        <f t="shared" ca="1" si="28"/>
        <v>0</v>
      </c>
      <c r="S94" s="237">
        <f t="shared" ca="1" si="29"/>
        <v>197</v>
      </c>
      <c r="T94" s="238">
        <f t="shared" ca="1" si="30"/>
        <v>53528.807740437755</v>
      </c>
      <c r="U94" s="229">
        <f t="shared" ca="1" si="31"/>
        <v>40402.969827073706</v>
      </c>
      <c r="V94" s="233">
        <f t="shared" ca="1" si="32"/>
        <v>40402.969827073706</v>
      </c>
      <c r="W94" s="246"/>
      <c r="X94" s="247"/>
      <c r="Y94" s="229">
        <f t="shared" ca="1" si="33"/>
        <v>55669.96005005527</v>
      </c>
      <c r="Z94" s="249">
        <v>44830</v>
      </c>
      <c r="AA94" s="235">
        <f t="shared" si="34"/>
        <v>44830</v>
      </c>
      <c r="AB94" s="71"/>
      <c r="AC94" s="235" t="str">
        <f ca="1">IF(AB94="",IFERROR(VLOOKUP($D94,'Employee Master'!$A:$F,6,FALSE)+365,""),AB94)</f>
        <v/>
      </c>
      <c r="AD94" s="234"/>
      <c r="AE94" s="235">
        <f t="shared" ca="1" si="35"/>
        <v>45107</v>
      </c>
      <c r="AF94" s="237">
        <f t="shared" ca="1" si="36"/>
        <v>200</v>
      </c>
      <c r="AG94" s="237">
        <f t="shared" ca="1" si="37"/>
        <v>0</v>
      </c>
      <c r="AH94" s="237">
        <f t="shared" ca="1" si="38"/>
        <v>200</v>
      </c>
      <c r="AI94" s="238">
        <f t="shared" ca="1" si="39"/>
        <v>53528.807740437755</v>
      </c>
      <c r="AJ94" s="229">
        <f t="shared" ca="1" si="40"/>
        <v>41018.243479262645</v>
      </c>
      <c r="AK94" s="233">
        <f t="shared" ca="1" si="41"/>
        <v>41018.243479262645</v>
      </c>
      <c r="AL94" s="248"/>
      <c r="AM94" s="233">
        <f t="shared" ca="1" si="42"/>
        <v>0</v>
      </c>
      <c r="AN94" s="233">
        <f t="shared" ca="1" si="43"/>
        <v>615.27365218893829</v>
      </c>
      <c r="AO94" s="233">
        <f t="shared" ca="1" si="44"/>
        <v>615.27365218893829</v>
      </c>
      <c r="AP94" s="233">
        <f t="shared" ca="1" si="45"/>
        <v>615.27365218893829</v>
      </c>
      <c r="AR94" s="226"/>
      <c r="AS94" s="226"/>
      <c r="AT94" s="226"/>
      <c r="AU94" s="226"/>
      <c r="AV94" s="226"/>
      <c r="AW94" s="226"/>
      <c r="AX94" s="226"/>
      <c r="AY94" s="226"/>
      <c r="AZ94" s="226"/>
      <c r="BA94" s="226"/>
      <c r="BB94" s="226"/>
      <c r="BC94" s="226"/>
      <c r="BD94" s="226"/>
      <c r="BE94" s="226"/>
      <c r="BF94" s="226"/>
      <c r="BN94" s="244">
        <f ca="1">IF('Budgeting Model'!C94="Vacant",'Budgeting Model'!AK94,"")</f>
        <v>41018.243479262645</v>
      </c>
      <c r="BO94" s="195" t="str">
        <f t="shared" ca="1" si="46"/>
        <v/>
      </c>
      <c r="BP94" s="195" t="str">
        <f t="shared" ca="1" si="47"/>
        <v/>
      </c>
    </row>
    <row r="95" spans="1:68" s="195" customFormat="1" ht="15" customHeight="1" thickBot="1">
      <c r="A95" s="227" t="s">
        <v>153</v>
      </c>
      <c r="B95" s="228" t="str">
        <f>IF(ISNA(VLOOKUP($A95,'Position Master'!B:C,2,FALSE)),"Missing",VLOOKUP($A95,'Position Master'!B:C,2,FALSE))</f>
        <v>Dept 13</v>
      </c>
      <c r="C95" s="211" t="str">
        <f ca="1">_xlfn.IFNA(INDEX('Employee Master'!$C:$C,MATCH($D95,'Employee Master'!$A:$A,0))&amp;", "&amp;INDEX('Employee Master'!$B:$B,MATCH($D95,'Employee Master'!$A:$A,0)),"Vacant")</f>
        <v>Schwartz, Aminata</v>
      </c>
      <c r="D95" s="211">
        <f>IF(INDEX('Position Master'!$A$7:$A$97,MATCH(A95,'Position Master'!$B$7:$B$97,0))=0,"Vacant",INDEX('Position Master'!$A$7:$A$97,MATCH(A95,'Position Master'!$B$7:$B$97,0)))</f>
        <v>9785047</v>
      </c>
      <c r="E95" s="229">
        <f ca="1">IFERROR(VLOOKUP(D95,'Employee Master'!A:F,5,FALSE),"")</f>
        <v>67239.731874022589</v>
      </c>
      <c r="F95" s="230" t="str">
        <f ca="1">IF(C95="Vacant","No",IF(AND(VLOOKUP(D95,'Employee Master'!A:F,6,FALSE)+360&lt;B$4,VLOOKUP(D95,'Employee Master'!A:F,6,FALSE)+360&lt;B89),"Yes","No"))</f>
        <v>Yes</v>
      </c>
      <c r="G95" s="229">
        <f ca="1">IF(C95="Vacant",VLOOKUP(A95,'Position Master'!B:D,3,FALSE),E95)*(1+IF(F95="Yes",F$8,0))</f>
        <v>69256.923830243264</v>
      </c>
      <c r="H95" s="245"/>
      <c r="I95" s="232"/>
      <c r="J95" s="233">
        <f t="shared" ca="1" si="24"/>
        <v>72027.200783452994</v>
      </c>
      <c r="K95" s="234"/>
      <c r="L95" s="235">
        <f t="shared" ca="1" si="25"/>
        <v>44743</v>
      </c>
      <c r="M95" s="236"/>
      <c r="N95" s="235">
        <f ca="1">IF(M95="",IFERROR(VLOOKUP($D95,'Employee Master'!$A:$F,6,FALSE)+365,""),M95)</f>
        <v>44951</v>
      </c>
      <c r="O95" s="71"/>
      <c r="P95" s="235">
        <f t="shared" ca="1" si="26"/>
        <v>45107</v>
      </c>
      <c r="Q95" s="237">
        <f t="shared" ca="1" si="27"/>
        <v>148</v>
      </c>
      <c r="R95" s="237">
        <f t="shared" ca="1" si="28"/>
        <v>113</v>
      </c>
      <c r="S95" s="237">
        <f t="shared" ca="1" si="29"/>
        <v>261</v>
      </c>
      <c r="T95" s="238">
        <f t="shared" ca="1" si="30"/>
        <v>70456.315767839813</v>
      </c>
      <c r="U95" s="229">
        <f t="shared" ca="1" si="31"/>
        <v>70456.315767839813</v>
      </c>
      <c r="V95" s="233">
        <f t="shared" ca="1" si="32"/>
        <v>13522.348039805353</v>
      </c>
      <c r="W95" s="246"/>
      <c r="X95" s="247"/>
      <c r="Y95" s="229">
        <f t="shared" ca="1" si="33"/>
        <v>72027.200783452994</v>
      </c>
      <c r="Z95" s="71"/>
      <c r="AA95" s="235">
        <f t="shared" ca="1" si="34"/>
        <v>44743</v>
      </c>
      <c r="AB95" s="71"/>
      <c r="AC95" s="235">
        <f ca="1">IF(AB95="",IFERROR(VLOOKUP($D95,'Employee Master'!$A:$F,6,FALSE)+365,""),AB95)</f>
        <v>44951</v>
      </c>
      <c r="AD95" s="234"/>
      <c r="AE95" s="235">
        <f t="shared" ca="1" si="35"/>
        <v>45107</v>
      </c>
      <c r="AF95" s="237">
        <f t="shared" ca="1" si="36"/>
        <v>148</v>
      </c>
      <c r="AG95" s="237">
        <f t="shared" ca="1" si="37"/>
        <v>113</v>
      </c>
      <c r="AH95" s="237">
        <f t="shared" ca="1" si="38"/>
        <v>261</v>
      </c>
      <c r="AI95" s="238">
        <f t="shared" ca="1" si="39"/>
        <v>70456.315767839813</v>
      </c>
      <c r="AJ95" s="229">
        <f t="shared" ca="1" si="40"/>
        <v>70456.315767839813</v>
      </c>
      <c r="AK95" s="233">
        <f t="shared" ca="1" si="41"/>
        <v>13522.348039805353</v>
      </c>
      <c r="AL95" s="248"/>
      <c r="AM95" s="233">
        <f t="shared" ca="1" si="42"/>
        <v>0</v>
      </c>
      <c r="AN95" s="233">
        <f t="shared" ca="1" si="43"/>
        <v>0</v>
      </c>
      <c r="AO95" s="233">
        <f t="shared" ca="1" si="44"/>
        <v>0</v>
      </c>
      <c r="AP95" s="233">
        <f t="shared" ca="1" si="45"/>
        <v>0</v>
      </c>
      <c r="AR95" s="226"/>
      <c r="AS95" s="226"/>
      <c r="AT95" s="226"/>
      <c r="AU95" s="226"/>
      <c r="AV95" s="226"/>
      <c r="AW95" s="226"/>
      <c r="AX95" s="226"/>
      <c r="AY95" s="226"/>
      <c r="AZ95" s="226"/>
      <c r="BA95" s="226"/>
      <c r="BB95" s="226"/>
      <c r="BC95" s="226"/>
      <c r="BD95" s="226"/>
      <c r="BE95" s="226"/>
      <c r="BF95" s="226"/>
      <c r="BN95" s="244" t="str">
        <f ca="1">IF('Budgeting Model'!C95="Vacant",'Budgeting Model'!AK95,"")</f>
        <v/>
      </c>
      <c r="BO95" s="195">
        <f t="shared" ca="1" si="46"/>
        <v>1</v>
      </c>
      <c r="BP95" s="195">
        <f t="shared" ca="1" si="47"/>
        <v>67239.731874022589</v>
      </c>
    </row>
    <row r="96" spans="1:68" s="195" customFormat="1" ht="15" customHeight="1" thickBot="1">
      <c r="A96" s="227" t="s">
        <v>154</v>
      </c>
      <c r="B96" s="228" t="str">
        <f>IF(ISNA(VLOOKUP($A96,'Position Master'!B:C,2,FALSE)),"Missing",VLOOKUP($A96,'Position Master'!B:C,2,FALSE))</f>
        <v>Dept 8</v>
      </c>
      <c r="C96" s="211" t="str">
        <f ca="1">_xlfn.IFNA(INDEX('Employee Master'!$C:$C,MATCH($D96,'Employee Master'!$A:$A,0))&amp;", "&amp;INDEX('Employee Master'!$B:$B,MATCH($D96,'Employee Master'!$A:$A,0)),"Vacant")</f>
        <v>Shankar, Hillary</v>
      </c>
      <c r="D96" s="211">
        <f>IF(INDEX('Position Master'!$A$7:$A$97,MATCH(A96,'Position Master'!$B$7:$B$97,0))=0,"Vacant",INDEX('Position Master'!$A$7:$A$97,MATCH(A96,'Position Master'!$B$7:$B$97,0)))</f>
        <v>9791948</v>
      </c>
      <c r="E96" s="229">
        <f ca="1">IFERROR(VLOOKUP(D96,'Employee Master'!A:F,5,FALSE),"")</f>
        <v>85186.043906849838</v>
      </c>
      <c r="F96" s="230" t="str">
        <f ca="1">IF(C96="Vacant","No",IF(AND(VLOOKUP(D96,'Employee Master'!A:F,6,FALSE)+360&lt;B$4,VLOOKUP(D96,'Employee Master'!A:F,6,FALSE)+360&lt;B90),"Yes","No"))</f>
        <v>Yes</v>
      </c>
      <c r="G96" s="229">
        <f ca="1">IF(C96="Vacant",VLOOKUP(A96,'Position Master'!B:D,3,FALSE),E96)*(1+IF(F96="Yes",F$8,0))</f>
        <v>87741.625224055329</v>
      </c>
      <c r="H96" s="245"/>
      <c r="I96" s="232"/>
      <c r="J96" s="233">
        <f t="shared" ca="1" si="24"/>
        <v>91251.290233017542</v>
      </c>
      <c r="K96" s="234"/>
      <c r="L96" s="235">
        <f t="shared" ca="1" si="25"/>
        <v>44743</v>
      </c>
      <c r="M96" s="236"/>
      <c r="N96" s="235">
        <f ca="1">IF(M96="",IFERROR(VLOOKUP($D96,'Employee Master'!$A:$F,6,FALSE)+365,""),M96)</f>
        <v>44763</v>
      </c>
      <c r="O96" s="71"/>
      <c r="P96" s="235">
        <f t="shared" ca="1" si="26"/>
        <v>45107</v>
      </c>
      <c r="Q96" s="237">
        <f t="shared" ca="1" si="27"/>
        <v>14</v>
      </c>
      <c r="R96" s="237">
        <f t="shared" ca="1" si="28"/>
        <v>247</v>
      </c>
      <c r="S96" s="237">
        <f t="shared" ca="1" si="29"/>
        <v>261</v>
      </c>
      <c r="T96" s="238">
        <f t="shared" ca="1" si="30"/>
        <v>91063.032339816506</v>
      </c>
      <c r="U96" s="229">
        <f t="shared" ca="1" si="31"/>
        <v>91063.032339816506</v>
      </c>
      <c r="V96" s="233">
        <f t="shared" ca="1" si="32"/>
        <v>17131.468281294481</v>
      </c>
      <c r="W96" s="246"/>
      <c r="X96" s="247"/>
      <c r="Y96" s="229">
        <f t="shared" ca="1" si="33"/>
        <v>91251.290233017542</v>
      </c>
      <c r="Z96" s="71"/>
      <c r="AA96" s="235">
        <f t="shared" ca="1" si="34"/>
        <v>44743</v>
      </c>
      <c r="AB96" s="71"/>
      <c r="AC96" s="235">
        <f ca="1">IF(AB96="",IFERROR(VLOOKUP($D96,'Employee Master'!$A:$F,6,FALSE)+365,""),AB96)</f>
        <v>44763</v>
      </c>
      <c r="AD96" s="234"/>
      <c r="AE96" s="235">
        <f t="shared" ca="1" si="35"/>
        <v>45107</v>
      </c>
      <c r="AF96" s="237">
        <f t="shared" ca="1" si="36"/>
        <v>14</v>
      </c>
      <c r="AG96" s="237">
        <f t="shared" ca="1" si="37"/>
        <v>247</v>
      </c>
      <c r="AH96" s="237">
        <f t="shared" ca="1" si="38"/>
        <v>261</v>
      </c>
      <c r="AI96" s="238">
        <f t="shared" ca="1" si="39"/>
        <v>91063.032339816506</v>
      </c>
      <c r="AJ96" s="229">
        <f t="shared" ca="1" si="40"/>
        <v>91063.032339816506</v>
      </c>
      <c r="AK96" s="233">
        <f t="shared" ca="1" si="41"/>
        <v>17131.468281294481</v>
      </c>
      <c r="AL96" s="248"/>
      <c r="AM96" s="233">
        <f t="shared" ca="1" si="42"/>
        <v>0</v>
      </c>
      <c r="AN96" s="233">
        <f t="shared" ca="1" si="43"/>
        <v>0</v>
      </c>
      <c r="AO96" s="233">
        <f t="shared" ca="1" si="44"/>
        <v>0</v>
      </c>
      <c r="AP96" s="233">
        <f t="shared" ca="1" si="45"/>
        <v>0</v>
      </c>
      <c r="AR96" s="226"/>
      <c r="AS96" s="226"/>
      <c r="AT96" s="226"/>
      <c r="AU96" s="226"/>
      <c r="AV96" s="226"/>
      <c r="AW96" s="226"/>
      <c r="AX96" s="226"/>
      <c r="AY96" s="226"/>
      <c r="AZ96" s="226"/>
      <c r="BA96" s="226"/>
      <c r="BB96" s="226"/>
      <c r="BC96" s="226"/>
      <c r="BD96" s="226"/>
      <c r="BE96" s="226"/>
      <c r="BF96" s="226"/>
      <c r="BN96" s="244" t="str">
        <f ca="1">IF('Budgeting Model'!C96="Vacant",'Budgeting Model'!AK96,"")</f>
        <v/>
      </c>
      <c r="BO96" s="195">
        <f t="shared" ca="1" si="46"/>
        <v>7</v>
      </c>
      <c r="BP96" s="195" t="str">
        <f t="shared" ca="1" si="47"/>
        <v/>
      </c>
    </row>
    <row r="97" spans="1:68" s="195" customFormat="1" ht="15" customHeight="1" thickBot="1">
      <c r="A97" s="227" t="s">
        <v>155</v>
      </c>
      <c r="B97" s="228" t="str">
        <f>IF(ISNA(VLOOKUP($A97,'Position Master'!B:C,2,FALSE)),"Missing",VLOOKUP($A97,'Position Master'!B:C,2,FALSE))</f>
        <v>Dept 14</v>
      </c>
      <c r="C97" s="211" t="str">
        <f ca="1">_xlfn.IFNA(INDEX('Employee Master'!$C:$C,MATCH($D97,'Employee Master'!$A:$A,0))&amp;", "&amp;INDEX('Employee Master'!$B:$B,MATCH($D97,'Employee Master'!$A:$A,0)),"Vacant")</f>
        <v>Vacant</v>
      </c>
      <c r="D97" s="211" t="str">
        <f>IF(INDEX('Position Master'!$A$7:$A$97,MATCH(A97,'Position Master'!$B$7:$B$97,0))=0,"Vacant",INDEX('Position Master'!$A$7:$A$97,MATCH(A97,'Position Master'!$B$7:$B$97,0)))</f>
        <v>Vacant</v>
      </c>
      <c r="E97" s="229" t="str">
        <f ca="1">IFERROR(VLOOKUP(D97,'Employee Master'!A:F,5,FALSE),"")</f>
        <v/>
      </c>
      <c r="F97" s="230" t="str">
        <f ca="1">IF(C97="Vacant","No",IF(AND(VLOOKUP(D97,'Employee Master'!A:F,6,FALSE)+360&lt;B$4,VLOOKUP(D97,'Employee Master'!A:F,6,FALSE)+360&lt;B91),"Yes","No"))</f>
        <v>No</v>
      </c>
      <c r="G97" s="229">
        <f ca="1">IF(C97="Vacant",VLOOKUP(A97,'Position Master'!B:D,3,FALSE),E97)*(1+IF(F97="Yes",F$8,0))</f>
        <v>48255.111311425921</v>
      </c>
      <c r="H97" s="245"/>
      <c r="I97" s="232"/>
      <c r="J97" s="233">
        <f t="shared" ca="1" si="24"/>
        <v>50185.315763882958</v>
      </c>
      <c r="K97" s="234"/>
      <c r="L97" s="235">
        <f t="shared" ca="1" si="25"/>
        <v>44833</v>
      </c>
      <c r="M97" s="236"/>
      <c r="N97" s="235" t="str">
        <f ca="1">IF(M97="",IFERROR(VLOOKUP($D97,'Employee Master'!$A:$F,6,FALSE)+365,""),M97)</f>
        <v/>
      </c>
      <c r="O97" s="71"/>
      <c r="P97" s="235">
        <f t="shared" ca="1" si="26"/>
        <v>45107</v>
      </c>
      <c r="Q97" s="237">
        <f t="shared" ca="1" si="27"/>
        <v>197</v>
      </c>
      <c r="R97" s="237">
        <f t="shared" ca="1" si="28"/>
        <v>0</v>
      </c>
      <c r="S97" s="237">
        <f t="shared" ca="1" si="29"/>
        <v>197</v>
      </c>
      <c r="T97" s="238">
        <f t="shared" ca="1" si="30"/>
        <v>48255.111311425921</v>
      </c>
      <c r="U97" s="229">
        <f t="shared" ca="1" si="31"/>
        <v>36422.440338509223</v>
      </c>
      <c r="V97" s="233">
        <f t="shared" ca="1" si="32"/>
        <v>36422.440338509223</v>
      </c>
      <c r="W97" s="246"/>
      <c r="X97" s="247"/>
      <c r="Y97" s="229">
        <f t="shared" ca="1" si="33"/>
        <v>50185.315763882958</v>
      </c>
      <c r="Z97" s="71"/>
      <c r="AA97" s="235">
        <f t="shared" ca="1" si="34"/>
        <v>44833</v>
      </c>
      <c r="AB97" s="71"/>
      <c r="AC97" s="235" t="str">
        <f ca="1">IF(AB97="",IFERROR(VLOOKUP($D97,'Employee Master'!$A:$F,6,FALSE)+365,""),AB97)</f>
        <v/>
      </c>
      <c r="AD97" s="234"/>
      <c r="AE97" s="235">
        <f t="shared" ca="1" si="35"/>
        <v>45107</v>
      </c>
      <c r="AF97" s="237">
        <f t="shared" ca="1" si="36"/>
        <v>197</v>
      </c>
      <c r="AG97" s="237">
        <f t="shared" ca="1" si="37"/>
        <v>0</v>
      </c>
      <c r="AH97" s="237">
        <f t="shared" ca="1" si="38"/>
        <v>197</v>
      </c>
      <c r="AI97" s="238">
        <f t="shared" ca="1" si="39"/>
        <v>48255.111311425921</v>
      </c>
      <c r="AJ97" s="229">
        <f t="shared" ca="1" si="40"/>
        <v>36422.440338509223</v>
      </c>
      <c r="AK97" s="233">
        <f t="shared" ca="1" si="41"/>
        <v>36422.440338509223</v>
      </c>
      <c r="AL97" s="248"/>
      <c r="AM97" s="233">
        <f t="shared" ca="1" si="42"/>
        <v>0</v>
      </c>
      <c r="AN97" s="233">
        <f t="shared" ca="1" si="43"/>
        <v>0</v>
      </c>
      <c r="AO97" s="233">
        <f t="shared" ca="1" si="44"/>
        <v>0</v>
      </c>
      <c r="AP97" s="233">
        <f t="shared" ca="1" si="45"/>
        <v>0</v>
      </c>
      <c r="AR97" s="226"/>
      <c r="AS97" s="226"/>
      <c r="AT97" s="226"/>
      <c r="AU97" s="226"/>
      <c r="AV97" s="226"/>
      <c r="AW97" s="226"/>
      <c r="AX97" s="226"/>
      <c r="AY97" s="226"/>
      <c r="AZ97" s="226"/>
      <c r="BA97" s="226"/>
      <c r="BB97" s="226"/>
      <c r="BC97" s="226"/>
      <c r="BD97" s="226"/>
      <c r="BE97" s="226"/>
      <c r="BF97" s="226"/>
      <c r="BN97" s="244">
        <f ca="1">IF('Budgeting Model'!C97="Vacant",'Budgeting Model'!AK97,"")</f>
        <v>36422.440338509223</v>
      </c>
      <c r="BO97" s="195" t="str">
        <f t="shared" ca="1" si="46"/>
        <v/>
      </c>
      <c r="BP97" s="195" t="str">
        <f t="shared" ca="1" si="47"/>
        <v/>
      </c>
    </row>
    <row r="98" spans="1:68" s="195" customFormat="1" ht="15" customHeight="1" thickBot="1">
      <c r="A98" s="227" t="s">
        <v>156</v>
      </c>
      <c r="B98" s="228" t="str">
        <f>IF(ISNA(VLOOKUP($A98,'Position Master'!B:C,2,FALSE)),"Missing",VLOOKUP($A98,'Position Master'!B:C,2,FALSE))</f>
        <v>Dept 5</v>
      </c>
      <c r="C98" s="211" t="str">
        <f ca="1">_xlfn.IFNA(INDEX('Employee Master'!$C:$C,MATCH($D98,'Employee Master'!$A:$A,0))&amp;", "&amp;INDEX('Employee Master'!$B:$B,MATCH($D98,'Employee Master'!$A:$A,0)),"Vacant")</f>
        <v>Shemesh, Kevin</v>
      </c>
      <c r="D98" s="211">
        <f>IF(INDEX('Position Master'!$A$7:$A$97,MATCH(A98,'Position Master'!$B$7:$B$97,0))=0,"Vacant",INDEX('Position Master'!$A$7:$A$97,MATCH(A98,'Position Master'!$B$7:$B$97,0)))</f>
        <v>9886381</v>
      </c>
      <c r="E98" s="229">
        <f ca="1">IFERROR(VLOOKUP(D98,'Employee Master'!A:F,5,FALSE),"")</f>
        <v>82187.051807376789</v>
      </c>
      <c r="F98" s="230" t="str">
        <f ca="1">IF(C98="Vacant","No",IF(AND(VLOOKUP(D98,'Employee Master'!A:F,6,FALSE)+360&lt;B$4,VLOOKUP(D98,'Employee Master'!A:F,6,FALSE)+360&lt;B92),"Yes","No"))</f>
        <v>Yes</v>
      </c>
      <c r="G98" s="229">
        <f ca="1">IF(C98="Vacant",VLOOKUP(A98,'Position Master'!B:D,3,FALSE),E98)*(1+IF(F98="Yes",F$8,0))</f>
        <v>84652.663361598097</v>
      </c>
      <c r="H98" s="245"/>
      <c r="I98" s="232"/>
      <c r="J98" s="233">
        <f t="shared" ca="1" si="24"/>
        <v>88038.769896062018</v>
      </c>
      <c r="K98" s="234"/>
      <c r="L98" s="235">
        <f t="shared" ca="1" si="25"/>
        <v>44743</v>
      </c>
      <c r="M98" s="236"/>
      <c r="N98" s="235">
        <f ca="1">IF(M98="",IFERROR(VLOOKUP($D98,'Employee Master'!$A:$F,6,FALSE)+365,""),M98)</f>
        <v>44800</v>
      </c>
      <c r="O98" s="71"/>
      <c r="P98" s="235">
        <f t="shared" ca="1" si="26"/>
        <v>45107</v>
      </c>
      <c r="Q98" s="237">
        <f t="shared" ca="1" si="27"/>
        <v>41</v>
      </c>
      <c r="R98" s="237">
        <f t="shared" ca="1" si="28"/>
        <v>220</v>
      </c>
      <c r="S98" s="237">
        <f t="shared" ca="1" si="29"/>
        <v>261</v>
      </c>
      <c r="T98" s="238">
        <f t="shared" ca="1" si="30"/>
        <v>87506.85277762133</v>
      </c>
      <c r="U98" s="229">
        <f t="shared" ca="1" si="31"/>
        <v>87506.85277762133</v>
      </c>
      <c r="V98" s="233">
        <f t="shared" ca="1" si="32"/>
        <v>16528.351436425437</v>
      </c>
      <c r="W98" s="246"/>
      <c r="X98" s="247"/>
      <c r="Y98" s="229">
        <f t="shared" ca="1" si="33"/>
        <v>88038.769896062018</v>
      </c>
      <c r="Z98" s="71"/>
      <c r="AA98" s="235">
        <f t="shared" ca="1" si="34"/>
        <v>44743</v>
      </c>
      <c r="AB98" s="71"/>
      <c r="AC98" s="235">
        <f ca="1">IF(AB98="",IFERROR(VLOOKUP($D98,'Employee Master'!$A:$F,6,FALSE)+365,""),AB98)</f>
        <v>44800</v>
      </c>
      <c r="AD98" s="234"/>
      <c r="AE98" s="235">
        <f t="shared" ca="1" si="35"/>
        <v>45107</v>
      </c>
      <c r="AF98" s="237">
        <f t="shared" ca="1" si="36"/>
        <v>41</v>
      </c>
      <c r="AG98" s="237">
        <f t="shared" ca="1" si="37"/>
        <v>220</v>
      </c>
      <c r="AH98" s="237">
        <f t="shared" ca="1" si="38"/>
        <v>261</v>
      </c>
      <c r="AI98" s="238">
        <f t="shared" ca="1" si="39"/>
        <v>87506.85277762133</v>
      </c>
      <c r="AJ98" s="229">
        <f t="shared" ca="1" si="40"/>
        <v>87506.85277762133</v>
      </c>
      <c r="AK98" s="233">
        <f t="shared" ca="1" si="41"/>
        <v>16528.351436425437</v>
      </c>
      <c r="AL98" s="248"/>
      <c r="AM98" s="233">
        <f t="shared" ca="1" si="42"/>
        <v>0</v>
      </c>
      <c r="AN98" s="233">
        <f t="shared" ca="1" si="43"/>
        <v>0</v>
      </c>
      <c r="AO98" s="233">
        <f t="shared" ca="1" si="44"/>
        <v>0</v>
      </c>
      <c r="AP98" s="233">
        <f t="shared" ca="1" si="45"/>
        <v>0</v>
      </c>
      <c r="AR98" s="226"/>
      <c r="AS98" s="226"/>
      <c r="AT98" s="226"/>
      <c r="AU98" s="226"/>
      <c r="AV98" s="226"/>
      <c r="AW98" s="226"/>
      <c r="AX98" s="226"/>
      <c r="AY98" s="226"/>
      <c r="AZ98" s="226"/>
      <c r="BA98" s="226"/>
      <c r="BB98" s="226"/>
      <c r="BC98" s="226"/>
      <c r="BD98" s="226"/>
      <c r="BE98" s="226"/>
      <c r="BF98" s="226"/>
      <c r="BN98" s="244" t="str">
        <f ca="1">IF('Budgeting Model'!C98="Vacant",'Budgeting Model'!AK98,"")</f>
        <v/>
      </c>
      <c r="BO98" s="195">
        <f t="shared" ca="1" si="46"/>
        <v>8</v>
      </c>
      <c r="BP98" s="195" t="str">
        <f t="shared" ca="1" si="47"/>
        <v/>
      </c>
    </row>
    <row r="99" spans="1:68" s="195" customFormat="1" ht="15" customHeight="1" thickBot="1">
      <c r="A99" s="227" t="s">
        <v>157</v>
      </c>
      <c r="B99" s="228" t="str">
        <f>IF(ISNA(VLOOKUP($A99,'Position Master'!B:C,2,FALSE)),"Missing",VLOOKUP($A99,'Position Master'!B:C,2,FALSE))</f>
        <v>Dept 12</v>
      </c>
      <c r="C99" s="211" t="str">
        <f ca="1">_xlfn.IFNA(INDEX('Employee Master'!$C:$C,MATCH($D99,'Employee Master'!$A:$A,0))&amp;", "&amp;INDEX('Employee Master'!$B:$B,MATCH($D99,'Employee Master'!$A:$A,0)),"Vacant")</f>
        <v>Vacant</v>
      </c>
      <c r="D99" s="211" t="str">
        <f>IF(INDEX('Position Master'!$A$7:$A$97,MATCH(A99,'Position Master'!$B$7:$B$97,0))=0,"Vacant",INDEX('Position Master'!$A$7:$A$97,MATCH(A99,'Position Master'!$B$7:$B$97,0)))</f>
        <v>Vacant</v>
      </c>
      <c r="E99" s="229" t="str">
        <f ca="1">IFERROR(VLOOKUP(D99,'Employee Master'!A:F,5,FALSE),"")</f>
        <v/>
      </c>
      <c r="F99" s="230" t="str">
        <f ca="1">IF(C99="Vacant","No",IF(AND(VLOOKUP(D99,'Employee Master'!A:F,6,FALSE)+360&lt;B$4,VLOOKUP(D99,'Employee Master'!A:F,6,FALSE)+360&lt;B93),"Yes","No"))</f>
        <v>No</v>
      </c>
      <c r="G99" s="229">
        <f ca="1">IF(C99="Vacant",VLOOKUP(A99,'Position Master'!B:D,3,FALSE),E99)*(1+IF(F99="Yes",F$8,0))</f>
        <v>99968.854654944385</v>
      </c>
      <c r="H99" s="245"/>
      <c r="I99" s="232"/>
      <c r="J99" s="233">
        <f t="shared" ca="1" si="24"/>
        <v>103967.60884114217</v>
      </c>
      <c r="K99" s="234"/>
      <c r="L99" s="235">
        <f t="shared" ca="1" si="25"/>
        <v>44833</v>
      </c>
      <c r="M99" s="236"/>
      <c r="N99" s="235" t="str">
        <f ca="1">IF(M99="",IFERROR(VLOOKUP($D99,'Employee Master'!$A:$F,6,FALSE)+365,""),M99)</f>
        <v/>
      </c>
      <c r="O99" s="71"/>
      <c r="P99" s="235">
        <f t="shared" ca="1" si="26"/>
        <v>45107</v>
      </c>
      <c r="Q99" s="237">
        <f t="shared" ca="1" si="27"/>
        <v>197</v>
      </c>
      <c r="R99" s="237">
        <f t="shared" ca="1" si="28"/>
        <v>0</v>
      </c>
      <c r="S99" s="237">
        <f t="shared" ca="1" si="29"/>
        <v>197</v>
      </c>
      <c r="T99" s="238">
        <f t="shared" ca="1" si="30"/>
        <v>99968.8546549444</v>
      </c>
      <c r="U99" s="229">
        <f t="shared" ca="1" si="31"/>
        <v>75455.419030743462</v>
      </c>
      <c r="V99" s="233">
        <f t="shared" ca="1" si="32"/>
        <v>75455.419030743462</v>
      </c>
      <c r="W99" s="246"/>
      <c r="X99" s="247"/>
      <c r="Y99" s="229">
        <f t="shared" ca="1" si="33"/>
        <v>103967.60884114217</v>
      </c>
      <c r="Z99" s="71"/>
      <c r="AA99" s="235">
        <f t="shared" ca="1" si="34"/>
        <v>44833</v>
      </c>
      <c r="AB99" s="71"/>
      <c r="AC99" s="235" t="str">
        <f ca="1">IF(AB99="",IFERROR(VLOOKUP($D99,'Employee Master'!$A:$F,6,FALSE)+365,""),AB99)</f>
        <v/>
      </c>
      <c r="AD99" s="234"/>
      <c r="AE99" s="235">
        <f t="shared" ca="1" si="35"/>
        <v>45107</v>
      </c>
      <c r="AF99" s="237">
        <f t="shared" ca="1" si="36"/>
        <v>197</v>
      </c>
      <c r="AG99" s="237">
        <f t="shared" ca="1" si="37"/>
        <v>0</v>
      </c>
      <c r="AH99" s="237">
        <f t="shared" ca="1" si="38"/>
        <v>197</v>
      </c>
      <c r="AI99" s="238">
        <f t="shared" ca="1" si="39"/>
        <v>99968.8546549444</v>
      </c>
      <c r="AJ99" s="229">
        <f t="shared" ca="1" si="40"/>
        <v>75455.419030743462</v>
      </c>
      <c r="AK99" s="233">
        <f t="shared" ca="1" si="41"/>
        <v>75455.419030743462</v>
      </c>
      <c r="AL99" s="248"/>
      <c r="AM99" s="233">
        <f t="shared" ca="1" si="42"/>
        <v>0</v>
      </c>
      <c r="AN99" s="233">
        <f t="shared" ca="1" si="43"/>
        <v>0</v>
      </c>
      <c r="AO99" s="233">
        <f t="shared" ca="1" si="44"/>
        <v>0</v>
      </c>
      <c r="AP99" s="233">
        <f t="shared" ca="1" si="45"/>
        <v>0</v>
      </c>
      <c r="AR99" s="226"/>
      <c r="AS99" s="226"/>
      <c r="AT99" s="226"/>
      <c r="AU99" s="226"/>
      <c r="AV99" s="226"/>
      <c r="AW99" s="226"/>
      <c r="AX99" s="226"/>
      <c r="AY99" s="226"/>
      <c r="AZ99" s="226"/>
      <c r="BA99" s="226"/>
      <c r="BB99" s="226"/>
      <c r="BC99" s="226"/>
      <c r="BD99" s="226"/>
      <c r="BE99" s="226"/>
      <c r="BF99" s="226"/>
      <c r="BN99" s="244">
        <f ca="1">IF('Budgeting Model'!C99="Vacant",'Budgeting Model'!AK99,"")</f>
        <v>75455.419030743462</v>
      </c>
      <c r="BO99" s="195" t="str">
        <f t="shared" ca="1" si="46"/>
        <v/>
      </c>
      <c r="BP99" s="195" t="str">
        <f t="shared" ca="1" si="47"/>
        <v/>
      </c>
    </row>
    <row r="100" spans="1:68" s="195" customFormat="1" ht="15" customHeight="1" thickBot="1">
      <c r="A100" s="227" t="s">
        <v>158</v>
      </c>
      <c r="B100" s="228" t="str">
        <f>IF(ISNA(VLOOKUP($A100,'Position Master'!B:C,2,FALSE)),"Missing",VLOOKUP($A100,'Position Master'!B:C,2,FALSE))</f>
        <v>Dept 4</v>
      </c>
      <c r="C100" s="211" t="str">
        <f ca="1">_xlfn.IFNA(INDEX('Employee Master'!$C:$C,MATCH($D100,'Employee Master'!$A:$A,0))&amp;", "&amp;INDEX('Employee Master'!$B:$B,MATCH($D100,'Employee Master'!$A:$A,0)),"Vacant")</f>
        <v>Vacant</v>
      </c>
      <c r="D100" s="211" t="str">
        <f>IF(INDEX('Position Master'!$A$7:$A$97,MATCH(A100,'Position Master'!$B$7:$B$97,0))=0,"Vacant",INDEX('Position Master'!$A$7:$A$97,MATCH(A100,'Position Master'!$B$7:$B$97,0)))</f>
        <v>Vacant</v>
      </c>
      <c r="E100" s="229" t="str">
        <f ca="1">IFERROR(VLOOKUP(D100,'Employee Master'!A:F,5,FALSE),"")</f>
        <v/>
      </c>
      <c r="F100" s="230" t="str">
        <f ca="1">IF(C100="Vacant","No",IF(AND(VLOOKUP(D100,'Employee Master'!A:F,6,FALSE)+360&lt;B$4,VLOOKUP(D100,'Employee Master'!A:F,6,FALSE)+360&lt;B94),"Yes","No"))</f>
        <v>No</v>
      </c>
      <c r="G100" s="229">
        <f ca="1">IF(C100="Vacant",VLOOKUP(A100,'Position Master'!B:D,3,FALSE),E100)*(1+IF(F100="Yes",F$8,0))</f>
        <v>45729.887822206925</v>
      </c>
      <c r="H100" s="245"/>
      <c r="I100" s="232"/>
      <c r="J100" s="233">
        <f t="shared" ca="1" si="24"/>
        <v>47559.083335095202</v>
      </c>
      <c r="K100" s="234"/>
      <c r="L100" s="235">
        <f t="shared" ca="1" si="25"/>
        <v>44833</v>
      </c>
      <c r="M100" s="236"/>
      <c r="N100" s="235" t="str">
        <f ca="1">IF(M100="",IFERROR(VLOOKUP($D100,'Employee Master'!$A:$F,6,FALSE)+365,""),M100)</f>
        <v/>
      </c>
      <c r="O100" s="71"/>
      <c r="P100" s="235">
        <f t="shared" ca="1" si="26"/>
        <v>45107</v>
      </c>
      <c r="Q100" s="237">
        <f t="shared" ca="1" si="27"/>
        <v>197</v>
      </c>
      <c r="R100" s="237">
        <f t="shared" ca="1" si="28"/>
        <v>0</v>
      </c>
      <c r="S100" s="237">
        <f t="shared" ca="1" si="29"/>
        <v>197</v>
      </c>
      <c r="T100" s="238">
        <f t="shared" ca="1" si="30"/>
        <v>45729.887822206925</v>
      </c>
      <c r="U100" s="229">
        <f t="shared" ca="1" si="31"/>
        <v>34516.428739366907</v>
      </c>
      <c r="V100" s="233">
        <f t="shared" ca="1" si="32"/>
        <v>34516.428739366907</v>
      </c>
      <c r="W100" s="246"/>
      <c r="X100" s="247"/>
      <c r="Y100" s="229">
        <f t="shared" ca="1" si="33"/>
        <v>47559.083335095202</v>
      </c>
      <c r="Z100" s="71"/>
      <c r="AA100" s="235">
        <f t="shared" ca="1" si="34"/>
        <v>44833</v>
      </c>
      <c r="AB100" s="71"/>
      <c r="AC100" s="235" t="str">
        <f ca="1">IF(AB100="",IFERROR(VLOOKUP($D100,'Employee Master'!$A:$F,6,FALSE)+365,""),AB100)</f>
        <v/>
      </c>
      <c r="AD100" s="234"/>
      <c r="AE100" s="235">
        <f t="shared" ca="1" si="35"/>
        <v>45107</v>
      </c>
      <c r="AF100" s="237">
        <f t="shared" ca="1" si="36"/>
        <v>197</v>
      </c>
      <c r="AG100" s="237">
        <f t="shared" ca="1" si="37"/>
        <v>0</v>
      </c>
      <c r="AH100" s="237">
        <f t="shared" ca="1" si="38"/>
        <v>197</v>
      </c>
      <c r="AI100" s="238">
        <f t="shared" ca="1" si="39"/>
        <v>45729.887822206925</v>
      </c>
      <c r="AJ100" s="229">
        <f t="shared" ca="1" si="40"/>
        <v>34516.428739366907</v>
      </c>
      <c r="AK100" s="233">
        <f t="shared" ca="1" si="41"/>
        <v>34516.428739366907</v>
      </c>
      <c r="AL100" s="248"/>
      <c r="AM100" s="233">
        <f t="shared" ca="1" si="42"/>
        <v>0</v>
      </c>
      <c r="AN100" s="233">
        <f t="shared" ca="1" si="43"/>
        <v>0</v>
      </c>
      <c r="AO100" s="233">
        <f t="shared" ca="1" si="44"/>
        <v>0</v>
      </c>
      <c r="AP100" s="233">
        <f t="shared" ca="1" si="45"/>
        <v>0</v>
      </c>
      <c r="AR100" s="226"/>
      <c r="AS100" s="226"/>
      <c r="AT100" s="226"/>
      <c r="AU100" s="226"/>
      <c r="AV100" s="226"/>
      <c r="AW100" s="226"/>
      <c r="AX100" s="226"/>
      <c r="AY100" s="226"/>
      <c r="AZ100" s="226"/>
      <c r="BA100" s="226"/>
      <c r="BB100" s="226"/>
      <c r="BC100" s="226"/>
      <c r="BD100" s="226"/>
      <c r="BE100" s="226"/>
      <c r="BF100" s="226"/>
      <c r="BN100" s="244">
        <f ca="1">IF('Budgeting Model'!C100="Vacant",'Budgeting Model'!AK100,"")</f>
        <v>34516.428739366907</v>
      </c>
      <c r="BO100" s="195" t="str">
        <f t="shared" ca="1" si="46"/>
        <v/>
      </c>
      <c r="BP100" s="195" t="str">
        <f t="shared" ca="1" si="47"/>
        <v/>
      </c>
    </row>
    <row r="101" spans="1:68" s="195" customFormat="1" ht="15.75" customHeight="1">
      <c r="A101" s="227"/>
      <c r="B101" s="227"/>
      <c r="C101" s="227"/>
      <c r="D101" s="227"/>
      <c r="E101" s="243"/>
      <c r="F101" s="243"/>
      <c r="G101" s="243"/>
      <c r="H101" s="245"/>
      <c r="I101" s="232"/>
      <c r="J101" s="243"/>
      <c r="K101" s="71"/>
      <c r="L101" s="250"/>
      <c r="M101" s="71"/>
      <c r="N101" s="250"/>
      <c r="O101" s="71"/>
      <c r="P101" s="250"/>
      <c r="Q101" s="251"/>
      <c r="R101" s="251"/>
      <c r="S101" s="251"/>
      <c r="T101" s="243"/>
      <c r="U101" s="243"/>
      <c r="V101" s="243"/>
      <c r="W101" s="252"/>
      <c r="X101" s="253"/>
      <c r="Y101" s="232"/>
      <c r="Z101" s="71"/>
      <c r="AA101" s="250"/>
      <c r="AB101" s="71"/>
      <c r="AC101" s="250"/>
      <c r="AD101" s="249"/>
      <c r="AE101" s="250"/>
      <c r="AF101" s="251"/>
      <c r="AG101" s="251"/>
      <c r="AH101" s="251"/>
      <c r="AI101" s="243"/>
      <c r="AJ101" s="243"/>
      <c r="AK101" s="243"/>
      <c r="AL101" s="248"/>
      <c r="AM101" s="243"/>
      <c r="AN101" s="243"/>
      <c r="AO101" s="243"/>
    </row>
    <row r="102" spans="1:68" s="195" customFormat="1" ht="15.75" customHeight="1">
      <c r="A102" s="227"/>
      <c r="B102" s="227"/>
      <c r="C102" s="227"/>
      <c r="D102" s="227"/>
      <c r="E102" s="243"/>
      <c r="F102" s="243"/>
      <c r="G102" s="243"/>
      <c r="H102" s="245"/>
      <c r="I102" s="232"/>
      <c r="J102" s="243"/>
      <c r="K102" s="249"/>
      <c r="L102" s="250"/>
      <c r="M102" s="71"/>
      <c r="N102" s="250"/>
      <c r="O102" s="71"/>
      <c r="P102" s="250"/>
      <c r="Q102" s="251"/>
      <c r="R102" s="251"/>
      <c r="S102" s="254"/>
      <c r="T102" s="255"/>
      <c r="U102" s="255"/>
      <c r="V102" s="243"/>
      <c r="W102" s="252"/>
      <c r="X102" s="232"/>
      <c r="Y102" s="232"/>
      <c r="Z102" s="249"/>
      <c r="AA102" s="250"/>
      <c r="AB102" s="71"/>
      <c r="AC102" s="250"/>
      <c r="AD102" s="71"/>
      <c r="AE102" s="250"/>
      <c r="AF102" s="251"/>
      <c r="AG102" s="251"/>
      <c r="AH102" s="254"/>
      <c r="AI102" s="255"/>
      <c r="AJ102" s="255"/>
      <c r="AK102" s="243"/>
      <c r="AL102" s="248"/>
      <c r="AM102" s="255"/>
      <c r="AN102" s="255"/>
      <c r="AO102" s="256"/>
    </row>
    <row r="103" spans="1:68" s="71" customFormat="1" ht="15.75" customHeight="1" thickBot="1">
      <c r="A103" s="227"/>
      <c r="B103" s="227"/>
      <c r="C103" s="227"/>
      <c r="D103" s="227"/>
      <c r="E103" s="257">
        <f ca="1">SUBTOTAL(9,E11:E102)</f>
        <v>4596206.2474526465</v>
      </c>
      <c r="G103" s="257"/>
      <c r="H103" s="258"/>
      <c r="S103" s="259" t="s">
        <v>65</v>
      </c>
      <c r="T103" s="257">
        <f ca="1">SUBTOTAL(9,T11:T102)</f>
        <v>6114036.331116965</v>
      </c>
      <c r="U103" s="257">
        <f ca="1">SUBTOTAL(9,U11:U102)</f>
        <v>5310558.7320106449</v>
      </c>
      <c r="V103" s="257">
        <f ca="1">SUBTOTAL(9,V11:V102)</f>
        <v>1670057.9028733049</v>
      </c>
      <c r="W103" s="252"/>
      <c r="AH103" s="259" t="s">
        <v>65</v>
      </c>
      <c r="AI103" s="257">
        <f ca="1">SUBTOTAL(9,AI11:AI102)</f>
        <v>6131010.8971912656</v>
      </c>
      <c r="AJ103" s="257">
        <f ca="1">SUBTOTAL(9,AJ11:AJ102)</f>
        <v>5775586.4177419012</v>
      </c>
      <c r="AK103" s="257">
        <f ca="1">SUBTOTAL(9,AK11:AK102)</f>
        <v>1870845.2680493896</v>
      </c>
      <c r="AL103" s="248"/>
      <c r="AM103" s="257">
        <f ca="1">SUBTOTAL(9,AM11:AM102)</f>
        <v>16974.566074298957</v>
      </c>
      <c r="AN103" s="257">
        <f ca="1">SUBTOTAL(9,AN11:AN102)</f>
        <v>448053.11965695699</v>
      </c>
      <c r="AO103" s="257">
        <f ca="1">SUBTOTAL(9,AO11:AO102)</f>
        <v>465027.68573125592</v>
      </c>
      <c r="AP103" s="257">
        <f ca="1">SUBTOTAL(9,AP11:AP102)</f>
        <v>200787.36517608512</v>
      </c>
    </row>
    <row r="104" spans="1:68" s="195" customFormat="1" ht="15.75" customHeight="1">
      <c r="A104" s="227"/>
      <c r="B104" s="227"/>
      <c r="C104" s="227"/>
      <c r="D104" s="227"/>
      <c r="E104" s="5"/>
      <c r="F104" s="5"/>
      <c r="G104" s="5"/>
      <c r="H104" s="227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220"/>
      <c r="AM104" s="5"/>
      <c r="AN104" s="5"/>
      <c r="AO104" s="5"/>
    </row>
    <row r="105" spans="1:68" s="195" customFormat="1" ht="15.75" customHeight="1">
      <c r="A105" s="227"/>
      <c r="B105" s="227"/>
      <c r="C105" s="227"/>
      <c r="D105" s="227"/>
      <c r="E105" s="71"/>
      <c r="F105" s="71"/>
      <c r="H105" s="227"/>
      <c r="W105" s="71"/>
      <c r="AL105" s="206"/>
    </row>
    <row r="106" spans="1:68" s="195" customFormat="1" ht="15.75" customHeight="1">
      <c r="A106" s="227"/>
      <c r="B106" s="227"/>
      <c r="C106" s="227"/>
      <c r="D106" s="227"/>
      <c r="E106" s="71"/>
      <c r="F106" s="71"/>
      <c r="H106" s="227"/>
      <c r="W106" s="71"/>
      <c r="AL106" s="206"/>
    </row>
    <row r="107" spans="1:68" s="195" customFormat="1" ht="15.75" customHeight="1">
      <c r="A107" s="227"/>
      <c r="B107" s="227"/>
      <c r="C107" s="227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  <c r="W107" s="227"/>
      <c r="X107" s="227"/>
      <c r="Y107" s="227"/>
      <c r="Z107" s="227"/>
      <c r="AA107" s="227"/>
      <c r="AB107" s="227"/>
      <c r="AC107" s="227"/>
      <c r="AD107" s="227"/>
      <c r="AE107" s="227"/>
      <c r="AF107" s="227"/>
      <c r="AG107" s="227"/>
      <c r="AH107" s="227"/>
      <c r="AI107" s="227"/>
      <c r="AJ107" s="227"/>
      <c r="AK107" s="227"/>
      <c r="AL107" s="227"/>
      <c r="AM107" s="227"/>
      <c r="AN107" s="227"/>
      <c r="AO107" s="227"/>
    </row>
    <row r="108" spans="1:68" s="195" customFormat="1" ht="15.75" customHeight="1">
      <c r="A108" s="227"/>
      <c r="B108" s="227"/>
      <c r="C108" s="227"/>
      <c r="D108" s="227"/>
      <c r="E108" s="71"/>
      <c r="F108" s="71"/>
      <c r="H108" s="227"/>
      <c r="W108" s="71"/>
      <c r="AL108" s="206"/>
    </row>
    <row r="109" spans="1:68" s="195" customFormat="1" ht="15.75" customHeight="1">
      <c r="A109" s="260"/>
      <c r="B109" s="227"/>
      <c r="C109" s="227"/>
      <c r="D109" s="227"/>
      <c r="E109" s="71"/>
      <c r="F109" s="71"/>
      <c r="H109" s="227"/>
      <c r="W109" s="71"/>
      <c r="AL109" s="206"/>
      <c r="AN109" s="206"/>
      <c r="AO109" s="206"/>
    </row>
    <row r="110" spans="1:68" s="195" customFormat="1" ht="15.75" customHeight="1">
      <c r="A110" s="227"/>
      <c r="B110" s="227"/>
      <c r="C110" s="227"/>
      <c r="D110" s="227"/>
      <c r="E110" s="71"/>
      <c r="F110" s="71"/>
      <c r="H110" s="227"/>
      <c r="W110" s="71"/>
      <c r="AL110" s="206"/>
    </row>
    <row r="111" spans="1:68" s="195" customFormat="1" ht="15.75" customHeight="1">
      <c r="A111" s="227"/>
      <c r="B111" s="227"/>
      <c r="C111" s="227"/>
      <c r="D111" s="227"/>
      <c r="E111" s="71"/>
      <c r="F111" s="71"/>
      <c r="H111" s="227"/>
      <c r="W111" s="71"/>
      <c r="AL111" s="206"/>
    </row>
    <row r="112" spans="1:68" s="195" customFormat="1" ht="15.75" customHeight="1">
      <c r="A112" s="227"/>
      <c r="B112" s="227"/>
      <c r="C112" s="227"/>
      <c r="D112" s="227"/>
      <c r="E112" s="71"/>
      <c r="F112" s="71"/>
      <c r="H112" s="227"/>
      <c r="W112" s="71"/>
      <c r="AL112" s="206"/>
    </row>
    <row r="113" spans="1:38" s="195" customFormat="1" ht="15.75" customHeight="1">
      <c r="A113" s="227"/>
      <c r="B113" s="227"/>
      <c r="C113" s="227"/>
      <c r="D113" s="227"/>
      <c r="E113" s="71"/>
      <c r="F113" s="71"/>
      <c r="H113" s="227"/>
      <c r="W113" s="71"/>
      <c r="AI113" s="261"/>
      <c r="AL113" s="206"/>
    </row>
    <row r="114" spans="1:38" s="195" customFormat="1" ht="15.75" customHeight="1">
      <c r="A114" s="227"/>
      <c r="B114" s="227"/>
      <c r="C114" s="227"/>
      <c r="D114" s="227"/>
      <c r="E114" s="71"/>
      <c r="F114" s="71"/>
      <c r="H114" s="227"/>
      <c r="W114" s="71"/>
      <c r="AL114" s="206"/>
    </row>
    <row r="115" spans="1:38" s="195" customFormat="1" ht="15.75" customHeight="1">
      <c r="A115" s="227"/>
      <c r="B115" s="227"/>
      <c r="C115" s="227"/>
      <c r="D115" s="227"/>
      <c r="E115" s="71"/>
      <c r="F115" s="71"/>
      <c r="H115" s="227"/>
      <c r="W115" s="71"/>
      <c r="AL115" s="206"/>
    </row>
    <row r="116" spans="1:38" s="195" customFormat="1" ht="15.75" customHeight="1">
      <c r="A116" s="227"/>
      <c r="B116" s="227"/>
      <c r="C116" s="227"/>
      <c r="D116" s="227"/>
      <c r="E116" s="71"/>
      <c r="F116" s="71"/>
      <c r="H116" s="227"/>
      <c r="W116" s="71"/>
      <c r="AL116" s="206"/>
    </row>
    <row r="117" spans="1:38" s="195" customFormat="1" ht="15.75" customHeight="1">
      <c r="A117" s="227"/>
      <c r="B117" s="227"/>
      <c r="C117" s="227"/>
      <c r="D117" s="227"/>
      <c r="E117" s="71"/>
      <c r="F117" s="71"/>
      <c r="H117" s="227"/>
      <c r="W117" s="71"/>
      <c r="AL117" s="206"/>
    </row>
    <row r="118" spans="1:38" s="195" customFormat="1" ht="15.75" customHeight="1">
      <c r="A118" s="227"/>
      <c r="B118" s="227"/>
      <c r="C118" s="227"/>
      <c r="D118" s="227"/>
      <c r="E118" s="71"/>
      <c r="F118" s="71"/>
      <c r="H118" s="227"/>
      <c r="W118" s="71"/>
      <c r="AL118" s="206"/>
    </row>
  </sheetData>
  <sheetProtection algorithmName="SHA-512" hashValue="lrgyO3l5KiAyRQYPPEVf6/HX0M/UJ4AI768xyu400lMFp0ChImCZmVfTys22nB/HMrbvRdCOxpdGmnFTuEFNig==" saltValue="TgQ8T3cqj3wHzVffmLNrHw==" spinCount="100000" sheet="1" objects="1" scenarios="1"/>
  <autoFilter ref="A10:BF100" xr:uid="{00000000-0001-0000-0100-000000000000}"/>
  <mergeCells count="4">
    <mergeCell ref="F6:G6"/>
    <mergeCell ref="X6:Y7"/>
    <mergeCell ref="AM6:AN7"/>
    <mergeCell ref="I6:J7"/>
  </mergeCells>
  <phoneticPr fontId="50" type="noConversion"/>
  <pageMargins left="0.7" right="0.7" top="0.75" bottom="0.75" header="0.3" footer="0.3"/>
  <pageSetup scale="96" fitToHeight="10" orientation="landscape" r:id="rId1"/>
  <headerFooter>
    <oddFooter>&amp;L&amp;"Helvetica,Regular"&amp;K000000© All rights reserved, 2019, Marianne Wolk &amp; Richard Horwitz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52ACEEE9-0665-2148-B9B1-88276F423A15}">
            <xm:f>AND(B4&lt;&gt;"",X!CA78=0)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B4:B9 B11:AP100</xm:sqref>
        </x14:conditionalFormatting>
        <x14:conditionalFormatting xmlns:xm="http://schemas.microsoft.com/office/excel/2006/main">
          <x14:cfRule type="expression" priority="3" id="{CC623C1B-7C5E-D247-A15A-94E63E5709F5}">
            <xm:f>X!CD$84=0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E10:G10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494D-1645-6F40-A98F-BE31791958DA}">
  <sheetPr published="0"/>
  <dimension ref="A1:H15"/>
  <sheetViews>
    <sheetView tabSelected="1" workbookViewId="0">
      <selection activeCell="F16" sqref="F16"/>
    </sheetView>
  </sheetViews>
  <sheetFormatPr defaultColWidth="11" defaultRowHeight="15.75"/>
  <cols>
    <col min="2" max="2" width="27.125" customWidth="1"/>
    <col min="3" max="8" width="15.875" customWidth="1"/>
  </cols>
  <sheetData>
    <row r="1" spans="1:8" ht="18.75">
      <c r="A1" s="94" t="s">
        <v>58</v>
      </c>
      <c r="H1" s="2" t="s">
        <v>344</v>
      </c>
    </row>
    <row r="2" spans="1:8">
      <c r="A2" s="95" t="s">
        <v>343</v>
      </c>
    </row>
    <row r="3" spans="1:8">
      <c r="A3" s="96" t="str">
        <f ca="1">"Sheet: "&amp;MID(CELL("filename",A1),FIND("]",CELL("filename",A1))+1,255)</f>
        <v>Sheet: Summary Report</v>
      </c>
    </row>
    <row r="6" spans="1:8">
      <c r="C6" s="161"/>
      <c r="D6" s="161"/>
      <c r="E6" s="161" t="s">
        <v>470</v>
      </c>
      <c r="F6" s="161" t="s">
        <v>486</v>
      </c>
      <c r="G6" s="161" t="s">
        <v>471</v>
      </c>
      <c r="H6" s="161" t="s">
        <v>472</v>
      </c>
    </row>
    <row r="7" spans="1:8" ht="16.5" thickBot="1">
      <c r="B7" s="119" t="s">
        <v>430</v>
      </c>
      <c r="C7" s="161" t="s">
        <v>59</v>
      </c>
      <c r="D7" s="161" t="s">
        <v>468</v>
      </c>
      <c r="E7" s="161" t="s">
        <v>469</v>
      </c>
      <c r="F7" s="161" t="s">
        <v>469</v>
      </c>
      <c r="G7" s="161" t="s">
        <v>469</v>
      </c>
      <c r="H7" s="161" t="s">
        <v>469</v>
      </c>
    </row>
    <row r="8" spans="1:8" ht="16.5" thickBot="1">
      <c r="B8" s="119" t="s">
        <v>495</v>
      </c>
      <c r="C8" s="183">
        <f ca="1">SUM('Budgeting Model'!U11:U100)</f>
        <v>5310558.7320106449</v>
      </c>
      <c r="D8" s="183">
        <f ca="1">SUM('Budgeting Model'!AJ11:AJ100)</f>
        <v>5775586.4177419012</v>
      </c>
      <c r="E8" s="183">
        <f ca="1">SUM('Budgeting Model'!AO11:AO100)</f>
        <v>465027.68573125592</v>
      </c>
      <c r="F8" s="186">
        <f ca="1">E8/C8</f>
        <v>8.7566621366635469E-2</v>
      </c>
      <c r="G8" s="183">
        <f ca="1">SUM('Budgeting Model'!AM11:AM100)</f>
        <v>16974.566074298957</v>
      </c>
      <c r="H8" s="183">
        <f ca="1">SUM('Budgeting Model'!AN11:AN100)</f>
        <v>448053.11965695699</v>
      </c>
    </row>
    <row r="9" spans="1:8" ht="16.5" thickBot="1">
      <c r="B9" s="119" t="s">
        <v>473</v>
      </c>
      <c r="C9" s="183">
        <f ca="1">C8-C10</f>
        <v>4385868.7967131361</v>
      </c>
      <c r="D9" s="183">
        <f ca="1">D8-D10</f>
        <v>4776112.4880263722</v>
      </c>
      <c r="E9" s="183">
        <f ca="1">E8-E10</f>
        <v>390243.69131323614</v>
      </c>
      <c r="F9" s="186">
        <f ca="1">E9/C9</f>
        <v>8.8977511503694109E-2</v>
      </c>
      <c r="G9" s="183">
        <f ca="1">G8-G10</f>
        <v>14782.917625527625</v>
      </c>
      <c r="H9" s="183">
        <f ca="1">H8-H10</f>
        <v>375460.77368770854</v>
      </c>
    </row>
    <row r="10" spans="1:8" ht="16.5" thickBot="1">
      <c r="B10" s="119" t="s">
        <v>474</v>
      </c>
      <c r="C10" s="183">
        <f ca="1">SUMIF('Budgeting Model'!$C$11:$C$100,"Vacant",'Budgeting Model'!$U$11:$U$100)</f>
        <v>924689.93529750907</v>
      </c>
      <c r="D10" s="183">
        <f ca="1">SUMIF('Budgeting Model'!$C$11:$C$100,"Vacant",'Budgeting Model'!$AJ$11:$AJ$100)</f>
        <v>999473.92971552885</v>
      </c>
      <c r="E10" s="183">
        <f ca="1">SUMIF('Budgeting Model'!$C$11:$C$100,"Vacant",'Budgeting Model'!$AO$11:$AO$100)</f>
        <v>74783.994418019778</v>
      </c>
      <c r="F10" s="186">
        <f ca="1">E10/C10</f>
        <v>8.0874671133906992E-2</v>
      </c>
      <c r="G10" s="183">
        <f ca="1">SUMIF('Budgeting Model'!$C$11:$C$100,"Vacant",'Budgeting Model'!$AM$11:$AM$100)</f>
        <v>2191.6484487713315</v>
      </c>
      <c r="H10" s="183">
        <f ca="1">SUMIF('Budgeting Model'!$C$11:$C$100,"Vacant",'Budgeting Model'!$AN$11:$AN$100)</f>
        <v>72592.345969248447</v>
      </c>
    </row>
    <row r="11" spans="1:8">
      <c r="B11" s="119"/>
    </row>
    <row r="12" spans="1:8" ht="16.5" thickBot="1">
      <c r="B12" s="119" t="s">
        <v>475</v>
      </c>
      <c r="G12" s="170"/>
    </row>
    <row r="13" spans="1:8" ht="16.5" thickBot="1">
      <c r="B13" s="119" t="s">
        <v>495</v>
      </c>
      <c r="C13" s="183">
        <f ca="1">SUM('Budgeting Model'!V11:V100)</f>
        <v>1670057.9028733049</v>
      </c>
      <c r="D13" s="183">
        <f ca="1">SUM('Budgeting Model'!AK11:AK100)</f>
        <v>1870845.2680493896</v>
      </c>
      <c r="E13" s="183">
        <f ca="1">SUM('Budgeting Model'!AP11:AP100)</f>
        <v>200787.36517608512</v>
      </c>
      <c r="F13" s="186">
        <f ca="1">E13/C13</f>
        <v>0.12022778661184982</v>
      </c>
      <c r="G13" s="170"/>
    </row>
    <row r="14" spans="1:8" ht="16.5" thickBot="1">
      <c r="B14" s="119" t="s">
        <v>473</v>
      </c>
      <c r="C14" s="183">
        <f ca="1">C13-C15</f>
        <v>756735.09832876024</v>
      </c>
      <c r="D14" s="183">
        <f ca="1">D13-D15</f>
        <v>919046.7138247051</v>
      </c>
      <c r="E14" s="183">
        <f ca="1">E13-E15</f>
        <v>162311.61549594527</v>
      </c>
      <c r="F14" s="186">
        <f ca="1">E14/C14</f>
        <v>0.21448934489018467</v>
      </c>
      <c r="G14" s="170"/>
    </row>
    <row r="15" spans="1:8" ht="16.5" thickBot="1">
      <c r="B15" s="119" t="s">
        <v>474</v>
      </c>
      <c r="C15" s="183">
        <f ca="1">SUMIF('Budgeting Model'!$C$11:$C$100,"Vacant",'Budgeting Model'!$V$11:$V$100)</f>
        <v>913322.80454454466</v>
      </c>
      <c r="D15" s="183">
        <f ca="1">SUMIF('Budgeting Model'!$C$11:$C$100,"Vacant",'Budgeting Model'!$AK$11:$AK$100)</f>
        <v>951798.55422468449</v>
      </c>
      <c r="E15" s="183">
        <f ca="1">SUMIF('Budgeting Model'!$C$11:$C$100,"Vacant",'Budgeting Model'!$AP$11:$AP$100)</f>
        <v>38475.749680139845</v>
      </c>
      <c r="F15" s="186">
        <f ca="1">E15/C15</f>
        <v>4.2127218863572458E-2</v>
      </c>
    </row>
  </sheetData>
  <sheetProtection algorithmName="SHA-512" hashValue="MaEHWTV0u6yfKHkdb7hWTrXDd4OO7OvyrXgXOebbIXXESNkuHPklElV4UZ9riyihiSkUuFwph0PuBMZHsf1l4Q==" saltValue="0qtq2plBAwNGcvgnrOpPhA==" spinCount="100000" sheet="1" objects="1" scenarios="1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CA14-E069-B046-B125-BBDC5BB77E09}">
  <sheetPr published="0"/>
  <dimension ref="A1:H78"/>
  <sheetViews>
    <sheetView topLeftCell="A60" workbookViewId="0">
      <selection activeCell="B92" sqref="B92"/>
    </sheetView>
  </sheetViews>
  <sheetFormatPr defaultColWidth="11" defaultRowHeight="15.75"/>
  <cols>
    <col min="1" max="1" width="18.625" bestFit="1" customWidth="1"/>
    <col min="2" max="2" width="19.5" bestFit="1" customWidth="1"/>
  </cols>
  <sheetData>
    <row r="1" spans="1:8" ht="18.75">
      <c r="A1" s="94" t="s">
        <v>58</v>
      </c>
      <c r="H1" s="2" t="s">
        <v>344</v>
      </c>
    </row>
    <row r="2" spans="1:8">
      <c r="A2" s="95" t="s">
        <v>343</v>
      </c>
    </row>
    <row r="3" spans="1:8">
      <c r="A3" s="277" t="s">
        <v>327</v>
      </c>
      <c r="B3" t="s">
        <v>677</v>
      </c>
    </row>
    <row r="5" spans="1:8">
      <c r="A5" s="277" t="s">
        <v>604</v>
      </c>
      <c r="B5" t="s">
        <v>678</v>
      </c>
    </row>
    <row r="6" spans="1:8">
      <c r="A6" s="121" t="s">
        <v>605</v>
      </c>
      <c r="B6" s="278">
        <v>1</v>
      </c>
    </row>
    <row r="7" spans="1:8">
      <c r="A7" s="121" t="s">
        <v>606</v>
      </c>
      <c r="B7" s="278">
        <v>1</v>
      </c>
    </row>
    <row r="8" spans="1:8">
      <c r="A8" s="121" t="s">
        <v>607</v>
      </c>
      <c r="B8" s="278">
        <v>1</v>
      </c>
    </row>
    <row r="9" spans="1:8">
      <c r="A9" s="121" t="s">
        <v>608</v>
      </c>
      <c r="B9" s="278">
        <v>1</v>
      </c>
    </row>
    <row r="10" spans="1:8">
      <c r="A10" s="121" t="s">
        <v>609</v>
      </c>
      <c r="B10" s="278">
        <v>1</v>
      </c>
    </row>
    <row r="11" spans="1:8">
      <c r="A11" s="121" t="s">
        <v>610</v>
      </c>
      <c r="B11" s="278">
        <v>1</v>
      </c>
    </row>
    <row r="12" spans="1:8">
      <c r="A12" s="121" t="s">
        <v>611</v>
      </c>
      <c r="B12" s="278">
        <v>1</v>
      </c>
    </row>
    <row r="13" spans="1:8">
      <c r="A13" s="121" t="s">
        <v>612</v>
      </c>
      <c r="B13" s="278">
        <v>1</v>
      </c>
    </row>
    <row r="14" spans="1:8">
      <c r="A14" s="121" t="s">
        <v>613</v>
      </c>
      <c r="B14" s="278">
        <v>1</v>
      </c>
    </row>
    <row r="15" spans="1:8">
      <c r="A15" s="121" t="s">
        <v>614</v>
      </c>
      <c r="B15" s="278">
        <v>1</v>
      </c>
    </row>
    <row r="16" spans="1:8">
      <c r="A16" s="121" t="s">
        <v>615</v>
      </c>
      <c r="B16" s="278">
        <v>1</v>
      </c>
    </row>
    <row r="17" spans="1:2">
      <c r="A17" s="121" t="s">
        <v>616</v>
      </c>
      <c r="B17" s="278">
        <v>1</v>
      </c>
    </row>
    <row r="18" spans="1:2">
      <c r="A18" s="121" t="s">
        <v>617</v>
      </c>
      <c r="B18" s="278">
        <v>1</v>
      </c>
    </row>
    <row r="19" spans="1:2">
      <c r="A19" s="121" t="s">
        <v>618</v>
      </c>
      <c r="B19" s="278">
        <v>1</v>
      </c>
    </row>
    <row r="20" spans="1:2">
      <c r="A20" s="121" t="s">
        <v>619</v>
      </c>
      <c r="B20" s="278">
        <v>1</v>
      </c>
    </row>
    <row r="21" spans="1:2">
      <c r="A21" s="121" t="s">
        <v>620</v>
      </c>
      <c r="B21" s="278">
        <v>1</v>
      </c>
    </row>
    <row r="22" spans="1:2">
      <c r="A22" s="121" t="s">
        <v>621</v>
      </c>
      <c r="B22" s="278">
        <v>1</v>
      </c>
    </row>
    <row r="23" spans="1:2">
      <c r="A23" s="121" t="s">
        <v>622</v>
      </c>
      <c r="B23" s="278">
        <v>1</v>
      </c>
    </row>
    <row r="24" spans="1:2">
      <c r="A24" s="121" t="s">
        <v>623</v>
      </c>
      <c r="B24" s="278">
        <v>1</v>
      </c>
    </row>
    <row r="25" spans="1:2">
      <c r="A25" s="121" t="s">
        <v>624</v>
      </c>
      <c r="B25" s="278">
        <v>1</v>
      </c>
    </row>
    <row r="26" spans="1:2">
      <c r="A26" s="121" t="s">
        <v>625</v>
      </c>
      <c r="B26" s="278">
        <v>1</v>
      </c>
    </row>
    <row r="27" spans="1:2">
      <c r="A27" s="121" t="s">
        <v>626</v>
      </c>
      <c r="B27" s="278">
        <v>1</v>
      </c>
    </row>
    <row r="28" spans="1:2">
      <c r="A28" s="121" t="s">
        <v>627</v>
      </c>
      <c r="B28" s="278">
        <v>1</v>
      </c>
    </row>
    <row r="29" spans="1:2">
      <c r="A29" s="121" t="s">
        <v>628</v>
      </c>
      <c r="B29" s="278">
        <v>1</v>
      </c>
    </row>
    <row r="30" spans="1:2">
      <c r="A30" s="121" t="s">
        <v>629</v>
      </c>
      <c r="B30" s="278">
        <v>1</v>
      </c>
    </row>
    <row r="31" spans="1:2">
      <c r="A31" s="121" t="s">
        <v>630</v>
      </c>
      <c r="B31" s="278">
        <v>1</v>
      </c>
    </row>
    <row r="32" spans="1:2">
      <c r="A32" s="121" t="s">
        <v>631</v>
      </c>
      <c r="B32" s="278">
        <v>1</v>
      </c>
    </row>
    <row r="33" spans="1:2">
      <c r="A33" s="121" t="s">
        <v>632</v>
      </c>
      <c r="B33" s="278">
        <v>1</v>
      </c>
    </row>
    <row r="34" spans="1:2">
      <c r="A34" s="121" t="s">
        <v>633</v>
      </c>
      <c r="B34" s="278">
        <v>1</v>
      </c>
    </row>
    <row r="35" spans="1:2">
      <c r="A35" s="121" t="s">
        <v>634</v>
      </c>
      <c r="B35" s="278">
        <v>1</v>
      </c>
    </row>
    <row r="36" spans="1:2">
      <c r="A36" s="121" t="s">
        <v>635</v>
      </c>
      <c r="B36" s="278">
        <v>1</v>
      </c>
    </row>
    <row r="37" spans="1:2">
      <c r="A37" s="121" t="s">
        <v>636</v>
      </c>
      <c r="B37" s="278">
        <v>1</v>
      </c>
    </row>
    <row r="38" spans="1:2">
      <c r="A38" s="121" t="s">
        <v>637</v>
      </c>
      <c r="B38" s="278">
        <v>1</v>
      </c>
    </row>
    <row r="39" spans="1:2">
      <c r="A39" s="121" t="s">
        <v>638</v>
      </c>
      <c r="B39" s="278">
        <v>1</v>
      </c>
    </row>
    <row r="40" spans="1:2">
      <c r="A40" s="121" t="s">
        <v>639</v>
      </c>
      <c r="B40" s="278">
        <v>1</v>
      </c>
    </row>
    <row r="41" spans="1:2">
      <c r="A41" s="121" t="s">
        <v>640</v>
      </c>
      <c r="B41" s="278">
        <v>1</v>
      </c>
    </row>
    <row r="42" spans="1:2">
      <c r="A42" s="121" t="s">
        <v>641</v>
      </c>
      <c r="B42" s="278">
        <v>1</v>
      </c>
    </row>
    <row r="43" spans="1:2">
      <c r="A43" s="121" t="s">
        <v>642</v>
      </c>
      <c r="B43" s="278">
        <v>1</v>
      </c>
    </row>
    <row r="44" spans="1:2">
      <c r="A44" s="121" t="s">
        <v>643</v>
      </c>
      <c r="B44" s="278">
        <v>1</v>
      </c>
    </row>
    <row r="45" spans="1:2">
      <c r="A45" s="121" t="s">
        <v>644</v>
      </c>
      <c r="B45" s="278">
        <v>1</v>
      </c>
    </row>
    <row r="46" spans="1:2">
      <c r="A46" s="121" t="s">
        <v>645</v>
      </c>
      <c r="B46" s="278">
        <v>1</v>
      </c>
    </row>
    <row r="47" spans="1:2">
      <c r="A47" s="121" t="s">
        <v>646</v>
      </c>
      <c r="B47" s="278">
        <v>1</v>
      </c>
    </row>
    <row r="48" spans="1:2">
      <c r="A48" s="121" t="s">
        <v>647</v>
      </c>
      <c r="B48" s="278">
        <v>1</v>
      </c>
    </row>
    <row r="49" spans="1:2">
      <c r="A49" s="121" t="s">
        <v>648</v>
      </c>
      <c r="B49" s="278">
        <v>1</v>
      </c>
    </row>
    <row r="50" spans="1:2">
      <c r="A50" s="121" t="s">
        <v>649</v>
      </c>
      <c r="B50" s="278">
        <v>1</v>
      </c>
    </row>
    <row r="51" spans="1:2">
      <c r="A51" s="121" t="s">
        <v>650</v>
      </c>
      <c r="B51" s="278">
        <v>1</v>
      </c>
    </row>
    <row r="52" spans="1:2">
      <c r="A52" s="121" t="s">
        <v>651</v>
      </c>
      <c r="B52" s="278">
        <v>1</v>
      </c>
    </row>
    <row r="53" spans="1:2">
      <c r="A53" s="121" t="s">
        <v>652</v>
      </c>
      <c r="B53" s="278">
        <v>1</v>
      </c>
    </row>
    <row r="54" spans="1:2">
      <c r="A54" s="121" t="s">
        <v>653</v>
      </c>
      <c r="B54" s="278">
        <v>1</v>
      </c>
    </row>
    <row r="55" spans="1:2">
      <c r="A55" s="121" t="s">
        <v>654</v>
      </c>
      <c r="B55" s="278">
        <v>1</v>
      </c>
    </row>
    <row r="56" spans="1:2">
      <c r="A56" s="121" t="s">
        <v>655</v>
      </c>
      <c r="B56" s="278">
        <v>1</v>
      </c>
    </row>
    <row r="57" spans="1:2">
      <c r="A57" s="121" t="s">
        <v>656</v>
      </c>
      <c r="B57" s="278">
        <v>1</v>
      </c>
    </row>
    <row r="58" spans="1:2">
      <c r="A58" s="121" t="s">
        <v>657</v>
      </c>
      <c r="B58" s="278">
        <v>1</v>
      </c>
    </row>
    <row r="59" spans="1:2">
      <c r="A59" s="121" t="s">
        <v>658</v>
      </c>
      <c r="B59" s="278">
        <v>1</v>
      </c>
    </row>
    <row r="60" spans="1:2">
      <c r="A60" s="121" t="s">
        <v>659</v>
      </c>
      <c r="B60" s="278">
        <v>1</v>
      </c>
    </row>
    <row r="61" spans="1:2">
      <c r="A61" s="121" t="s">
        <v>660</v>
      </c>
      <c r="B61" s="278">
        <v>1</v>
      </c>
    </row>
    <row r="62" spans="1:2">
      <c r="A62" s="121" t="s">
        <v>661</v>
      </c>
      <c r="B62" s="278">
        <v>1</v>
      </c>
    </row>
    <row r="63" spans="1:2">
      <c r="A63" s="121" t="s">
        <v>662</v>
      </c>
      <c r="B63" s="278">
        <v>1</v>
      </c>
    </row>
    <row r="64" spans="1:2">
      <c r="A64" s="121" t="s">
        <v>663</v>
      </c>
      <c r="B64" s="278">
        <v>1</v>
      </c>
    </row>
    <row r="65" spans="1:2">
      <c r="A65" s="121" t="s">
        <v>664</v>
      </c>
      <c r="B65" s="278">
        <v>1</v>
      </c>
    </row>
    <row r="66" spans="1:2">
      <c r="A66" s="121" t="s">
        <v>665</v>
      </c>
      <c r="B66" s="278">
        <v>1</v>
      </c>
    </row>
    <row r="67" spans="1:2">
      <c r="A67" s="121" t="s">
        <v>666</v>
      </c>
      <c r="B67" s="278">
        <v>1</v>
      </c>
    </row>
    <row r="68" spans="1:2">
      <c r="A68" s="121" t="s">
        <v>667</v>
      </c>
      <c r="B68" s="278">
        <v>1</v>
      </c>
    </row>
    <row r="69" spans="1:2">
      <c r="A69" s="121" t="s">
        <v>668</v>
      </c>
      <c r="B69" s="278">
        <v>1</v>
      </c>
    </row>
    <row r="70" spans="1:2">
      <c r="A70" s="121" t="s">
        <v>669</v>
      </c>
      <c r="B70" s="278">
        <v>1</v>
      </c>
    </row>
    <row r="71" spans="1:2">
      <c r="A71" s="121" t="s">
        <v>670</v>
      </c>
      <c r="B71" s="278">
        <v>1</v>
      </c>
    </row>
    <row r="72" spans="1:2">
      <c r="A72" s="121" t="s">
        <v>671</v>
      </c>
      <c r="B72" s="278">
        <v>1</v>
      </c>
    </row>
    <row r="73" spans="1:2">
      <c r="A73" s="121" t="s">
        <v>672</v>
      </c>
      <c r="B73" s="278">
        <v>1</v>
      </c>
    </row>
    <row r="74" spans="1:2">
      <c r="A74" s="121" t="s">
        <v>673</v>
      </c>
      <c r="B74" s="278">
        <v>1</v>
      </c>
    </row>
    <row r="75" spans="1:2">
      <c r="A75" s="121" t="s">
        <v>674</v>
      </c>
      <c r="B75" s="278">
        <v>1</v>
      </c>
    </row>
    <row r="76" spans="1:2">
      <c r="A76" s="121" t="s">
        <v>675</v>
      </c>
      <c r="B76" s="278">
        <v>1</v>
      </c>
    </row>
    <row r="77" spans="1:2">
      <c r="A77" s="121" t="s">
        <v>548</v>
      </c>
      <c r="B77" s="278">
        <v>19</v>
      </c>
    </row>
    <row r="78" spans="1:2">
      <c r="A78" s="121" t="s">
        <v>676</v>
      </c>
      <c r="B78" s="278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FB00-B89D-1049-85DB-0E4A69984B33}">
  <sheetPr published="0"/>
  <dimension ref="A1:H3"/>
  <sheetViews>
    <sheetView workbookViewId="0">
      <selection activeCell="D69" sqref="D69"/>
    </sheetView>
  </sheetViews>
  <sheetFormatPr defaultColWidth="11" defaultRowHeight="15.75"/>
  <sheetData>
    <row r="1" spans="1:8" ht="18.75">
      <c r="A1" s="94" t="s">
        <v>58</v>
      </c>
      <c r="H1" s="2" t="s">
        <v>344</v>
      </c>
    </row>
    <row r="2" spans="1:8">
      <c r="A2" s="95" t="s">
        <v>343</v>
      </c>
    </row>
    <row r="3" spans="1:8">
      <c r="A3" s="96" t="str">
        <f ca="1">"Sheet: "&amp;MID(CELL("filename",A1),FIND("]",CELL("filename",A1))+1,255)</f>
        <v>Sheet: Next Year Budget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68C7-762D-C84D-9E98-483BA1000E59}">
  <sheetPr published="0"/>
  <dimension ref="A1:K107"/>
  <sheetViews>
    <sheetView topLeftCell="A78" zoomScale="99" workbookViewId="0">
      <selection activeCell="D109" sqref="D109"/>
    </sheetView>
  </sheetViews>
  <sheetFormatPr defaultColWidth="11" defaultRowHeight="15.75"/>
  <sheetData>
    <row r="1" spans="1:7" ht="18.75">
      <c r="A1" s="94" t="s">
        <v>58</v>
      </c>
      <c r="G1" s="2" t="s">
        <v>344</v>
      </c>
    </row>
    <row r="2" spans="1:7">
      <c r="A2" s="95" t="s">
        <v>343</v>
      </c>
      <c r="G2" s="2"/>
    </row>
    <row r="3" spans="1:7">
      <c r="A3" s="96" t="str">
        <f ca="1">"Sheet: "&amp;MID(CELL("filename",A1),FIND("]",CELL("filename",A1))+1,255)</f>
        <v>Sheet: Position Master</v>
      </c>
    </row>
    <row r="4" spans="1:7">
      <c r="A4" s="88"/>
    </row>
    <row r="5" spans="1:7">
      <c r="D5" s="172">
        <f ca="1">IF(A5="",RAND()*60000+40000,"")</f>
        <v>84788.938403099732</v>
      </c>
    </row>
    <row r="6" spans="1:7">
      <c r="A6" s="91" t="s">
        <v>161</v>
      </c>
      <c r="B6" s="91" t="s">
        <v>159</v>
      </c>
      <c r="C6" s="91" t="s">
        <v>67</v>
      </c>
      <c r="D6" s="91" t="s">
        <v>59</v>
      </c>
    </row>
    <row r="7" spans="1:7">
      <c r="A7" s="92">
        <v>2544715</v>
      </c>
      <c r="B7" s="92" t="s">
        <v>81</v>
      </c>
      <c r="C7" s="92" t="s">
        <v>318</v>
      </c>
      <c r="D7" s="74" t="s">
        <v>506</v>
      </c>
    </row>
    <row r="8" spans="1:7">
      <c r="A8" s="92">
        <v>4697834</v>
      </c>
      <c r="B8" s="92" t="s">
        <v>95</v>
      </c>
      <c r="C8" s="92" t="s">
        <v>318</v>
      </c>
      <c r="D8" s="74" t="s">
        <v>506</v>
      </c>
    </row>
    <row r="9" spans="1:7">
      <c r="A9" s="92">
        <v>5857397</v>
      </c>
      <c r="B9" s="92" t="s">
        <v>109</v>
      </c>
      <c r="C9" s="92" t="s">
        <v>318</v>
      </c>
      <c r="D9" s="74" t="s">
        <v>506</v>
      </c>
    </row>
    <row r="10" spans="1:7">
      <c r="A10" s="93">
        <v>7839723</v>
      </c>
      <c r="B10" s="92" t="s">
        <v>137</v>
      </c>
      <c r="C10" s="92" t="s">
        <v>318</v>
      </c>
      <c r="D10" s="74" t="s">
        <v>506</v>
      </c>
    </row>
    <row r="11" spans="1:7">
      <c r="A11" s="92">
        <v>9599390</v>
      </c>
      <c r="B11" s="92" t="s">
        <v>151</v>
      </c>
      <c r="C11" s="92" t="s">
        <v>318</v>
      </c>
      <c r="D11" s="74" t="s">
        <v>506</v>
      </c>
    </row>
    <row r="12" spans="1:7">
      <c r="B12" s="92" t="s">
        <v>123</v>
      </c>
      <c r="C12" s="92" t="s">
        <v>318</v>
      </c>
      <c r="D12" s="74">
        <v>48278.142712785993</v>
      </c>
    </row>
    <row r="13" spans="1:7">
      <c r="A13" s="92">
        <v>2260929</v>
      </c>
      <c r="B13" s="92" t="s">
        <v>80</v>
      </c>
      <c r="C13" s="92" t="s">
        <v>317</v>
      </c>
      <c r="D13" s="74" t="s">
        <v>506</v>
      </c>
    </row>
    <row r="14" spans="1:7">
      <c r="A14" s="92">
        <v>4682694</v>
      </c>
      <c r="B14" s="92" t="s">
        <v>94</v>
      </c>
      <c r="C14" s="92" t="s">
        <v>317</v>
      </c>
      <c r="D14" s="74" t="s">
        <v>506</v>
      </c>
    </row>
    <row r="15" spans="1:7">
      <c r="A15" s="92">
        <v>5610062</v>
      </c>
      <c r="B15" s="92" t="s">
        <v>108</v>
      </c>
      <c r="C15" s="92" t="s">
        <v>317</v>
      </c>
      <c r="D15" s="74" t="s">
        <v>506</v>
      </c>
    </row>
    <row r="16" spans="1:7">
      <c r="A16" s="92">
        <v>6669387</v>
      </c>
      <c r="B16" s="92" t="s">
        <v>122</v>
      </c>
      <c r="C16" s="92" t="s">
        <v>317</v>
      </c>
      <c r="D16" s="74" t="s">
        <v>506</v>
      </c>
    </row>
    <row r="17" spans="1:4">
      <c r="A17" s="92">
        <v>7777919</v>
      </c>
      <c r="B17" s="92" t="s">
        <v>136</v>
      </c>
      <c r="C17" s="92" t="s">
        <v>317</v>
      </c>
      <c r="D17" s="74" t="s">
        <v>506</v>
      </c>
    </row>
    <row r="18" spans="1:4">
      <c r="A18" s="92">
        <v>9495233</v>
      </c>
      <c r="B18" s="92" t="s">
        <v>150</v>
      </c>
      <c r="C18" s="92" t="s">
        <v>317</v>
      </c>
      <c r="D18" s="74" t="s">
        <v>506</v>
      </c>
    </row>
    <row r="19" spans="1:4">
      <c r="A19" s="92">
        <v>1731520</v>
      </c>
      <c r="B19" s="92" t="s">
        <v>76</v>
      </c>
      <c r="C19" s="92" t="s">
        <v>313</v>
      </c>
      <c r="D19" s="74" t="s">
        <v>506</v>
      </c>
    </row>
    <row r="20" spans="1:4">
      <c r="A20" s="92">
        <v>4083848</v>
      </c>
      <c r="B20" s="92" t="s">
        <v>90</v>
      </c>
      <c r="C20" s="92" t="s">
        <v>313</v>
      </c>
      <c r="D20" s="74" t="s">
        <v>506</v>
      </c>
    </row>
    <row r="21" spans="1:4">
      <c r="A21" s="92">
        <v>5320193</v>
      </c>
      <c r="B21" s="92" t="s">
        <v>104</v>
      </c>
      <c r="C21" s="92" t="s">
        <v>313</v>
      </c>
      <c r="D21" s="74" t="s">
        <v>506</v>
      </c>
    </row>
    <row r="22" spans="1:4">
      <c r="A22" s="92">
        <v>6540916</v>
      </c>
      <c r="B22" s="92" t="s">
        <v>118</v>
      </c>
      <c r="C22" s="92" t="s">
        <v>313</v>
      </c>
      <c r="D22" s="74" t="s">
        <v>506</v>
      </c>
    </row>
    <row r="23" spans="1:4">
      <c r="A23" s="92">
        <v>7481703</v>
      </c>
      <c r="B23" s="92" t="s">
        <v>132</v>
      </c>
      <c r="C23" s="92" t="s">
        <v>313</v>
      </c>
      <c r="D23" s="74" t="s">
        <v>506</v>
      </c>
    </row>
    <row r="24" spans="1:4">
      <c r="A24" s="92">
        <v>9078679</v>
      </c>
      <c r="B24" s="92" t="s">
        <v>146</v>
      </c>
      <c r="C24" s="92" t="s">
        <v>313</v>
      </c>
      <c r="D24" s="74" t="s">
        <v>506</v>
      </c>
    </row>
    <row r="25" spans="1:4">
      <c r="A25" s="92">
        <v>1563356</v>
      </c>
      <c r="B25" s="92" t="s">
        <v>74</v>
      </c>
      <c r="C25" s="92" t="s">
        <v>311</v>
      </c>
      <c r="D25" s="74" t="s">
        <v>506</v>
      </c>
    </row>
    <row r="26" spans="1:4">
      <c r="A26" s="92">
        <v>3940809</v>
      </c>
      <c r="B26" s="92" t="s">
        <v>88</v>
      </c>
      <c r="C26" s="92" t="s">
        <v>311</v>
      </c>
      <c r="D26" s="74" t="s">
        <v>506</v>
      </c>
    </row>
    <row r="27" spans="1:4">
      <c r="A27" s="92">
        <v>5161953</v>
      </c>
      <c r="B27" s="92" t="s">
        <v>102</v>
      </c>
      <c r="C27" s="92" t="s">
        <v>311</v>
      </c>
      <c r="D27" s="74" t="s">
        <v>506</v>
      </c>
    </row>
    <row r="28" spans="1:4">
      <c r="A28" s="92">
        <v>6349261</v>
      </c>
      <c r="B28" s="92" t="s">
        <v>116</v>
      </c>
      <c r="C28" s="92" t="s">
        <v>311</v>
      </c>
      <c r="D28" s="74" t="s">
        <v>506</v>
      </c>
    </row>
    <row r="29" spans="1:4">
      <c r="A29" s="92">
        <v>7151567</v>
      </c>
      <c r="B29" s="92" t="s">
        <v>130</v>
      </c>
      <c r="C29" s="92" t="s">
        <v>311</v>
      </c>
      <c r="D29" s="74" t="s">
        <v>506</v>
      </c>
    </row>
    <row r="30" spans="1:4">
      <c r="A30" s="92">
        <v>9015512</v>
      </c>
      <c r="B30" s="92" t="s">
        <v>144</v>
      </c>
      <c r="C30" s="92" t="s">
        <v>311</v>
      </c>
      <c r="D30" s="74" t="s">
        <v>506</v>
      </c>
    </row>
    <row r="31" spans="1:4">
      <c r="B31" s="92" t="s">
        <v>158</v>
      </c>
      <c r="C31" s="92" t="s">
        <v>311</v>
      </c>
      <c r="D31" s="74">
        <v>45729.887822206925</v>
      </c>
    </row>
    <row r="32" spans="1:4">
      <c r="A32" s="92">
        <v>1365738</v>
      </c>
      <c r="B32" s="92" t="s">
        <v>72</v>
      </c>
      <c r="C32" s="92" t="s">
        <v>309</v>
      </c>
      <c r="D32" s="74" t="s">
        <v>506</v>
      </c>
    </row>
    <row r="33" spans="1:4">
      <c r="A33" s="92">
        <v>3560203</v>
      </c>
      <c r="B33" s="92" t="s">
        <v>86</v>
      </c>
      <c r="C33" s="92" t="s">
        <v>309</v>
      </c>
      <c r="D33" s="74" t="s">
        <v>506</v>
      </c>
    </row>
    <row r="34" spans="1:4">
      <c r="A34" s="92">
        <v>4971553</v>
      </c>
      <c r="B34" s="92" t="s">
        <v>100</v>
      </c>
      <c r="C34" s="92" t="s">
        <v>309</v>
      </c>
      <c r="D34" s="74" t="s">
        <v>506</v>
      </c>
    </row>
    <row r="35" spans="1:4">
      <c r="A35" s="92">
        <v>6191433</v>
      </c>
      <c r="B35" s="92" t="s">
        <v>114</v>
      </c>
      <c r="C35" s="92" t="s">
        <v>309</v>
      </c>
      <c r="D35" s="74" t="s">
        <v>506</v>
      </c>
    </row>
    <row r="36" spans="1:4">
      <c r="A36" s="92">
        <v>9886381</v>
      </c>
      <c r="B36" s="92" t="s">
        <v>156</v>
      </c>
      <c r="C36" s="92" t="s">
        <v>309</v>
      </c>
      <c r="D36" s="74" t="s">
        <v>506</v>
      </c>
    </row>
    <row r="37" spans="1:4">
      <c r="B37" s="92" t="s">
        <v>128</v>
      </c>
      <c r="C37" s="92" t="s">
        <v>309</v>
      </c>
      <c r="D37" s="74">
        <v>91855.743496201001</v>
      </c>
    </row>
    <row r="38" spans="1:4">
      <c r="B38" s="92" t="s">
        <v>142</v>
      </c>
      <c r="C38" s="92" t="s">
        <v>309</v>
      </c>
      <c r="D38" s="74">
        <v>89375.792342291083</v>
      </c>
    </row>
    <row r="39" spans="1:4">
      <c r="A39" s="92">
        <v>1976625</v>
      </c>
      <c r="B39" s="92" t="s">
        <v>78</v>
      </c>
      <c r="C39" s="92" t="s">
        <v>315</v>
      </c>
      <c r="D39" s="74" t="s">
        <v>506</v>
      </c>
    </row>
    <row r="40" spans="1:4">
      <c r="A40" s="92">
        <v>4363461</v>
      </c>
      <c r="B40" s="92" t="s">
        <v>92</v>
      </c>
      <c r="C40" s="92" t="s">
        <v>315</v>
      </c>
      <c r="D40" s="74" t="s">
        <v>506</v>
      </c>
    </row>
    <row r="41" spans="1:4">
      <c r="A41" s="92">
        <v>5369503</v>
      </c>
      <c r="B41" s="92" t="s">
        <v>106</v>
      </c>
      <c r="C41" s="92" t="s">
        <v>315</v>
      </c>
      <c r="D41" s="74" t="s">
        <v>506</v>
      </c>
    </row>
    <row r="42" spans="1:4">
      <c r="B42" s="92" t="s">
        <v>120</v>
      </c>
      <c r="C42" s="92" t="s">
        <v>315</v>
      </c>
      <c r="D42" s="74">
        <v>95070.662689154677</v>
      </c>
    </row>
    <row r="43" spans="1:4">
      <c r="B43" s="92" t="s">
        <v>134</v>
      </c>
      <c r="C43" s="92" t="s">
        <v>315</v>
      </c>
      <c r="D43" s="74">
        <v>59992.331119620794</v>
      </c>
    </row>
    <row r="44" spans="1:4">
      <c r="B44" s="92" t="s">
        <v>148</v>
      </c>
      <c r="C44" s="92" t="s">
        <v>315</v>
      </c>
      <c r="D44" s="74">
        <v>69906.028107361708</v>
      </c>
    </row>
    <row r="45" spans="1:4">
      <c r="A45" s="92">
        <v>1618548</v>
      </c>
      <c r="B45" s="92" t="s">
        <v>75</v>
      </c>
      <c r="C45" s="92" t="s">
        <v>312</v>
      </c>
      <c r="D45" s="74" t="s">
        <v>506</v>
      </c>
    </row>
    <row r="46" spans="1:4">
      <c r="A46" s="92">
        <v>3949158</v>
      </c>
      <c r="B46" s="92" t="s">
        <v>89</v>
      </c>
      <c r="C46" s="92" t="s">
        <v>312</v>
      </c>
      <c r="D46" s="74" t="s">
        <v>506</v>
      </c>
    </row>
    <row r="47" spans="1:4">
      <c r="A47" s="92">
        <v>5284637</v>
      </c>
      <c r="B47" s="92" t="s">
        <v>103</v>
      </c>
      <c r="C47" s="92" t="s">
        <v>312</v>
      </c>
      <c r="D47" s="74" t="s">
        <v>506</v>
      </c>
    </row>
    <row r="48" spans="1:4">
      <c r="A48" s="92">
        <v>7158061</v>
      </c>
      <c r="B48" s="92" t="s">
        <v>131</v>
      </c>
      <c r="C48" s="92" t="s">
        <v>312</v>
      </c>
      <c r="D48" s="74" t="s">
        <v>506</v>
      </c>
    </row>
    <row r="49" spans="1:4">
      <c r="A49" s="92">
        <v>9072661</v>
      </c>
      <c r="B49" s="92" t="s">
        <v>145</v>
      </c>
      <c r="C49" s="92" t="s">
        <v>312</v>
      </c>
      <c r="D49" s="74" t="s">
        <v>506</v>
      </c>
    </row>
    <row r="50" spans="1:4">
      <c r="B50" s="92" t="s">
        <v>117</v>
      </c>
      <c r="C50" s="92" t="s">
        <v>312</v>
      </c>
      <c r="D50" s="74">
        <v>86380.567725529385</v>
      </c>
    </row>
    <row r="51" spans="1:4">
      <c r="A51" s="92"/>
      <c r="B51" s="92" t="s">
        <v>70</v>
      </c>
      <c r="C51" s="92" t="s">
        <v>307</v>
      </c>
      <c r="D51" s="74">
        <v>56644.13241433927</v>
      </c>
    </row>
    <row r="52" spans="1:4">
      <c r="A52" s="92">
        <v>3386954</v>
      </c>
      <c r="B52" s="92" t="s">
        <v>84</v>
      </c>
      <c r="C52" s="92" t="s">
        <v>307</v>
      </c>
      <c r="D52" s="74" t="s">
        <v>506</v>
      </c>
    </row>
    <row r="53" spans="1:4">
      <c r="A53" s="92">
        <v>4814734</v>
      </c>
      <c r="B53" s="92" t="s">
        <v>98</v>
      </c>
      <c r="C53" s="92" t="s">
        <v>307</v>
      </c>
      <c r="D53" s="74" t="s">
        <v>506</v>
      </c>
    </row>
    <row r="54" spans="1:4">
      <c r="A54" s="92">
        <v>6878675</v>
      </c>
      <c r="B54" s="92" t="s">
        <v>126</v>
      </c>
      <c r="C54" s="92" t="s">
        <v>307</v>
      </c>
      <c r="D54" s="74" t="s">
        <v>506</v>
      </c>
    </row>
    <row r="55" spans="1:4">
      <c r="A55" s="92">
        <v>8723688</v>
      </c>
      <c r="B55" s="92" t="s">
        <v>140</v>
      </c>
      <c r="C55" s="92" t="s">
        <v>307</v>
      </c>
      <c r="D55" s="74" t="s">
        <v>506</v>
      </c>
    </row>
    <row r="56" spans="1:4">
      <c r="A56" s="92">
        <v>9791948</v>
      </c>
      <c r="B56" s="92" t="s">
        <v>154</v>
      </c>
      <c r="C56" s="92" t="s">
        <v>307</v>
      </c>
      <c r="D56" s="74" t="s">
        <v>506</v>
      </c>
    </row>
    <row r="57" spans="1:4">
      <c r="B57" s="92" t="s">
        <v>112</v>
      </c>
      <c r="C57" s="92" t="s">
        <v>307</v>
      </c>
      <c r="D57" s="74">
        <v>44280.91233617493</v>
      </c>
    </row>
    <row r="58" spans="1:4">
      <c r="A58" s="92">
        <v>2206493</v>
      </c>
      <c r="B58" s="92" t="s">
        <v>69</v>
      </c>
      <c r="C58" s="92" t="s">
        <v>307</v>
      </c>
      <c r="D58" s="74" t="s">
        <v>506</v>
      </c>
    </row>
    <row r="59" spans="1:4">
      <c r="B59" s="92" t="s">
        <v>79</v>
      </c>
      <c r="C59" s="92" t="s">
        <v>316</v>
      </c>
      <c r="D59" s="74">
        <v>65707.056981894959</v>
      </c>
    </row>
    <row r="60" spans="1:4">
      <c r="A60" s="92">
        <v>4487721</v>
      </c>
      <c r="B60" s="92" t="s">
        <v>93</v>
      </c>
      <c r="C60" s="92" t="s">
        <v>316</v>
      </c>
      <c r="D60" s="74" t="s">
        <v>506</v>
      </c>
    </row>
    <row r="61" spans="1:4">
      <c r="A61" s="92">
        <v>5606287</v>
      </c>
      <c r="B61" s="92" t="s">
        <v>107</v>
      </c>
      <c r="C61" s="92" t="s">
        <v>316</v>
      </c>
      <c r="D61" s="74" t="s">
        <v>506</v>
      </c>
    </row>
    <row r="62" spans="1:4">
      <c r="A62" s="92">
        <v>6606821</v>
      </c>
      <c r="B62" s="92" t="s">
        <v>121</v>
      </c>
      <c r="C62" s="92" t="s">
        <v>316</v>
      </c>
      <c r="D62" s="74" t="s">
        <v>506</v>
      </c>
    </row>
    <row r="63" spans="1:4">
      <c r="A63" s="92">
        <v>9246666</v>
      </c>
      <c r="B63" s="92" t="s">
        <v>149</v>
      </c>
      <c r="C63" s="92" t="s">
        <v>316</v>
      </c>
      <c r="D63" s="74" t="s">
        <v>506</v>
      </c>
    </row>
    <row r="64" spans="1:4">
      <c r="B64" s="92" t="s">
        <v>135</v>
      </c>
      <c r="C64" s="92" t="s">
        <v>316</v>
      </c>
      <c r="D64" s="74">
        <v>62985.741122919208</v>
      </c>
    </row>
    <row r="65" spans="1:4">
      <c r="A65" s="92">
        <v>2779782</v>
      </c>
      <c r="B65" s="92" t="s">
        <v>82</v>
      </c>
      <c r="C65" s="92" t="s">
        <v>319</v>
      </c>
      <c r="D65" s="74" t="s">
        <v>506</v>
      </c>
    </row>
    <row r="66" spans="1:4">
      <c r="A66" s="92">
        <v>4750210</v>
      </c>
      <c r="B66" s="92" t="s">
        <v>96</v>
      </c>
      <c r="C66" s="92" t="s">
        <v>319</v>
      </c>
      <c r="D66" s="74" t="s">
        <v>506</v>
      </c>
    </row>
    <row r="67" spans="1:4">
      <c r="A67" s="92">
        <v>5937943</v>
      </c>
      <c r="B67" s="92" t="s">
        <v>110</v>
      </c>
      <c r="C67" s="92" t="s">
        <v>319</v>
      </c>
      <c r="D67" s="74" t="s">
        <v>506</v>
      </c>
    </row>
    <row r="68" spans="1:4">
      <c r="A68" s="92">
        <v>6768299</v>
      </c>
      <c r="B68" s="92" t="s">
        <v>124</v>
      </c>
      <c r="C68" s="92" t="s">
        <v>319</v>
      </c>
      <c r="D68" s="74" t="s">
        <v>506</v>
      </c>
    </row>
    <row r="69" spans="1:4">
      <c r="A69" s="92">
        <v>8406505</v>
      </c>
      <c r="B69" s="92" t="s">
        <v>138</v>
      </c>
      <c r="C69" s="92" t="s">
        <v>319</v>
      </c>
      <c r="D69" s="74" t="s">
        <v>506</v>
      </c>
    </row>
    <row r="70" spans="1:4">
      <c r="B70" s="92" t="s">
        <v>152</v>
      </c>
      <c r="C70" s="92" t="s">
        <v>319</v>
      </c>
      <c r="D70" s="74">
        <v>53528.807740437755</v>
      </c>
    </row>
    <row r="71" spans="1:4">
      <c r="A71" s="92">
        <v>1817452</v>
      </c>
      <c r="B71" s="92" t="s">
        <v>77</v>
      </c>
      <c r="C71" s="92" t="s">
        <v>314</v>
      </c>
      <c r="D71" s="74" t="s">
        <v>506</v>
      </c>
    </row>
    <row r="72" spans="1:4">
      <c r="A72" s="92">
        <v>4140234</v>
      </c>
      <c r="B72" s="92" t="s">
        <v>91</v>
      </c>
      <c r="C72" s="92" t="s">
        <v>314</v>
      </c>
      <c r="D72" s="74" t="s">
        <v>506</v>
      </c>
    </row>
    <row r="73" spans="1:4">
      <c r="A73" s="92">
        <v>5360868</v>
      </c>
      <c r="B73" s="92" t="s">
        <v>105</v>
      </c>
      <c r="C73" s="92" t="s">
        <v>314</v>
      </c>
      <c r="D73" s="74" t="s">
        <v>506</v>
      </c>
    </row>
    <row r="74" spans="1:4">
      <c r="A74" s="92">
        <v>6584356</v>
      </c>
      <c r="B74" s="92" t="s">
        <v>119</v>
      </c>
      <c r="C74" s="92" t="s">
        <v>314</v>
      </c>
      <c r="D74" s="74" t="s">
        <v>506</v>
      </c>
    </row>
    <row r="75" spans="1:4">
      <c r="A75" s="92">
        <v>7684611</v>
      </c>
      <c r="B75" s="92" t="s">
        <v>133</v>
      </c>
      <c r="C75" s="92" t="s">
        <v>314</v>
      </c>
      <c r="D75" s="74" t="s">
        <v>506</v>
      </c>
    </row>
    <row r="76" spans="1:4">
      <c r="A76" s="92">
        <v>9238859</v>
      </c>
      <c r="B76" s="92" t="s">
        <v>147</v>
      </c>
      <c r="C76" s="92" t="s">
        <v>314</v>
      </c>
      <c r="D76" s="74" t="s">
        <v>506</v>
      </c>
    </row>
    <row r="77" spans="1:4">
      <c r="A77" s="92">
        <v>1534820</v>
      </c>
      <c r="B77" s="92" t="s">
        <v>73</v>
      </c>
      <c r="C77" s="92" t="s">
        <v>310</v>
      </c>
      <c r="D77" s="74" t="s">
        <v>506</v>
      </c>
    </row>
    <row r="78" spans="1:4">
      <c r="A78" s="92">
        <v>3815904</v>
      </c>
      <c r="B78" s="92" t="s">
        <v>87</v>
      </c>
      <c r="C78" s="92" t="s">
        <v>310</v>
      </c>
      <c r="D78" s="74" t="s">
        <v>506</v>
      </c>
    </row>
    <row r="79" spans="1:4">
      <c r="A79" s="92">
        <v>5033643</v>
      </c>
      <c r="B79" s="92" t="s">
        <v>101</v>
      </c>
      <c r="C79" s="92" t="s">
        <v>310</v>
      </c>
      <c r="D79" s="74" t="s">
        <v>506</v>
      </c>
    </row>
    <row r="80" spans="1:4">
      <c r="B80" s="92" t="s">
        <v>115</v>
      </c>
      <c r="C80" s="92" t="s">
        <v>310</v>
      </c>
      <c r="D80" s="74">
        <v>66397.974881596252</v>
      </c>
    </row>
    <row r="81" spans="1:4">
      <c r="B81" s="92" t="s">
        <v>129</v>
      </c>
      <c r="C81" s="92" t="s">
        <v>310</v>
      </c>
      <c r="D81" s="74">
        <v>77400.623255255108</v>
      </c>
    </row>
    <row r="82" spans="1:4">
      <c r="B82" s="92" t="s">
        <v>143</v>
      </c>
      <c r="C82" s="92" t="s">
        <v>310</v>
      </c>
      <c r="D82" s="74">
        <v>97827.049520897825</v>
      </c>
    </row>
    <row r="83" spans="1:4">
      <c r="B83" s="92" t="s">
        <v>157</v>
      </c>
      <c r="C83" s="92" t="s">
        <v>310</v>
      </c>
      <c r="D83" s="74">
        <v>99968.854654944385</v>
      </c>
    </row>
    <row r="84" spans="1:4">
      <c r="A84" s="92">
        <v>1129777</v>
      </c>
      <c r="B84" s="92" t="s">
        <v>69</v>
      </c>
      <c r="C84" s="92" t="s">
        <v>306</v>
      </c>
      <c r="D84" s="74" t="s">
        <v>506</v>
      </c>
    </row>
    <row r="85" spans="1:4">
      <c r="A85" s="92">
        <v>2964540</v>
      </c>
      <c r="B85" s="92" t="s">
        <v>83</v>
      </c>
      <c r="C85" s="92" t="s">
        <v>306</v>
      </c>
      <c r="D85" s="74" t="s">
        <v>506</v>
      </c>
    </row>
    <row r="86" spans="1:4">
      <c r="A86" s="92">
        <v>4795506</v>
      </c>
      <c r="B86" s="92" t="s">
        <v>97</v>
      </c>
      <c r="C86" s="92" t="s">
        <v>306</v>
      </c>
      <c r="D86" s="74" t="s">
        <v>506</v>
      </c>
    </row>
    <row r="87" spans="1:4">
      <c r="A87" s="92">
        <v>5992705</v>
      </c>
      <c r="B87" s="92" t="s">
        <v>111</v>
      </c>
      <c r="C87" s="92" t="s">
        <v>306</v>
      </c>
      <c r="D87" s="74" t="s">
        <v>506</v>
      </c>
    </row>
    <row r="88" spans="1:4">
      <c r="A88" s="92">
        <v>8694735</v>
      </c>
      <c r="B88" s="92" t="s">
        <v>139</v>
      </c>
      <c r="C88" s="92" t="s">
        <v>306</v>
      </c>
      <c r="D88" s="74" t="s">
        <v>506</v>
      </c>
    </row>
    <row r="89" spans="1:4">
      <c r="A89" s="92">
        <v>9785047</v>
      </c>
      <c r="B89" s="92" t="s">
        <v>153</v>
      </c>
      <c r="C89" s="92" t="s">
        <v>306</v>
      </c>
      <c r="D89" s="74" t="s">
        <v>506</v>
      </c>
    </row>
    <row r="90" spans="1:4">
      <c r="B90" s="92" t="s">
        <v>125</v>
      </c>
      <c r="C90" s="92" t="s">
        <v>306</v>
      </c>
      <c r="D90" s="74">
        <v>53101.517268436117</v>
      </c>
    </row>
    <row r="91" spans="1:4">
      <c r="A91" s="92">
        <v>1185463</v>
      </c>
      <c r="B91" s="92" t="s">
        <v>71</v>
      </c>
      <c r="C91" s="92" t="s">
        <v>308</v>
      </c>
      <c r="D91" s="74" t="s">
        <v>506</v>
      </c>
    </row>
    <row r="92" spans="1:4">
      <c r="A92" s="92">
        <v>3399129</v>
      </c>
      <c r="B92" s="92" t="s">
        <v>85</v>
      </c>
      <c r="C92" s="92" t="s">
        <v>308</v>
      </c>
      <c r="D92" s="74" t="s">
        <v>506</v>
      </c>
    </row>
    <row r="93" spans="1:4">
      <c r="A93" s="92">
        <v>4840103</v>
      </c>
      <c r="B93" s="92" t="s">
        <v>99</v>
      </c>
      <c r="C93" s="92" t="s">
        <v>308</v>
      </c>
      <c r="D93" s="74" t="s">
        <v>506</v>
      </c>
    </row>
    <row r="94" spans="1:4">
      <c r="A94" s="92">
        <v>6182382</v>
      </c>
      <c r="B94" s="92" t="s">
        <v>113</v>
      </c>
      <c r="C94" s="92" t="s">
        <v>308</v>
      </c>
      <c r="D94" s="74" t="s">
        <v>506</v>
      </c>
    </row>
    <row r="95" spans="1:4">
      <c r="A95" s="92">
        <v>7068036</v>
      </c>
      <c r="B95" s="92" t="s">
        <v>127</v>
      </c>
      <c r="C95" s="92" t="s">
        <v>308</v>
      </c>
      <c r="D95" s="74" t="s">
        <v>506</v>
      </c>
    </row>
    <row r="96" spans="1:4">
      <c r="A96" s="92">
        <v>8841428</v>
      </c>
      <c r="B96" s="92" t="s">
        <v>141</v>
      </c>
      <c r="C96" s="92" t="s">
        <v>308</v>
      </c>
      <c r="D96" s="74" t="s">
        <v>506</v>
      </c>
    </row>
    <row r="97" spans="1:11">
      <c r="B97" s="92" t="s">
        <v>155</v>
      </c>
      <c r="C97" s="92" t="s">
        <v>308</v>
      </c>
      <c r="D97" s="74">
        <v>48255.111311425921</v>
      </c>
    </row>
    <row r="99" spans="1:11">
      <c r="C99" s="92" t="s">
        <v>320</v>
      </c>
    </row>
    <row r="103" spans="1:11">
      <c r="A103" t="s">
        <v>321</v>
      </c>
    </row>
    <row r="104" spans="1:11">
      <c r="A104" s="101" t="s">
        <v>323</v>
      </c>
    </row>
    <row r="105" spans="1:11">
      <c r="A105" t="s">
        <v>324</v>
      </c>
    </row>
    <row r="106" spans="1:11" ht="16.5" thickBot="1">
      <c r="A106" t="s">
        <v>322</v>
      </c>
    </row>
    <row r="107" spans="1:11" ht="16.5" thickBot="1">
      <c r="B107" s="100" t="s">
        <v>55</v>
      </c>
      <c r="J107" t="s">
        <v>55</v>
      </c>
      <c r="K107" t="s">
        <v>56</v>
      </c>
    </row>
  </sheetData>
  <sheetProtection algorithmName="SHA-512" hashValue="7h18F+MazkMXVq6AMb2Tizs9FI4CBeR9YjzImPi02mTMRxQpFJIvALBorkWccrzsUeit3QeFxSq8jmoo6yaM+g==" saltValue="UwhjpkW3F0Tga5HOhMefvg==" spinCount="100000" sheet="1" objects="1" scenarios="1"/>
  <sortState xmlns:xlrd2="http://schemas.microsoft.com/office/spreadsheetml/2017/richdata2" ref="A7:C64">
    <sortCondition ref="C7:C64"/>
    <sortCondition ref="A7:A64"/>
  </sortState>
  <dataValidations count="1">
    <dataValidation type="list" allowBlank="1" showInputMessage="1" showErrorMessage="1" sqref="B107" xr:uid="{8587AF84-9D3B-5543-9A43-1D4CC290291F}">
      <formula1>$J$107:$K$107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X99"/>
  <sheetViews>
    <sheetView zoomScaleNormal="100" workbookViewId="0">
      <selection activeCell="O24" sqref="O24"/>
    </sheetView>
  </sheetViews>
  <sheetFormatPr defaultColWidth="10.875" defaultRowHeight="15.75"/>
  <cols>
    <col min="1" max="1" width="13.5" style="65" customWidth="1"/>
    <col min="2" max="2" width="19" style="65" customWidth="1"/>
    <col min="3" max="3" width="14.875" style="65" customWidth="1"/>
    <col min="4" max="4" width="10.875" style="99" customWidth="1"/>
    <col min="5" max="5" width="14.125" style="99" customWidth="1"/>
    <col min="6" max="6" width="13.125" style="99" customWidth="1"/>
    <col min="7" max="8" width="10.875" style="65" hidden="1" customWidth="1"/>
    <col min="9" max="9" width="10.875" style="8" hidden="1" customWidth="1"/>
    <col min="10" max="22" width="10.875" style="8" customWidth="1"/>
    <col min="23" max="23" width="10.875" style="10" customWidth="1"/>
    <col min="24" max="26" width="10.875" style="11" customWidth="1"/>
    <col min="27" max="27" width="10.5" style="11" customWidth="1"/>
    <col min="28" max="41" width="10.875" style="11" customWidth="1"/>
    <col min="42" max="42" width="10.875" style="12" customWidth="1"/>
    <col min="43" max="49" width="10.875" style="11" customWidth="1"/>
    <col min="50" max="50" width="10.875" style="7"/>
    <col min="51" max="16384" width="10.875" style="65"/>
  </cols>
  <sheetData>
    <row r="1" spans="1:49" customFormat="1" ht="18.75">
      <c r="A1" s="94" t="s">
        <v>58</v>
      </c>
      <c r="G1" s="65"/>
      <c r="J1" s="2" t="s">
        <v>344</v>
      </c>
    </row>
    <row r="2" spans="1:49" customFormat="1">
      <c r="A2" s="95" t="s">
        <v>343</v>
      </c>
      <c r="D2" s="148"/>
    </row>
    <row r="3" spans="1:49" customFormat="1" ht="20.25">
      <c r="A3" s="96" t="str">
        <f ca="1">"Sheet: "&amp;MID(CELL("filename",A1),FIND("]",CELL("filename",A1))+1,255)</f>
        <v>Sheet: Employee Master</v>
      </c>
      <c r="E3" s="264"/>
    </row>
    <row r="4" spans="1:49">
      <c r="A4" s="88"/>
      <c r="AP4" s="11"/>
      <c r="AW4" s="12"/>
    </row>
    <row r="5" spans="1:49">
      <c r="D5" s="173"/>
      <c r="E5" s="172">
        <f ca="1">RAND()*50000+40000</f>
        <v>71314.554464221612</v>
      </c>
      <c r="F5" s="173"/>
      <c r="T5" s="11"/>
      <c r="U5" s="11"/>
      <c r="V5" s="11"/>
      <c r="W5" s="11"/>
      <c r="Y5" s="7"/>
      <c r="Z5" s="65"/>
      <c r="AA5" s="65"/>
      <c r="AB5" s="65"/>
      <c r="AC5" s="65"/>
    </row>
    <row r="6" spans="1:49" ht="26.25">
      <c r="A6" s="91" t="s">
        <v>161</v>
      </c>
      <c r="B6" s="91" t="s">
        <v>61</v>
      </c>
      <c r="C6" s="91" t="s">
        <v>160</v>
      </c>
      <c r="D6" s="91" t="s">
        <v>62</v>
      </c>
      <c r="E6" s="174" t="str">
        <f ca="1">"Salary as of "&amp;TEXT(MAX(F7:F79),"mm/dd/yy")</f>
        <v>Salary as of 06/28/22</v>
      </c>
      <c r="F6" s="174" t="s">
        <v>342</v>
      </c>
      <c r="G6">
        <f ca="1">ROUND(RAND()*364,0)</f>
        <v>262</v>
      </c>
      <c r="H6" s="67" t="s">
        <v>305</v>
      </c>
      <c r="I6" s="8">
        <f ca="1">ROUND(RAND()*363,0)</f>
        <v>7</v>
      </c>
      <c r="T6" s="11"/>
      <c r="U6" s="11"/>
      <c r="V6" s="11"/>
      <c r="W6" s="11"/>
      <c r="Y6" s="7"/>
      <c r="Z6" s="65"/>
      <c r="AA6" s="65"/>
      <c r="AB6" s="65"/>
      <c r="AC6" s="65"/>
    </row>
    <row r="7" spans="1:49">
      <c r="A7" s="92">
        <v>1129777</v>
      </c>
      <c r="B7" t="s">
        <v>235</v>
      </c>
      <c r="C7" t="s">
        <v>163</v>
      </c>
      <c r="D7" s="175">
        <f ca="1">DATE(YEAR('Budgeting Model'!$B$5)-'Employee Master'!H7,7,1)</f>
        <v>40360</v>
      </c>
      <c r="E7" s="74">
        <v>88966.6194480048</v>
      </c>
      <c r="F7" s="175">
        <f ca="1">'Budgeting Model'!$B$5-'Employee Master'!I7</f>
        <v>44723</v>
      </c>
      <c r="G7">
        <v>185</v>
      </c>
      <c r="H7" s="65">
        <v>12</v>
      </c>
      <c r="I7" s="8">
        <v>20</v>
      </c>
      <c r="L7" s="263"/>
      <c r="T7" s="11"/>
      <c r="U7" s="11"/>
      <c r="V7" s="11"/>
      <c r="W7" s="11"/>
      <c r="Y7" s="7"/>
      <c r="Z7" s="65"/>
      <c r="AA7" s="65"/>
      <c r="AB7" s="65"/>
      <c r="AC7" s="65"/>
    </row>
    <row r="8" spans="1:49">
      <c r="A8" s="92">
        <v>1178028</v>
      </c>
      <c r="B8" t="s">
        <v>236</v>
      </c>
      <c r="C8" t="s">
        <v>164</v>
      </c>
      <c r="D8" s="175">
        <f ca="1">DATE(YEAR('Budgeting Model'!$B$5)-'Employee Master'!H8,7,1)</f>
        <v>38534</v>
      </c>
      <c r="E8" s="74">
        <v>57566.094522563566</v>
      </c>
      <c r="F8" s="175">
        <f ca="1">'Budgeting Model'!$B$5-'Employee Master'!I8</f>
        <v>44592</v>
      </c>
      <c r="G8">
        <v>184</v>
      </c>
      <c r="H8" s="65">
        <v>17</v>
      </c>
      <c r="I8" s="8">
        <v>151</v>
      </c>
      <c r="L8" s="263"/>
      <c r="T8" s="11"/>
      <c r="U8" s="11"/>
      <c r="V8" s="11"/>
      <c r="W8" s="11"/>
      <c r="Y8" s="7"/>
      <c r="Z8" s="65"/>
      <c r="AA8" s="65"/>
      <c r="AB8" s="65"/>
      <c r="AC8" s="65"/>
    </row>
    <row r="9" spans="1:49">
      <c r="A9" s="92">
        <v>1185463</v>
      </c>
      <c r="B9" t="s">
        <v>237</v>
      </c>
      <c r="C9" t="s">
        <v>165</v>
      </c>
      <c r="D9" s="175">
        <f ca="1">DATE(YEAR('Budgeting Model'!$B$5)-'Employee Master'!H9,7,1)</f>
        <v>40360</v>
      </c>
      <c r="E9" s="74">
        <v>51989.131597492778</v>
      </c>
      <c r="F9" s="175">
        <f ca="1">'Budgeting Model'!$B$5-'Employee Master'!I9</f>
        <v>44584</v>
      </c>
      <c r="G9">
        <v>344</v>
      </c>
      <c r="H9" s="65">
        <v>12</v>
      </c>
      <c r="I9" s="8">
        <v>159</v>
      </c>
      <c r="L9" s="263"/>
      <c r="T9" s="11"/>
      <c r="U9" s="11"/>
      <c r="V9" s="11"/>
      <c r="W9" s="11"/>
      <c r="Y9" s="7"/>
      <c r="Z9" s="65"/>
      <c r="AA9" s="65"/>
      <c r="AB9" s="65"/>
      <c r="AC9" s="65"/>
    </row>
    <row r="10" spans="1:49">
      <c r="A10" s="92">
        <v>1365738</v>
      </c>
      <c r="B10" t="s">
        <v>238</v>
      </c>
      <c r="C10" t="s">
        <v>166</v>
      </c>
      <c r="D10" s="175">
        <f ca="1">DATE(YEAR('Budgeting Model'!$B$5)-'Employee Master'!H10,7,1)</f>
        <v>40360</v>
      </c>
      <c r="E10" s="74">
        <v>49972.587920321836</v>
      </c>
      <c r="F10" s="175">
        <f ca="1">'Budgeting Model'!$B$5-'Employee Master'!I10</f>
        <v>44577</v>
      </c>
      <c r="G10">
        <v>106</v>
      </c>
      <c r="H10" s="65">
        <v>12</v>
      </c>
      <c r="I10" s="8">
        <v>166</v>
      </c>
      <c r="L10" s="263"/>
      <c r="T10" s="11"/>
      <c r="U10" s="11"/>
      <c r="V10" s="11"/>
      <c r="W10" s="11"/>
      <c r="Y10" s="7"/>
      <c r="Z10" s="65"/>
      <c r="AA10" s="65"/>
      <c r="AB10" s="65"/>
      <c r="AC10" s="65"/>
    </row>
    <row r="11" spans="1:49">
      <c r="A11" s="92">
        <v>1534820</v>
      </c>
      <c r="B11" t="s">
        <v>239</v>
      </c>
      <c r="C11" t="s">
        <v>167</v>
      </c>
      <c r="D11" s="175">
        <f ca="1">DATE(YEAR('Budgeting Model'!$B$5)-'Employee Master'!H11,7,1)</f>
        <v>39264</v>
      </c>
      <c r="E11" s="74">
        <v>49871.398122626713</v>
      </c>
      <c r="F11" s="175">
        <f ca="1">'Budgeting Model'!$B$5-'Employee Master'!I11</f>
        <v>44461</v>
      </c>
      <c r="G11">
        <v>326</v>
      </c>
      <c r="H11" s="65">
        <v>15</v>
      </c>
      <c r="I11" s="8">
        <v>282</v>
      </c>
      <c r="L11" s="263"/>
      <c r="T11" s="11"/>
      <c r="U11" s="11"/>
      <c r="V11" s="11"/>
      <c r="W11" s="11"/>
      <c r="Y11" s="7"/>
      <c r="Z11" s="65"/>
      <c r="AA11" s="65"/>
      <c r="AB11" s="65"/>
      <c r="AC11" s="65"/>
    </row>
    <row r="12" spans="1:49">
      <c r="A12" s="92">
        <v>1563356</v>
      </c>
      <c r="B12" t="s">
        <v>240</v>
      </c>
      <c r="C12" t="s">
        <v>168</v>
      </c>
      <c r="D12" s="175">
        <f ca="1">DATE(YEAR('Budgeting Model'!$B$5)-'Employee Master'!H12,7,1)</f>
        <v>40360</v>
      </c>
      <c r="E12" s="74">
        <v>60557.193946991174</v>
      </c>
      <c r="F12" s="175">
        <f ca="1">'Budgeting Model'!$B$5-'Employee Master'!I12</f>
        <v>44425</v>
      </c>
      <c r="G12">
        <v>38</v>
      </c>
      <c r="H12" s="65">
        <v>12</v>
      </c>
      <c r="I12" s="8">
        <v>318</v>
      </c>
      <c r="L12" s="263"/>
      <c r="T12" s="11"/>
      <c r="U12" s="11"/>
      <c r="V12" s="11"/>
      <c r="W12" s="11"/>
      <c r="Y12" s="7"/>
      <c r="Z12" s="65"/>
      <c r="AA12" s="65"/>
      <c r="AB12" s="65"/>
      <c r="AC12" s="65"/>
    </row>
    <row r="13" spans="1:49">
      <c r="A13" s="92">
        <v>1618548</v>
      </c>
      <c r="B13" t="s">
        <v>241</v>
      </c>
      <c r="C13" t="s">
        <v>169</v>
      </c>
      <c r="D13" s="175">
        <f ca="1">'Budgeting Model'!$B$5+45</f>
        <v>44788</v>
      </c>
      <c r="E13" s="74">
        <v>79262.386964937265</v>
      </c>
      <c r="F13" s="175">
        <f ca="1">'Budgeting Model'!$B$5-'Employee Master'!I13</f>
        <v>44571</v>
      </c>
      <c r="G13">
        <v>229</v>
      </c>
      <c r="H13" s="65">
        <v>13</v>
      </c>
      <c r="I13" s="8">
        <v>172</v>
      </c>
      <c r="L13" s="263"/>
      <c r="T13" s="11"/>
      <c r="U13" s="11"/>
      <c r="V13" s="11"/>
      <c r="W13" s="11"/>
      <c r="Y13" s="7"/>
      <c r="Z13" s="65"/>
      <c r="AA13" s="65"/>
      <c r="AB13" s="65"/>
      <c r="AC13" s="65"/>
    </row>
    <row r="14" spans="1:49">
      <c r="A14" s="92">
        <v>1731520</v>
      </c>
      <c r="B14" t="s">
        <v>242</v>
      </c>
      <c r="C14" t="s">
        <v>170</v>
      </c>
      <c r="D14" s="175">
        <f ca="1">DATE(YEAR('Budgeting Model'!$B$5)-'Employee Master'!H14,7,1)</f>
        <v>44013</v>
      </c>
      <c r="E14" s="74">
        <v>85921.924388323634</v>
      </c>
      <c r="F14" s="175">
        <f ca="1">'Budgeting Model'!$B$5-'Employee Master'!I14</f>
        <v>44563</v>
      </c>
      <c r="G14">
        <v>44</v>
      </c>
      <c r="H14" s="65">
        <v>2</v>
      </c>
      <c r="I14" s="8">
        <v>180</v>
      </c>
      <c r="L14" s="263"/>
      <c r="T14" s="11"/>
      <c r="U14" s="11"/>
      <c r="V14" s="11"/>
      <c r="W14" s="11"/>
      <c r="Y14" s="7"/>
      <c r="Z14" s="65"/>
      <c r="AA14" s="65"/>
      <c r="AB14" s="65"/>
      <c r="AC14" s="65"/>
    </row>
    <row r="15" spans="1:49">
      <c r="A15" s="92">
        <v>1817452</v>
      </c>
      <c r="B15" t="s">
        <v>243</v>
      </c>
      <c r="C15" t="s">
        <v>171</v>
      </c>
      <c r="D15" s="175">
        <f ca="1">DATE(YEAR('Budgeting Model'!$B$5)-'Employee Master'!H15,7,1)</f>
        <v>43647</v>
      </c>
      <c r="E15" s="74">
        <v>75399.03799363377</v>
      </c>
      <c r="F15" s="175">
        <f ca="1">'Budgeting Model'!$B$5-'Employee Master'!I15</f>
        <v>44492</v>
      </c>
      <c r="G15">
        <v>31</v>
      </c>
      <c r="H15" s="65">
        <v>3</v>
      </c>
      <c r="I15" s="8">
        <v>251</v>
      </c>
      <c r="L15" s="263"/>
      <c r="T15" s="11"/>
      <c r="U15" s="11"/>
      <c r="V15" s="11"/>
      <c r="W15" s="11"/>
      <c r="Y15" s="7"/>
      <c r="Z15" s="65"/>
      <c r="AA15" s="65"/>
      <c r="AB15" s="65"/>
      <c r="AC15" s="65"/>
    </row>
    <row r="16" spans="1:49">
      <c r="A16" s="92">
        <v>1976625</v>
      </c>
      <c r="B16" t="s">
        <v>244</v>
      </c>
      <c r="C16" t="s">
        <v>172</v>
      </c>
      <c r="D16" s="175">
        <f ca="1">DATE(YEAR('Budgeting Model'!$B$5)-'Employee Master'!H16,7,1)</f>
        <v>37803</v>
      </c>
      <c r="E16" s="74">
        <v>68850.314571758063</v>
      </c>
      <c r="F16" s="175">
        <f ca="1">'Budgeting Model'!$B$5-'Employee Master'!I16</f>
        <v>44714</v>
      </c>
      <c r="G16">
        <v>141</v>
      </c>
      <c r="H16" s="65">
        <v>19</v>
      </c>
      <c r="I16" s="8">
        <v>29</v>
      </c>
      <c r="L16" s="263"/>
      <c r="T16" s="11"/>
      <c r="U16" s="11"/>
      <c r="V16" s="11"/>
      <c r="W16" s="11"/>
      <c r="Y16" s="7"/>
      <c r="Z16" s="65"/>
      <c r="AA16" s="65"/>
      <c r="AB16" s="65"/>
      <c r="AC16" s="65"/>
    </row>
    <row r="17" spans="1:29">
      <c r="A17" s="92">
        <v>2206493</v>
      </c>
      <c r="B17" t="s">
        <v>245</v>
      </c>
      <c r="C17" t="s">
        <v>173</v>
      </c>
      <c r="D17" s="175">
        <f ca="1">DATE(YEAR('Budgeting Model'!$B$5)-'Employee Master'!H17,7,1)</f>
        <v>40725</v>
      </c>
      <c r="E17" s="74">
        <v>54049.903506884861</v>
      </c>
      <c r="F17" s="175">
        <f ca="1">'Budgeting Model'!$B$5-'Employee Master'!I17</f>
        <v>44541</v>
      </c>
      <c r="G17">
        <v>12</v>
      </c>
      <c r="H17" s="65">
        <v>11</v>
      </c>
      <c r="I17" s="8">
        <v>202</v>
      </c>
      <c r="L17" s="263"/>
      <c r="T17" s="11"/>
      <c r="U17" s="11"/>
      <c r="V17" s="11"/>
      <c r="W17" s="11"/>
      <c r="Y17" s="7"/>
      <c r="Z17" s="65"/>
      <c r="AA17" s="65"/>
      <c r="AB17" s="65"/>
      <c r="AC17" s="65"/>
    </row>
    <row r="18" spans="1:29">
      <c r="A18" s="92">
        <v>2260929</v>
      </c>
      <c r="B18" t="s">
        <v>246</v>
      </c>
      <c r="C18" t="s">
        <v>174</v>
      </c>
      <c r="D18" s="175">
        <f ca="1">DATE(YEAR('Budgeting Model'!$B$5)-'Employee Master'!H18,7,1)</f>
        <v>42917</v>
      </c>
      <c r="E18" s="74">
        <v>82026.203262027353</v>
      </c>
      <c r="F18" s="175">
        <f ca="1">'Budgeting Model'!$B$5-'Employee Master'!I18</f>
        <v>44624</v>
      </c>
      <c r="G18">
        <v>35</v>
      </c>
      <c r="H18" s="65">
        <v>5</v>
      </c>
      <c r="I18" s="8">
        <v>119</v>
      </c>
      <c r="L18" s="263"/>
      <c r="T18" s="11"/>
      <c r="U18" s="11"/>
      <c r="V18" s="11"/>
      <c r="W18" s="11"/>
      <c r="Y18" s="7"/>
      <c r="Z18" s="65"/>
      <c r="AA18" s="65"/>
      <c r="AB18" s="65"/>
      <c r="AC18" s="65"/>
    </row>
    <row r="19" spans="1:29">
      <c r="A19" s="92">
        <v>2544715</v>
      </c>
      <c r="B19" t="s">
        <v>247</v>
      </c>
      <c r="C19" t="s">
        <v>175</v>
      </c>
      <c r="D19" s="175">
        <f ca="1">DATE(YEAR('Budgeting Model'!$B$5)-'Employee Master'!H19,7,1)</f>
        <v>39264</v>
      </c>
      <c r="E19" s="74">
        <v>43963.486619237963</v>
      </c>
      <c r="F19" s="175">
        <f ca="1">'Budgeting Model'!$B$5-'Employee Master'!I19</f>
        <v>44384</v>
      </c>
      <c r="G19">
        <v>312</v>
      </c>
      <c r="H19" s="65">
        <v>15</v>
      </c>
      <c r="I19" s="8">
        <v>359</v>
      </c>
      <c r="L19" s="263"/>
      <c r="T19" s="11"/>
      <c r="U19" s="11"/>
      <c r="V19" s="11"/>
      <c r="W19" s="11"/>
      <c r="Y19" s="7"/>
      <c r="Z19" s="65"/>
      <c r="AA19" s="65"/>
      <c r="AB19" s="65"/>
      <c r="AC19" s="65"/>
    </row>
    <row r="20" spans="1:29">
      <c r="A20" s="92">
        <v>2779782</v>
      </c>
      <c r="B20" t="s">
        <v>248</v>
      </c>
      <c r="C20" t="s">
        <v>176</v>
      </c>
      <c r="D20" s="175">
        <f ca="1">DATE(YEAR('Budgeting Model'!$B$5)-'Employee Master'!H20,7,1)</f>
        <v>40360</v>
      </c>
      <c r="E20" s="74">
        <v>85969.511225440612</v>
      </c>
      <c r="F20" s="175">
        <f ca="1">'Budgeting Model'!$B$5-'Employee Master'!I20</f>
        <v>44617</v>
      </c>
      <c r="G20">
        <v>247</v>
      </c>
      <c r="H20" s="65">
        <v>12</v>
      </c>
      <c r="I20" s="8">
        <v>126</v>
      </c>
      <c r="J20" s="11"/>
      <c r="K20" s="11"/>
      <c r="L20" s="263"/>
      <c r="M20" s="11"/>
      <c r="N20" s="11"/>
      <c r="O20" s="11"/>
      <c r="P20" s="11"/>
      <c r="Q20" s="12"/>
      <c r="R20" s="11"/>
      <c r="S20" s="11"/>
      <c r="T20" s="11"/>
      <c r="U20" s="11"/>
      <c r="V20" s="11"/>
      <c r="W20" s="11"/>
      <c r="Y20" s="7"/>
      <c r="Z20" s="65"/>
      <c r="AA20" s="65"/>
      <c r="AB20" s="65"/>
      <c r="AC20" s="65"/>
    </row>
    <row r="21" spans="1:29">
      <c r="A21" s="92">
        <v>2964540</v>
      </c>
      <c r="B21" t="s">
        <v>162</v>
      </c>
      <c r="C21" t="s">
        <v>177</v>
      </c>
      <c r="D21" s="175">
        <f ca="1">DATE(YEAR('Budgeting Model'!$B$5)-'Employee Master'!H21,7,1)</f>
        <v>42552</v>
      </c>
      <c r="E21" s="74">
        <v>55749.884338851087</v>
      </c>
      <c r="F21" s="175">
        <f ca="1">'Budgeting Model'!$B$5-'Employee Master'!I21</f>
        <v>44592</v>
      </c>
      <c r="G21">
        <v>38</v>
      </c>
      <c r="H21" s="65">
        <v>6</v>
      </c>
      <c r="I21" s="8">
        <v>151</v>
      </c>
      <c r="L21" s="263"/>
    </row>
    <row r="22" spans="1:29">
      <c r="A22" s="92">
        <v>3386954</v>
      </c>
      <c r="B22" t="s">
        <v>249</v>
      </c>
      <c r="C22" t="s">
        <v>178</v>
      </c>
      <c r="D22" s="175">
        <f ca="1">DATE(YEAR('Budgeting Model'!$B$5)-'Employee Master'!H22,7,1)</f>
        <v>37803</v>
      </c>
      <c r="E22" s="74">
        <v>48382.873099681347</v>
      </c>
      <c r="F22" s="175">
        <f ca="1">'Budgeting Model'!$B$5-'Employee Master'!I22</f>
        <v>44469</v>
      </c>
      <c r="G22">
        <v>112</v>
      </c>
      <c r="H22" s="65">
        <v>19</v>
      </c>
      <c r="I22" s="8">
        <v>274</v>
      </c>
      <c r="L22" s="263"/>
    </row>
    <row r="23" spans="1:29">
      <c r="A23" s="92">
        <v>3399129</v>
      </c>
      <c r="B23" t="s">
        <v>250</v>
      </c>
      <c r="C23" t="s">
        <v>179</v>
      </c>
      <c r="D23" s="175">
        <f ca="1">DATE(YEAR('Budgeting Model'!$B$5)-'Employee Master'!H23,7,1)</f>
        <v>43282</v>
      </c>
      <c r="E23" s="74">
        <v>58013.448483875982</v>
      </c>
      <c r="F23" s="175">
        <f ca="1">'Budgeting Model'!$B$5-'Employee Master'!I23</f>
        <v>44656</v>
      </c>
      <c r="G23">
        <v>86</v>
      </c>
      <c r="H23" s="65">
        <v>4</v>
      </c>
      <c r="I23" s="8">
        <v>87</v>
      </c>
      <c r="L23" s="263"/>
    </row>
    <row r="24" spans="1:29">
      <c r="A24" s="92">
        <v>3560203</v>
      </c>
      <c r="B24" t="s">
        <v>251</v>
      </c>
      <c r="C24" t="s">
        <v>180</v>
      </c>
      <c r="D24" s="175">
        <f ca="1">DATE(YEAR('Budgeting Model'!$B$5)-'Employee Master'!H24,7,1)</f>
        <v>43647</v>
      </c>
      <c r="E24" s="74">
        <v>76801.477439874972</v>
      </c>
      <c r="F24" s="175">
        <f ca="1">'Budgeting Model'!$B$5-'Employee Master'!I24</f>
        <v>44564</v>
      </c>
      <c r="G24">
        <v>104</v>
      </c>
      <c r="H24" s="65">
        <v>3</v>
      </c>
      <c r="I24" s="8">
        <v>179</v>
      </c>
      <c r="L24" s="263"/>
    </row>
    <row r="25" spans="1:29">
      <c r="A25" s="92">
        <v>3815904</v>
      </c>
      <c r="B25" t="s">
        <v>252</v>
      </c>
      <c r="C25" t="s">
        <v>181</v>
      </c>
      <c r="D25" s="175">
        <f ca="1">DATE(YEAR('Budgeting Model'!$B$5)-'Employee Master'!H25,7,1)</f>
        <v>40360</v>
      </c>
      <c r="E25" s="74">
        <v>44173.621818609732</v>
      </c>
      <c r="F25" s="175">
        <f ca="1">'Budgeting Model'!$B$5-'Employee Master'!I25</f>
        <v>44657</v>
      </c>
      <c r="G25">
        <v>4</v>
      </c>
      <c r="H25" s="65">
        <v>12</v>
      </c>
      <c r="I25" s="8">
        <v>86</v>
      </c>
      <c r="L25" s="263"/>
    </row>
    <row r="26" spans="1:29">
      <c r="A26" s="92">
        <v>3940809</v>
      </c>
      <c r="B26" t="s">
        <v>253</v>
      </c>
      <c r="C26" t="s">
        <v>182</v>
      </c>
      <c r="D26" s="175">
        <f ca="1">DATE(YEAR('Budgeting Model'!$B$5)-'Employee Master'!H26,7,1)</f>
        <v>40360</v>
      </c>
      <c r="E26" s="74">
        <v>52879.475273945864</v>
      </c>
      <c r="F26" s="175">
        <f ca="1">'Budgeting Model'!$B$5-'Employee Master'!I26</f>
        <v>44662</v>
      </c>
      <c r="G26">
        <v>255</v>
      </c>
      <c r="H26" s="65">
        <v>12</v>
      </c>
      <c r="I26" s="8">
        <v>81</v>
      </c>
      <c r="L26" s="263"/>
    </row>
    <row r="27" spans="1:29">
      <c r="A27" s="92">
        <v>3949158</v>
      </c>
      <c r="B27" t="s">
        <v>254</v>
      </c>
      <c r="C27" t="s">
        <v>183</v>
      </c>
      <c r="D27" s="175">
        <f ca="1">DATE(YEAR('Budgeting Model'!$B$5)-'Employee Master'!H27,7,1)</f>
        <v>40725</v>
      </c>
      <c r="E27" s="74">
        <v>86821.407646079475</v>
      </c>
      <c r="F27" s="175">
        <f ca="1">'Budgeting Model'!$B$5-'Employee Master'!I27</f>
        <v>44479</v>
      </c>
      <c r="G27">
        <v>343</v>
      </c>
      <c r="H27" s="65">
        <v>11</v>
      </c>
      <c r="I27" s="8">
        <v>264</v>
      </c>
      <c r="L27" s="263"/>
    </row>
    <row r="28" spans="1:29">
      <c r="A28" s="92">
        <v>4083848</v>
      </c>
      <c r="B28" t="s">
        <v>255</v>
      </c>
      <c r="C28" t="s">
        <v>184</v>
      </c>
      <c r="D28" s="175">
        <f ca="1">DATE(YEAR('Budgeting Model'!$B$5)-'Employee Master'!H28,7,1)</f>
        <v>38169</v>
      </c>
      <c r="E28" s="74">
        <v>86557.799160448121</v>
      </c>
      <c r="F28" s="175">
        <f ca="1">'Budgeting Model'!$B$5-'Employee Master'!I28</f>
        <v>44414</v>
      </c>
      <c r="G28">
        <v>270</v>
      </c>
      <c r="H28" s="65">
        <v>18</v>
      </c>
      <c r="I28" s="8">
        <v>329</v>
      </c>
      <c r="L28" s="263"/>
    </row>
    <row r="29" spans="1:29">
      <c r="A29" s="92">
        <v>4140234</v>
      </c>
      <c r="B29" t="s">
        <v>239</v>
      </c>
      <c r="C29" t="s">
        <v>185</v>
      </c>
      <c r="D29" s="175">
        <f ca="1">DATE(YEAR('Budgeting Model'!$B$5)-'Employee Master'!H29,7,1)</f>
        <v>41091</v>
      </c>
      <c r="E29" s="74">
        <v>60876.596203873938</v>
      </c>
      <c r="F29" s="175">
        <f ca="1">'Budgeting Model'!$B$5-'Employee Master'!I29</f>
        <v>44740</v>
      </c>
      <c r="G29">
        <v>45</v>
      </c>
      <c r="H29" s="65">
        <v>10</v>
      </c>
      <c r="I29" s="8">
        <v>3</v>
      </c>
      <c r="L29" s="263"/>
    </row>
    <row r="30" spans="1:29">
      <c r="A30" s="92">
        <v>4363461</v>
      </c>
      <c r="B30" t="s">
        <v>256</v>
      </c>
      <c r="C30" t="s">
        <v>186</v>
      </c>
      <c r="D30" s="175">
        <f ca="1">DATE(YEAR('Budgeting Model'!$B$5)-'Employee Master'!H30,7,1)</f>
        <v>38899</v>
      </c>
      <c r="E30" s="74">
        <v>72275.926003060493</v>
      </c>
      <c r="F30" s="175">
        <f ca="1">'Budgeting Model'!$B$5-'Employee Master'!I30</f>
        <v>44559</v>
      </c>
      <c r="G30">
        <v>103</v>
      </c>
      <c r="H30" s="65">
        <v>16</v>
      </c>
      <c r="I30" s="8">
        <v>184</v>
      </c>
      <c r="L30" s="263"/>
    </row>
    <row r="31" spans="1:29">
      <c r="A31" s="92">
        <v>4487721</v>
      </c>
      <c r="B31" t="s">
        <v>257</v>
      </c>
      <c r="C31" t="s">
        <v>187</v>
      </c>
      <c r="D31" s="175">
        <f ca="1">DATE(YEAR('Budgeting Model'!$B$5)-'Employee Master'!H31,7,1)</f>
        <v>39995</v>
      </c>
      <c r="E31" s="74">
        <v>74319.469346280952</v>
      </c>
      <c r="F31" s="175">
        <f ca="1">'Budgeting Model'!$B$5-'Employee Master'!I31</f>
        <v>44455</v>
      </c>
      <c r="G31">
        <v>226</v>
      </c>
      <c r="H31" s="65">
        <v>13</v>
      </c>
      <c r="I31" s="8">
        <v>288</v>
      </c>
      <c r="L31" s="263"/>
    </row>
    <row r="32" spans="1:29">
      <c r="A32" s="92">
        <v>4682694</v>
      </c>
      <c r="B32" t="s">
        <v>258</v>
      </c>
      <c r="C32" t="s">
        <v>188</v>
      </c>
      <c r="D32" s="175">
        <f ca="1">'Budgeting Model'!$B$5+93</f>
        <v>44836</v>
      </c>
      <c r="E32" s="74">
        <v>60149.893046202844</v>
      </c>
      <c r="F32" s="175">
        <f ca="1">'Budgeting Model'!$B$5-'Employee Master'!I32</f>
        <v>44711</v>
      </c>
      <c r="G32">
        <v>95</v>
      </c>
      <c r="H32" s="65">
        <v>12</v>
      </c>
      <c r="I32" s="8">
        <v>32</v>
      </c>
      <c r="L32" s="263"/>
    </row>
    <row r="33" spans="1:12">
      <c r="A33" s="92">
        <v>4697834</v>
      </c>
      <c r="B33" t="s">
        <v>259</v>
      </c>
      <c r="C33" t="s">
        <v>189</v>
      </c>
      <c r="D33" s="175">
        <f ca="1">DATE(YEAR('Budgeting Model'!$B$5)-'Employee Master'!H33,7,1)</f>
        <v>44378</v>
      </c>
      <c r="E33" s="74">
        <v>64897.526683318953</v>
      </c>
      <c r="F33" s="175">
        <f ca="1">'Budgeting Model'!$B$5-'Employee Master'!I33</f>
        <v>44530</v>
      </c>
      <c r="G33">
        <v>129</v>
      </c>
      <c r="H33" s="65">
        <v>1</v>
      </c>
      <c r="I33" s="8">
        <v>213</v>
      </c>
      <c r="L33" s="263"/>
    </row>
    <row r="34" spans="1:12">
      <c r="A34" s="92">
        <v>4750210</v>
      </c>
      <c r="B34" t="s">
        <v>260</v>
      </c>
      <c r="C34" t="s">
        <v>190</v>
      </c>
      <c r="D34" s="175">
        <f ca="1">DATE(YEAR('Budgeting Model'!$B$5)-'Employee Master'!H34,7,1)</f>
        <v>39995</v>
      </c>
      <c r="E34" s="74">
        <v>68923.331851023249</v>
      </c>
      <c r="F34" s="175">
        <f ca="1">'Budgeting Model'!$B$5-'Employee Master'!I34</f>
        <v>44609</v>
      </c>
      <c r="G34">
        <v>249</v>
      </c>
      <c r="H34" s="65">
        <v>13</v>
      </c>
      <c r="I34" s="8">
        <v>134</v>
      </c>
      <c r="L34" s="263"/>
    </row>
    <row r="35" spans="1:12">
      <c r="A35" s="92">
        <v>4795506</v>
      </c>
      <c r="B35" t="s">
        <v>261</v>
      </c>
      <c r="C35" t="s">
        <v>191</v>
      </c>
      <c r="D35" s="175">
        <f ca="1">DATE(YEAR('Budgeting Model'!$B$5)-'Employee Master'!H35,7,1)</f>
        <v>38534</v>
      </c>
      <c r="E35" s="74">
        <v>64348.253342896169</v>
      </c>
      <c r="F35" s="175">
        <f ca="1">'Budgeting Model'!$B$5-'Employee Master'!I35</f>
        <v>44419</v>
      </c>
      <c r="G35">
        <v>244</v>
      </c>
      <c r="H35" s="65">
        <v>17</v>
      </c>
      <c r="I35" s="8">
        <v>324</v>
      </c>
      <c r="L35" s="263"/>
    </row>
    <row r="36" spans="1:12">
      <c r="A36" s="92">
        <v>4814734</v>
      </c>
      <c r="B36" t="s">
        <v>262</v>
      </c>
      <c r="C36" t="s">
        <v>303</v>
      </c>
      <c r="D36" s="175">
        <f ca="1">DATE(YEAR('Budgeting Model'!$B$5)-'Employee Master'!H36,7,1)</f>
        <v>42917</v>
      </c>
      <c r="E36" s="74">
        <v>42477.48042516753</v>
      </c>
      <c r="F36" s="175">
        <f ca="1">'Budgeting Model'!$B$5-'Employee Master'!I36</f>
        <v>44462</v>
      </c>
      <c r="G36">
        <v>72</v>
      </c>
      <c r="H36" s="65">
        <v>5</v>
      </c>
      <c r="I36" s="8">
        <v>281</v>
      </c>
      <c r="L36" s="263"/>
    </row>
    <row r="37" spans="1:12">
      <c r="A37" s="92">
        <v>4840103</v>
      </c>
      <c r="B37" t="s">
        <v>263</v>
      </c>
      <c r="C37" t="s">
        <v>192</v>
      </c>
      <c r="D37" s="175">
        <f ca="1">DATE(YEAR('Budgeting Model'!$B$5)-'Employee Master'!H37,7,1)</f>
        <v>42552</v>
      </c>
      <c r="E37" s="74">
        <v>62083.631667331894</v>
      </c>
      <c r="F37" s="175">
        <f ca="1">'Budgeting Model'!$B$5-'Employee Master'!I37</f>
        <v>44455</v>
      </c>
      <c r="G37">
        <v>350</v>
      </c>
      <c r="H37" s="65">
        <v>6</v>
      </c>
      <c r="I37" s="8">
        <v>288</v>
      </c>
      <c r="L37" s="263"/>
    </row>
    <row r="38" spans="1:12">
      <c r="A38" s="92">
        <v>4971553</v>
      </c>
      <c r="B38" t="s">
        <v>264</v>
      </c>
      <c r="C38" t="s">
        <v>193</v>
      </c>
      <c r="D38" s="175">
        <f ca="1">DATE(YEAR('Budgeting Model'!$B$5)-'Employee Master'!H38,7,1)</f>
        <v>42552</v>
      </c>
      <c r="E38" s="74">
        <v>80701.102767306322</v>
      </c>
      <c r="F38" s="175">
        <f ca="1">'Budgeting Model'!$B$5-'Employee Master'!I38</f>
        <v>44630</v>
      </c>
      <c r="G38">
        <v>17</v>
      </c>
      <c r="H38" s="65">
        <v>6</v>
      </c>
      <c r="I38" s="8">
        <v>113</v>
      </c>
      <c r="L38" s="263"/>
    </row>
    <row r="39" spans="1:12">
      <c r="A39" s="92">
        <v>5033643</v>
      </c>
      <c r="B39" t="s">
        <v>265</v>
      </c>
      <c r="C39" t="s">
        <v>194</v>
      </c>
      <c r="D39" s="175">
        <f ca="1">DATE(YEAR('Budgeting Model'!$B$5)-'Employee Master'!H39,7,1)</f>
        <v>40360</v>
      </c>
      <c r="E39" s="74">
        <v>57783.197486306555</v>
      </c>
      <c r="F39" s="175">
        <f ca="1">'Budgeting Model'!$B$5-'Employee Master'!I39</f>
        <v>44658</v>
      </c>
      <c r="G39">
        <v>176</v>
      </c>
      <c r="H39" s="65">
        <v>12</v>
      </c>
      <c r="I39" s="8">
        <v>85</v>
      </c>
      <c r="L39" s="263"/>
    </row>
    <row r="40" spans="1:12">
      <c r="A40" s="92">
        <v>5161953</v>
      </c>
      <c r="B40" t="s">
        <v>266</v>
      </c>
      <c r="C40" t="s">
        <v>195</v>
      </c>
      <c r="D40" s="175">
        <f ca="1">DATE(YEAR('Budgeting Model'!$B$5)-'Employee Master'!H40,7,1)</f>
        <v>39995</v>
      </c>
      <c r="E40" s="74">
        <v>67546.230069506331</v>
      </c>
      <c r="F40" s="175">
        <f ca="1">'Budgeting Model'!$B$5-'Employee Master'!I40</f>
        <v>44457</v>
      </c>
      <c r="G40">
        <v>275</v>
      </c>
      <c r="H40" s="65">
        <v>13</v>
      </c>
      <c r="I40" s="8">
        <v>286</v>
      </c>
      <c r="L40" s="263"/>
    </row>
    <row r="41" spans="1:12">
      <c r="A41" s="92">
        <v>5284637</v>
      </c>
      <c r="B41" t="s">
        <v>266</v>
      </c>
      <c r="C41" t="s">
        <v>196</v>
      </c>
      <c r="D41" s="175">
        <f ca="1">DATE(YEAR('Budgeting Model'!$B$5)-'Employee Master'!H41,7,1)</f>
        <v>44378</v>
      </c>
      <c r="E41" s="74">
        <v>55965.731511299135</v>
      </c>
      <c r="F41" s="175">
        <f ca="1">'Budgeting Model'!$B$5-'Employee Master'!I41</f>
        <v>44702</v>
      </c>
      <c r="G41">
        <v>126</v>
      </c>
      <c r="H41" s="65">
        <v>1</v>
      </c>
      <c r="I41" s="8">
        <v>41</v>
      </c>
      <c r="L41" s="263"/>
    </row>
    <row r="42" spans="1:12">
      <c r="A42" s="92">
        <v>5320193</v>
      </c>
      <c r="B42" t="s">
        <v>267</v>
      </c>
      <c r="C42" t="s">
        <v>197</v>
      </c>
      <c r="D42" s="175">
        <f ca="1">DATE(YEAR('Budgeting Model'!$B$5)-'Employee Master'!H42,7,1)</f>
        <v>41456</v>
      </c>
      <c r="E42" s="74">
        <v>44171.151181219713</v>
      </c>
      <c r="F42" s="175">
        <f ca="1">'Budgeting Model'!$B$5-'Employee Master'!I42</f>
        <v>44552</v>
      </c>
      <c r="G42">
        <v>165</v>
      </c>
      <c r="H42" s="65">
        <v>9</v>
      </c>
      <c r="I42" s="8">
        <v>191</v>
      </c>
      <c r="L42" s="263"/>
    </row>
    <row r="43" spans="1:12">
      <c r="A43" s="92">
        <v>5360868</v>
      </c>
      <c r="B43" t="s">
        <v>268</v>
      </c>
      <c r="C43" t="s">
        <v>198</v>
      </c>
      <c r="D43" s="175">
        <f ca="1">DATE(YEAR('Budgeting Model'!$B$5)-'Employee Master'!H43,7,1)</f>
        <v>42917</v>
      </c>
      <c r="E43" s="74">
        <v>86853.015231473124</v>
      </c>
      <c r="F43" s="175">
        <f ca="1">'Budgeting Model'!$B$5-'Employee Master'!I43</f>
        <v>44602</v>
      </c>
      <c r="G43">
        <v>220</v>
      </c>
      <c r="H43" s="65">
        <v>5</v>
      </c>
      <c r="I43" s="8">
        <v>141</v>
      </c>
      <c r="L43" s="263"/>
    </row>
    <row r="44" spans="1:12">
      <c r="A44" s="92">
        <v>5369503</v>
      </c>
      <c r="B44" t="s">
        <v>269</v>
      </c>
      <c r="C44" t="s">
        <v>199</v>
      </c>
      <c r="D44" s="175">
        <f ca="1">DATE(YEAR('Budgeting Model'!$B$5)-'Employee Master'!H44,7,1)</f>
        <v>43647</v>
      </c>
      <c r="E44" s="74">
        <v>63737.153101434677</v>
      </c>
      <c r="F44" s="175">
        <f ca="1">'Budgeting Model'!$B$5-'Employee Master'!I44</f>
        <v>44694</v>
      </c>
      <c r="G44">
        <v>203</v>
      </c>
      <c r="H44" s="65">
        <v>3</v>
      </c>
      <c r="I44" s="8">
        <v>49</v>
      </c>
      <c r="L44" s="263"/>
    </row>
    <row r="45" spans="1:12">
      <c r="A45" s="92">
        <v>5606287</v>
      </c>
      <c r="B45" t="s">
        <v>270</v>
      </c>
      <c r="C45" t="s">
        <v>200</v>
      </c>
      <c r="D45" s="175">
        <f ca="1">DATE(YEAR('Budgeting Model'!$B$5)-'Employee Master'!H45,7,1)</f>
        <v>44378</v>
      </c>
      <c r="E45" s="74">
        <v>75033.756688150315</v>
      </c>
      <c r="F45" s="175">
        <f ca="1">'Budgeting Model'!$B$5-'Employee Master'!I45</f>
        <v>44483</v>
      </c>
      <c r="G45">
        <v>33</v>
      </c>
      <c r="H45" s="65">
        <v>1</v>
      </c>
      <c r="I45" s="8">
        <v>260</v>
      </c>
      <c r="L45" s="263"/>
    </row>
    <row r="46" spans="1:12">
      <c r="A46" s="92">
        <v>5610062</v>
      </c>
      <c r="B46" t="s">
        <v>271</v>
      </c>
      <c r="C46" t="s">
        <v>201</v>
      </c>
      <c r="D46" s="175">
        <f ca="1">DATE(YEAR('Budgeting Model'!$B$5)-'Employee Master'!H46,7,1)</f>
        <v>41821</v>
      </c>
      <c r="E46" s="74">
        <v>50194.454600207377</v>
      </c>
      <c r="F46" s="175">
        <f ca="1">'Budgeting Model'!$B$5-'Employee Master'!I46</f>
        <v>44572</v>
      </c>
      <c r="G46">
        <v>333</v>
      </c>
      <c r="H46" s="65">
        <v>8</v>
      </c>
      <c r="I46" s="8">
        <v>171</v>
      </c>
      <c r="L46" s="263"/>
    </row>
    <row r="47" spans="1:12">
      <c r="A47" s="92">
        <v>5857397</v>
      </c>
      <c r="B47" t="s">
        <v>272</v>
      </c>
      <c r="C47" t="s">
        <v>202</v>
      </c>
      <c r="D47" s="175">
        <f ca="1">'Budgeting Model'!$B$5+123</f>
        <v>44866</v>
      </c>
      <c r="E47" s="74">
        <v>83056.168204901012</v>
      </c>
      <c r="F47" s="175">
        <f ca="1">'Budgeting Model'!$B$5-'Employee Master'!I47</f>
        <v>44704</v>
      </c>
      <c r="G47">
        <v>106</v>
      </c>
      <c r="H47" s="65">
        <v>2</v>
      </c>
      <c r="I47" s="8">
        <v>39</v>
      </c>
      <c r="L47" s="263"/>
    </row>
    <row r="48" spans="1:12">
      <c r="A48" s="92">
        <v>5937943</v>
      </c>
      <c r="B48" t="s">
        <v>273</v>
      </c>
      <c r="C48" t="s">
        <v>203</v>
      </c>
      <c r="D48" s="175">
        <f ca="1">DATE(YEAR('Budgeting Model'!$B$5)-'Employee Master'!H48,7,1)</f>
        <v>39995</v>
      </c>
      <c r="E48" s="74">
        <v>73182.260557611007</v>
      </c>
      <c r="F48" s="175">
        <f ca="1">'Budgeting Model'!$B$5-'Employee Master'!I48</f>
        <v>44662</v>
      </c>
      <c r="G48">
        <v>143</v>
      </c>
      <c r="H48" s="65">
        <v>13</v>
      </c>
      <c r="I48" s="8">
        <v>81</v>
      </c>
      <c r="L48" s="263"/>
    </row>
    <row r="49" spans="1:12">
      <c r="A49" s="92">
        <v>5992705</v>
      </c>
      <c r="B49" t="s">
        <v>274</v>
      </c>
      <c r="C49" t="s">
        <v>204</v>
      </c>
      <c r="D49" s="175">
        <f ca="1">DATE(YEAR('Budgeting Model'!$B$5)-'Employee Master'!H49,7,1)</f>
        <v>41091</v>
      </c>
      <c r="E49" s="74">
        <v>47227.207773976283</v>
      </c>
      <c r="F49" s="175">
        <f ca="1">'Budgeting Model'!$B$5-'Employee Master'!I49</f>
        <v>44432</v>
      </c>
      <c r="G49">
        <v>34</v>
      </c>
      <c r="H49" s="65">
        <v>10</v>
      </c>
      <c r="I49" s="8">
        <v>311</v>
      </c>
      <c r="L49" s="263"/>
    </row>
    <row r="50" spans="1:12">
      <c r="A50" s="92">
        <v>6182382</v>
      </c>
      <c r="B50" t="s">
        <v>275</v>
      </c>
      <c r="C50" t="s">
        <v>205</v>
      </c>
      <c r="D50" s="175">
        <f ca="1">DATE(YEAR('Budgeting Model'!$B$5)-'Employee Master'!H50,7,1)</f>
        <v>39264</v>
      </c>
      <c r="E50" s="74">
        <v>68558.35810588504</v>
      </c>
      <c r="F50" s="175">
        <f ca="1">'Budgeting Model'!$B$5-'Employee Master'!I50</f>
        <v>44655</v>
      </c>
      <c r="G50">
        <v>362</v>
      </c>
      <c r="H50" s="65">
        <v>15</v>
      </c>
      <c r="I50" s="8">
        <v>88</v>
      </c>
      <c r="L50" s="263"/>
    </row>
    <row r="51" spans="1:12">
      <c r="A51" s="92">
        <v>6191433</v>
      </c>
      <c r="B51" t="s">
        <v>276</v>
      </c>
      <c r="C51" t="s">
        <v>206</v>
      </c>
      <c r="D51" s="175">
        <f ca="1">DATE(YEAR('Budgeting Model'!$B$5)-'Employee Master'!H51,7,1)</f>
        <v>39995</v>
      </c>
      <c r="E51" s="74">
        <v>79376.45668273553</v>
      </c>
      <c r="F51" s="175">
        <f ca="1">'Budgeting Model'!$B$5-'Employee Master'!I51</f>
        <v>44483</v>
      </c>
      <c r="G51">
        <v>311</v>
      </c>
      <c r="H51" s="65">
        <v>13</v>
      </c>
      <c r="I51" s="8">
        <v>260</v>
      </c>
      <c r="L51" s="263"/>
    </row>
    <row r="52" spans="1:12">
      <c r="A52" s="92">
        <v>6349261</v>
      </c>
      <c r="B52" t="s">
        <v>277</v>
      </c>
      <c r="C52" t="s">
        <v>207</v>
      </c>
      <c r="D52" s="175">
        <f ca="1">DATE(YEAR('Budgeting Model'!$B$5)-'Employee Master'!H52,7,1)</f>
        <v>44013</v>
      </c>
      <c r="E52" s="74">
        <v>68262.60991382091</v>
      </c>
      <c r="F52" s="175">
        <f ca="1">'Budgeting Model'!$B$5-'Employee Master'!I52</f>
        <v>44392</v>
      </c>
      <c r="G52">
        <v>270</v>
      </c>
      <c r="H52" s="65">
        <v>2</v>
      </c>
      <c r="I52" s="8">
        <v>351</v>
      </c>
      <c r="L52" s="263"/>
    </row>
    <row r="53" spans="1:12">
      <c r="A53" s="92">
        <v>6540916</v>
      </c>
      <c r="B53" t="s">
        <v>278</v>
      </c>
      <c r="C53" t="s">
        <v>208</v>
      </c>
      <c r="D53" s="175">
        <f ca="1">DATE(YEAR('Budgeting Model'!$B$5)-'Employee Master'!H53,7,1)</f>
        <v>38169</v>
      </c>
      <c r="E53" s="74">
        <v>69912.163925211236</v>
      </c>
      <c r="F53" s="175">
        <f ca="1">'Budgeting Model'!$B$5-'Employee Master'!I53</f>
        <v>44447</v>
      </c>
      <c r="G53">
        <v>110</v>
      </c>
      <c r="H53" s="65">
        <v>18</v>
      </c>
      <c r="I53" s="8">
        <v>296</v>
      </c>
      <c r="L53" s="263"/>
    </row>
    <row r="54" spans="1:12">
      <c r="A54" s="92">
        <v>6584356</v>
      </c>
      <c r="B54" t="s">
        <v>279</v>
      </c>
      <c r="C54" t="s">
        <v>209</v>
      </c>
      <c r="D54" s="175">
        <f ca="1">DATE(YEAR('Budgeting Model'!$B$5)-'Employee Master'!H54,7,1)</f>
        <v>40725</v>
      </c>
      <c r="E54" s="74">
        <v>65677.255370302213</v>
      </c>
      <c r="F54" s="175">
        <f ca="1">'Budgeting Model'!$B$5-'Employee Master'!I54</f>
        <v>44414</v>
      </c>
      <c r="G54">
        <v>93</v>
      </c>
      <c r="H54" s="65">
        <v>11</v>
      </c>
      <c r="I54" s="8">
        <v>329</v>
      </c>
      <c r="L54" s="263"/>
    </row>
    <row r="55" spans="1:12">
      <c r="A55" s="92">
        <v>6606821</v>
      </c>
      <c r="B55" t="s">
        <v>280</v>
      </c>
      <c r="C55" t="s">
        <v>210</v>
      </c>
      <c r="D55" s="175">
        <f ca="1">DATE(YEAR('Budgeting Model'!$B$5)-'Employee Master'!H55,7,1)</f>
        <v>41821</v>
      </c>
      <c r="E55" s="74">
        <v>89622.015137677226</v>
      </c>
      <c r="F55" s="175">
        <f ca="1">'Budgeting Model'!$B$5-'Employee Master'!I55</f>
        <v>44656</v>
      </c>
      <c r="G55">
        <v>193</v>
      </c>
      <c r="H55" s="65">
        <v>8</v>
      </c>
      <c r="I55" s="8">
        <v>87</v>
      </c>
      <c r="L55" s="263"/>
    </row>
    <row r="56" spans="1:12">
      <c r="A56" s="92">
        <v>6669387</v>
      </c>
      <c r="B56" t="s">
        <v>281</v>
      </c>
      <c r="C56" t="s">
        <v>211</v>
      </c>
      <c r="D56" s="175">
        <f ca="1">DATE(YEAR('Budgeting Model'!$B$5)-'Employee Master'!H56,7,1)</f>
        <v>43647</v>
      </c>
      <c r="E56" s="74">
        <v>76365.258444293722</v>
      </c>
      <c r="F56" s="175">
        <f ca="1">'Budgeting Model'!$B$5-'Employee Master'!I56</f>
        <v>44722</v>
      </c>
      <c r="G56">
        <v>334</v>
      </c>
      <c r="H56" s="65">
        <v>3</v>
      </c>
      <c r="I56" s="8">
        <v>21</v>
      </c>
      <c r="L56" s="263"/>
    </row>
    <row r="57" spans="1:12">
      <c r="A57" s="92">
        <v>6768299</v>
      </c>
      <c r="B57" t="s">
        <v>282</v>
      </c>
      <c r="C57" t="s">
        <v>212</v>
      </c>
      <c r="D57" s="175">
        <f ca="1">DATE(YEAR('Budgeting Model'!$B$5)-'Employee Master'!H57,7,1)</f>
        <v>39630</v>
      </c>
      <c r="E57" s="74">
        <v>54533.282461792362</v>
      </c>
      <c r="F57" s="175">
        <f ca="1">'Budgeting Model'!$B$5-'Employee Master'!I57</f>
        <v>44735</v>
      </c>
      <c r="G57">
        <v>33</v>
      </c>
      <c r="H57" s="65">
        <v>14</v>
      </c>
      <c r="I57" s="8">
        <v>8</v>
      </c>
      <c r="L57" s="263"/>
    </row>
    <row r="58" spans="1:12">
      <c r="A58" s="92">
        <v>6878675</v>
      </c>
      <c r="B58" t="s">
        <v>283</v>
      </c>
      <c r="C58" t="s">
        <v>213</v>
      </c>
      <c r="D58" s="175">
        <f ca="1">DATE(YEAR('Budgeting Model'!$B$5)-'Employee Master'!H58,7,1)</f>
        <v>40725</v>
      </c>
      <c r="E58" s="74">
        <v>65832.741189585315</v>
      </c>
      <c r="F58" s="175">
        <f ca="1">'Budgeting Model'!$B$5-'Employee Master'!I58</f>
        <v>44615</v>
      </c>
      <c r="G58">
        <v>289</v>
      </c>
      <c r="H58" s="65">
        <v>11</v>
      </c>
      <c r="I58" s="8">
        <v>128</v>
      </c>
      <c r="L58" s="263"/>
    </row>
    <row r="59" spans="1:12">
      <c r="A59" s="92">
        <v>7068036</v>
      </c>
      <c r="B59" t="s">
        <v>284</v>
      </c>
      <c r="C59" t="s">
        <v>214</v>
      </c>
      <c r="D59" s="175">
        <f ca="1">DATE(YEAR('Budgeting Model'!$B$5)-'Employee Master'!H59,7,1)</f>
        <v>41091</v>
      </c>
      <c r="E59" s="74">
        <v>62797.962137445531</v>
      </c>
      <c r="F59" s="175">
        <f ca="1">'Budgeting Model'!$B$5-'Employee Master'!I59</f>
        <v>44498</v>
      </c>
      <c r="G59">
        <v>250</v>
      </c>
      <c r="H59" s="65">
        <v>10</v>
      </c>
      <c r="I59" s="8">
        <v>245</v>
      </c>
      <c r="L59" s="263"/>
    </row>
    <row r="60" spans="1:12">
      <c r="A60" s="92">
        <v>7151567</v>
      </c>
      <c r="B60" t="s">
        <v>285</v>
      </c>
      <c r="C60" t="s">
        <v>215</v>
      </c>
      <c r="D60" s="175">
        <f ca="1">DATE(YEAR('Budgeting Model'!$B$5)-'Employee Master'!H60,7,1)</f>
        <v>43282</v>
      </c>
      <c r="E60" s="74">
        <v>72036.471157910637</v>
      </c>
      <c r="F60" s="175">
        <f ca="1">'Budgeting Model'!$B$5-'Employee Master'!I60</f>
        <v>44569</v>
      </c>
      <c r="G60">
        <v>130</v>
      </c>
      <c r="H60" s="65">
        <v>4</v>
      </c>
      <c r="I60" s="8">
        <v>174</v>
      </c>
      <c r="L60" s="263"/>
    </row>
    <row r="61" spans="1:12">
      <c r="A61" s="92">
        <v>7158061</v>
      </c>
      <c r="B61" t="s">
        <v>286</v>
      </c>
      <c r="C61" t="s">
        <v>216</v>
      </c>
      <c r="D61" s="175">
        <f ca="1">DATE(YEAR('Budgeting Model'!$B$5)-'Employee Master'!H61,7,1)</f>
        <v>37438</v>
      </c>
      <c r="E61" s="74">
        <v>65432.306672875085</v>
      </c>
      <c r="F61" s="175">
        <f ca="1">'Budgeting Model'!$B$5-'Employee Master'!I61</f>
        <v>44452</v>
      </c>
      <c r="G61">
        <v>27</v>
      </c>
      <c r="H61" s="65">
        <v>20</v>
      </c>
      <c r="I61" s="8">
        <v>291</v>
      </c>
      <c r="L61" s="263"/>
    </row>
    <row r="62" spans="1:12">
      <c r="A62" s="92">
        <v>7481703</v>
      </c>
      <c r="B62" t="s">
        <v>287</v>
      </c>
      <c r="C62" t="s">
        <v>217</v>
      </c>
      <c r="D62" s="175">
        <f ca="1">DATE(YEAR('Budgeting Model'!$B$5)-'Employee Master'!H62,7,1)</f>
        <v>40725</v>
      </c>
      <c r="E62" s="74">
        <v>41554.187361475633</v>
      </c>
      <c r="F62" s="175">
        <f ca="1">'Budgeting Model'!$B$5-'Employee Master'!I62</f>
        <v>44591</v>
      </c>
      <c r="G62">
        <v>83</v>
      </c>
      <c r="H62" s="65">
        <v>11</v>
      </c>
      <c r="I62" s="8">
        <v>152</v>
      </c>
      <c r="L62" s="263"/>
    </row>
    <row r="63" spans="1:12">
      <c r="A63" s="92">
        <v>7684611</v>
      </c>
      <c r="B63" t="s">
        <v>288</v>
      </c>
      <c r="C63" t="s">
        <v>218</v>
      </c>
      <c r="D63" s="175">
        <f ca="1">DATE(YEAR('Budgeting Model'!$B$5)-'Employee Master'!H63,7,1)</f>
        <v>39630</v>
      </c>
      <c r="E63" s="74">
        <v>50324.920437202782</v>
      </c>
      <c r="F63" s="175">
        <f ca="1">'Budgeting Model'!$B$5-'Employee Master'!I63</f>
        <v>44396</v>
      </c>
      <c r="G63">
        <v>209</v>
      </c>
      <c r="H63" s="65">
        <v>14</v>
      </c>
      <c r="I63" s="8">
        <v>347</v>
      </c>
      <c r="L63" s="263"/>
    </row>
    <row r="64" spans="1:12">
      <c r="A64" s="92">
        <v>7777919</v>
      </c>
      <c r="B64" t="s">
        <v>257</v>
      </c>
      <c r="C64" t="s">
        <v>219</v>
      </c>
      <c r="D64" s="175">
        <f ca="1">DATE(YEAR('Budgeting Model'!$B$5)-'Employee Master'!H64,7,1)</f>
        <v>41821</v>
      </c>
      <c r="E64" s="74">
        <v>44636.404484090825</v>
      </c>
      <c r="F64" s="175">
        <f ca="1">'Budgeting Model'!$B$5-'Employee Master'!I64</f>
        <v>44421</v>
      </c>
      <c r="G64">
        <v>77</v>
      </c>
      <c r="H64" s="65">
        <v>8</v>
      </c>
      <c r="I64" s="8">
        <v>322</v>
      </c>
      <c r="L64" s="263"/>
    </row>
    <row r="65" spans="1:12">
      <c r="A65" s="93">
        <v>7839723</v>
      </c>
      <c r="B65" t="s">
        <v>289</v>
      </c>
      <c r="C65" t="s">
        <v>220</v>
      </c>
      <c r="D65" s="175">
        <f ca="1">'Budgeting Model'!$B$5+15</f>
        <v>44758</v>
      </c>
      <c r="E65" s="74">
        <v>44914.228807177737</v>
      </c>
      <c r="F65" s="175">
        <f ca="1">'Budgeting Model'!$B$5-'Employee Master'!I65</f>
        <v>44661</v>
      </c>
      <c r="G65">
        <v>211</v>
      </c>
      <c r="H65" s="65">
        <v>5</v>
      </c>
      <c r="I65" s="8">
        <v>82</v>
      </c>
      <c r="L65" s="263"/>
    </row>
    <row r="66" spans="1:12">
      <c r="A66" s="92">
        <v>8406505</v>
      </c>
      <c r="B66" t="s">
        <v>290</v>
      </c>
      <c r="C66" t="s">
        <v>221</v>
      </c>
      <c r="D66" s="175">
        <f ca="1">DATE(YEAR('Budgeting Model'!$B$5)-'Employee Master'!H66,7,1)</f>
        <v>43647</v>
      </c>
      <c r="E66" s="74">
        <v>69920.61868203315</v>
      </c>
      <c r="F66" s="175">
        <f ca="1">'Budgeting Model'!$B$5-'Employee Master'!I66</f>
        <v>44554</v>
      </c>
      <c r="G66">
        <v>93</v>
      </c>
      <c r="H66" s="65">
        <v>3</v>
      </c>
      <c r="I66" s="8">
        <v>189</v>
      </c>
      <c r="L66" s="263"/>
    </row>
    <row r="67" spans="1:12">
      <c r="A67" s="92">
        <v>8694735</v>
      </c>
      <c r="B67" t="s">
        <v>291</v>
      </c>
      <c r="C67" t="s">
        <v>222</v>
      </c>
      <c r="D67" s="175">
        <f ca="1">DATE(YEAR('Budgeting Model'!$B$5)-'Employee Master'!H67,7,1)</f>
        <v>38899</v>
      </c>
      <c r="E67" s="74">
        <v>51759.61625085141</v>
      </c>
      <c r="F67" s="175">
        <f ca="1">'Budgeting Model'!$B$5-'Employee Master'!I67</f>
        <v>44710</v>
      </c>
      <c r="G67">
        <v>176</v>
      </c>
      <c r="H67" s="65">
        <v>16</v>
      </c>
      <c r="I67" s="8">
        <v>33</v>
      </c>
      <c r="L67" s="263"/>
    </row>
    <row r="68" spans="1:12">
      <c r="A68" s="92">
        <v>8723688</v>
      </c>
      <c r="B68" t="s">
        <v>292</v>
      </c>
      <c r="C68" t="s">
        <v>223</v>
      </c>
      <c r="D68" s="175">
        <f ca="1">DATE(YEAR('Budgeting Model'!$B$5)-'Employee Master'!H68,7,1)</f>
        <v>39630</v>
      </c>
      <c r="E68" s="74">
        <v>56928.864369479474</v>
      </c>
      <c r="F68" s="175">
        <f ca="1">'Budgeting Model'!$B$5-'Employee Master'!I68</f>
        <v>44405</v>
      </c>
      <c r="G68">
        <v>74</v>
      </c>
      <c r="H68" s="65">
        <v>14</v>
      </c>
      <c r="I68" s="8">
        <v>338</v>
      </c>
      <c r="L68" s="263"/>
    </row>
    <row r="69" spans="1:12">
      <c r="A69" s="92">
        <v>8841428</v>
      </c>
      <c r="B69" t="s">
        <v>293</v>
      </c>
      <c r="C69" t="s">
        <v>224</v>
      </c>
      <c r="D69" s="175">
        <f ca="1">DATE(YEAR('Budgeting Model'!$B$5)-'Employee Master'!H69,7,1)</f>
        <v>40360</v>
      </c>
      <c r="E69" s="74">
        <v>64147.578015211926</v>
      </c>
      <c r="F69" s="175">
        <f ca="1">'Budgeting Model'!$B$5-'Employee Master'!I69</f>
        <v>44417</v>
      </c>
      <c r="G69">
        <v>130</v>
      </c>
      <c r="H69" s="65">
        <v>12</v>
      </c>
      <c r="I69" s="8">
        <v>326</v>
      </c>
      <c r="L69" s="263"/>
    </row>
    <row r="70" spans="1:12">
      <c r="A70" s="92">
        <v>9015512</v>
      </c>
      <c r="B70" t="s">
        <v>294</v>
      </c>
      <c r="C70" t="s">
        <v>234</v>
      </c>
      <c r="D70" s="175">
        <f ca="1">DATE(YEAR('Budgeting Model'!$B$5)-'Employee Master'!H70,7,1)</f>
        <v>44378</v>
      </c>
      <c r="E70" s="74">
        <v>82154.467357095884</v>
      </c>
      <c r="F70" s="175">
        <f ca="1">'Budgeting Model'!$B$5-'Employee Master'!I70</f>
        <v>44613</v>
      </c>
      <c r="G70">
        <v>162</v>
      </c>
      <c r="H70" s="65">
        <v>1</v>
      </c>
      <c r="I70" s="8">
        <v>130</v>
      </c>
      <c r="L70" s="263"/>
    </row>
    <row r="71" spans="1:12">
      <c r="A71" s="92">
        <v>9072661</v>
      </c>
      <c r="B71" t="s">
        <v>304</v>
      </c>
      <c r="C71" t="s">
        <v>225</v>
      </c>
      <c r="D71" s="175">
        <f ca="1">DATE(YEAR('Budgeting Model'!$B$5)-'Employee Master'!H71,7,1)</f>
        <v>44013</v>
      </c>
      <c r="E71" s="74">
        <v>61083.58108021746</v>
      </c>
      <c r="F71" s="175">
        <f ca="1">'Budgeting Model'!$B$5-'Employee Master'!I71</f>
        <v>44668</v>
      </c>
      <c r="G71">
        <v>172</v>
      </c>
      <c r="H71" s="65">
        <v>2</v>
      </c>
      <c r="I71" s="8">
        <v>75</v>
      </c>
      <c r="L71" s="263"/>
    </row>
    <row r="72" spans="1:12">
      <c r="A72" s="92">
        <v>9078679</v>
      </c>
      <c r="B72" t="s">
        <v>295</v>
      </c>
      <c r="C72" t="s">
        <v>226</v>
      </c>
      <c r="D72" s="175">
        <f ca="1">DATE(YEAR('Budgeting Model'!$B$5)-'Employee Master'!H72,7,1)</f>
        <v>40360</v>
      </c>
      <c r="E72" s="74">
        <v>71274.239774832022</v>
      </c>
      <c r="F72" s="175">
        <f ca="1">'Budgeting Model'!$B$5-'Employee Master'!I72</f>
        <v>44678</v>
      </c>
      <c r="G72">
        <v>124</v>
      </c>
      <c r="H72" s="65">
        <v>12</v>
      </c>
      <c r="I72" s="8">
        <v>65</v>
      </c>
      <c r="L72" s="263"/>
    </row>
    <row r="73" spans="1:12">
      <c r="A73" s="92">
        <v>9238859</v>
      </c>
      <c r="B73" t="s">
        <v>296</v>
      </c>
      <c r="C73" t="s">
        <v>227</v>
      </c>
      <c r="D73" s="175">
        <f ca="1">'Budgeting Model'!$B$5+117</f>
        <v>44860</v>
      </c>
      <c r="E73" s="74">
        <v>52749.935741385481</v>
      </c>
      <c r="F73" s="175">
        <f ca="1">'Budgeting Model'!$B$5-'Employee Master'!I73</f>
        <v>44504</v>
      </c>
      <c r="G73">
        <v>104</v>
      </c>
      <c r="H73" s="65">
        <v>14</v>
      </c>
      <c r="I73" s="8">
        <v>239</v>
      </c>
      <c r="L73" s="263"/>
    </row>
    <row r="74" spans="1:12">
      <c r="A74" s="92">
        <v>9246666</v>
      </c>
      <c r="B74" t="s">
        <v>297</v>
      </c>
      <c r="C74" t="s">
        <v>228</v>
      </c>
      <c r="D74" s="175">
        <f ca="1">DATE(YEAR('Budgeting Model'!$B$5)-'Employee Master'!H74,7,1)</f>
        <v>44378</v>
      </c>
      <c r="E74" s="74">
        <v>46246.841724590704</v>
      </c>
      <c r="F74" s="175">
        <f ca="1">'Budgeting Model'!$B$5-'Employee Master'!I74</f>
        <v>44497</v>
      </c>
      <c r="G74">
        <v>90</v>
      </c>
      <c r="H74" s="65">
        <v>1</v>
      </c>
      <c r="I74" s="8">
        <v>246</v>
      </c>
      <c r="L74" s="263"/>
    </row>
    <row r="75" spans="1:12">
      <c r="A75" s="92">
        <v>9495233</v>
      </c>
      <c r="B75" t="s">
        <v>298</v>
      </c>
      <c r="C75" t="s">
        <v>229</v>
      </c>
      <c r="D75" s="175">
        <f ca="1">DATE(YEAR('Budgeting Model'!$B$5)-'Employee Master'!H75,7,1)</f>
        <v>43647</v>
      </c>
      <c r="E75" s="74">
        <v>89748.843404155748</v>
      </c>
      <c r="F75" s="175">
        <f ca="1">'Budgeting Model'!$B$5-'Employee Master'!I75</f>
        <v>44557</v>
      </c>
      <c r="G75">
        <v>18</v>
      </c>
      <c r="H75" s="65">
        <v>3</v>
      </c>
      <c r="I75" s="8">
        <v>186</v>
      </c>
      <c r="L75" s="263"/>
    </row>
    <row r="76" spans="1:12">
      <c r="A76" s="92">
        <v>9599390</v>
      </c>
      <c r="B76" t="s">
        <v>299</v>
      </c>
      <c r="C76" t="s">
        <v>230</v>
      </c>
      <c r="D76" s="175">
        <f ca="1">DATE(YEAR('Budgeting Model'!$B$5)-'Employee Master'!H76,7,1)</f>
        <v>44743</v>
      </c>
      <c r="E76" s="74">
        <v>42725.606051473347</v>
      </c>
      <c r="F76" s="175">
        <f ca="1">'Budgeting Model'!$B$5-'Employee Master'!I76</f>
        <v>44518</v>
      </c>
      <c r="G76">
        <v>61</v>
      </c>
      <c r="H76" s="65">
        <v>0</v>
      </c>
      <c r="I76" s="8">
        <v>225</v>
      </c>
      <c r="L76" s="263"/>
    </row>
    <row r="77" spans="1:12">
      <c r="A77" s="92">
        <v>9785047</v>
      </c>
      <c r="B77" t="s">
        <v>300</v>
      </c>
      <c r="C77" t="s">
        <v>231</v>
      </c>
      <c r="D77" s="175">
        <f ca="1">DATE(YEAR('Budgeting Model'!$B$5)-'Employee Master'!H77,7,1)</f>
        <v>37438</v>
      </c>
      <c r="E77" s="74">
        <v>67239.731874022589</v>
      </c>
      <c r="F77" s="175">
        <f ca="1">'Budgeting Model'!$B$5-'Employee Master'!I77</f>
        <v>44586</v>
      </c>
      <c r="G77">
        <v>171</v>
      </c>
      <c r="H77" s="65">
        <v>20</v>
      </c>
      <c r="I77" s="8">
        <v>157</v>
      </c>
      <c r="L77" s="263"/>
    </row>
    <row r="78" spans="1:12">
      <c r="A78" s="92">
        <v>9791948</v>
      </c>
      <c r="B78" t="s">
        <v>301</v>
      </c>
      <c r="C78" t="s">
        <v>232</v>
      </c>
      <c r="D78" s="175">
        <f ca="1">DATE(YEAR('Budgeting Model'!$B$5)-'Employee Master'!H78,7,1)</f>
        <v>43282</v>
      </c>
      <c r="E78" s="74">
        <v>85186.043906849838</v>
      </c>
      <c r="F78" s="175">
        <f ca="1">'Budgeting Model'!$B$5-'Employee Master'!I78</f>
        <v>44398</v>
      </c>
      <c r="G78">
        <v>139</v>
      </c>
      <c r="H78" s="65">
        <v>4</v>
      </c>
      <c r="I78" s="8">
        <v>345</v>
      </c>
      <c r="L78" s="263"/>
    </row>
    <row r="79" spans="1:12">
      <c r="A79" s="92">
        <v>9886381</v>
      </c>
      <c r="B79" t="s">
        <v>302</v>
      </c>
      <c r="C79" t="s">
        <v>233</v>
      </c>
      <c r="D79" s="175">
        <f ca="1">DATE(YEAR('Budgeting Model'!$B$5)-'Employee Master'!H79,7,1)</f>
        <v>44743</v>
      </c>
      <c r="E79" s="74">
        <v>82187.051807376789</v>
      </c>
      <c r="F79" s="175">
        <f ca="1">'Budgeting Model'!$B$5-'Employee Master'!I79</f>
        <v>44435</v>
      </c>
      <c r="G79">
        <v>338</v>
      </c>
      <c r="H79" s="65">
        <v>0</v>
      </c>
      <c r="I79" s="8">
        <v>308</v>
      </c>
      <c r="L79" s="263"/>
    </row>
    <row r="80" spans="1:12">
      <c r="A80" s="92"/>
      <c r="B80"/>
      <c r="C80"/>
      <c r="G80"/>
    </row>
    <row r="81" spans="1:7">
      <c r="A81" s="92"/>
      <c r="B81"/>
      <c r="C81"/>
      <c r="G81"/>
    </row>
    <row r="82" spans="1:7">
      <c r="A82" s="92"/>
      <c r="B82"/>
      <c r="C82"/>
      <c r="G82"/>
    </row>
    <row r="83" spans="1:7">
      <c r="A83" s="92"/>
      <c r="B83"/>
      <c r="C83"/>
      <c r="G83"/>
    </row>
    <row r="84" spans="1:7">
      <c r="A84" s="92"/>
      <c r="B84"/>
      <c r="C84"/>
    </row>
    <row r="85" spans="1:7">
      <c r="A85" s="92"/>
      <c r="B85"/>
      <c r="C85"/>
    </row>
    <row r="86" spans="1:7">
      <c r="A86" s="92"/>
      <c r="B86"/>
      <c r="C86"/>
    </row>
    <row r="87" spans="1:7">
      <c r="A87" s="92"/>
      <c r="B87"/>
      <c r="C87"/>
    </row>
    <row r="88" spans="1:7">
      <c r="A88" s="92"/>
      <c r="B88"/>
      <c r="C88"/>
    </row>
    <row r="89" spans="1:7">
      <c r="A89" s="92"/>
      <c r="B89"/>
      <c r="C89"/>
    </row>
    <row r="90" spans="1:7">
      <c r="A90" s="92"/>
      <c r="B90"/>
      <c r="C90"/>
    </row>
    <row r="91" spans="1:7">
      <c r="A91" s="92"/>
      <c r="B91"/>
      <c r="C91"/>
    </row>
    <row r="92" spans="1:7">
      <c r="A92" s="92"/>
      <c r="B92"/>
      <c r="C92"/>
    </row>
    <row r="93" spans="1:7">
      <c r="A93" s="92"/>
      <c r="B93"/>
      <c r="C93"/>
    </row>
    <row r="94" spans="1:7">
      <c r="A94" s="92"/>
      <c r="B94"/>
      <c r="C94"/>
    </row>
    <row r="95" spans="1:7">
      <c r="A95" s="92"/>
      <c r="C95"/>
    </row>
    <row r="96" spans="1:7">
      <c r="A96" s="92"/>
      <c r="C96"/>
    </row>
    <row r="97" spans="1:3">
      <c r="A97" s="92"/>
      <c r="C97"/>
    </row>
    <row r="98" spans="1:3">
      <c r="A98" s="92"/>
      <c r="C98"/>
    </row>
    <row r="99" spans="1:3">
      <c r="C99"/>
    </row>
  </sheetData>
  <sheetProtection formatCells="0"/>
  <autoFilter ref="A6:AX83" xr:uid="{00000000-0001-0000-0400-000000000000}"/>
  <sortState xmlns:xlrd2="http://schemas.microsoft.com/office/spreadsheetml/2017/richdata2" ref="A7:A98">
    <sortCondition ref="A7:A98"/>
  </sortState>
  <pageMargins left="0.7" right="0.7" top="0.75" bottom="0.75" header="0.3" footer="0.3"/>
  <pageSetup scale="96" fitToHeight="10" orientation="landscape" horizontalDpi="0" verticalDpi="0"/>
  <headerFooter>
    <oddFooter>&amp;L&amp;"Helvetica,Regular"&amp;K000000© All rights reserved, 2019, Marianne Wolk &amp; Richard Horwitz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8F16-A77C-2649-8F5A-49E51997DAC9}">
  <sheetPr published="0"/>
  <dimension ref="A3:AP132"/>
  <sheetViews>
    <sheetView workbookViewId="0">
      <selection activeCell="E11" sqref="E11"/>
    </sheetView>
  </sheetViews>
  <sheetFormatPr defaultColWidth="11" defaultRowHeight="15.75"/>
  <cols>
    <col min="3" max="3" width="13.125" customWidth="1"/>
    <col min="4" max="4" width="12.625" customWidth="1"/>
    <col min="5" max="5" width="11.5" bestFit="1" customWidth="1"/>
  </cols>
  <sheetData>
    <row r="3" spans="1:42" ht="16.5" thickBot="1"/>
    <row r="4" spans="1:42" ht="16.5" thickBot="1">
      <c r="A4" s="89"/>
      <c r="B4" s="133">
        <f ca="1">TODAY()</f>
        <v>45041</v>
      </c>
      <c r="C4" s="134" t="s">
        <v>325</v>
      </c>
      <c r="D4" s="88"/>
      <c r="E4" s="6"/>
      <c r="F4" s="6"/>
      <c r="G4" s="116"/>
      <c r="H4" s="9"/>
      <c r="I4" s="148"/>
      <c r="J4" s="116"/>
      <c r="W4" s="9"/>
      <c r="AC4" s="120"/>
      <c r="AL4" s="118"/>
    </row>
    <row r="5" spans="1:42" ht="16.5" thickBot="1">
      <c r="A5" s="89"/>
      <c r="B5" s="97">
        <f ca="1">IF(MONTH(B4)&gt;6,DATE(YEAR(B4),7,1),DATE(YEAR(B4)-1,7,1))</f>
        <v>44743</v>
      </c>
      <c r="C5" s="134" t="s">
        <v>431</v>
      </c>
      <c r="D5" s="88"/>
      <c r="E5" s="6"/>
      <c r="F5" s="6"/>
      <c r="G5" s="6"/>
      <c r="H5" s="9"/>
      <c r="J5" s="116"/>
      <c r="N5" s="148"/>
      <c r="O5" s="148"/>
      <c r="W5" s="9"/>
      <c r="AL5" s="118"/>
    </row>
    <row r="6" spans="1:42" ht="16.5" thickBot="1">
      <c r="A6" s="89"/>
      <c r="B6" s="97">
        <f ca="1">IF(MONTH(B4)&gt;6,DATE(YEAR(B4)+1,6,30),DATE(YEAR(B4),6,30))</f>
        <v>45107</v>
      </c>
      <c r="C6" s="134" t="s">
        <v>442</v>
      </c>
      <c r="D6" s="88"/>
      <c r="E6" s="6"/>
      <c r="F6" s="274" t="s">
        <v>498</v>
      </c>
      <c r="G6" s="274"/>
      <c r="H6" s="167"/>
      <c r="I6" s="275" t="s">
        <v>59</v>
      </c>
      <c r="J6" s="276"/>
      <c r="P6" s="127">
        <f ca="1">IF(O6="",IF($D6="Vacant",$B$5+90,$B$5),$K6)</f>
        <v>44743</v>
      </c>
      <c r="W6" s="167"/>
      <c r="X6" s="272" t="s">
        <v>340</v>
      </c>
      <c r="Y6" s="272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62"/>
      <c r="AM6" s="275" t="s">
        <v>60</v>
      </c>
      <c r="AN6" s="276"/>
    </row>
    <row r="7" spans="1:42" ht="16.5" thickBot="1">
      <c r="A7" s="89"/>
      <c r="B7" s="98">
        <f ca="1">NETWORKDAYS(B5,B6)</f>
        <v>261</v>
      </c>
      <c r="C7" s="134" t="s">
        <v>358</v>
      </c>
      <c r="D7" s="88"/>
      <c r="E7" s="67"/>
      <c r="F7" s="152" t="s">
        <v>463</v>
      </c>
      <c r="G7" s="152" t="s">
        <v>464</v>
      </c>
      <c r="H7" s="168"/>
      <c r="I7" s="275"/>
      <c r="J7" s="276"/>
      <c r="W7" s="168"/>
      <c r="X7" s="272"/>
      <c r="Y7" s="272"/>
      <c r="AL7" s="163"/>
      <c r="AM7" s="275"/>
      <c r="AN7" s="276"/>
    </row>
    <row r="8" spans="1:42" ht="16.5" thickBot="1">
      <c r="A8" s="89"/>
      <c r="B8" s="98" t="str">
        <f ca="1">RIGHT(YEAR(B6),2)</f>
        <v>23</v>
      </c>
      <c r="C8" s="134" t="s">
        <v>359</v>
      </c>
      <c r="D8" s="88"/>
      <c r="E8" s="6"/>
      <c r="F8" s="151">
        <v>0.03</v>
      </c>
      <c r="G8" s="165">
        <v>0.04</v>
      </c>
      <c r="H8" s="168"/>
      <c r="I8" s="6"/>
      <c r="J8" s="153"/>
      <c r="W8" s="168"/>
      <c r="X8" s="11"/>
      <c r="Y8" s="11"/>
      <c r="AC8" s="135"/>
      <c r="AI8" s="136"/>
      <c r="AJ8" s="136"/>
      <c r="AK8" s="136"/>
      <c r="AL8" s="163"/>
      <c r="AM8" s="6"/>
    </row>
    <row r="9" spans="1:42" ht="16.5" thickBot="1">
      <c r="A9" s="91"/>
      <c r="B9" s="98">
        <f ca="1">B8-1</f>
        <v>22</v>
      </c>
      <c r="C9" s="134" t="s">
        <v>346</v>
      </c>
      <c r="D9" s="88"/>
      <c r="E9" s="6"/>
      <c r="F9" s="6"/>
      <c r="G9" s="6"/>
      <c r="H9" s="168"/>
      <c r="I9" s="6"/>
      <c r="J9" s="6"/>
      <c r="M9" s="6"/>
      <c r="T9" s="71"/>
      <c r="U9" s="71"/>
      <c r="V9" s="71"/>
      <c r="W9" s="168"/>
      <c r="X9" s="11"/>
      <c r="Y9" s="11"/>
      <c r="AL9" s="163"/>
      <c r="AM9" s="117"/>
      <c r="AN9" s="161" t="s">
        <v>479</v>
      </c>
      <c r="AO9" s="119"/>
      <c r="AP9" s="161" t="s">
        <v>481</v>
      </c>
    </row>
    <row r="10" spans="1:42" ht="52.5" thickBot="1">
      <c r="A10" s="154" t="s">
        <v>68</v>
      </c>
      <c r="B10" s="154" t="s">
        <v>67</v>
      </c>
      <c r="C10" s="154" t="s">
        <v>357</v>
      </c>
      <c r="D10" s="154" t="s">
        <v>66</v>
      </c>
      <c r="E10" s="155" t="str">
        <f ca="1">'Employee Master'!E6</f>
        <v>Salary as of 06/28/22</v>
      </c>
      <c r="F10" s="155" t="str">
        <f ca="1">"Increase Before  FY "&amp;B8</f>
        <v>Increase Before  FY 23</v>
      </c>
      <c r="G10" s="166" t="str">
        <f ca="1">"Salary Beginning FY "&amp;B8</f>
        <v>Salary Beginning FY 23</v>
      </c>
      <c r="H10" s="169" t="s">
        <v>347</v>
      </c>
      <c r="I10" s="154" t="s">
        <v>401</v>
      </c>
      <c r="J10" s="154" t="s">
        <v>409</v>
      </c>
      <c r="K10" s="154" t="s">
        <v>415</v>
      </c>
      <c r="L10" s="154" t="s">
        <v>331</v>
      </c>
      <c r="M10" s="154" t="s">
        <v>418</v>
      </c>
      <c r="N10" s="154" t="s">
        <v>327</v>
      </c>
      <c r="O10" s="154" t="s">
        <v>419</v>
      </c>
      <c r="P10" s="154" t="s">
        <v>328</v>
      </c>
      <c r="Q10" s="154" t="s">
        <v>329</v>
      </c>
      <c r="R10" s="154" t="s">
        <v>330</v>
      </c>
      <c r="S10" s="154" t="s">
        <v>333</v>
      </c>
      <c r="T10" s="154" t="s">
        <v>422</v>
      </c>
      <c r="U10" s="154" t="s">
        <v>402</v>
      </c>
      <c r="V10" s="154" t="s">
        <v>467</v>
      </c>
      <c r="W10" s="169" t="s">
        <v>348</v>
      </c>
      <c r="X10" s="154" t="s">
        <v>400</v>
      </c>
      <c r="Y10" s="154" t="s">
        <v>408</v>
      </c>
      <c r="Z10" s="154" t="s">
        <v>416</v>
      </c>
      <c r="AA10" s="154" t="s">
        <v>334</v>
      </c>
      <c r="AB10" s="154" t="s">
        <v>417</v>
      </c>
      <c r="AC10" s="154" t="s">
        <v>335</v>
      </c>
      <c r="AD10" s="154" t="s">
        <v>420</v>
      </c>
      <c r="AE10" s="154" t="s">
        <v>336</v>
      </c>
      <c r="AF10" s="154" t="s">
        <v>337</v>
      </c>
      <c r="AG10" s="154" t="s">
        <v>338</v>
      </c>
      <c r="AH10" s="154" t="s">
        <v>339</v>
      </c>
      <c r="AI10" s="154" t="s">
        <v>421</v>
      </c>
      <c r="AJ10" s="154" t="s">
        <v>399</v>
      </c>
      <c r="AK10" s="154" t="s">
        <v>480</v>
      </c>
      <c r="AL10" s="164" t="s">
        <v>349</v>
      </c>
      <c r="AM10" s="154" t="s">
        <v>63</v>
      </c>
      <c r="AN10" s="154" t="s">
        <v>64</v>
      </c>
      <c r="AO10" s="154" t="s">
        <v>332</v>
      </c>
      <c r="AP10" s="154" t="s">
        <v>332</v>
      </c>
    </row>
    <row r="11" spans="1:42" ht="16.5" thickBot="1">
      <c r="A11" s="92" t="s">
        <v>69</v>
      </c>
      <c r="B11" s="124" t="str">
        <f>IFERROR(VLOOKUP($A11,'Position Master'!B:C,2,FALSE),"Missing")</f>
        <v>Dept 8</v>
      </c>
      <c r="C11" s="98" t="str">
        <f ca="1">IFERROR(VLOOKUP($D11,'Employee Master'!$A:$F,3,FALSE)&amp;", "&amp;VLOOKUP($D11,'Employee Master'!$A:$F,2,FALSE),"Vacant")</f>
        <v>Bhuiyan, Aaron</v>
      </c>
      <c r="D11" s="98">
        <f>IF(INDEX('Position Master'!$A$7:$A$97,MATCH(A11,'Position Master'!$B$7:$B$97,0))=0,"Vacant",INDEX('Position Master'!$A$7:$A$97,MATCH(A11,'Position Master'!$B$7:$B$97,0)))</f>
        <v>2206493</v>
      </c>
      <c r="E11" s="156">
        <f ca="1">IFERROR(VLOOKUP(D11,'Employee Master'!A:F,5,FALSE),"")</f>
        <v>54049.903506884861</v>
      </c>
      <c r="F11" s="157" t="str">
        <f ca="1">IF(C11="Vacant","No",IF(AND(VLOOKUP(D11,'Employee Master'!A:F,6,FALSE)+360&lt;B$4,VLOOKUP(D11,'Employee Master'!A:F,6,FALSE)+360&lt;B5),"Yes","No"))</f>
        <v>No</v>
      </c>
      <c r="G11" s="156">
        <f ca="1">IF(C11="Vacant",VLOOKUP(A11,'Position Master'!B:D,3,FALSE),E11)*(1+IF(F11="Yes",F$8,0))</f>
        <v>54049.903506884861</v>
      </c>
      <c r="H11" s="125"/>
      <c r="I11" s="182" t="str">
        <f>IF('Budgeting Model'!I11="","",'Budgeting Model'!I11)</f>
        <v/>
      </c>
      <c r="J11" s="130">
        <f t="shared" ref="J11:J42" ca="1" si="0">$G11*(1+IF(I11="",$G$8,I11))</f>
        <v>56211.899647160259</v>
      </c>
      <c r="K11" s="149" t="str">
        <f>IF('Budgeting Model'!K11="","",'Budgeting Model'!K11)</f>
        <v/>
      </c>
      <c r="L11" s="127">
        <f t="shared" ref="L11:L74" ca="1" si="1">IF(K11="",IF($D11="Vacant",$B$5+90,$B$5),K11)</f>
        <v>44743</v>
      </c>
      <c r="M11" s="149" t="str">
        <f>IF('Budgeting Model'!M11="","",'Budgeting Model'!M11)</f>
        <v/>
      </c>
      <c r="N11" s="127">
        <f ca="1">IF(M11="",IFERROR(VLOOKUP($D11,'Employee Master'!$A:$F,6,FALSE)+365,""),M11)</f>
        <v>44906</v>
      </c>
      <c r="O11" s="149" t="str">
        <f>IF('Budgeting Model'!O11="","",'Budgeting Model'!O11)</f>
        <v/>
      </c>
      <c r="P11" s="127">
        <f ca="1">IF(O11="",$B$6,O11)</f>
        <v>45107</v>
      </c>
      <c r="Q11" s="131">
        <f t="shared" ref="Q11:Q74" ca="1" si="2">IF(N11="",NETWORKDAYS(L11,P11),NETWORKDAYS(L11,N11-1))</f>
        <v>116</v>
      </c>
      <c r="R11" s="131">
        <f t="shared" ref="R11:R74" ca="1" si="3">IF(N11="",0,NETWORKDAYS(N11,P11))</f>
        <v>145</v>
      </c>
      <c r="S11" s="131">
        <f ca="1">Q11+R11</f>
        <v>261</v>
      </c>
      <c r="T11" s="158">
        <f ca="1">G11*Q11/S11+J11*R11/S11</f>
        <v>55251.012473704526</v>
      </c>
      <c r="U11" s="156">
        <f t="shared" ref="U11:U74" ca="1" si="4">G11*Q11/$B$7+J11*R11/$B$7</f>
        <v>55251.012473704526</v>
      </c>
      <c r="V11" s="130">
        <f t="shared" ref="V11:V74" ca="1" si="5">IF($B$4&gt;P11,0,IF(OR(N11="",$B$4&lt;L11),U11,IF($B$4&lt;N11,NETWORKDAYS($B$4,N11-1)*$G11/$B$7+R11*J11/$B$7,NETWORKDAYS($B$4,P11)*J11/$B$7)))</f>
        <v>10553.191887781046</v>
      </c>
      <c r="W11" s="129"/>
      <c r="X11" s="149" t="str">
        <f>IF('Budgeting Model'!X11="","",'Budgeting Model'!X11)</f>
        <v/>
      </c>
      <c r="Y11" s="130">
        <f t="shared" ref="Y11:Y42" ca="1" si="6">$G11*(1+IF(X11="",$G$8,X11))</f>
        <v>56211.899647160259</v>
      </c>
      <c r="Z11" s="149" t="str">
        <f>IF('Budgeting Model'!Z11="","",'Budgeting Model'!Z11)</f>
        <v/>
      </c>
      <c r="AA11" s="127">
        <f t="shared" ref="AA11:AA74" ca="1" si="7">IF(Z11="",IF($D11="Vacant",$B$5+90,$B$5),Z11)</f>
        <v>44743</v>
      </c>
      <c r="AB11" s="149" t="str">
        <f>IF('Budgeting Model'!AB11="","",'Budgeting Model'!AB11)</f>
        <v/>
      </c>
      <c r="AC11" s="127">
        <f ca="1">IF(AB11="",IFERROR(VLOOKUP($D11,'Employee Master'!$A:$F,6,FALSE)+365,""),AB11)</f>
        <v>44906</v>
      </c>
      <c r="AD11" s="149"/>
      <c r="AE11" s="127">
        <f ca="1">IF(AD11="",$B$6,AD11)</f>
        <v>45107</v>
      </c>
      <c r="AF11" s="131">
        <f ca="1">IF(AC11="",NETWORKDAYS(AA11,AE11),NETWORKDAYS(AA11,AC11-1))</f>
        <v>116</v>
      </c>
      <c r="AG11" s="131">
        <f ca="1">IF(AC11="",0,NETWORKDAYS(AC11,AE11))</f>
        <v>145</v>
      </c>
      <c r="AH11" s="131">
        <f ca="1">AF11+AG11</f>
        <v>261</v>
      </c>
      <c r="AI11" s="158">
        <f t="shared" ref="AI11:AI74" ca="1" si="8">G11*AF11/AH11+Y11*AG11/AH11</f>
        <v>55251.012473704526</v>
      </c>
      <c r="AJ11" s="156">
        <f t="shared" ref="AJ11:AJ74" ca="1" si="9">G11*AF11/$B$7+Y11*AG11/$B$7</f>
        <v>55251.012473704526</v>
      </c>
      <c r="AK11" s="130">
        <f t="shared" ref="AK11" ca="1" si="10">IF($B$4&gt;AE11,0,IF(OR(AC11="",$B$4&lt;AA11),AJ11,IF($B$4&lt;AC11,NETWORKDAYS($B$4,AC11-1)*$G11/$B$7+AG11*Y11/$B$7,NETWORKDAYS($B$4,AE11)*Y11/$B$7)))</f>
        <v>10553.191887781046</v>
      </c>
      <c r="AL11" s="132"/>
      <c r="AM11" s="130">
        <f t="shared" ref="AM11:AM74" ca="1" si="11">AI11-T11</f>
        <v>0</v>
      </c>
      <c r="AN11" s="130">
        <f ca="1">AO11-AM11</f>
        <v>0</v>
      </c>
      <c r="AO11" s="130">
        <f t="shared" ref="AO11:AP42" ca="1" si="12">AJ11-U11</f>
        <v>0</v>
      </c>
      <c r="AP11" s="130">
        <f ca="1">AK11-V11</f>
        <v>0</v>
      </c>
    </row>
    <row r="12" spans="1:42" ht="16.5" thickBot="1">
      <c r="A12" s="92" t="s">
        <v>70</v>
      </c>
      <c r="B12" s="124" t="str">
        <f>IFERROR(VLOOKUP($A12,'Position Master'!B:C,2,FALSE),"Missing")</f>
        <v>Dept 8</v>
      </c>
      <c r="C12" s="98" t="str">
        <f ca="1">IFERROR(VLOOKUP($D12,'Employee Master'!$A:$F,3,FALSE)&amp;", "&amp;VLOOKUP($D12,'Employee Master'!$A:$F,2,FALSE),"Vacant")</f>
        <v>Vacant</v>
      </c>
      <c r="D12" s="98" t="str">
        <f>IF(INDEX('Position Master'!$A$7:$A$97,MATCH(A12,'Position Master'!$B$7:$B$97,0))=0,"Vacant",INDEX('Position Master'!$A$7:$A$97,MATCH(A12,'Position Master'!$B$7:$B$97,0)))</f>
        <v>Vacant</v>
      </c>
      <c r="E12" s="156" t="str">
        <f ca="1">IFERROR(VLOOKUP(D12,'Employee Master'!A:F,5,FALSE),"")</f>
        <v/>
      </c>
      <c r="F12" s="157" t="str">
        <f ca="1">IF(C12="Vacant","No",IF(AND(VLOOKUP(D12,'Employee Master'!A:F,6,FALSE)+360&lt;B$4,VLOOKUP(D12,'Employee Master'!A:F,6,FALSE)+360&lt;B6),"Yes","No"))</f>
        <v>No</v>
      </c>
      <c r="G12" s="156">
        <f ca="1">IF(C12="Vacant",VLOOKUP(A12,'Position Master'!B:D,3,FALSE),E12)*(1+IF(F12="Yes",F$8,0))</f>
        <v>56644.13241433927</v>
      </c>
      <c r="H12" s="125"/>
      <c r="I12" s="182" t="str">
        <f>IF('Budgeting Model'!I12="","",'Budgeting Model'!I12)</f>
        <v/>
      </c>
      <c r="J12" s="130">
        <f t="shared" ca="1" si="0"/>
        <v>58909.897710912846</v>
      </c>
      <c r="K12" s="149" t="str">
        <f>IF('Budgeting Model'!K12="","",'Budgeting Model'!K12)</f>
        <v/>
      </c>
      <c r="L12" s="127">
        <f t="shared" ca="1" si="1"/>
        <v>44833</v>
      </c>
      <c r="M12" s="149" t="str">
        <f>IF('Budgeting Model'!M12="","",'Budgeting Model'!M12)</f>
        <v/>
      </c>
      <c r="N12" s="127" t="str">
        <f ca="1">IF(M12="",IFERROR(VLOOKUP($D12,'Employee Master'!$A:$F,6,FALSE)+365,""),M12)</f>
        <v/>
      </c>
      <c r="O12" s="149" t="str">
        <f>IF('Budgeting Model'!O12="","",'Budgeting Model'!O12)</f>
        <v/>
      </c>
      <c r="P12" s="127">
        <f t="shared" ref="P12:P75" ca="1" si="13">IF(O12="",$B$6,O12)</f>
        <v>45107</v>
      </c>
      <c r="Q12" s="131">
        <f t="shared" ca="1" si="2"/>
        <v>197</v>
      </c>
      <c r="R12" s="131">
        <f t="shared" ca="1" si="3"/>
        <v>0</v>
      </c>
      <c r="S12" s="131">
        <f t="shared" ref="S12:S75" ca="1" si="14">Q12+R12</f>
        <v>197</v>
      </c>
      <c r="T12" s="158">
        <f t="shared" ref="T12:T75" ca="1" si="15">G12*Q12/S12+J12*R12/S12</f>
        <v>56644.13241433927</v>
      </c>
      <c r="U12" s="156">
        <f t="shared" ca="1" si="4"/>
        <v>42754.383469826957</v>
      </c>
      <c r="V12" s="130">
        <f t="shared" ca="1" si="5"/>
        <v>42754.383469826957</v>
      </c>
      <c r="W12" s="77"/>
      <c r="X12" s="149">
        <f>IF('Budgeting Model'!X12="","",'Budgeting Model'!X12)</f>
        <v>0.05</v>
      </c>
      <c r="Y12" s="130">
        <f t="shared" ca="1" si="6"/>
        <v>59476.339035056233</v>
      </c>
      <c r="Z12" s="149" t="str">
        <f>IF('Budgeting Model'!Z12="","",'Budgeting Model'!Z12)</f>
        <v/>
      </c>
      <c r="AA12" s="127">
        <f t="shared" ca="1" si="7"/>
        <v>44833</v>
      </c>
      <c r="AB12" s="149" t="str">
        <f>IF('Budgeting Model'!AB12="","",'Budgeting Model'!AB12)</f>
        <v/>
      </c>
      <c r="AC12" s="127" t="str">
        <f ca="1">IF(AB12="",IFERROR(VLOOKUP($D12,'Employee Master'!$A:$F,6,FALSE)+365,""),AB12)</f>
        <v/>
      </c>
      <c r="AD12" s="149"/>
      <c r="AE12" s="127">
        <f t="shared" ref="AE12:AE75" ca="1" si="16">IF(AD12="",$B$6,AD12)</f>
        <v>45107</v>
      </c>
      <c r="AF12" s="131">
        <f t="shared" ref="AF12:AF67" ca="1" si="17">IF(AC12="",NETWORKDAYS(AA12,AE12),NETWORKDAYS(AA12,AC12-1))</f>
        <v>197</v>
      </c>
      <c r="AG12" s="131">
        <f t="shared" ref="AG12:AG67" ca="1" si="18">IF(AC12="",0,NETWORKDAYS(AC12,AE12))</f>
        <v>0</v>
      </c>
      <c r="AH12" s="131">
        <f t="shared" ref="AH12:AH75" ca="1" si="19">AF12+AG12</f>
        <v>197</v>
      </c>
      <c r="AI12" s="158">
        <f t="shared" ca="1" si="8"/>
        <v>56644.13241433927</v>
      </c>
      <c r="AJ12" s="156">
        <f t="shared" ca="1" si="9"/>
        <v>42754.383469826957</v>
      </c>
      <c r="AK12" s="130" cm="1">
        <f t="array" aca="1" ref="AK12" ca="1">IF($B$4&gt;AE12,0,IF(OR(AC12="",$B$4&lt;AA12),AJ12,IF($B$4&lt;AC12,'Developing Model'!E135NETWORKDAYS($B$4,AC12-1)*$G12/$B$7+AG12*Y12/$B$7,NETWORKDAYS($B$4,AE12)*Y12/$B$7)))</f>
        <v>42754.383469826957</v>
      </c>
      <c r="AL12" s="78"/>
      <c r="AM12" s="130">
        <f t="shared" ca="1" si="11"/>
        <v>0</v>
      </c>
      <c r="AN12" s="130">
        <f t="shared" ref="AN12:AN75" ca="1" si="20">AO12-AM12</f>
        <v>0</v>
      </c>
      <c r="AO12" s="130">
        <f t="shared" ca="1" si="12"/>
        <v>0</v>
      </c>
      <c r="AP12" s="130">
        <f t="shared" ca="1" si="12"/>
        <v>0</v>
      </c>
    </row>
    <row r="13" spans="1:42" ht="16.5" thickBot="1">
      <c r="A13" s="92" t="s">
        <v>71</v>
      </c>
      <c r="B13" s="124" t="str">
        <f>IFERROR(VLOOKUP($A13,'Position Master'!B:C,2,FALSE),"Missing")</f>
        <v>Dept 14</v>
      </c>
      <c r="C13" s="98" t="str">
        <f ca="1">IFERROR(VLOOKUP($D13,'Employee Master'!$A:$F,3,FALSE)&amp;", "&amp;VLOOKUP($D13,'Employee Master'!$A:$F,2,FALSE),"Vacant")</f>
        <v>Anderson, Akosua</v>
      </c>
      <c r="D13" s="98">
        <f>IF(INDEX('Position Master'!$A$7:$A$97,MATCH(A13,'Position Master'!$B$7:$B$97,0))=0,"Vacant",INDEX('Position Master'!$A$7:$A$97,MATCH(A13,'Position Master'!$B$7:$B$97,0)))</f>
        <v>1185463</v>
      </c>
      <c r="E13" s="156">
        <f ca="1">IFERROR(VLOOKUP(D13,'Employee Master'!A:F,5,FALSE),"")</f>
        <v>51989.131597492778</v>
      </c>
      <c r="F13" s="157" t="str">
        <f ca="1">IF(C13="Vacant","No",IF(AND(VLOOKUP(D13,'Employee Master'!A:F,6,FALSE)+360&lt;B$4,VLOOKUP(D13,'Employee Master'!A:F,6,FALSE)+360&lt;B7),"Yes","No"))</f>
        <v>No</v>
      </c>
      <c r="G13" s="156">
        <f ca="1">IF(C13="Vacant",VLOOKUP(A13,'Position Master'!B:D,3,FALSE),E13)*(1+IF(F13="Yes",F$8,0))</f>
        <v>51989.131597492778</v>
      </c>
      <c r="H13" s="125"/>
      <c r="I13" s="182" t="str">
        <f>IF('Budgeting Model'!I13="","",'Budgeting Model'!I13)</f>
        <v/>
      </c>
      <c r="J13" s="130">
        <f t="shared" ca="1" si="0"/>
        <v>54068.696861392491</v>
      </c>
      <c r="K13" s="149" t="str">
        <f>IF('Budgeting Model'!K13="","",'Budgeting Model'!K13)</f>
        <v/>
      </c>
      <c r="L13" s="127">
        <f t="shared" ca="1" si="1"/>
        <v>44743</v>
      </c>
      <c r="M13" s="149" t="str">
        <f>IF('Budgeting Model'!M13="","",'Budgeting Model'!M13)</f>
        <v/>
      </c>
      <c r="N13" s="127">
        <f ca="1">IF(M13="",IFERROR(VLOOKUP($D13,'Employee Master'!$A:$F,6,FALSE)+365,""),M13)</f>
        <v>44949</v>
      </c>
      <c r="O13" s="149" t="str">
        <f>IF('Budgeting Model'!O13="","",'Budgeting Model'!O13)</f>
        <v/>
      </c>
      <c r="P13" s="127">
        <f t="shared" ca="1" si="13"/>
        <v>45107</v>
      </c>
      <c r="Q13" s="131">
        <f t="shared" ca="1" si="2"/>
        <v>146</v>
      </c>
      <c r="R13" s="131">
        <f t="shared" ca="1" si="3"/>
        <v>115</v>
      </c>
      <c r="S13" s="131">
        <f t="shared" ca="1" si="14"/>
        <v>261</v>
      </c>
      <c r="T13" s="158">
        <f t="shared" ca="1" si="15"/>
        <v>52905.415142889207</v>
      </c>
      <c r="U13" s="156">
        <f t="shared" ca="1" si="4"/>
        <v>52905.415142889207</v>
      </c>
      <c r="V13" s="130">
        <f t="shared" ca="1" si="5"/>
        <v>10150.828146391694</v>
      </c>
      <c r="W13" s="77"/>
      <c r="X13" s="149">
        <f>IF('Budgeting Model'!X13="","",'Budgeting Model'!X13)</f>
        <v>0.05</v>
      </c>
      <c r="Y13" s="130">
        <f t="shared" ca="1" si="6"/>
        <v>54588.588177367419</v>
      </c>
      <c r="Z13" s="149" t="str">
        <f>IF('Budgeting Model'!Z13="","",'Budgeting Model'!Z13)</f>
        <v/>
      </c>
      <c r="AA13" s="127">
        <f t="shared" ca="1" si="7"/>
        <v>44743</v>
      </c>
      <c r="AB13" s="149" t="str">
        <f>IF('Budgeting Model'!AB13="","",'Budgeting Model'!AB13)</f>
        <v/>
      </c>
      <c r="AC13" s="127">
        <f ca="1">IF(AB13="",IFERROR(VLOOKUP($D13,'Employee Master'!$A:$F,6,FALSE)+365,""),AB13)</f>
        <v>44949</v>
      </c>
      <c r="AD13" s="149"/>
      <c r="AE13" s="127">
        <f t="shared" ca="1" si="16"/>
        <v>45107</v>
      </c>
      <c r="AF13" s="131">
        <f t="shared" ca="1" si="17"/>
        <v>146</v>
      </c>
      <c r="AG13" s="131">
        <f t="shared" ca="1" si="18"/>
        <v>115</v>
      </c>
      <c r="AH13" s="131">
        <f t="shared" ca="1" si="19"/>
        <v>261</v>
      </c>
      <c r="AI13" s="158">
        <f t="shared" ca="1" si="8"/>
        <v>53134.486029238309</v>
      </c>
      <c r="AJ13" s="156">
        <f t="shared" ca="1" si="9"/>
        <v>53134.486029238309</v>
      </c>
      <c r="AK13" s="130">
        <f t="shared" ref="AK13:AK76" ca="1" si="21">IF($B$4&gt;AE13,0,IF(OR(AC13="",$B$4&lt;AA13),AJ13,IF($B$4&lt;AC13,NETWORKDAYS($B$4,AC13-1)*$G13/$B$7+AG13*Y13/$B$7,NETWORKDAYS($B$4,AE13)*Y13/$B$7)))</f>
        <v>10248.43226318392</v>
      </c>
      <c r="AL13" s="78"/>
      <c r="AM13" s="130">
        <f t="shared" ca="1" si="11"/>
        <v>229.07088634910178</v>
      </c>
      <c r="AN13" s="130">
        <f t="shared" ca="1" si="20"/>
        <v>0</v>
      </c>
      <c r="AO13" s="130">
        <f t="shared" ca="1" si="12"/>
        <v>229.07088634910178</v>
      </c>
      <c r="AP13" s="130">
        <f t="shared" ca="1" si="12"/>
        <v>97.604116792226705</v>
      </c>
    </row>
    <row r="14" spans="1:42" ht="16.5" thickBot="1">
      <c r="A14" s="92" t="s">
        <v>72</v>
      </c>
      <c r="B14" s="124" t="str">
        <f>IFERROR(VLOOKUP($A14,'Position Master'!B:C,2,FALSE),"Missing")</f>
        <v>Dept 5</v>
      </c>
      <c r="C14" s="98" t="str">
        <f ca="1">IFERROR(VLOOKUP($D14,'Employee Master'!$A:$F,3,FALSE)&amp;", "&amp;VLOOKUP($D14,'Employee Master'!$A:$F,2,FALSE),"Vacant")</f>
        <v>Andrade, Nazedul</v>
      </c>
      <c r="D14" s="98">
        <f>IF(INDEX('Position Master'!$A$7:$A$97,MATCH(A14,'Position Master'!$B$7:$B$97,0))=0,"Vacant",INDEX('Position Master'!$A$7:$A$97,MATCH(A14,'Position Master'!$B$7:$B$97,0)))</f>
        <v>1365738</v>
      </c>
      <c r="E14" s="156">
        <f ca="1">IFERROR(VLOOKUP(D14,'Employee Master'!A:F,5,FALSE),"")</f>
        <v>49972.587920321836</v>
      </c>
      <c r="F14" s="157" t="str">
        <f ca="1">IF(C14="Vacant","No",IF(AND(VLOOKUP(D14,'Employee Master'!A:F,6,FALSE)+360&lt;B$4,VLOOKUP(D14,'Employee Master'!A:F,6,FALSE)+360&lt;B8),"Yes","No"))</f>
        <v>Yes</v>
      </c>
      <c r="G14" s="156">
        <f ca="1">IF(C14="Vacant",VLOOKUP(A14,'Position Master'!B:D,3,FALSE),E14)*(1+IF(F14="Yes",F$8,0))</f>
        <v>51471.765557931489</v>
      </c>
      <c r="H14" s="125"/>
      <c r="I14" s="182" t="str">
        <f>IF('Budgeting Model'!I14="","",'Budgeting Model'!I14)</f>
        <v/>
      </c>
      <c r="J14" s="130">
        <f t="shared" ca="1" si="0"/>
        <v>53530.636180248752</v>
      </c>
      <c r="K14" s="149" t="str">
        <f>IF('Budgeting Model'!K14="","",'Budgeting Model'!K14)</f>
        <v/>
      </c>
      <c r="L14" s="127">
        <f t="shared" ca="1" si="1"/>
        <v>44743</v>
      </c>
      <c r="M14" s="149" t="str">
        <f>IF('Budgeting Model'!M14="","",'Budgeting Model'!M14)</f>
        <v/>
      </c>
      <c r="N14" s="127">
        <f ca="1">IF(M14="",IFERROR(VLOOKUP($D14,'Employee Master'!$A:$F,6,FALSE)+365,""),M14)</f>
        <v>44942</v>
      </c>
      <c r="O14" s="149" t="str">
        <f>IF('Budgeting Model'!O14="","",'Budgeting Model'!O14)</f>
        <v/>
      </c>
      <c r="P14" s="127">
        <f t="shared" ca="1" si="13"/>
        <v>45107</v>
      </c>
      <c r="Q14" s="131">
        <f t="shared" ca="1" si="2"/>
        <v>141</v>
      </c>
      <c r="R14" s="131">
        <f t="shared" ca="1" si="3"/>
        <v>120</v>
      </c>
      <c r="S14" s="131">
        <f t="shared" ca="1" si="14"/>
        <v>261</v>
      </c>
      <c r="T14" s="158">
        <f t="shared" ca="1" si="15"/>
        <v>52418.372740606093</v>
      </c>
      <c r="U14" s="156">
        <f t="shared" ca="1" si="4"/>
        <v>52418.372740606093</v>
      </c>
      <c r="V14" s="130">
        <f t="shared" ca="1" si="5"/>
        <v>10049.812922728692</v>
      </c>
      <c r="W14" s="77"/>
      <c r="X14" s="149">
        <f>IF('Budgeting Model'!X14="","",'Budgeting Model'!X14)</f>
        <v>0.05</v>
      </c>
      <c r="Y14" s="130">
        <f t="shared" ca="1" si="6"/>
        <v>54045.353835828064</v>
      </c>
      <c r="Z14" s="149" t="str">
        <f>IF('Budgeting Model'!Z14="","",'Budgeting Model'!Z14)</f>
        <v/>
      </c>
      <c r="AA14" s="127">
        <f t="shared" ca="1" si="7"/>
        <v>44743</v>
      </c>
      <c r="AB14" s="149" t="str">
        <f>IF('Budgeting Model'!AB14="","",'Budgeting Model'!AB14)</f>
        <v/>
      </c>
      <c r="AC14" s="127">
        <f ca="1">IF(AB14="",IFERROR(VLOOKUP($D14,'Employee Master'!$A:$F,6,FALSE)+365,""),AB14)</f>
        <v>44942</v>
      </c>
      <c r="AD14" s="149"/>
      <c r="AE14" s="127">
        <f t="shared" ca="1" si="16"/>
        <v>45107</v>
      </c>
      <c r="AF14" s="131">
        <f t="shared" ca="1" si="17"/>
        <v>141</v>
      </c>
      <c r="AG14" s="131">
        <f t="shared" ca="1" si="18"/>
        <v>120</v>
      </c>
      <c r="AH14" s="131">
        <f t="shared" ca="1" si="19"/>
        <v>261</v>
      </c>
      <c r="AI14" s="158">
        <f t="shared" ca="1" si="8"/>
        <v>52655.024536274745</v>
      </c>
      <c r="AJ14" s="156">
        <f t="shared" ca="1" si="9"/>
        <v>52655.024536274745</v>
      </c>
      <c r="AK14" s="130">
        <f t="shared" ca="1" si="21"/>
        <v>10146.445739293391</v>
      </c>
      <c r="AL14" s="78"/>
      <c r="AM14" s="130">
        <f t="shared" ca="1" si="11"/>
        <v>236.65179566865118</v>
      </c>
      <c r="AN14" s="130">
        <f t="shared" ca="1" si="20"/>
        <v>0</v>
      </c>
      <c r="AO14" s="130">
        <f t="shared" ca="1" si="12"/>
        <v>236.65179566865118</v>
      </c>
      <c r="AP14" s="130">
        <f t="shared" ca="1" si="12"/>
        <v>96.632816564699169</v>
      </c>
    </row>
    <row r="15" spans="1:42" ht="16.5" thickBot="1">
      <c r="A15" s="92" t="s">
        <v>73</v>
      </c>
      <c r="B15" s="124" t="str">
        <f>IFERROR(VLOOKUP($A15,'Position Master'!B:C,2,FALSE),"Missing")</f>
        <v>Dept 12</v>
      </c>
      <c r="C15" s="98" t="str">
        <f ca="1">IFERROR(VLOOKUP($D15,'Employee Master'!$A:$F,3,FALSE)&amp;", "&amp;VLOOKUP($D15,'Employee Master'!$A:$F,2,FALSE),"Vacant")</f>
        <v>Bajrami, Abdullah</v>
      </c>
      <c r="D15" s="98">
        <f>IF(INDEX('Position Master'!$A$7:$A$97,MATCH(A15,'Position Master'!$B$7:$B$97,0))=0,"Vacant",INDEX('Position Master'!$A$7:$A$97,MATCH(A15,'Position Master'!$B$7:$B$97,0)))</f>
        <v>1534820</v>
      </c>
      <c r="E15" s="156">
        <f ca="1">IFERROR(VLOOKUP(D15,'Employee Master'!A:F,5,FALSE),"")</f>
        <v>49871.398122626713</v>
      </c>
      <c r="F15" s="157" t="str">
        <f ca="1">IF(C15="Vacant","No",IF(AND(VLOOKUP(D15,'Employee Master'!A:F,6,FALSE)+360&lt;B$4,VLOOKUP(D15,'Employee Master'!A:F,6,FALSE)+360&lt;B9),"Yes","No"))</f>
        <v>No</v>
      </c>
      <c r="G15" s="156">
        <f ca="1">IF(C15="Vacant",VLOOKUP(A15,'Position Master'!B:D,3,FALSE),E15)*(1+IF(F15="Yes",F$8,0))</f>
        <v>49871.398122626713</v>
      </c>
      <c r="H15" s="125"/>
      <c r="I15" s="182" t="str">
        <f>IF('Budgeting Model'!I15="","",'Budgeting Model'!I15)</f>
        <v/>
      </c>
      <c r="J15" s="130">
        <f t="shared" ca="1" si="0"/>
        <v>51866.25404753178</v>
      </c>
      <c r="K15" s="149" t="str">
        <f>IF('Budgeting Model'!K15="","",'Budgeting Model'!K15)</f>
        <v/>
      </c>
      <c r="L15" s="127">
        <f t="shared" ca="1" si="1"/>
        <v>44743</v>
      </c>
      <c r="M15" s="149" t="str">
        <f>IF('Budgeting Model'!M15="","",'Budgeting Model'!M15)</f>
        <v/>
      </c>
      <c r="N15" s="127">
        <f ca="1">IF(M15="",IFERROR(VLOOKUP($D15,'Employee Master'!$A:$F,6,FALSE)+365,""),M15)</f>
        <v>44826</v>
      </c>
      <c r="O15" s="149" t="str">
        <f>IF('Budgeting Model'!O15="","",'Budgeting Model'!O15)</f>
        <v/>
      </c>
      <c r="P15" s="127">
        <f t="shared" ca="1" si="13"/>
        <v>45107</v>
      </c>
      <c r="Q15" s="131">
        <f t="shared" ca="1" si="2"/>
        <v>59</v>
      </c>
      <c r="R15" s="131">
        <f t="shared" ca="1" si="3"/>
        <v>202</v>
      </c>
      <c r="S15" s="131">
        <f t="shared" ca="1" si="14"/>
        <v>261</v>
      </c>
      <c r="T15" s="158">
        <f t="shared" ca="1" si="15"/>
        <v>51415.309604737151</v>
      </c>
      <c r="U15" s="156">
        <f t="shared" ca="1" si="4"/>
        <v>51415.309604737151</v>
      </c>
      <c r="V15" s="130">
        <f t="shared" ca="1" si="5"/>
        <v>9737.3427139044325</v>
      </c>
      <c r="W15" s="77"/>
      <c r="X15" s="149">
        <f>IF('Budgeting Model'!X15="","",'Budgeting Model'!X15)</f>
        <v>0.05</v>
      </c>
      <c r="Y15" s="130">
        <f t="shared" ca="1" si="6"/>
        <v>52364.968028758049</v>
      </c>
      <c r="Z15" s="149" t="str">
        <f>IF('Budgeting Model'!Z15="","",'Budgeting Model'!Z15)</f>
        <v/>
      </c>
      <c r="AA15" s="127">
        <f t="shared" ca="1" si="7"/>
        <v>44743</v>
      </c>
      <c r="AB15" s="149" t="str">
        <f>IF('Budgeting Model'!AB15="","",'Budgeting Model'!AB15)</f>
        <v/>
      </c>
      <c r="AC15" s="127">
        <f ca="1">IF(AB15="",IFERROR(VLOOKUP($D15,'Employee Master'!$A:$F,6,FALSE)+365,""),AB15)</f>
        <v>44826</v>
      </c>
      <c r="AD15" s="149"/>
      <c r="AE15" s="127">
        <f t="shared" ca="1" si="16"/>
        <v>45107</v>
      </c>
      <c r="AF15" s="131">
        <f t="shared" ca="1" si="17"/>
        <v>59</v>
      </c>
      <c r="AG15" s="131">
        <f t="shared" ca="1" si="18"/>
        <v>202</v>
      </c>
      <c r="AH15" s="131">
        <f t="shared" ca="1" si="19"/>
        <v>261</v>
      </c>
      <c r="AI15" s="158">
        <f t="shared" ca="1" si="8"/>
        <v>51801.287475264762</v>
      </c>
      <c r="AJ15" s="156">
        <f t="shared" ca="1" si="9"/>
        <v>51801.287475264762</v>
      </c>
      <c r="AK15" s="130">
        <f t="shared" ca="1" si="21"/>
        <v>9830.9710092304376</v>
      </c>
      <c r="AL15" s="78"/>
      <c r="AM15" s="130">
        <f t="shared" ca="1" si="11"/>
        <v>385.97787052761123</v>
      </c>
      <c r="AN15" s="130">
        <f t="shared" ca="1" si="20"/>
        <v>0</v>
      </c>
      <c r="AO15" s="130">
        <f t="shared" ca="1" si="12"/>
        <v>385.97787052761123</v>
      </c>
      <c r="AP15" s="130">
        <f t="shared" ca="1" si="12"/>
        <v>93.628295326005173</v>
      </c>
    </row>
    <row r="16" spans="1:42" ht="16.5" thickBot="1">
      <c r="A16" s="92" t="s">
        <v>74</v>
      </c>
      <c r="B16" s="124" t="str">
        <f>IFERROR(VLOOKUP($A16,'Position Master'!B:C,2,FALSE),"Missing")</f>
        <v>Dept 4</v>
      </c>
      <c r="C16" s="98" t="str">
        <f ca="1">IFERROR(VLOOKUP($D16,'Employee Master'!$A:$F,3,FALSE)&amp;", "&amp;VLOOKUP($D16,'Employee Master'!$A:$F,2,FALSE),"Vacant")</f>
        <v>Baro, Yusuf</v>
      </c>
      <c r="D16" s="98">
        <f>IF(INDEX('Position Master'!$A$7:$A$97,MATCH(A16,'Position Master'!$B$7:$B$97,0))=0,"Vacant",INDEX('Position Master'!$A$7:$A$97,MATCH(A16,'Position Master'!$B$7:$B$97,0)))</f>
        <v>1563356</v>
      </c>
      <c r="E16" s="156">
        <f ca="1">IFERROR(VLOOKUP(D16,'Employee Master'!A:F,5,FALSE),"")</f>
        <v>60557.193946991174</v>
      </c>
      <c r="F16" s="157" t="str">
        <f ca="1">IF(C16="Vacant","No",IF(AND(VLOOKUP(D16,'Employee Master'!A:F,6,FALSE)+360&lt;B$4,VLOOKUP(D16,'Employee Master'!A:F,6,FALSE)+360&lt;B10),"Yes","No"))</f>
        <v>Yes</v>
      </c>
      <c r="G16" s="156">
        <f ca="1">IF(C16="Vacant",VLOOKUP(A16,'Position Master'!B:D,3,FALSE),E16)*(1+IF(F16="Yes",F$8,0))</f>
        <v>62373.909765400909</v>
      </c>
      <c r="H16" s="125"/>
      <c r="I16" s="182" t="str">
        <f>IF('Budgeting Model'!I16="","",'Budgeting Model'!I16)</f>
        <v/>
      </c>
      <c r="J16" s="130">
        <f t="shared" ca="1" si="0"/>
        <v>64868.866156016949</v>
      </c>
      <c r="K16" s="149">
        <f>IF('Budgeting Model'!K16="","",'Budgeting Model'!K16)</f>
        <v>45078</v>
      </c>
      <c r="L16" s="127">
        <f t="shared" si="1"/>
        <v>45078</v>
      </c>
      <c r="M16" s="149">
        <f>IF('Budgeting Model'!M16="","",'Budgeting Model'!M16)</f>
        <v>45092</v>
      </c>
      <c r="N16" s="127">
        <f>IF(M16="",IFERROR(VLOOKUP($D16,'Employee Master'!$A:$F,6,FALSE)+365,""),M16)</f>
        <v>45092</v>
      </c>
      <c r="O16" s="149" t="str">
        <f>IF('Budgeting Model'!O16="","",'Budgeting Model'!O16)</f>
        <v/>
      </c>
      <c r="P16" s="127">
        <f t="shared" ca="1" si="13"/>
        <v>45107</v>
      </c>
      <c r="Q16" s="131">
        <f t="shared" si="2"/>
        <v>10</v>
      </c>
      <c r="R16" s="131">
        <f t="shared" ca="1" si="3"/>
        <v>12</v>
      </c>
      <c r="S16" s="131">
        <f t="shared" ca="1" si="14"/>
        <v>22</v>
      </c>
      <c r="T16" s="158">
        <f t="shared" ca="1" si="15"/>
        <v>63734.7950693733</v>
      </c>
      <c r="U16" s="156">
        <f t="shared" ca="1" si="4"/>
        <v>5372.2815767287839</v>
      </c>
      <c r="V16" s="130">
        <f t="shared" ca="1" si="5"/>
        <v>5372.2815767287839</v>
      </c>
      <c r="W16" s="77"/>
      <c r="X16" s="149">
        <f>IF('Budgeting Model'!X16="","",'Budgeting Model'!X16)</f>
        <v>0.06</v>
      </c>
      <c r="Y16" s="130">
        <f t="shared" ca="1" si="6"/>
        <v>66116.344351324966</v>
      </c>
      <c r="Z16" s="149" t="str">
        <f>IF('Budgeting Model'!Z16="","",'Budgeting Model'!Z16)</f>
        <v/>
      </c>
      <c r="AA16" s="127">
        <f t="shared" ca="1" si="7"/>
        <v>44743</v>
      </c>
      <c r="AB16" s="149" t="str">
        <f>IF('Budgeting Model'!AB16="","",'Budgeting Model'!AB16)</f>
        <v/>
      </c>
      <c r="AC16" s="127">
        <f ca="1">IF(AB16="",IFERROR(VLOOKUP($D16,'Employee Master'!$A:$F,6,FALSE)+365,""),AB16)</f>
        <v>44790</v>
      </c>
      <c r="AD16" s="149"/>
      <c r="AE16" s="127">
        <f t="shared" ca="1" si="16"/>
        <v>45107</v>
      </c>
      <c r="AF16" s="131">
        <f t="shared" ca="1" si="17"/>
        <v>33</v>
      </c>
      <c r="AG16" s="131">
        <f t="shared" ca="1" si="18"/>
        <v>228</v>
      </c>
      <c r="AH16" s="131">
        <f t="shared" ca="1" si="19"/>
        <v>261</v>
      </c>
      <c r="AI16" s="158">
        <f t="shared" ca="1" si="8"/>
        <v>65643.162966897784</v>
      </c>
      <c r="AJ16" s="156">
        <f t="shared" ca="1" si="9"/>
        <v>65643.162966897784</v>
      </c>
      <c r="AK16" s="130">
        <f t="shared" ca="1" si="21"/>
        <v>12412.647023811967</v>
      </c>
      <c r="AL16" s="78"/>
      <c r="AM16" s="130">
        <f t="shared" ca="1" si="11"/>
        <v>1908.3678975244839</v>
      </c>
      <c r="AN16" s="130">
        <f t="shared" ca="1" si="20"/>
        <v>58362.513492644517</v>
      </c>
      <c r="AO16" s="130">
        <f t="shared" ca="1" si="12"/>
        <v>60270.881390169001</v>
      </c>
      <c r="AP16" s="130">
        <f t="shared" ca="1" si="12"/>
        <v>7040.3654470831834</v>
      </c>
    </row>
    <row r="17" spans="1:42" ht="16.5" thickBot="1">
      <c r="A17" s="92" t="s">
        <v>75</v>
      </c>
      <c r="B17" s="124" t="str">
        <f>IFERROR(VLOOKUP($A17,'Position Master'!B:C,2,FALSE),"Missing")</f>
        <v>Dept 7</v>
      </c>
      <c r="C17" s="98" t="str">
        <f ca="1">IFERROR(VLOOKUP($D17,'Employee Master'!$A:$F,3,FALSE)&amp;", "&amp;VLOOKUP($D17,'Employee Master'!$A:$F,2,FALSE),"Vacant")</f>
        <v>Barua, Zain</v>
      </c>
      <c r="D17" s="98">
        <f>IF(INDEX('Position Master'!$A$7:$A$97,MATCH(A17,'Position Master'!$B$7:$B$97,0))=0,"Vacant",INDEX('Position Master'!$A$7:$A$97,MATCH(A17,'Position Master'!$B$7:$B$97,0)))</f>
        <v>1618548</v>
      </c>
      <c r="E17" s="156">
        <f ca="1">IFERROR(VLOOKUP(D17,'Employee Master'!A:F,5,FALSE),"")</f>
        <v>79262.386964937265</v>
      </c>
      <c r="F17" s="157" t="str">
        <f ca="1">IF(C17="Vacant","No",IF(AND(VLOOKUP(D17,'Employee Master'!A:F,6,FALSE)+360&lt;B$4,VLOOKUP(D17,'Employee Master'!A:F,6,FALSE)+360&lt;B11),"Yes","No"))</f>
        <v>Yes</v>
      </c>
      <c r="G17" s="156">
        <f ca="1">IF(C17="Vacant",VLOOKUP(A17,'Position Master'!B:D,3,FALSE),E17)*(1+IF(F17="Yes",F$8,0))</f>
        <v>81640.258573885381</v>
      </c>
      <c r="H17" s="125"/>
      <c r="I17" s="182" t="str">
        <f>IF('Budgeting Model'!I17="","",'Budgeting Model'!I17)</f>
        <v/>
      </c>
      <c r="J17" s="130">
        <f t="shared" ca="1" si="0"/>
        <v>84905.868916840802</v>
      </c>
      <c r="K17" s="149" t="str">
        <f>IF('Budgeting Model'!K17="","",'Budgeting Model'!K17)</f>
        <v/>
      </c>
      <c r="L17" s="127">
        <f t="shared" ca="1" si="1"/>
        <v>44743</v>
      </c>
      <c r="M17" s="149" t="str">
        <f>IF('Budgeting Model'!M17="","",'Budgeting Model'!M17)</f>
        <v/>
      </c>
      <c r="N17" s="127">
        <f ca="1">IF(M17="",IFERROR(VLOOKUP($D17,'Employee Master'!$A:$F,6,FALSE)+365,""),M17)</f>
        <v>44936</v>
      </c>
      <c r="O17" s="149">
        <f>IF('Budgeting Model'!O17="","",'Budgeting Model'!O17)</f>
        <v>44927</v>
      </c>
      <c r="P17" s="127">
        <f t="shared" si="13"/>
        <v>44927</v>
      </c>
      <c r="Q17" s="131">
        <f t="shared" ca="1" si="2"/>
        <v>137</v>
      </c>
      <c r="R17" s="131">
        <f t="shared" ca="1" si="3"/>
        <v>-7</v>
      </c>
      <c r="S17" s="131">
        <f t="shared" ca="1" si="14"/>
        <v>130</v>
      </c>
      <c r="T17" s="158">
        <f t="shared" ca="1" si="15"/>
        <v>81464.418016957017</v>
      </c>
      <c r="U17" s="156">
        <f t="shared" ca="1" si="4"/>
        <v>40576.146904997746</v>
      </c>
      <c r="V17" s="130">
        <f t="shared" ca="1" si="5"/>
        <v>0</v>
      </c>
      <c r="W17" s="77"/>
      <c r="X17" s="149" t="str">
        <f>IF('Budgeting Model'!X17="","",'Budgeting Model'!X17)</f>
        <v/>
      </c>
      <c r="Y17" s="130">
        <f t="shared" ca="1" si="6"/>
        <v>84905.868916840802</v>
      </c>
      <c r="Z17" s="149" t="str">
        <f>IF('Budgeting Model'!Z17="","",'Budgeting Model'!Z17)</f>
        <v/>
      </c>
      <c r="AA17" s="127">
        <f t="shared" ca="1" si="7"/>
        <v>44743</v>
      </c>
      <c r="AB17" s="149" t="str">
        <f>IF('Budgeting Model'!AB17="","",'Budgeting Model'!AB17)</f>
        <v/>
      </c>
      <c r="AC17" s="127">
        <f ca="1">IF(AB17="",IFERROR(VLOOKUP($D17,'Employee Master'!$A:$F,6,FALSE)+365,""),AB17)</f>
        <v>44936</v>
      </c>
      <c r="AD17" s="149"/>
      <c r="AE17" s="127">
        <f t="shared" ca="1" si="16"/>
        <v>45107</v>
      </c>
      <c r="AF17" s="131">
        <f t="shared" ca="1" si="17"/>
        <v>137</v>
      </c>
      <c r="AG17" s="131">
        <f t="shared" ca="1" si="18"/>
        <v>124</v>
      </c>
      <c r="AH17" s="131">
        <f t="shared" ca="1" si="19"/>
        <v>261</v>
      </c>
      <c r="AI17" s="158">
        <f t="shared" ca="1" si="8"/>
        <v>83191.736284714774</v>
      </c>
      <c r="AJ17" s="156">
        <f t="shared" ca="1" si="9"/>
        <v>83191.736284714774</v>
      </c>
      <c r="AK17" s="130">
        <f t="shared" ca="1" si="21"/>
        <v>15940.182287069731</v>
      </c>
      <c r="AL17" s="78"/>
      <c r="AM17" s="130">
        <f t="shared" ca="1" si="11"/>
        <v>1727.318267757757</v>
      </c>
      <c r="AN17" s="130">
        <f t="shared" ca="1" si="20"/>
        <v>40888.271111959271</v>
      </c>
      <c r="AO17" s="130">
        <f t="shared" ca="1" si="12"/>
        <v>42615.589379717028</v>
      </c>
      <c r="AP17" s="130">
        <f t="shared" ca="1" si="12"/>
        <v>15940.182287069731</v>
      </c>
    </row>
    <row r="18" spans="1:42" ht="16.5" thickBot="1">
      <c r="A18" s="92" t="s">
        <v>76</v>
      </c>
      <c r="B18" s="124" t="str">
        <f>IFERROR(VLOOKUP($A18,'Position Master'!B:C,2,FALSE),"Missing")</f>
        <v>Dept 3</v>
      </c>
      <c r="C18" s="98" t="str">
        <f ca="1">IFERROR(VLOOKUP($D18,'Employee Master'!$A:$F,3,FALSE)&amp;", "&amp;VLOOKUP($D18,'Employee Master'!$A:$F,2,FALSE),"Vacant")</f>
        <v>Bershan, Samuel</v>
      </c>
      <c r="D18" s="98">
        <f>IF(INDEX('Position Master'!$A$7:$A$97,MATCH(A18,'Position Master'!$B$7:$B$97,0))=0,"Vacant",INDEX('Position Master'!$A$7:$A$97,MATCH(A18,'Position Master'!$B$7:$B$97,0)))</f>
        <v>1731520</v>
      </c>
      <c r="E18" s="156">
        <f ca="1">IFERROR(VLOOKUP(D18,'Employee Master'!A:F,5,FALSE),"")</f>
        <v>85921.924388323634</v>
      </c>
      <c r="F18" s="157" t="str">
        <f ca="1">IF(C18="Vacant","No",IF(AND(VLOOKUP(D18,'Employee Master'!A:F,6,FALSE)+360&lt;B$4,VLOOKUP(D18,'Employee Master'!A:F,6,FALSE)+360&lt;B12),"Yes","No"))</f>
        <v>Yes</v>
      </c>
      <c r="G18" s="156">
        <f ca="1">IF(C18="Vacant",VLOOKUP(A18,'Position Master'!B:D,3,FALSE),E18)*(1+IF(F18="Yes",F$8,0))</f>
        <v>88499.582119973347</v>
      </c>
      <c r="H18" s="125"/>
      <c r="I18" s="182" t="str">
        <f>IF('Budgeting Model'!I18="","",'Budgeting Model'!I18)</f>
        <v/>
      </c>
      <c r="J18" s="130">
        <f t="shared" ca="1" si="0"/>
        <v>92039.565404772278</v>
      </c>
      <c r="K18" s="149" t="str">
        <f>IF('Budgeting Model'!K18="","",'Budgeting Model'!K18)</f>
        <v/>
      </c>
      <c r="L18" s="127">
        <f t="shared" ca="1" si="1"/>
        <v>44743</v>
      </c>
      <c r="M18" s="149">
        <f>IF('Budgeting Model'!M18="","",'Budgeting Model'!M18)</f>
        <v>44910</v>
      </c>
      <c r="N18" s="127">
        <f>IF(M18="",IFERROR(VLOOKUP($D18,'Employee Master'!$A:$F,6,FALSE)+365,""),M18)</f>
        <v>44910</v>
      </c>
      <c r="O18" s="149">
        <f>IF('Budgeting Model'!O18="","",'Budgeting Model'!O18)</f>
        <v>44927</v>
      </c>
      <c r="P18" s="127">
        <f t="shared" si="13"/>
        <v>44927</v>
      </c>
      <c r="Q18" s="131">
        <f t="shared" ca="1" si="2"/>
        <v>119</v>
      </c>
      <c r="R18" s="131">
        <f t="shared" si="3"/>
        <v>12</v>
      </c>
      <c r="S18" s="131">
        <f t="shared" ca="1" si="14"/>
        <v>131</v>
      </c>
      <c r="T18" s="158">
        <f t="shared" ca="1" si="15"/>
        <v>88823.855397970197</v>
      </c>
      <c r="U18" s="156">
        <f t="shared" ca="1" si="4"/>
        <v>44582.088341509938</v>
      </c>
      <c r="V18" s="130">
        <f t="shared" ca="1" si="5"/>
        <v>0</v>
      </c>
      <c r="W18" s="77"/>
      <c r="X18" s="149" t="str">
        <f>IF('Budgeting Model'!X18="","",'Budgeting Model'!X18)</f>
        <v/>
      </c>
      <c r="Y18" s="130">
        <f t="shared" ca="1" si="6"/>
        <v>92039.565404772278</v>
      </c>
      <c r="Z18" s="149" t="str">
        <f>IF('Budgeting Model'!Z18="","",'Budgeting Model'!Z18)</f>
        <v/>
      </c>
      <c r="AA18" s="127">
        <f t="shared" ca="1" si="7"/>
        <v>44743</v>
      </c>
      <c r="AB18" s="149" t="str">
        <f>IF('Budgeting Model'!AB18="","",'Budgeting Model'!AB18)</f>
        <v/>
      </c>
      <c r="AC18" s="127">
        <f ca="1">IF(AB18="",IFERROR(VLOOKUP($D18,'Employee Master'!$A:$F,6,FALSE)+365,""),AB18)</f>
        <v>44928</v>
      </c>
      <c r="AD18" s="149"/>
      <c r="AE18" s="127">
        <f t="shared" ca="1" si="16"/>
        <v>45107</v>
      </c>
      <c r="AF18" s="131">
        <f t="shared" ca="1" si="17"/>
        <v>131</v>
      </c>
      <c r="AG18" s="131">
        <f t="shared" ca="1" si="18"/>
        <v>130</v>
      </c>
      <c r="AH18" s="131">
        <f t="shared" ca="1" si="19"/>
        <v>261</v>
      </c>
      <c r="AI18" s="158">
        <f t="shared" ca="1" si="8"/>
        <v>90262.792185198865</v>
      </c>
      <c r="AJ18" s="156">
        <f t="shared" ca="1" si="9"/>
        <v>90262.792185198865</v>
      </c>
      <c r="AK18" s="130">
        <f t="shared" ca="1" si="21"/>
        <v>17279.458639210123</v>
      </c>
      <c r="AL18" s="78"/>
      <c r="AM18" s="130">
        <f t="shared" ca="1" si="11"/>
        <v>1438.9367872286675</v>
      </c>
      <c r="AN18" s="130">
        <f t="shared" ca="1" si="20"/>
        <v>44241.767056460259</v>
      </c>
      <c r="AO18" s="130">
        <f t="shared" ca="1" si="12"/>
        <v>45680.703843688927</v>
      </c>
      <c r="AP18" s="130">
        <f t="shared" ca="1" si="12"/>
        <v>17279.458639210123</v>
      </c>
    </row>
    <row r="19" spans="1:42" ht="16.5" thickBot="1">
      <c r="A19" s="92" t="s">
        <v>77</v>
      </c>
      <c r="B19" s="124" t="str">
        <f>IFERROR(VLOOKUP($A19,'Position Master'!B:C,2,FALSE),"Missing")</f>
        <v>Dept 11</v>
      </c>
      <c r="C19" s="98" t="str">
        <f ca="1">IFERROR(VLOOKUP($D19,'Employee Master'!$A:$F,3,FALSE)&amp;", "&amp;VLOOKUP($D19,'Employee Master'!$A:$F,2,FALSE),"Vacant")</f>
        <v>Bertolotti, Gavin</v>
      </c>
      <c r="D19" s="98">
        <f>IF(INDEX('Position Master'!$A$7:$A$97,MATCH(A19,'Position Master'!$B$7:$B$97,0))=0,"Vacant",INDEX('Position Master'!$A$7:$A$97,MATCH(A19,'Position Master'!$B$7:$B$97,0)))</f>
        <v>1817452</v>
      </c>
      <c r="E19" s="156">
        <f ca="1">IFERROR(VLOOKUP(D19,'Employee Master'!A:F,5,FALSE),"")</f>
        <v>75399.03799363377</v>
      </c>
      <c r="F19" s="157" t="str">
        <f ca="1">IF(C19="Vacant","No",IF(AND(VLOOKUP(D19,'Employee Master'!A:F,6,FALSE)+360&lt;B$4,VLOOKUP(D19,'Employee Master'!A:F,6,FALSE)+360&lt;B13),"Yes","No"))</f>
        <v>Yes</v>
      </c>
      <c r="G19" s="156">
        <f ca="1">IF(C19="Vacant",VLOOKUP(A19,'Position Master'!B:D,3,FALSE),E19)*(1+IF(F19="Yes",F$8,0))</f>
        <v>77661.009133442785</v>
      </c>
      <c r="H19" s="125"/>
      <c r="I19" s="182" t="str">
        <f>IF('Budgeting Model'!I19="","",'Budgeting Model'!I19)</f>
        <v/>
      </c>
      <c r="J19" s="130">
        <f t="shared" ca="1" si="0"/>
        <v>80767.449498780494</v>
      </c>
      <c r="K19" s="149" t="str">
        <f>IF('Budgeting Model'!K19="","",'Budgeting Model'!K19)</f>
        <v/>
      </c>
      <c r="L19" s="127">
        <f t="shared" ca="1" si="1"/>
        <v>44743</v>
      </c>
      <c r="M19" s="149" t="str">
        <f>IF('Budgeting Model'!M19="","",'Budgeting Model'!M19)</f>
        <v/>
      </c>
      <c r="N19" s="127">
        <f ca="1">IF(M19="",IFERROR(VLOOKUP($D19,'Employee Master'!$A:$F,6,FALSE)+365,""),M19)</f>
        <v>44857</v>
      </c>
      <c r="O19" s="149" t="str">
        <f>IF('Budgeting Model'!O19="","",'Budgeting Model'!O19)</f>
        <v/>
      </c>
      <c r="P19" s="127">
        <f t="shared" ca="1" si="13"/>
        <v>45107</v>
      </c>
      <c r="Q19" s="131">
        <f t="shared" ca="1" si="2"/>
        <v>81</v>
      </c>
      <c r="R19" s="131">
        <f t="shared" ca="1" si="3"/>
        <v>180</v>
      </c>
      <c r="S19" s="131">
        <f t="shared" ca="1" si="14"/>
        <v>261</v>
      </c>
      <c r="T19" s="158">
        <f t="shared" ca="1" si="15"/>
        <v>79803.381799192925</v>
      </c>
      <c r="U19" s="156">
        <f t="shared" ca="1" si="4"/>
        <v>79803.381799192925</v>
      </c>
      <c r="V19" s="130">
        <f t="shared" ca="1" si="5"/>
        <v>15163.237645364919</v>
      </c>
      <c r="W19" s="77"/>
      <c r="X19" s="149" t="str">
        <f>IF('Budgeting Model'!X19="","",'Budgeting Model'!X19)</f>
        <v/>
      </c>
      <c r="Y19" s="130">
        <f t="shared" ca="1" si="6"/>
        <v>80767.449498780494</v>
      </c>
      <c r="Z19" s="149" t="str">
        <f>IF('Budgeting Model'!Z19="","",'Budgeting Model'!Z19)</f>
        <v/>
      </c>
      <c r="AA19" s="127">
        <f t="shared" ca="1" si="7"/>
        <v>44743</v>
      </c>
      <c r="AB19" s="149" t="str">
        <f>IF('Budgeting Model'!AB19="","",'Budgeting Model'!AB19)</f>
        <v/>
      </c>
      <c r="AC19" s="127">
        <f ca="1">IF(AB19="",IFERROR(VLOOKUP($D19,'Employee Master'!$A:$F,6,FALSE)+365,""),AB19)</f>
        <v>44857</v>
      </c>
      <c r="AD19" s="149"/>
      <c r="AE19" s="127">
        <f t="shared" ca="1" si="16"/>
        <v>45107</v>
      </c>
      <c r="AF19" s="131">
        <f t="shared" ca="1" si="17"/>
        <v>81</v>
      </c>
      <c r="AG19" s="131">
        <f t="shared" ca="1" si="18"/>
        <v>180</v>
      </c>
      <c r="AH19" s="131">
        <f t="shared" ca="1" si="19"/>
        <v>261</v>
      </c>
      <c r="AI19" s="158">
        <f t="shared" ca="1" si="8"/>
        <v>79803.381799192925</v>
      </c>
      <c r="AJ19" s="156">
        <f t="shared" ca="1" si="9"/>
        <v>79803.381799192925</v>
      </c>
      <c r="AK19" s="130">
        <f t="shared" ca="1" si="21"/>
        <v>15163.237645364919</v>
      </c>
      <c r="AL19" s="78"/>
      <c r="AM19" s="130">
        <f t="shared" ca="1" si="11"/>
        <v>0</v>
      </c>
      <c r="AN19" s="130">
        <f t="shared" ca="1" si="20"/>
        <v>0</v>
      </c>
      <c r="AO19" s="130">
        <f t="shared" ca="1" si="12"/>
        <v>0</v>
      </c>
      <c r="AP19" s="130">
        <f t="shared" ca="1" si="12"/>
        <v>0</v>
      </c>
    </row>
    <row r="20" spans="1:42" ht="16.5" thickBot="1">
      <c r="A20" s="92" t="s">
        <v>78</v>
      </c>
      <c r="B20" s="124" t="str">
        <f>IFERROR(VLOOKUP($A20,'Position Master'!B:C,2,FALSE),"Missing")</f>
        <v>Dept 6</v>
      </c>
      <c r="C20" s="98" t="str">
        <f ca="1">IFERROR(VLOOKUP($D20,'Employee Master'!$A:$F,3,FALSE)&amp;", "&amp;VLOOKUP($D20,'Employee Master'!$A:$F,2,FALSE),"Vacant")</f>
        <v>Bhandari, Abdul</v>
      </c>
      <c r="D20" s="98">
        <f>IF(INDEX('Position Master'!$A$7:$A$97,MATCH(A20,'Position Master'!$B$7:$B$97,0))=0,"Vacant",INDEX('Position Master'!$A$7:$A$97,MATCH(A20,'Position Master'!$B$7:$B$97,0)))</f>
        <v>1976625</v>
      </c>
      <c r="E20" s="156">
        <f ca="1">IFERROR(VLOOKUP(D20,'Employee Master'!A:F,5,FALSE),"")</f>
        <v>68850.314571758063</v>
      </c>
      <c r="F20" s="157" t="str">
        <f ca="1">IF(C20="Vacant","No",IF(AND(VLOOKUP(D20,'Employee Master'!A:F,6,FALSE)+360&lt;B$4,VLOOKUP(D20,'Employee Master'!A:F,6,FALSE)+360&lt;B14),"Yes","No"))</f>
        <v>No</v>
      </c>
      <c r="G20" s="156">
        <f ca="1">IF(C20="Vacant",VLOOKUP(A20,'Position Master'!B:D,3,FALSE),E20)*(1+IF(F20="Yes",F$8,0))</f>
        <v>68850.314571758063</v>
      </c>
      <c r="H20" s="125"/>
      <c r="I20" s="182" t="str">
        <f>IF('Budgeting Model'!I20="","",'Budgeting Model'!I20)</f>
        <v/>
      </c>
      <c r="J20" s="130">
        <f t="shared" ca="1" si="0"/>
        <v>71604.327154628394</v>
      </c>
      <c r="K20" s="149" t="str">
        <f>IF('Budgeting Model'!K20="","",'Budgeting Model'!K20)</f>
        <v/>
      </c>
      <c r="L20" s="127">
        <f t="shared" ca="1" si="1"/>
        <v>44743</v>
      </c>
      <c r="M20" s="149" t="str">
        <f>IF('Budgeting Model'!M20="","",'Budgeting Model'!M20)</f>
        <v/>
      </c>
      <c r="N20" s="127">
        <f ca="1">IF(M20="",IFERROR(VLOOKUP($D20,'Employee Master'!$A:$F,6,FALSE)+365,""),M20)</f>
        <v>45079</v>
      </c>
      <c r="O20" s="149" t="str">
        <f>IF('Budgeting Model'!O20="","",'Budgeting Model'!O20)</f>
        <v/>
      </c>
      <c r="P20" s="127">
        <f t="shared" ca="1" si="13"/>
        <v>45107</v>
      </c>
      <c r="Q20" s="131">
        <f t="shared" ca="1" si="2"/>
        <v>240</v>
      </c>
      <c r="R20" s="131">
        <f t="shared" ca="1" si="3"/>
        <v>21</v>
      </c>
      <c r="S20" s="131">
        <f t="shared" ca="1" si="14"/>
        <v>261</v>
      </c>
      <c r="T20" s="158">
        <f t="shared" ca="1" si="15"/>
        <v>69071.901791069467</v>
      </c>
      <c r="U20" s="156">
        <f t="shared" ca="1" si="4"/>
        <v>69071.901791069467</v>
      </c>
      <c r="V20" s="130">
        <f t="shared" ca="1" si="5"/>
        <v>13147.508345810045</v>
      </c>
      <c r="W20" s="77"/>
      <c r="X20" s="149" t="str">
        <f>IF('Budgeting Model'!X20="","",'Budgeting Model'!X20)</f>
        <v/>
      </c>
      <c r="Y20" s="130">
        <f t="shared" ca="1" si="6"/>
        <v>71604.327154628394</v>
      </c>
      <c r="Z20" s="149" t="str">
        <f>IF('Budgeting Model'!Z20="","",'Budgeting Model'!Z20)</f>
        <v/>
      </c>
      <c r="AA20" s="127">
        <f t="shared" ca="1" si="7"/>
        <v>44743</v>
      </c>
      <c r="AB20" s="149" t="str">
        <f>IF('Budgeting Model'!AB20="","",'Budgeting Model'!AB20)</f>
        <v/>
      </c>
      <c r="AC20" s="127">
        <f ca="1">IF(AB20="",IFERROR(VLOOKUP($D20,'Employee Master'!$A:$F,6,FALSE)+365,""),AB20)</f>
        <v>45079</v>
      </c>
      <c r="AD20" s="149"/>
      <c r="AE20" s="127">
        <f t="shared" ca="1" si="16"/>
        <v>45107</v>
      </c>
      <c r="AF20" s="131">
        <f t="shared" ca="1" si="17"/>
        <v>240</v>
      </c>
      <c r="AG20" s="131">
        <f t="shared" ca="1" si="18"/>
        <v>21</v>
      </c>
      <c r="AH20" s="131">
        <f t="shared" ca="1" si="19"/>
        <v>261</v>
      </c>
      <c r="AI20" s="158">
        <f t="shared" ca="1" si="8"/>
        <v>69071.901791069467</v>
      </c>
      <c r="AJ20" s="156">
        <f t="shared" ca="1" si="9"/>
        <v>69071.901791069467</v>
      </c>
      <c r="AK20" s="130">
        <f t="shared" ca="1" si="21"/>
        <v>13147.508345810045</v>
      </c>
      <c r="AL20" s="78"/>
      <c r="AM20" s="130">
        <f t="shared" ca="1" si="11"/>
        <v>0</v>
      </c>
      <c r="AN20" s="130">
        <f t="shared" ca="1" si="20"/>
        <v>0</v>
      </c>
      <c r="AO20" s="130">
        <f t="shared" ca="1" si="12"/>
        <v>0</v>
      </c>
      <c r="AP20" s="130">
        <f t="shared" ca="1" si="12"/>
        <v>0</v>
      </c>
    </row>
    <row r="21" spans="1:42" ht="16.5" thickBot="1">
      <c r="A21" s="92" t="s">
        <v>79</v>
      </c>
      <c r="B21" s="124" t="str">
        <f>IFERROR(VLOOKUP($A21,'Position Master'!B:C,2,FALSE),"Missing")</f>
        <v>Dept 9</v>
      </c>
      <c r="C21" s="98" t="str">
        <f ca="1">IFERROR(VLOOKUP($D21,'Employee Master'!$A:$F,3,FALSE)&amp;", "&amp;VLOOKUP($D21,'Employee Master'!$A:$F,2,FALSE),"Vacant")</f>
        <v>Vacant</v>
      </c>
      <c r="D21" s="98" t="str">
        <f>IF(INDEX('Position Master'!$A$7:$A$97,MATCH(A21,'Position Master'!$B$7:$B$97,0))=0,"Vacant",INDEX('Position Master'!$A$7:$A$97,MATCH(A21,'Position Master'!$B$7:$B$97,0)))</f>
        <v>Vacant</v>
      </c>
      <c r="E21" s="156" t="str">
        <f ca="1">IFERROR(VLOOKUP(D21,'Employee Master'!A:F,5,FALSE),"")</f>
        <v/>
      </c>
      <c r="F21" s="157" t="str">
        <f ca="1">IF(C21="Vacant","No",IF(AND(VLOOKUP(D21,'Employee Master'!A:F,6,FALSE)+360&lt;B$4,VLOOKUP(D21,'Employee Master'!A:F,6,FALSE)+360&lt;B15),"Yes","No"))</f>
        <v>No</v>
      </c>
      <c r="G21" s="156">
        <f ca="1">IF(C21="Vacant",VLOOKUP(A21,'Position Master'!B:D,3,FALSE),E21)*(1+IF(F21="Yes",F$8,0))</f>
        <v>65707.056981894959</v>
      </c>
      <c r="H21" s="125"/>
      <c r="I21" s="182" t="str">
        <f>IF('Budgeting Model'!I21="","",'Budgeting Model'!I21)</f>
        <v/>
      </c>
      <c r="J21" s="130">
        <f t="shared" ca="1" si="0"/>
        <v>68335.339261170753</v>
      </c>
      <c r="K21" s="149">
        <f>IF('Budgeting Model'!K21="","",'Budgeting Model'!K21)</f>
        <v>45078</v>
      </c>
      <c r="L21" s="127">
        <f t="shared" si="1"/>
        <v>45078</v>
      </c>
      <c r="M21" s="149" t="str">
        <f>IF('Budgeting Model'!M21="","",'Budgeting Model'!M21)</f>
        <v/>
      </c>
      <c r="N21" s="127" t="str">
        <f ca="1">IF(M21="",IFERROR(VLOOKUP($D21,'Employee Master'!$A:$F,6,FALSE)+365,""),M21)</f>
        <v/>
      </c>
      <c r="O21" s="149" t="str">
        <f>IF('Budgeting Model'!O21="","",'Budgeting Model'!O21)</f>
        <v/>
      </c>
      <c r="P21" s="127">
        <f t="shared" ca="1" si="13"/>
        <v>45107</v>
      </c>
      <c r="Q21" s="131">
        <f t="shared" ca="1" si="2"/>
        <v>22</v>
      </c>
      <c r="R21" s="131">
        <f t="shared" ca="1" si="3"/>
        <v>0</v>
      </c>
      <c r="S21" s="131">
        <f t="shared" ca="1" si="14"/>
        <v>22</v>
      </c>
      <c r="T21" s="158">
        <f t="shared" ca="1" si="15"/>
        <v>65707.056981894959</v>
      </c>
      <c r="U21" s="156">
        <f t="shared" ca="1" si="4"/>
        <v>5538.5258758685404</v>
      </c>
      <c r="V21" s="130">
        <f t="shared" ca="1" si="5"/>
        <v>5538.5258758685404</v>
      </c>
      <c r="W21" s="77"/>
      <c r="X21" s="149">
        <f>IF('Budgeting Model'!X21="","",'Budgeting Model'!X21)</f>
        <v>0.05</v>
      </c>
      <c r="Y21" s="130">
        <f t="shared" ca="1" si="6"/>
        <v>68992.409830989709</v>
      </c>
      <c r="Z21" s="149">
        <f>IF('Budgeting Model'!Z21="","",'Budgeting Model'!Z21)</f>
        <v>44837</v>
      </c>
      <c r="AA21" s="127">
        <f t="shared" si="7"/>
        <v>44837</v>
      </c>
      <c r="AB21" s="149" t="str">
        <f>IF('Budgeting Model'!AB21="","",'Budgeting Model'!AB21)</f>
        <v/>
      </c>
      <c r="AC21" s="127" t="str">
        <f ca="1">IF(AB21="",IFERROR(VLOOKUP($D21,'Employee Master'!$A:$F,6,FALSE)+365,""),AB21)</f>
        <v/>
      </c>
      <c r="AD21" s="149"/>
      <c r="AE21" s="127">
        <f t="shared" ca="1" si="16"/>
        <v>45107</v>
      </c>
      <c r="AF21" s="131">
        <f t="shared" ca="1" si="17"/>
        <v>195</v>
      </c>
      <c r="AG21" s="131">
        <f t="shared" ca="1" si="18"/>
        <v>0</v>
      </c>
      <c r="AH21" s="131">
        <f t="shared" ca="1" si="19"/>
        <v>195</v>
      </c>
      <c r="AI21" s="158">
        <f t="shared" ca="1" si="8"/>
        <v>65707.056981894959</v>
      </c>
      <c r="AJ21" s="156">
        <f t="shared" ca="1" si="9"/>
        <v>49091.479354289339</v>
      </c>
      <c r="AK21" s="130">
        <f t="shared" ca="1" si="21"/>
        <v>49091.479354289339</v>
      </c>
      <c r="AL21" s="78"/>
      <c r="AM21" s="130">
        <f t="shared" ca="1" si="11"/>
        <v>0</v>
      </c>
      <c r="AN21" s="130">
        <f t="shared" ca="1" si="20"/>
        <v>43552.953478420801</v>
      </c>
      <c r="AO21" s="130">
        <f t="shared" ca="1" si="12"/>
        <v>43552.953478420801</v>
      </c>
      <c r="AP21" s="130">
        <f t="shared" ca="1" si="12"/>
        <v>43552.953478420801</v>
      </c>
    </row>
    <row r="22" spans="1:42" ht="16.5" thickBot="1">
      <c r="A22" s="92" t="s">
        <v>80</v>
      </c>
      <c r="B22" s="124" t="str">
        <f>IFERROR(VLOOKUP($A22,'Position Master'!B:C,2,FALSE),"Missing")</f>
        <v>Dept 2</v>
      </c>
      <c r="C22" s="98" t="str">
        <f ca="1">IFERROR(VLOOKUP($D22,'Employee Master'!$A:$F,3,FALSE)&amp;", "&amp;VLOOKUP($D22,'Employee Master'!$A:$F,2,FALSE),"Vacant")</f>
        <v>Biswas, Max</v>
      </c>
      <c r="D22" s="98">
        <f>IF(INDEX('Position Master'!$A$7:$A$97,MATCH(A22,'Position Master'!$B$7:$B$97,0))=0,"Vacant",INDEX('Position Master'!$A$7:$A$97,MATCH(A22,'Position Master'!$B$7:$B$97,0)))</f>
        <v>2260929</v>
      </c>
      <c r="E22" s="156">
        <f ca="1">IFERROR(VLOOKUP(D22,'Employee Master'!A:F,5,FALSE),"")</f>
        <v>82026.203262027353</v>
      </c>
      <c r="F22" s="157" t="str">
        <f ca="1">IF(C22="Vacant","No",IF(AND(VLOOKUP(D22,'Employee Master'!A:F,6,FALSE)+360&lt;B$4,VLOOKUP(D22,'Employee Master'!A:F,6,FALSE)+360&lt;B16),"Yes","No"))</f>
        <v>Yes</v>
      </c>
      <c r="G22" s="156">
        <f ca="1">IF(C22="Vacant",VLOOKUP(A22,'Position Master'!B:D,3,FALSE),E22)*(1+IF(F22="Yes",F$8,0))</f>
        <v>84486.989359888175</v>
      </c>
      <c r="H22" s="125"/>
      <c r="I22" s="182" t="str">
        <f>IF('Budgeting Model'!I22="","",'Budgeting Model'!I22)</f>
        <v/>
      </c>
      <c r="J22" s="130">
        <f t="shared" ca="1" si="0"/>
        <v>87866.468934283708</v>
      </c>
      <c r="K22" s="149" t="str">
        <f>IF('Budgeting Model'!K22="","",'Budgeting Model'!K22)</f>
        <v/>
      </c>
      <c r="L22" s="127">
        <f t="shared" ca="1" si="1"/>
        <v>44743</v>
      </c>
      <c r="M22" s="149" t="str">
        <f>IF('Budgeting Model'!M22="","",'Budgeting Model'!M22)</f>
        <v/>
      </c>
      <c r="N22" s="127">
        <f ca="1">IF(M22="",IFERROR(VLOOKUP($D22,'Employee Master'!$A:$F,6,FALSE)+365,""),M22)</f>
        <v>44989</v>
      </c>
      <c r="O22" s="149" t="str">
        <f>IF('Budgeting Model'!O22="","",'Budgeting Model'!O22)</f>
        <v/>
      </c>
      <c r="P22" s="127">
        <f t="shared" ca="1" si="13"/>
        <v>45107</v>
      </c>
      <c r="Q22" s="131">
        <f t="shared" ca="1" si="2"/>
        <v>176</v>
      </c>
      <c r="R22" s="131">
        <f t="shared" ca="1" si="3"/>
        <v>85</v>
      </c>
      <c r="S22" s="131">
        <f t="shared" ca="1" si="14"/>
        <v>261</v>
      </c>
      <c r="T22" s="158">
        <f t="shared" ca="1" si="15"/>
        <v>85587.586156147256</v>
      </c>
      <c r="U22" s="156">
        <f t="shared" ca="1" si="4"/>
        <v>85587.586156147256</v>
      </c>
      <c r="V22" s="130">
        <f t="shared" ca="1" si="5"/>
        <v>16496.003746283146</v>
      </c>
      <c r="W22" s="77"/>
      <c r="X22" s="149" t="str">
        <f>IF('Budgeting Model'!X22="","",'Budgeting Model'!X22)</f>
        <v/>
      </c>
      <c r="Y22" s="130">
        <f t="shared" ca="1" si="6"/>
        <v>87866.468934283708</v>
      </c>
      <c r="Z22" s="149" t="str">
        <f>IF('Budgeting Model'!Z22="","",'Budgeting Model'!Z22)</f>
        <v/>
      </c>
      <c r="AA22" s="127">
        <f t="shared" ca="1" si="7"/>
        <v>44743</v>
      </c>
      <c r="AB22" s="149" t="str">
        <f>IF('Budgeting Model'!AB22="","",'Budgeting Model'!AB22)</f>
        <v/>
      </c>
      <c r="AC22" s="127">
        <f ca="1">IF(AB22="",IFERROR(VLOOKUP($D22,'Employee Master'!$A:$F,6,FALSE)+365,""),AB22)</f>
        <v>44989</v>
      </c>
      <c r="AD22" s="149"/>
      <c r="AE22" s="127">
        <f t="shared" ca="1" si="16"/>
        <v>45107</v>
      </c>
      <c r="AF22" s="131">
        <f t="shared" ca="1" si="17"/>
        <v>176</v>
      </c>
      <c r="AG22" s="131">
        <f t="shared" ca="1" si="18"/>
        <v>85</v>
      </c>
      <c r="AH22" s="131">
        <f t="shared" ca="1" si="19"/>
        <v>261</v>
      </c>
      <c r="AI22" s="158">
        <f t="shared" ca="1" si="8"/>
        <v>85587.586156147256</v>
      </c>
      <c r="AJ22" s="156">
        <f t="shared" ca="1" si="9"/>
        <v>85587.586156147256</v>
      </c>
      <c r="AK22" s="130">
        <f t="shared" ca="1" si="21"/>
        <v>16496.003746283146</v>
      </c>
      <c r="AL22" s="78"/>
      <c r="AM22" s="130">
        <f t="shared" ca="1" si="11"/>
        <v>0</v>
      </c>
      <c r="AN22" s="130">
        <f t="shared" ca="1" si="20"/>
        <v>0</v>
      </c>
      <c r="AO22" s="130">
        <f t="shared" ca="1" si="12"/>
        <v>0</v>
      </c>
      <c r="AP22" s="130">
        <f t="shared" ca="1" si="12"/>
        <v>0</v>
      </c>
    </row>
    <row r="23" spans="1:42" ht="16.5" thickBot="1">
      <c r="A23" s="92" t="s">
        <v>81</v>
      </c>
      <c r="B23" s="124" t="str">
        <f>IFERROR(VLOOKUP($A23,'Position Master'!B:C,2,FALSE),"Missing")</f>
        <v>Dept 1</v>
      </c>
      <c r="C23" s="98" t="str">
        <f ca="1">IFERROR(VLOOKUP($D23,'Employee Master'!$A:$F,3,FALSE)&amp;", "&amp;VLOOKUP($D23,'Employee Master'!$A:$F,2,FALSE),"Vacant")</f>
        <v>Bulchandani, Akheem</v>
      </c>
      <c r="D23" s="98">
        <f>IF(INDEX('Position Master'!$A$7:$A$97,MATCH(A23,'Position Master'!$B$7:$B$97,0))=0,"Vacant",INDEX('Position Master'!$A$7:$A$97,MATCH(A23,'Position Master'!$B$7:$B$97,0)))</f>
        <v>2544715</v>
      </c>
      <c r="E23" s="156">
        <f ca="1">IFERROR(VLOOKUP(D23,'Employee Master'!A:F,5,FALSE),"")</f>
        <v>43963.486619237963</v>
      </c>
      <c r="F23" s="157" t="str">
        <f ca="1">IF(C23="Vacant","No",IF(AND(VLOOKUP(D23,'Employee Master'!A:F,6,FALSE)+360&lt;B$4,VLOOKUP(D23,'Employee Master'!A:F,6,FALSE)+360&lt;B17),"Yes","No"))</f>
        <v>Yes</v>
      </c>
      <c r="G23" s="156">
        <f ca="1">IF(C23="Vacant",VLOOKUP(A23,'Position Master'!B:D,3,FALSE),E23)*(1+IF(F23="Yes",F$8,0))</f>
        <v>45282.3912178151</v>
      </c>
      <c r="H23" s="125"/>
      <c r="I23" s="182" t="str">
        <f>IF('Budgeting Model'!I23="","",'Budgeting Model'!I23)</f>
        <v/>
      </c>
      <c r="J23" s="130">
        <f t="shared" ca="1" si="0"/>
        <v>47093.686866527707</v>
      </c>
      <c r="K23" s="149" t="str">
        <f>IF('Budgeting Model'!K23="","",'Budgeting Model'!K23)</f>
        <v/>
      </c>
      <c r="L23" s="127">
        <f t="shared" ca="1" si="1"/>
        <v>44743</v>
      </c>
      <c r="M23" s="149" t="str">
        <f>IF('Budgeting Model'!M23="","",'Budgeting Model'!M23)</f>
        <v/>
      </c>
      <c r="N23" s="127">
        <f ca="1">IF(M23="",IFERROR(VLOOKUP($D23,'Employee Master'!$A:$F,6,FALSE)+365,""),M23)</f>
        <v>44749</v>
      </c>
      <c r="O23" s="149">
        <f>IF('Budgeting Model'!O23="","",'Budgeting Model'!O23)</f>
        <v>44929</v>
      </c>
      <c r="P23" s="127">
        <f t="shared" si="13"/>
        <v>44929</v>
      </c>
      <c r="Q23" s="131">
        <f t="shared" ca="1" si="2"/>
        <v>4</v>
      </c>
      <c r="R23" s="131">
        <f t="shared" ca="1" si="3"/>
        <v>129</v>
      </c>
      <c r="S23" s="131">
        <f t="shared" ca="1" si="14"/>
        <v>133</v>
      </c>
      <c r="T23" s="158">
        <f t="shared" ca="1" si="15"/>
        <v>47039.21180942357</v>
      </c>
      <c r="U23" s="156">
        <f t="shared" ca="1" si="4"/>
        <v>23970.173067637297</v>
      </c>
      <c r="V23" s="130">
        <f t="shared" ca="1" si="5"/>
        <v>0</v>
      </c>
      <c r="W23" s="77"/>
      <c r="X23" s="149">
        <f>IF('Budgeting Model'!X23="","",'Budgeting Model'!X23)</f>
        <v>0.06</v>
      </c>
      <c r="Y23" s="130">
        <f t="shared" ca="1" si="6"/>
        <v>47999.33469088401</v>
      </c>
      <c r="Z23" s="149" t="str">
        <f>IF('Budgeting Model'!Z23="","",'Budgeting Model'!Z23)</f>
        <v/>
      </c>
      <c r="AA23" s="127">
        <f t="shared" ca="1" si="7"/>
        <v>44743</v>
      </c>
      <c r="AB23" s="149" t="str">
        <f>IF('Budgeting Model'!AB23="","",'Budgeting Model'!AB23)</f>
        <v/>
      </c>
      <c r="AC23" s="127">
        <f ca="1">IF(AB23="",IFERROR(VLOOKUP($D23,'Employee Master'!$A:$F,6,FALSE)+365,""),AB23)</f>
        <v>44749</v>
      </c>
      <c r="AD23" s="149"/>
      <c r="AE23" s="127">
        <f t="shared" ca="1" si="16"/>
        <v>45107</v>
      </c>
      <c r="AF23" s="131">
        <f t="shared" ca="1" si="17"/>
        <v>4</v>
      </c>
      <c r="AG23" s="131">
        <f t="shared" ca="1" si="18"/>
        <v>257</v>
      </c>
      <c r="AH23" s="131">
        <f t="shared" ca="1" si="19"/>
        <v>261</v>
      </c>
      <c r="AI23" s="158">
        <f t="shared" ca="1" si="8"/>
        <v>47957.695710453838</v>
      </c>
      <c r="AJ23" s="156">
        <f t="shared" ca="1" si="9"/>
        <v>47957.695710453838</v>
      </c>
      <c r="AK23" s="130">
        <f t="shared" ca="1" si="21"/>
        <v>9011.3693480969978</v>
      </c>
      <c r="AL23" s="78"/>
      <c r="AM23" s="130">
        <f t="shared" ca="1" si="11"/>
        <v>918.48390103026759</v>
      </c>
      <c r="AN23" s="130">
        <f t="shared" ca="1" si="20"/>
        <v>23069.038741786273</v>
      </c>
      <c r="AO23" s="130">
        <f t="shared" ca="1" si="12"/>
        <v>23987.522642816541</v>
      </c>
      <c r="AP23" s="130">
        <f t="shared" ca="1" si="12"/>
        <v>9011.3693480969978</v>
      </c>
    </row>
    <row r="24" spans="1:42" ht="16.5" thickBot="1">
      <c r="A24" s="92" t="s">
        <v>82</v>
      </c>
      <c r="B24" s="124" t="str">
        <f>IFERROR(VLOOKUP($A24,'Position Master'!B:C,2,FALSE),"Missing")</f>
        <v>Dept 10</v>
      </c>
      <c r="C24" s="98" t="str">
        <f ca="1">IFERROR(VLOOKUP($D24,'Employee Master'!$A:$F,3,FALSE)&amp;", "&amp;VLOOKUP($D24,'Employee Master'!$A:$F,2,FALSE),"Vacant")</f>
        <v>Cando, Asher</v>
      </c>
      <c r="D24" s="98">
        <f>IF(INDEX('Position Master'!$A$7:$A$97,MATCH(A24,'Position Master'!$B$7:$B$97,0))=0,"Vacant",INDEX('Position Master'!$A$7:$A$97,MATCH(A24,'Position Master'!$B$7:$B$97,0)))</f>
        <v>2779782</v>
      </c>
      <c r="E24" s="156">
        <f ca="1">IFERROR(VLOOKUP(D24,'Employee Master'!A:F,5,FALSE),"")</f>
        <v>85969.511225440612</v>
      </c>
      <c r="F24" s="157" t="str">
        <f ca="1">IF(C24="Vacant","No",IF(AND(VLOOKUP(D24,'Employee Master'!A:F,6,FALSE)+360&lt;B$4,VLOOKUP(D24,'Employee Master'!A:F,6,FALSE)+360&lt;B18),"Yes","No"))</f>
        <v>Yes</v>
      </c>
      <c r="G24" s="156">
        <f ca="1">IF(C24="Vacant",VLOOKUP(A24,'Position Master'!B:D,3,FALSE),E24)*(1+IF(F24="Yes",F$8,0))</f>
        <v>88548.596562203835</v>
      </c>
      <c r="H24" s="125"/>
      <c r="I24" s="182" t="str">
        <f>IF('Budgeting Model'!I24="","",'Budgeting Model'!I24)</f>
        <v/>
      </c>
      <c r="J24" s="130">
        <f t="shared" ca="1" si="0"/>
        <v>92090.540424691993</v>
      </c>
      <c r="K24" s="149" t="str">
        <f>IF('Budgeting Model'!K24="","",'Budgeting Model'!K24)</f>
        <v/>
      </c>
      <c r="L24" s="127">
        <f t="shared" ca="1" si="1"/>
        <v>44743</v>
      </c>
      <c r="M24" s="149" t="str">
        <f>IF('Budgeting Model'!M24="","",'Budgeting Model'!M24)</f>
        <v/>
      </c>
      <c r="N24" s="127">
        <f ca="1">IF(M24="",IFERROR(VLOOKUP($D24,'Employee Master'!$A:$F,6,FALSE)+365,""),M24)</f>
        <v>44982</v>
      </c>
      <c r="O24" s="149">
        <f>IF('Budgeting Model'!O24="","",'Budgeting Model'!O24)</f>
        <v>45015</v>
      </c>
      <c r="P24" s="127">
        <f t="shared" si="13"/>
        <v>45015</v>
      </c>
      <c r="Q24" s="131">
        <f t="shared" ca="1" si="2"/>
        <v>171</v>
      </c>
      <c r="R24" s="131">
        <f t="shared" ca="1" si="3"/>
        <v>24</v>
      </c>
      <c r="S24" s="131">
        <f t="shared" ca="1" si="14"/>
        <v>195</v>
      </c>
      <c r="T24" s="158">
        <f t="shared" ca="1" si="15"/>
        <v>88984.52811451006</v>
      </c>
      <c r="U24" s="156">
        <f t="shared" ca="1" si="4"/>
        <v>66482.693418886833</v>
      </c>
      <c r="V24" s="130">
        <f t="shared" ca="1" si="5"/>
        <v>0</v>
      </c>
      <c r="W24" s="77"/>
      <c r="X24" s="149" t="str">
        <f>IF('Budgeting Model'!X24="","",'Budgeting Model'!X24)</f>
        <v/>
      </c>
      <c r="Y24" s="130">
        <f t="shared" ca="1" si="6"/>
        <v>92090.540424691993</v>
      </c>
      <c r="Z24" s="149" t="str">
        <f>IF('Budgeting Model'!Z24="","",'Budgeting Model'!Z24)</f>
        <v/>
      </c>
      <c r="AA24" s="127">
        <f t="shared" ca="1" si="7"/>
        <v>44743</v>
      </c>
      <c r="AB24" s="149" t="str">
        <f>IF('Budgeting Model'!AB24="","",'Budgeting Model'!AB24)</f>
        <v/>
      </c>
      <c r="AC24" s="127">
        <f ca="1">IF(AB24="",IFERROR(VLOOKUP($D24,'Employee Master'!$A:$F,6,FALSE)+365,""),AB24)</f>
        <v>44982</v>
      </c>
      <c r="AD24" s="149"/>
      <c r="AE24" s="127">
        <f t="shared" ca="1" si="16"/>
        <v>45107</v>
      </c>
      <c r="AF24" s="131">
        <f t="shared" ca="1" si="17"/>
        <v>171</v>
      </c>
      <c r="AG24" s="131">
        <f t="shared" ca="1" si="18"/>
        <v>90</v>
      </c>
      <c r="AH24" s="131">
        <f t="shared" ca="1" si="19"/>
        <v>261</v>
      </c>
      <c r="AI24" s="158">
        <f t="shared" ca="1" si="8"/>
        <v>89769.956514785954</v>
      </c>
      <c r="AJ24" s="156">
        <f t="shared" ca="1" si="9"/>
        <v>89769.956514785954</v>
      </c>
      <c r="AK24" s="130">
        <f t="shared" ca="1" si="21"/>
        <v>17289.028662106924</v>
      </c>
      <c r="AL24" s="78"/>
      <c r="AM24" s="130">
        <f t="shared" ca="1" si="11"/>
        <v>785.42840027589409</v>
      </c>
      <c r="AN24" s="130">
        <f t="shared" ca="1" si="20"/>
        <v>22501.834695623227</v>
      </c>
      <c r="AO24" s="130">
        <f t="shared" ca="1" si="12"/>
        <v>23287.263095899121</v>
      </c>
      <c r="AP24" s="130">
        <f t="shared" ca="1" si="12"/>
        <v>17289.028662106924</v>
      </c>
    </row>
    <row r="25" spans="1:42" ht="16.5" thickBot="1">
      <c r="A25" s="92" t="s">
        <v>83</v>
      </c>
      <c r="B25" s="124" t="str">
        <f>IFERROR(VLOOKUP($A25,'Position Master'!B:C,2,FALSE),"Missing")</f>
        <v>Dept 13</v>
      </c>
      <c r="C25" s="98" t="str">
        <f ca="1">IFERROR(VLOOKUP($D25,'Employee Master'!$A:$F,3,FALSE)&amp;", "&amp;VLOOKUP($D25,'Employee Master'!$A:$F,2,FALSE),"Vacant")</f>
        <v>Chand, John</v>
      </c>
      <c r="D25" s="98">
        <f>IF(INDEX('Position Master'!$A$7:$A$97,MATCH(A25,'Position Master'!$B$7:$B$97,0))=0,"Vacant",INDEX('Position Master'!$A$7:$A$97,MATCH(A25,'Position Master'!$B$7:$B$97,0)))</f>
        <v>2964540</v>
      </c>
      <c r="E25" s="156">
        <f ca="1">IFERROR(VLOOKUP(D25,'Employee Master'!A:F,5,FALSE),"")</f>
        <v>55749.884338851087</v>
      </c>
      <c r="F25" s="157" t="str">
        <f ca="1">IF(C25="Vacant","No",IF(AND(VLOOKUP(D25,'Employee Master'!A:F,6,FALSE)+360&lt;B$4,VLOOKUP(D25,'Employee Master'!A:F,6,FALSE)+360&lt;B19),"Yes","No"))</f>
        <v>Yes</v>
      </c>
      <c r="G25" s="156">
        <f ca="1">IF(C25="Vacant",VLOOKUP(A25,'Position Master'!B:D,3,FALSE),E25)*(1+IF(F25="Yes",F$8,0))</f>
        <v>57422.380869016619</v>
      </c>
      <c r="H25" s="125"/>
      <c r="I25" s="182" t="str">
        <f>IF('Budgeting Model'!I25="","",'Budgeting Model'!I25)</f>
        <v/>
      </c>
      <c r="J25" s="130">
        <f t="shared" ca="1" si="0"/>
        <v>59719.276103777287</v>
      </c>
      <c r="K25" s="149" t="str">
        <f>IF('Budgeting Model'!K25="","",'Budgeting Model'!K25)</f>
        <v/>
      </c>
      <c r="L25" s="127">
        <f t="shared" ca="1" si="1"/>
        <v>44743</v>
      </c>
      <c r="M25" s="149" t="str">
        <f>IF('Budgeting Model'!M25="","",'Budgeting Model'!M25)</f>
        <v/>
      </c>
      <c r="N25" s="127">
        <f ca="1">IF(M25="",IFERROR(VLOOKUP($D25,'Employee Master'!$A:$F,6,FALSE)+365,""),M25)</f>
        <v>44957</v>
      </c>
      <c r="O25" s="149">
        <f>IF('Budgeting Model'!O25="","",'Budgeting Model'!O25)</f>
        <v>45017</v>
      </c>
      <c r="P25" s="127">
        <f t="shared" si="13"/>
        <v>45017</v>
      </c>
      <c r="Q25" s="131">
        <f t="shared" ca="1" si="2"/>
        <v>152</v>
      </c>
      <c r="R25" s="131">
        <f t="shared" ca="1" si="3"/>
        <v>44</v>
      </c>
      <c r="S25" s="131">
        <f t="shared" ca="1" si="14"/>
        <v>196</v>
      </c>
      <c r="T25" s="158">
        <f t="shared" ca="1" si="15"/>
        <v>57938.010411513904</v>
      </c>
      <c r="U25" s="156">
        <f t="shared" ca="1" si="4"/>
        <v>43509.003987190517</v>
      </c>
      <c r="V25" s="130">
        <f t="shared" ca="1" si="5"/>
        <v>0</v>
      </c>
      <c r="W25" s="77"/>
      <c r="X25" s="149" t="str">
        <f>IF('Budgeting Model'!X25="","",'Budgeting Model'!X25)</f>
        <v/>
      </c>
      <c r="Y25" s="130">
        <f t="shared" ca="1" si="6"/>
        <v>59719.276103777287</v>
      </c>
      <c r="Z25" s="149" t="str">
        <f>IF('Budgeting Model'!Z25="","",'Budgeting Model'!Z25)</f>
        <v/>
      </c>
      <c r="AA25" s="127">
        <f t="shared" ca="1" si="7"/>
        <v>44743</v>
      </c>
      <c r="AB25" s="149" t="str">
        <f>IF('Budgeting Model'!AB25="","",'Budgeting Model'!AB25)</f>
        <v/>
      </c>
      <c r="AC25" s="127">
        <f ca="1">IF(AB25="",IFERROR(VLOOKUP($D25,'Employee Master'!$A:$F,6,FALSE)+365,""),AB25)</f>
        <v>44957</v>
      </c>
      <c r="AD25" s="149"/>
      <c r="AE25" s="127">
        <f t="shared" ca="1" si="16"/>
        <v>45107</v>
      </c>
      <c r="AF25" s="131">
        <f t="shared" ca="1" si="17"/>
        <v>152</v>
      </c>
      <c r="AG25" s="131">
        <f t="shared" ca="1" si="18"/>
        <v>109</v>
      </c>
      <c r="AH25" s="131">
        <f t="shared" ca="1" si="19"/>
        <v>261</v>
      </c>
      <c r="AI25" s="158">
        <f t="shared" ca="1" si="8"/>
        <v>58381.620641387934</v>
      </c>
      <c r="AJ25" s="156">
        <f t="shared" ca="1" si="9"/>
        <v>58381.620641387934</v>
      </c>
      <c r="AK25" s="130">
        <f t="shared" ca="1" si="21"/>
        <v>11211.66486239497</v>
      </c>
      <c r="AL25" s="78"/>
      <c r="AM25" s="130">
        <f t="shared" ca="1" si="11"/>
        <v>443.61022987402976</v>
      </c>
      <c r="AN25" s="130">
        <f t="shared" ca="1" si="20"/>
        <v>14429.006424323386</v>
      </c>
      <c r="AO25" s="130">
        <f t="shared" ca="1" si="12"/>
        <v>14872.616654197416</v>
      </c>
      <c r="AP25" s="130">
        <f t="shared" ca="1" si="12"/>
        <v>11211.66486239497</v>
      </c>
    </row>
    <row r="26" spans="1:42" ht="16.5" thickBot="1">
      <c r="A26" s="92" t="s">
        <v>84</v>
      </c>
      <c r="B26" s="124" t="str">
        <f>IFERROR(VLOOKUP($A26,'Position Master'!B:C,2,FALSE),"Missing")</f>
        <v>Dept 8</v>
      </c>
      <c r="C26" s="98" t="str">
        <f ca="1">IFERROR(VLOOKUP($D26,'Employee Master'!$A:$F,3,FALSE)&amp;", "&amp;VLOOKUP($D26,'Employee Master'!$A:$F,2,FALSE),"Vacant")</f>
        <v>Cheema, Miguel</v>
      </c>
      <c r="D26" s="98">
        <f>IF(INDEX('Position Master'!$A$7:$A$97,MATCH(A26,'Position Master'!$B$7:$B$97,0))=0,"Vacant",INDEX('Position Master'!$A$7:$A$97,MATCH(A26,'Position Master'!$B$7:$B$97,0)))</f>
        <v>3386954</v>
      </c>
      <c r="E26" s="156">
        <f ca="1">IFERROR(VLOOKUP(D26,'Employee Master'!A:F,5,FALSE),"")</f>
        <v>48382.873099681347</v>
      </c>
      <c r="F26" s="157" t="str">
        <f ca="1">IF(C26="Vacant","No",IF(AND(VLOOKUP(D26,'Employee Master'!A:F,6,FALSE)+360&lt;B$4,VLOOKUP(D26,'Employee Master'!A:F,6,FALSE)+360&lt;B20),"Yes","No"))</f>
        <v>Yes</v>
      </c>
      <c r="G26" s="156">
        <f ca="1">IF(C26="Vacant",VLOOKUP(A26,'Position Master'!B:D,3,FALSE),E26)*(1+IF(F26="Yes",F$8,0))</f>
        <v>49834.35929267179</v>
      </c>
      <c r="H26" s="125"/>
      <c r="I26" s="182" t="str">
        <f>IF('Budgeting Model'!I26="","",'Budgeting Model'!I26)</f>
        <v/>
      </c>
      <c r="J26" s="130">
        <f t="shared" ca="1" si="0"/>
        <v>51827.733664378662</v>
      </c>
      <c r="K26" s="149" t="str">
        <f>IF('Budgeting Model'!K26="","",'Budgeting Model'!K26)</f>
        <v/>
      </c>
      <c r="L26" s="127">
        <f t="shared" ca="1" si="1"/>
        <v>44743</v>
      </c>
      <c r="M26" s="149" t="str">
        <f>IF('Budgeting Model'!M26="","",'Budgeting Model'!M26)</f>
        <v/>
      </c>
      <c r="N26" s="127">
        <f ca="1">IF(M26="",IFERROR(VLOOKUP($D26,'Employee Master'!$A:$F,6,FALSE)+365,""),M26)</f>
        <v>44834</v>
      </c>
      <c r="O26" s="149" t="str">
        <f>IF('Budgeting Model'!O26="","",'Budgeting Model'!O26)</f>
        <v/>
      </c>
      <c r="P26" s="127">
        <f t="shared" ca="1" si="13"/>
        <v>45107</v>
      </c>
      <c r="Q26" s="131">
        <f t="shared" ca="1" si="2"/>
        <v>65</v>
      </c>
      <c r="R26" s="131">
        <f t="shared" ca="1" si="3"/>
        <v>196</v>
      </c>
      <c r="S26" s="131">
        <f t="shared" ca="1" si="14"/>
        <v>261</v>
      </c>
      <c r="T26" s="158">
        <f t="shared" ca="1" si="15"/>
        <v>51331.299433876957</v>
      </c>
      <c r="U26" s="156">
        <f t="shared" ca="1" si="4"/>
        <v>51331.299433876957</v>
      </c>
      <c r="V26" s="130">
        <f t="shared" ca="1" si="5"/>
        <v>9730.1109178335428</v>
      </c>
      <c r="W26" s="77"/>
      <c r="X26" s="149" t="str">
        <f>IF('Budgeting Model'!X26="","",'Budgeting Model'!X26)</f>
        <v/>
      </c>
      <c r="Y26" s="130">
        <f t="shared" ca="1" si="6"/>
        <v>51827.733664378662</v>
      </c>
      <c r="Z26" s="149" t="str">
        <f>IF('Budgeting Model'!Z26="","",'Budgeting Model'!Z26)</f>
        <v/>
      </c>
      <c r="AA26" s="127">
        <f t="shared" ca="1" si="7"/>
        <v>44743</v>
      </c>
      <c r="AB26" s="149" t="str">
        <f>IF('Budgeting Model'!AB26="","",'Budgeting Model'!AB26)</f>
        <v/>
      </c>
      <c r="AC26" s="127">
        <f ca="1">IF(AB26="",IFERROR(VLOOKUP($D26,'Employee Master'!$A:$F,6,FALSE)+365,""),AB26)</f>
        <v>44834</v>
      </c>
      <c r="AD26" s="149"/>
      <c r="AE26" s="127">
        <f t="shared" ca="1" si="16"/>
        <v>45107</v>
      </c>
      <c r="AF26" s="131">
        <f t="shared" ca="1" si="17"/>
        <v>65</v>
      </c>
      <c r="AG26" s="131">
        <f t="shared" ca="1" si="18"/>
        <v>196</v>
      </c>
      <c r="AH26" s="131">
        <f t="shared" ca="1" si="19"/>
        <v>261</v>
      </c>
      <c r="AI26" s="158">
        <f t="shared" ca="1" si="8"/>
        <v>51331.299433876957</v>
      </c>
      <c r="AJ26" s="156">
        <f t="shared" ca="1" si="9"/>
        <v>51331.299433876957</v>
      </c>
      <c r="AK26" s="130">
        <f t="shared" ca="1" si="21"/>
        <v>9730.1109178335428</v>
      </c>
      <c r="AL26" s="78"/>
      <c r="AM26" s="130">
        <f t="shared" ca="1" si="11"/>
        <v>0</v>
      </c>
      <c r="AN26" s="130">
        <f t="shared" ca="1" si="20"/>
        <v>0</v>
      </c>
      <c r="AO26" s="130">
        <f t="shared" ca="1" si="12"/>
        <v>0</v>
      </c>
      <c r="AP26" s="130">
        <f t="shared" ca="1" si="12"/>
        <v>0</v>
      </c>
    </row>
    <row r="27" spans="1:42" ht="16.5" thickBot="1">
      <c r="A27" s="92" t="s">
        <v>85</v>
      </c>
      <c r="B27" s="124" t="str">
        <f>IFERROR(VLOOKUP($A27,'Position Master'!B:C,2,FALSE),"Missing")</f>
        <v>Dept 14</v>
      </c>
      <c r="C27" s="98" t="str">
        <f ca="1">IFERROR(VLOOKUP($D27,'Employee Master'!$A:$F,3,FALSE)&amp;", "&amp;VLOOKUP($D27,'Employee Master'!$A:$F,2,FALSE),"Vacant")</f>
        <v>Chen, Gadil</v>
      </c>
      <c r="D27" s="98">
        <f>IF(INDEX('Position Master'!$A$7:$A$97,MATCH(A27,'Position Master'!$B$7:$B$97,0))=0,"Vacant",INDEX('Position Master'!$A$7:$A$97,MATCH(A27,'Position Master'!$B$7:$B$97,0)))</f>
        <v>3399129</v>
      </c>
      <c r="E27" s="156">
        <f ca="1">IFERROR(VLOOKUP(D27,'Employee Master'!A:F,5,FALSE),"")</f>
        <v>58013.448483875982</v>
      </c>
      <c r="F27" s="157" t="str">
        <f ca="1">IF(C27="Vacant","No",IF(AND(VLOOKUP(D27,'Employee Master'!A:F,6,FALSE)+360&lt;B$4,VLOOKUP(D27,'Employee Master'!A:F,6,FALSE)+360&lt;B21),"Yes","No"))</f>
        <v>Yes</v>
      </c>
      <c r="G27" s="156">
        <f ca="1">IF(C27="Vacant",VLOOKUP(A27,'Position Master'!B:D,3,FALSE),E27)*(1+IF(F27="Yes",F$8,0))</f>
        <v>59753.851938392261</v>
      </c>
      <c r="H27" s="125"/>
      <c r="I27" s="182" t="str">
        <f>IF('Budgeting Model'!I27="","",'Budgeting Model'!I27)</f>
        <v/>
      </c>
      <c r="J27" s="130">
        <f t="shared" ca="1" si="0"/>
        <v>62144.006015927953</v>
      </c>
      <c r="K27" s="149" t="str">
        <f>IF('Budgeting Model'!K27="","",'Budgeting Model'!K27)</f>
        <v/>
      </c>
      <c r="L27" s="127">
        <f t="shared" ca="1" si="1"/>
        <v>44743</v>
      </c>
      <c r="M27" s="149" t="str">
        <f>IF('Budgeting Model'!M27="","",'Budgeting Model'!M27)</f>
        <v/>
      </c>
      <c r="N27" s="127">
        <f ca="1">IF(M27="",IFERROR(VLOOKUP($D27,'Employee Master'!$A:$F,6,FALSE)+365,""),M27)</f>
        <v>45021</v>
      </c>
      <c r="O27" s="149" t="str">
        <f>IF('Budgeting Model'!O27="","",'Budgeting Model'!O27)</f>
        <v/>
      </c>
      <c r="P27" s="127">
        <f t="shared" ca="1" si="13"/>
        <v>45107</v>
      </c>
      <c r="Q27" s="131">
        <f t="shared" ca="1" si="2"/>
        <v>198</v>
      </c>
      <c r="R27" s="131">
        <f t="shared" ca="1" si="3"/>
        <v>63</v>
      </c>
      <c r="S27" s="131">
        <f t="shared" ca="1" si="14"/>
        <v>261</v>
      </c>
      <c r="T27" s="158">
        <f t="shared" ca="1" si="15"/>
        <v>60330.785681245703</v>
      </c>
      <c r="U27" s="156">
        <f t="shared" ca="1" si="4"/>
        <v>60330.785681245703</v>
      </c>
      <c r="V27" s="130">
        <f t="shared" ca="1" si="5"/>
        <v>11666.882355480726</v>
      </c>
      <c r="W27" s="77"/>
      <c r="X27" s="149">
        <f>IF('Budgeting Model'!X27="","",'Budgeting Model'!X27)</f>
        <v>0.06</v>
      </c>
      <c r="Y27" s="130">
        <f t="shared" ca="1" si="6"/>
        <v>63339.083054695802</v>
      </c>
      <c r="Z27" s="149" t="str">
        <f>IF('Budgeting Model'!Z27="","",'Budgeting Model'!Z27)</f>
        <v/>
      </c>
      <c r="AA27" s="127">
        <f t="shared" ca="1" si="7"/>
        <v>44743</v>
      </c>
      <c r="AB27" s="149" t="str">
        <f>IF('Budgeting Model'!AB27="","",'Budgeting Model'!AB27)</f>
        <v/>
      </c>
      <c r="AC27" s="127">
        <f ca="1">IF(AB27="",IFERROR(VLOOKUP($D27,'Employee Master'!$A:$F,6,FALSE)+365,""),AB27)</f>
        <v>45021</v>
      </c>
      <c r="AD27" s="149"/>
      <c r="AE27" s="127">
        <f t="shared" ca="1" si="16"/>
        <v>45107</v>
      </c>
      <c r="AF27" s="131">
        <f t="shared" ca="1" si="17"/>
        <v>198</v>
      </c>
      <c r="AG27" s="131">
        <f t="shared" ca="1" si="18"/>
        <v>63</v>
      </c>
      <c r="AH27" s="131">
        <f t="shared" ca="1" si="19"/>
        <v>261</v>
      </c>
      <c r="AI27" s="158">
        <f t="shared" ca="1" si="8"/>
        <v>60619.252552672428</v>
      </c>
      <c r="AJ27" s="156">
        <f t="shared" ca="1" si="9"/>
        <v>60619.252552672428</v>
      </c>
      <c r="AK27" s="130">
        <f t="shared" ca="1" si="21"/>
        <v>11891.24547770151</v>
      </c>
      <c r="AL27" s="78"/>
      <c r="AM27" s="130">
        <f t="shared" ca="1" si="11"/>
        <v>288.46687142672454</v>
      </c>
      <c r="AN27" s="130">
        <f t="shared" ca="1" si="20"/>
        <v>0</v>
      </c>
      <c r="AO27" s="130">
        <f t="shared" ca="1" si="12"/>
        <v>288.46687142672454</v>
      </c>
      <c r="AP27" s="130">
        <f t="shared" ca="1" si="12"/>
        <v>224.36312222078413</v>
      </c>
    </row>
    <row r="28" spans="1:42" ht="16.5" thickBot="1">
      <c r="A28" s="92" t="s">
        <v>86</v>
      </c>
      <c r="B28" s="124" t="str">
        <f>IFERROR(VLOOKUP($A28,'Position Master'!B:C,2,FALSE),"Missing")</f>
        <v>Dept 5</v>
      </c>
      <c r="C28" s="98" t="str">
        <f ca="1">IFERROR(VLOOKUP($D28,'Employee Master'!$A:$F,3,FALSE)&amp;", "&amp;VLOOKUP($D28,'Employee Master'!$A:$F,2,FALSE),"Vacant")</f>
        <v>Chikovani, Rafael</v>
      </c>
      <c r="D28" s="98">
        <f>IF(INDEX('Position Master'!$A$7:$A$97,MATCH(A28,'Position Master'!$B$7:$B$97,0))=0,"Vacant",INDEX('Position Master'!$A$7:$A$97,MATCH(A28,'Position Master'!$B$7:$B$97,0)))</f>
        <v>3560203</v>
      </c>
      <c r="E28" s="156">
        <f ca="1">IFERROR(VLOOKUP(D28,'Employee Master'!A:F,5,FALSE),"")</f>
        <v>76801.477439874972</v>
      </c>
      <c r="F28" s="157" t="str">
        <f ca="1">IF(C28="Vacant","No",IF(AND(VLOOKUP(D28,'Employee Master'!A:F,6,FALSE)+360&lt;B$4,VLOOKUP(D28,'Employee Master'!A:F,6,FALSE)+360&lt;B22),"Yes","No"))</f>
        <v>Yes</v>
      </c>
      <c r="G28" s="156">
        <f ca="1">IF(C28="Vacant",VLOOKUP(A28,'Position Master'!B:D,3,FALSE),E28)*(1+IF(F28="Yes",F$8,0))</f>
        <v>79105.521763071229</v>
      </c>
      <c r="H28" s="125"/>
      <c r="I28" s="182" t="str">
        <f>IF('Budgeting Model'!I28="","",'Budgeting Model'!I28)</f>
        <v/>
      </c>
      <c r="J28" s="130">
        <f t="shared" ca="1" si="0"/>
        <v>82269.742633594084</v>
      </c>
      <c r="K28" s="149" t="str">
        <f>IF('Budgeting Model'!K28="","",'Budgeting Model'!K28)</f>
        <v/>
      </c>
      <c r="L28" s="127">
        <f t="shared" ca="1" si="1"/>
        <v>44743</v>
      </c>
      <c r="M28" s="149" t="str">
        <f>IF('Budgeting Model'!M28="","",'Budgeting Model'!M28)</f>
        <v/>
      </c>
      <c r="N28" s="127">
        <f ca="1">IF(M28="",IFERROR(VLOOKUP($D28,'Employee Master'!$A:$F,6,FALSE)+365,""),M28)</f>
        <v>44929</v>
      </c>
      <c r="O28" s="149" t="str">
        <f>IF('Budgeting Model'!O28="","",'Budgeting Model'!O28)</f>
        <v/>
      </c>
      <c r="P28" s="127">
        <f t="shared" ca="1" si="13"/>
        <v>45107</v>
      </c>
      <c r="Q28" s="131">
        <f t="shared" ca="1" si="2"/>
        <v>132</v>
      </c>
      <c r="R28" s="131">
        <f t="shared" ca="1" si="3"/>
        <v>129</v>
      </c>
      <c r="S28" s="131">
        <f t="shared" ca="1" si="14"/>
        <v>261</v>
      </c>
      <c r="T28" s="158">
        <f t="shared" ca="1" si="15"/>
        <v>80669.447020915861</v>
      </c>
      <c r="U28" s="156">
        <f t="shared" ca="1" si="4"/>
        <v>80669.447020915861</v>
      </c>
      <c r="V28" s="130">
        <f t="shared" ca="1" si="5"/>
        <v>15445.277352667088</v>
      </c>
      <c r="W28" s="77"/>
      <c r="X28" s="149" t="str">
        <f>IF('Budgeting Model'!X28="","",'Budgeting Model'!X28)</f>
        <v/>
      </c>
      <c r="Y28" s="130">
        <f t="shared" ca="1" si="6"/>
        <v>82269.742633594084</v>
      </c>
      <c r="Z28" s="149" t="str">
        <f>IF('Budgeting Model'!Z28="","",'Budgeting Model'!Z28)</f>
        <v/>
      </c>
      <c r="AA28" s="127">
        <f t="shared" ca="1" si="7"/>
        <v>44743</v>
      </c>
      <c r="AB28" s="149" t="str">
        <f>IF('Budgeting Model'!AB28="","",'Budgeting Model'!AB28)</f>
        <v/>
      </c>
      <c r="AC28" s="127">
        <f ca="1">IF(AB28="",IFERROR(VLOOKUP($D28,'Employee Master'!$A:$F,6,FALSE)+365,""),AB28)</f>
        <v>44929</v>
      </c>
      <c r="AD28" s="149"/>
      <c r="AE28" s="127">
        <f t="shared" ca="1" si="16"/>
        <v>45107</v>
      </c>
      <c r="AF28" s="131">
        <f t="shared" ca="1" si="17"/>
        <v>132</v>
      </c>
      <c r="AG28" s="131">
        <f t="shared" ca="1" si="18"/>
        <v>129</v>
      </c>
      <c r="AH28" s="131">
        <f t="shared" ca="1" si="19"/>
        <v>261</v>
      </c>
      <c r="AI28" s="158">
        <f t="shared" ca="1" si="8"/>
        <v>80669.447020915861</v>
      </c>
      <c r="AJ28" s="156">
        <f t="shared" ca="1" si="9"/>
        <v>80669.447020915861</v>
      </c>
      <c r="AK28" s="130">
        <f t="shared" ca="1" si="21"/>
        <v>15445.277352667088</v>
      </c>
      <c r="AL28" s="78"/>
      <c r="AM28" s="130">
        <f t="shared" ca="1" si="11"/>
        <v>0</v>
      </c>
      <c r="AN28" s="130">
        <f t="shared" ca="1" si="20"/>
        <v>0</v>
      </c>
      <c r="AO28" s="130">
        <f t="shared" ca="1" si="12"/>
        <v>0</v>
      </c>
      <c r="AP28" s="130">
        <f t="shared" ca="1" si="12"/>
        <v>0</v>
      </c>
    </row>
    <row r="29" spans="1:42" ht="16.5" thickBot="1">
      <c r="A29" s="92" t="s">
        <v>87</v>
      </c>
      <c r="B29" s="124" t="str">
        <f>IFERROR(VLOOKUP($A29,'Position Master'!B:C,2,FALSE),"Missing")</f>
        <v>Dept 12</v>
      </c>
      <c r="C29" s="98" t="str">
        <f ca="1">IFERROR(VLOOKUP($D29,'Employee Master'!$A:$F,3,FALSE)&amp;", "&amp;VLOOKUP($D29,'Employee Master'!$A:$F,2,FALSE),"Vacant")</f>
        <v>Cumbe, Nathali</v>
      </c>
      <c r="D29" s="98">
        <f>IF(INDEX('Position Master'!$A$7:$A$97,MATCH(A29,'Position Master'!$B$7:$B$97,0))=0,"Vacant",INDEX('Position Master'!$A$7:$A$97,MATCH(A29,'Position Master'!$B$7:$B$97,0)))</f>
        <v>3815904</v>
      </c>
      <c r="E29" s="156">
        <f ca="1">IFERROR(VLOOKUP(D29,'Employee Master'!A:F,5,FALSE),"")</f>
        <v>44173.621818609732</v>
      </c>
      <c r="F29" s="157" t="str">
        <f ca="1">IF(C29="Vacant","No",IF(AND(VLOOKUP(D29,'Employee Master'!A:F,6,FALSE)+360&lt;B$4,VLOOKUP(D29,'Employee Master'!A:F,6,FALSE)+360&lt;B23),"Yes","No"))</f>
        <v>Yes</v>
      </c>
      <c r="G29" s="156">
        <f ca="1">IF(C29="Vacant",VLOOKUP(A29,'Position Master'!B:D,3,FALSE),E29)*(1+IF(F29="Yes",F$8,0))</f>
        <v>45498.830473168025</v>
      </c>
      <c r="H29" s="125"/>
      <c r="I29" s="182" t="str">
        <f>IF('Budgeting Model'!I29="","",'Budgeting Model'!I29)</f>
        <v/>
      </c>
      <c r="J29" s="130">
        <f t="shared" ca="1" si="0"/>
        <v>47318.783692094745</v>
      </c>
      <c r="K29" s="149" t="str">
        <f>IF('Budgeting Model'!K29="","",'Budgeting Model'!K29)</f>
        <v/>
      </c>
      <c r="L29" s="127">
        <f t="shared" ca="1" si="1"/>
        <v>44743</v>
      </c>
      <c r="M29" s="149" t="str">
        <f>IF('Budgeting Model'!M29="","",'Budgeting Model'!M29)</f>
        <v/>
      </c>
      <c r="N29" s="127">
        <f ca="1">IF(M29="",IFERROR(VLOOKUP($D29,'Employee Master'!$A:$F,6,FALSE)+365,""),M29)</f>
        <v>45022</v>
      </c>
      <c r="O29" s="149" t="str">
        <f>IF('Budgeting Model'!O29="","",'Budgeting Model'!O29)</f>
        <v/>
      </c>
      <c r="P29" s="127">
        <f t="shared" ca="1" si="13"/>
        <v>45107</v>
      </c>
      <c r="Q29" s="131">
        <f t="shared" ca="1" si="2"/>
        <v>199</v>
      </c>
      <c r="R29" s="131">
        <f t="shared" ca="1" si="3"/>
        <v>62</v>
      </c>
      <c r="S29" s="131">
        <f t="shared" ca="1" si="14"/>
        <v>261</v>
      </c>
      <c r="T29" s="158">
        <f t="shared" ca="1" si="15"/>
        <v>45931.15652517361</v>
      </c>
      <c r="U29" s="156">
        <f t="shared" ca="1" si="4"/>
        <v>45931.15652517361</v>
      </c>
      <c r="V29" s="130">
        <f t="shared" ca="1" si="5"/>
        <v>8883.603068630815</v>
      </c>
      <c r="W29" s="77"/>
      <c r="X29" s="149" t="str">
        <f>IF('Budgeting Model'!X29="","",'Budgeting Model'!X29)</f>
        <v/>
      </c>
      <c r="Y29" s="130">
        <f t="shared" ca="1" si="6"/>
        <v>47318.783692094745</v>
      </c>
      <c r="Z29" s="149" t="str">
        <f>IF('Budgeting Model'!Z29="","",'Budgeting Model'!Z29)</f>
        <v/>
      </c>
      <c r="AA29" s="127">
        <f t="shared" ca="1" si="7"/>
        <v>44743</v>
      </c>
      <c r="AB29" s="149" t="str">
        <f>IF('Budgeting Model'!AB29="","",'Budgeting Model'!AB29)</f>
        <v/>
      </c>
      <c r="AC29" s="127">
        <f ca="1">IF(AB29="",IFERROR(VLOOKUP($D29,'Employee Master'!$A:$F,6,FALSE)+365,""),AB29)</f>
        <v>45022</v>
      </c>
      <c r="AD29" s="149"/>
      <c r="AE29" s="127">
        <f t="shared" ca="1" si="16"/>
        <v>45107</v>
      </c>
      <c r="AF29" s="131">
        <f t="shared" ca="1" si="17"/>
        <v>199</v>
      </c>
      <c r="AG29" s="131">
        <f t="shared" ca="1" si="18"/>
        <v>62</v>
      </c>
      <c r="AH29" s="131">
        <f t="shared" ca="1" si="19"/>
        <v>261</v>
      </c>
      <c r="AI29" s="158">
        <f t="shared" ca="1" si="8"/>
        <v>45931.15652517361</v>
      </c>
      <c r="AJ29" s="156">
        <f t="shared" ca="1" si="9"/>
        <v>45931.15652517361</v>
      </c>
      <c r="AK29" s="130">
        <f t="shared" ca="1" si="21"/>
        <v>8883.603068630815</v>
      </c>
      <c r="AL29" s="78"/>
      <c r="AM29" s="130">
        <f t="shared" ca="1" si="11"/>
        <v>0</v>
      </c>
      <c r="AN29" s="130">
        <f t="shared" ca="1" si="20"/>
        <v>0</v>
      </c>
      <c r="AO29" s="130">
        <f t="shared" ca="1" si="12"/>
        <v>0</v>
      </c>
      <c r="AP29" s="130">
        <f t="shared" ca="1" si="12"/>
        <v>0</v>
      </c>
    </row>
    <row r="30" spans="1:42" ht="16.5" thickBot="1">
      <c r="A30" s="92" t="s">
        <v>88</v>
      </c>
      <c r="B30" s="124" t="str">
        <f>IFERROR(VLOOKUP($A30,'Position Master'!B:C,2,FALSE),"Missing")</f>
        <v>Dept 4</v>
      </c>
      <c r="C30" s="98" t="str">
        <f ca="1">IFERROR(VLOOKUP($D30,'Employee Master'!$A:$F,3,FALSE)&amp;", "&amp;VLOOKUP($D30,'Employee Master'!$A:$F,2,FALSE),"Vacant")</f>
        <v>Davidov, Yingying</v>
      </c>
      <c r="D30" s="98">
        <f>IF(INDEX('Position Master'!$A$7:$A$97,MATCH(A30,'Position Master'!$B$7:$B$97,0))=0,"Vacant",INDEX('Position Master'!$A$7:$A$97,MATCH(A30,'Position Master'!$B$7:$B$97,0)))</f>
        <v>3940809</v>
      </c>
      <c r="E30" s="156">
        <f ca="1">IFERROR(VLOOKUP(D30,'Employee Master'!A:F,5,FALSE),"")</f>
        <v>52879.475273945864</v>
      </c>
      <c r="F30" s="157" t="str">
        <f ca="1">IF(C30="Vacant","No",IF(AND(VLOOKUP(D30,'Employee Master'!A:F,6,FALSE)+360&lt;B$4,VLOOKUP(D30,'Employee Master'!A:F,6,FALSE)+360&lt;B24),"Yes","No"))</f>
        <v>Yes</v>
      </c>
      <c r="G30" s="156">
        <f ca="1">IF(C30="Vacant",VLOOKUP(A30,'Position Master'!B:D,3,FALSE),E30)*(1+IF(F30="Yes",F$8,0))</f>
        <v>54465.859532164242</v>
      </c>
      <c r="H30" s="125"/>
      <c r="I30" s="182" t="str">
        <f>IF('Budgeting Model'!I30="","",'Budgeting Model'!I30)</f>
        <v/>
      </c>
      <c r="J30" s="130">
        <f t="shared" ca="1" si="0"/>
        <v>56644.493913450817</v>
      </c>
      <c r="K30" s="149" t="str">
        <f>IF('Budgeting Model'!K30="","",'Budgeting Model'!K30)</f>
        <v/>
      </c>
      <c r="L30" s="127">
        <f t="shared" ca="1" si="1"/>
        <v>44743</v>
      </c>
      <c r="M30" s="149" t="str">
        <f>IF('Budgeting Model'!M30="","",'Budgeting Model'!M30)</f>
        <v/>
      </c>
      <c r="N30" s="127">
        <f ca="1">IF(M30="",IFERROR(VLOOKUP($D30,'Employee Master'!$A:$F,6,FALSE)+365,""),M30)</f>
        <v>45027</v>
      </c>
      <c r="O30" s="149" t="str">
        <f>IF('Budgeting Model'!O30="","",'Budgeting Model'!O30)</f>
        <v/>
      </c>
      <c r="P30" s="127">
        <f t="shared" ca="1" si="13"/>
        <v>45107</v>
      </c>
      <c r="Q30" s="131">
        <f t="shared" ca="1" si="2"/>
        <v>202</v>
      </c>
      <c r="R30" s="131">
        <f t="shared" ca="1" si="3"/>
        <v>59</v>
      </c>
      <c r="S30" s="131">
        <f t="shared" ca="1" si="14"/>
        <v>261</v>
      </c>
      <c r="T30" s="158">
        <f t="shared" ca="1" si="15"/>
        <v>54958.347763949329</v>
      </c>
      <c r="U30" s="156">
        <f t="shared" ca="1" si="4"/>
        <v>54958.347763949329</v>
      </c>
      <c r="V30" s="130">
        <f t="shared" ca="1" si="5"/>
        <v>10634.406903291534</v>
      </c>
      <c r="W30" s="77"/>
      <c r="X30" s="149" t="str">
        <f>IF('Budgeting Model'!X30="","",'Budgeting Model'!X30)</f>
        <v/>
      </c>
      <c r="Y30" s="130">
        <f t="shared" ca="1" si="6"/>
        <v>56644.493913450817</v>
      </c>
      <c r="Z30" s="149" t="str">
        <f>IF('Budgeting Model'!Z30="","",'Budgeting Model'!Z30)</f>
        <v/>
      </c>
      <c r="AA30" s="127">
        <f t="shared" ca="1" si="7"/>
        <v>44743</v>
      </c>
      <c r="AB30" s="149" t="str">
        <f>IF('Budgeting Model'!AB30="","",'Budgeting Model'!AB30)</f>
        <v/>
      </c>
      <c r="AC30" s="127">
        <f ca="1">IF(AB30="",IFERROR(VLOOKUP($D30,'Employee Master'!$A:$F,6,FALSE)+365,""),AB30)</f>
        <v>45027</v>
      </c>
      <c r="AD30" s="149"/>
      <c r="AE30" s="127">
        <f t="shared" ca="1" si="16"/>
        <v>45107</v>
      </c>
      <c r="AF30" s="131">
        <f t="shared" ca="1" si="17"/>
        <v>202</v>
      </c>
      <c r="AG30" s="131">
        <f t="shared" ca="1" si="18"/>
        <v>59</v>
      </c>
      <c r="AH30" s="131">
        <f t="shared" ca="1" si="19"/>
        <v>261</v>
      </c>
      <c r="AI30" s="158">
        <f t="shared" ca="1" si="8"/>
        <v>54958.347763949329</v>
      </c>
      <c r="AJ30" s="156">
        <f t="shared" ca="1" si="9"/>
        <v>54958.347763949329</v>
      </c>
      <c r="AK30" s="130">
        <f t="shared" ca="1" si="21"/>
        <v>10634.406903291534</v>
      </c>
      <c r="AL30" s="78"/>
      <c r="AM30" s="130">
        <f t="shared" ca="1" si="11"/>
        <v>0</v>
      </c>
      <c r="AN30" s="130">
        <f t="shared" ca="1" si="20"/>
        <v>0</v>
      </c>
      <c r="AO30" s="130">
        <f t="shared" ca="1" si="12"/>
        <v>0</v>
      </c>
      <c r="AP30" s="130">
        <f t="shared" ca="1" si="12"/>
        <v>0</v>
      </c>
    </row>
    <row r="31" spans="1:42" ht="16.5" thickBot="1">
      <c r="A31" s="92" t="s">
        <v>89</v>
      </c>
      <c r="B31" s="124" t="str">
        <f>IFERROR(VLOOKUP($A31,'Position Master'!B:C,2,FALSE),"Missing")</f>
        <v>Dept 7</v>
      </c>
      <c r="C31" s="98" t="str">
        <f ca="1">IFERROR(VLOOKUP($D31,'Employee Master'!$A:$F,3,FALSE)&amp;", "&amp;VLOOKUP($D31,'Employee Master'!$A:$F,2,FALSE),"Vacant")</f>
        <v>Feng, Hao Ren</v>
      </c>
      <c r="D31" s="98">
        <f>IF(INDEX('Position Master'!$A$7:$A$97,MATCH(A31,'Position Master'!$B$7:$B$97,0))=0,"Vacant",INDEX('Position Master'!$A$7:$A$97,MATCH(A31,'Position Master'!$B$7:$B$97,0)))</f>
        <v>3949158</v>
      </c>
      <c r="E31" s="156">
        <f ca="1">IFERROR(VLOOKUP(D31,'Employee Master'!A:F,5,FALSE),"")</f>
        <v>86821.407646079475</v>
      </c>
      <c r="F31" s="157" t="str">
        <f ca="1">IF(C31="Vacant","No",IF(AND(VLOOKUP(D31,'Employee Master'!A:F,6,FALSE)+360&lt;B$4,VLOOKUP(D31,'Employee Master'!A:F,6,FALSE)+360&lt;B25),"Yes","No"))</f>
        <v>Yes</v>
      </c>
      <c r="G31" s="156">
        <f ca="1">IF(C31="Vacant",VLOOKUP(A31,'Position Master'!B:D,3,FALSE),E31)*(1+IF(F31="Yes",F$8,0))</f>
        <v>89426.04987546186</v>
      </c>
      <c r="H31" s="125"/>
      <c r="I31" s="182" t="str">
        <f>IF('Budgeting Model'!I31="","",'Budgeting Model'!I31)</f>
        <v/>
      </c>
      <c r="J31" s="130">
        <f t="shared" ca="1" si="0"/>
        <v>93003.091870480333</v>
      </c>
      <c r="K31" s="149" t="str">
        <f>IF('Budgeting Model'!K31="","",'Budgeting Model'!K31)</f>
        <v/>
      </c>
      <c r="L31" s="127">
        <f t="shared" ca="1" si="1"/>
        <v>44743</v>
      </c>
      <c r="M31" s="149" t="str">
        <f>IF('Budgeting Model'!M31="","",'Budgeting Model'!M31)</f>
        <v/>
      </c>
      <c r="N31" s="127">
        <f ca="1">IF(M31="",IFERROR(VLOOKUP($D31,'Employee Master'!$A:$F,6,FALSE)+365,""),M31)</f>
        <v>44844</v>
      </c>
      <c r="O31" s="149" t="str">
        <f>IF('Budgeting Model'!O31="","",'Budgeting Model'!O31)</f>
        <v/>
      </c>
      <c r="P31" s="127">
        <f t="shared" ca="1" si="13"/>
        <v>45107</v>
      </c>
      <c r="Q31" s="131">
        <f t="shared" ca="1" si="2"/>
        <v>71</v>
      </c>
      <c r="R31" s="131">
        <f t="shared" ca="1" si="3"/>
        <v>190</v>
      </c>
      <c r="S31" s="131">
        <f t="shared" ca="1" si="14"/>
        <v>261</v>
      </c>
      <c r="T31" s="158">
        <f t="shared" ca="1" si="15"/>
        <v>92030.026806701353</v>
      </c>
      <c r="U31" s="156">
        <f t="shared" ca="1" si="4"/>
        <v>92030.026806701353</v>
      </c>
      <c r="V31" s="130">
        <f t="shared" ca="1" si="5"/>
        <v>17460.350581048031</v>
      </c>
      <c r="W31" s="77"/>
      <c r="X31" s="149">
        <f>IF('Budgeting Model'!X31="","",'Budgeting Model'!X31)</f>
        <v>0.05</v>
      </c>
      <c r="Y31" s="130">
        <f t="shared" ca="1" si="6"/>
        <v>93897.352369234955</v>
      </c>
      <c r="Z31" s="149" t="str">
        <f>IF('Budgeting Model'!Z31="","",'Budgeting Model'!Z31)</f>
        <v/>
      </c>
      <c r="AA31" s="127">
        <f t="shared" ca="1" si="7"/>
        <v>44743</v>
      </c>
      <c r="AB31" s="149" t="str">
        <f>IF('Budgeting Model'!AB31="","",'Budgeting Model'!AB31)</f>
        <v/>
      </c>
      <c r="AC31" s="127">
        <f ca="1">IF(AB31="",IFERROR(VLOOKUP($D31,'Employee Master'!$A:$F,6,FALSE)+365,""),AB31)</f>
        <v>44844</v>
      </c>
      <c r="AD31" s="149"/>
      <c r="AE31" s="127">
        <f t="shared" ca="1" si="16"/>
        <v>45107</v>
      </c>
      <c r="AF31" s="131">
        <f t="shared" ca="1" si="17"/>
        <v>71</v>
      </c>
      <c r="AG31" s="131">
        <f t="shared" ca="1" si="18"/>
        <v>190</v>
      </c>
      <c r="AH31" s="131">
        <f t="shared" ca="1" si="19"/>
        <v>261</v>
      </c>
      <c r="AI31" s="158">
        <f t="shared" ca="1" si="8"/>
        <v>92681.021039511223</v>
      </c>
      <c r="AJ31" s="156">
        <f t="shared" ca="1" si="9"/>
        <v>92681.021039511223</v>
      </c>
      <c r="AK31" s="130">
        <f t="shared" ca="1" si="21"/>
        <v>17628.238567404263</v>
      </c>
      <c r="AL31" s="78"/>
      <c r="AM31" s="130">
        <f t="shared" ca="1" si="11"/>
        <v>650.99423280986957</v>
      </c>
      <c r="AN31" s="130">
        <f t="shared" ca="1" si="20"/>
        <v>0</v>
      </c>
      <c r="AO31" s="130">
        <f t="shared" ca="1" si="12"/>
        <v>650.99423280986957</v>
      </c>
      <c r="AP31" s="130">
        <f t="shared" ca="1" si="12"/>
        <v>167.88798635623243</v>
      </c>
    </row>
    <row r="32" spans="1:42" ht="16.5" thickBot="1">
      <c r="A32" s="92" t="s">
        <v>90</v>
      </c>
      <c r="B32" s="124" t="str">
        <f>IFERROR(VLOOKUP($A32,'Position Master'!B:C,2,FALSE),"Missing")</f>
        <v>Dept 3</v>
      </c>
      <c r="C32" s="98" t="str">
        <f ca="1">IFERROR(VLOOKUP($D32,'Employee Master'!$A:$F,3,FALSE)&amp;", "&amp;VLOOKUP($D32,'Employee Master'!$A:$F,2,FALSE),"Vacant")</f>
        <v>Figueroa, Sudipta</v>
      </c>
      <c r="D32" s="98">
        <f>IF(INDEX('Position Master'!$A$7:$A$97,MATCH(A32,'Position Master'!$B$7:$B$97,0))=0,"Vacant",INDEX('Position Master'!$A$7:$A$97,MATCH(A32,'Position Master'!$B$7:$B$97,0)))</f>
        <v>4083848</v>
      </c>
      <c r="E32" s="156">
        <f ca="1">IFERROR(VLOOKUP(D32,'Employee Master'!A:F,5,FALSE),"")</f>
        <v>86557.799160448121</v>
      </c>
      <c r="F32" s="157" t="str">
        <f ca="1">IF(C32="Vacant","No",IF(AND(VLOOKUP(D32,'Employee Master'!A:F,6,FALSE)+360&lt;B$4,VLOOKUP(D32,'Employee Master'!A:F,6,FALSE)+360&lt;B26),"Yes","No"))</f>
        <v>Yes</v>
      </c>
      <c r="G32" s="156">
        <f ca="1">IF(C32="Vacant",VLOOKUP(A32,'Position Master'!B:D,3,FALSE),E32)*(1+IF(F32="Yes",F$8,0))</f>
        <v>89154.533135261561</v>
      </c>
      <c r="H32" s="125"/>
      <c r="I32" s="182" t="str">
        <f>IF('Budgeting Model'!I32="","",'Budgeting Model'!I32)</f>
        <v/>
      </c>
      <c r="J32" s="130">
        <f t="shared" ca="1" si="0"/>
        <v>92720.714460672025</v>
      </c>
      <c r="K32" s="149" t="str">
        <f>IF('Budgeting Model'!K32="","",'Budgeting Model'!K32)</f>
        <v/>
      </c>
      <c r="L32" s="127">
        <f t="shared" ca="1" si="1"/>
        <v>44743</v>
      </c>
      <c r="M32" s="149" t="str">
        <f>IF('Budgeting Model'!M32="","",'Budgeting Model'!M32)</f>
        <v/>
      </c>
      <c r="N32" s="127">
        <f ca="1">IF(M32="",IFERROR(VLOOKUP($D32,'Employee Master'!$A:$F,6,FALSE)+365,""),M32)</f>
        <v>44779</v>
      </c>
      <c r="O32" s="149" t="str">
        <f>IF('Budgeting Model'!O32="","",'Budgeting Model'!O32)</f>
        <v/>
      </c>
      <c r="P32" s="127">
        <f t="shared" ca="1" si="13"/>
        <v>45107</v>
      </c>
      <c r="Q32" s="131">
        <f t="shared" ca="1" si="2"/>
        <v>26</v>
      </c>
      <c r="R32" s="131">
        <f t="shared" ca="1" si="3"/>
        <v>235</v>
      </c>
      <c r="S32" s="131">
        <f t="shared" ca="1" si="14"/>
        <v>261</v>
      </c>
      <c r="T32" s="158">
        <f t="shared" ca="1" si="15"/>
        <v>92365.462681129226</v>
      </c>
      <c r="U32" s="156">
        <f t="shared" ca="1" si="4"/>
        <v>92365.462681129226</v>
      </c>
      <c r="V32" s="130">
        <f t="shared" ca="1" si="5"/>
        <v>17407.33719759743</v>
      </c>
      <c r="W32" s="77"/>
      <c r="X32" s="149" t="str">
        <f>IF('Budgeting Model'!X32="","",'Budgeting Model'!X32)</f>
        <v/>
      </c>
      <c r="Y32" s="130">
        <f t="shared" ca="1" si="6"/>
        <v>92720.714460672025</v>
      </c>
      <c r="Z32" s="149" t="str">
        <f>IF('Budgeting Model'!Z32="","",'Budgeting Model'!Z32)</f>
        <v/>
      </c>
      <c r="AA32" s="127">
        <f t="shared" ca="1" si="7"/>
        <v>44743</v>
      </c>
      <c r="AB32" s="149" t="str">
        <f>IF('Budgeting Model'!AB32="","",'Budgeting Model'!AB32)</f>
        <v/>
      </c>
      <c r="AC32" s="127">
        <f ca="1">IF(AB32="",IFERROR(VLOOKUP($D32,'Employee Master'!$A:$F,6,FALSE)+365,""),AB32)</f>
        <v>44779</v>
      </c>
      <c r="AD32" s="149"/>
      <c r="AE32" s="127">
        <f t="shared" ca="1" si="16"/>
        <v>45107</v>
      </c>
      <c r="AF32" s="131">
        <f t="shared" ca="1" si="17"/>
        <v>26</v>
      </c>
      <c r="AG32" s="131">
        <f t="shared" ca="1" si="18"/>
        <v>235</v>
      </c>
      <c r="AH32" s="131">
        <f t="shared" ca="1" si="19"/>
        <v>261</v>
      </c>
      <c r="AI32" s="158">
        <f t="shared" ca="1" si="8"/>
        <v>92365.462681129226</v>
      </c>
      <c r="AJ32" s="156">
        <f t="shared" ca="1" si="9"/>
        <v>92365.462681129226</v>
      </c>
      <c r="AK32" s="130">
        <f t="shared" ca="1" si="21"/>
        <v>17407.33719759743</v>
      </c>
      <c r="AL32" s="78"/>
      <c r="AM32" s="130">
        <f t="shared" ca="1" si="11"/>
        <v>0</v>
      </c>
      <c r="AN32" s="130">
        <f t="shared" ca="1" si="20"/>
        <v>0</v>
      </c>
      <c r="AO32" s="130">
        <f t="shared" ca="1" si="12"/>
        <v>0</v>
      </c>
      <c r="AP32" s="130">
        <f t="shared" ca="1" si="12"/>
        <v>0</v>
      </c>
    </row>
    <row r="33" spans="1:42" ht="16.5" thickBot="1">
      <c r="A33" s="92" t="s">
        <v>91</v>
      </c>
      <c r="B33" s="124" t="str">
        <f>IFERROR(VLOOKUP($A33,'Position Master'!B:C,2,FALSE),"Missing")</f>
        <v>Dept 11</v>
      </c>
      <c r="C33" s="98" t="str">
        <f ca="1">IFERROR(VLOOKUP($D33,'Employee Master'!$A:$F,3,FALSE)&amp;", "&amp;VLOOKUP($D33,'Employee Master'!$A:$F,2,FALSE),"Vacant")</f>
        <v>Flores, Abdullah</v>
      </c>
      <c r="D33" s="98">
        <f>IF(INDEX('Position Master'!$A$7:$A$97,MATCH(A33,'Position Master'!$B$7:$B$97,0))=0,"Vacant",INDEX('Position Master'!$A$7:$A$97,MATCH(A33,'Position Master'!$B$7:$B$97,0)))</f>
        <v>4140234</v>
      </c>
      <c r="E33" s="156">
        <f ca="1">IFERROR(VLOOKUP(D33,'Employee Master'!A:F,5,FALSE),"")</f>
        <v>60876.596203873938</v>
      </c>
      <c r="F33" s="157" t="str">
        <f ca="1">IF(C33="Vacant","No",IF(AND(VLOOKUP(D33,'Employee Master'!A:F,6,FALSE)+360&lt;B$4,VLOOKUP(D33,'Employee Master'!A:F,6,FALSE)+360&lt;B27),"Yes","No"))</f>
        <v>No</v>
      </c>
      <c r="G33" s="156">
        <f ca="1">IF(C33="Vacant",VLOOKUP(A33,'Position Master'!B:D,3,FALSE),E33)*(1+IF(F33="Yes",F$8,0))</f>
        <v>60876.596203873938</v>
      </c>
      <c r="H33" s="125"/>
      <c r="I33" s="182" t="str">
        <f>IF('Budgeting Model'!I33="","",'Budgeting Model'!I33)</f>
        <v/>
      </c>
      <c r="J33" s="130">
        <f t="shared" ca="1" si="0"/>
        <v>63311.660052028899</v>
      </c>
      <c r="K33" s="149" t="str">
        <f>IF('Budgeting Model'!K33="","",'Budgeting Model'!K33)</f>
        <v/>
      </c>
      <c r="L33" s="127">
        <f t="shared" ca="1" si="1"/>
        <v>44743</v>
      </c>
      <c r="M33" s="149" t="str">
        <f>IF('Budgeting Model'!M33="","",'Budgeting Model'!M33)</f>
        <v/>
      </c>
      <c r="N33" s="127">
        <f ca="1">IF(M33="",IFERROR(VLOOKUP($D33,'Employee Master'!$A:$F,6,FALSE)+365,""),M33)</f>
        <v>45105</v>
      </c>
      <c r="O33" s="149" t="str">
        <f>IF('Budgeting Model'!O33="","",'Budgeting Model'!O33)</f>
        <v/>
      </c>
      <c r="P33" s="127">
        <f t="shared" ca="1" si="13"/>
        <v>45107</v>
      </c>
      <c r="Q33" s="131">
        <f t="shared" ca="1" si="2"/>
        <v>258</v>
      </c>
      <c r="R33" s="131">
        <f t="shared" ca="1" si="3"/>
        <v>3</v>
      </c>
      <c r="S33" s="131">
        <f t="shared" ca="1" si="14"/>
        <v>261</v>
      </c>
      <c r="T33" s="158">
        <f t="shared" ca="1" si="15"/>
        <v>60904.585443507902</v>
      </c>
      <c r="U33" s="156">
        <f t="shared" ca="1" si="4"/>
        <v>60904.585443507902</v>
      </c>
      <c r="V33" s="130">
        <f t="shared" ca="1" si="5"/>
        <v>11456.928756836352</v>
      </c>
      <c r="W33" s="77"/>
      <c r="X33" s="149">
        <f>IF('Budgeting Model'!X33="","",'Budgeting Model'!X33)</f>
        <v>0.04</v>
      </c>
      <c r="Y33" s="130">
        <f t="shared" ca="1" si="6"/>
        <v>63311.660052028899</v>
      </c>
      <c r="Z33" s="149" t="str">
        <f>IF('Budgeting Model'!Z33="","",'Budgeting Model'!Z33)</f>
        <v/>
      </c>
      <c r="AA33" s="127">
        <f t="shared" ca="1" si="7"/>
        <v>44743</v>
      </c>
      <c r="AB33" s="149" t="str">
        <f>IF('Budgeting Model'!AB33="","",'Budgeting Model'!AB33)</f>
        <v/>
      </c>
      <c r="AC33" s="127">
        <f ca="1">IF(AB33="",IFERROR(VLOOKUP($D33,'Employee Master'!$A:$F,6,FALSE)+365,""),AB33)</f>
        <v>45105</v>
      </c>
      <c r="AD33" s="149"/>
      <c r="AE33" s="127">
        <f t="shared" ca="1" si="16"/>
        <v>45107</v>
      </c>
      <c r="AF33" s="131">
        <f t="shared" ca="1" si="17"/>
        <v>258</v>
      </c>
      <c r="AG33" s="131">
        <f t="shared" ca="1" si="18"/>
        <v>3</v>
      </c>
      <c r="AH33" s="131">
        <f t="shared" ca="1" si="19"/>
        <v>261</v>
      </c>
      <c r="AI33" s="158">
        <f t="shared" ca="1" si="8"/>
        <v>60904.585443507902</v>
      </c>
      <c r="AJ33" s="156">
        <f t="shared" ca="1" si="9"/>
        <v>60904.585443507902</v>
      </c>
      <c r="AK33" s="130">
        <f t="shared" ca="1" si="21"/>
        <v>11456.928756836352</v>
      </c>
      <c r="AL33" s="78"/>
      <c r="AM33" s="130">
        <f t="shared" ca="1" si="11"/>
        <v>0</v>
      </c>
      <c r="AN33" s="130">
        <f t="shared" ca="1" si="20"/>
        <v>0</v>
      </c>
      <c r="AO33" s="130">
        <f t="shared" ca="1" si="12"/>
        <v>0</v>
      </c>
      <c r="AP33" s="130">
        <f t="shared" ca="1" si="12"/>
        <v>0</v>
      </c>
    </row>
    <row r="34" spans="1:42" ht="16.5" thickBot="1">
      <c r="A34" s="92" t="s">
        <v>92</v>
      </c>
      <c r="B34" s="124" t="str">
        <f>IFERROR(VLOOKUP($A34,'Position Master'!B:C,2,FALSE),"Missing")</f>
        <v>Dept 6</v>
      </c>
      <c r="C34" s="98" t="str">
        <f ca="1">IFERROR(VLOOKUP($D34,'Employee Master'!$A:$F,3,FALSE)&amp;", "&amp;VLOOKUP($D34,'Employee Master'!$A:$F,2,FALSE),"Vacant")</f>
        <v>Gao, Adam</v>
      </c>
      <c r="D34" s="98">
        <f>IF(INDEX('Position Master'!$A$7:$A$97,MATCH(A34,'Position Master'!$B$7:$B$97,0))=0,"Vacant",INDEX('Position Master'!$A$7:$A$97,MATCH(A34,'Position Master'!$B$7:$B$97,0)))</f>
        <v>4363461</v>
      </c>
      <c r="E34" s="156">
        <f ca="1">IFERROR(VLOOKUP(D34,'Employee Master'!A:F,5,FALSE),"")</f>
        <v>72275.926003060493</v>
      </c>
      <c r="F34" s="157" t="str">
        <f ca="1">IF(C34="Vacant","No",IF(AND(VLOOKUP(D34,'Employee Master'!A:F,6,FALSE)+360&lt;B$4,VLOOKUP(D34,'Employee Master'!A:F,6,FALSE)+360&lt;B28),"Yes","No"))</f>
        <v>Yes</v>
      </c>
      <c r="G34" s="156">
        <f ca="1">IF(C34="Vacant",VLOOKUP(A34,'Position Master'!B:D,3,FALSE),E34)*(1+IF(F34="Yes",F$8,0))</f>
        <v>74444.203783152305</v>
      </c>
      <c r="H34" s="125"/>
      <c r="I34" s="182" t="str">
        <f>IF('Budgeting Model'!I34="","",'Budgeting Model'!I34)</f>
        <v/>
      </c>
      <c r="J34" s="130">
        <f t="shared" ca="1" si="0"/>
        <v>77421.971934478395</v>
      </c>
      <c r="K34" s="149" t="str">
        <f>IF('Budgeting Model'!K34="","",'Budgeting Model'!K34)</f>
        <v/>
      </c>
      <c r="L34" s="127">
        <f t="shared" ca="1" si="1"/>
        <v>44743</v>
      </c>
      <c r="M34" s="149" t="str">
        <f>IF('Budgeting Model'!M34="","",'Budgeting Model'!M34)</f>
        <v/>
      </c>
      <c r="N34" s="127">
        <f ca="1">IF(M34="",IFERROR(VLOOKUP($D34,'Employee Master'!$A:$F,6,FALSE)+365,""),M34)</f>
        <v>44924</v>
      </c>
      <c r="O34" s="149" t="str">
        <f>IF('Budgeting Model'!O34="","",'Budgeting Model'!O34)</f>
        <v/>
      </c>
      <c r="P34" s="127">
        <f t="shared" ca="1" si="13"/>
        <v>45107</v>
      </c>
      <c r="Q34" s="131">
        <f t="shared" ca="1" si="2"/>
        <v>129</v>
      </c>
      <c r="R34" s="131">
        <f t="shared" ca="1" si="3"/>
        <v>132</v>
      </c>
      <c r="S34" s="131">
        <f t="shared" ca="1" si="14"/>
        <v>261</v>
      </c>
      <c r="T34" s="158">
        <f t="shared" ca="1" si="15"/>
        <v>75950.201468880434</v>
      </c>
      <c r="U34" s="156">
        <f t="shared" ca="1" si="4"/>
        <v>75950.201468880434</v>
      </c>
      <c r="V34" s="130">
        <f t="shared" ca="1" si="5"/>
        <v>14535.159481951883</v>
      </c>
      <c r="W34" s="77"/>
      <c r="X34" s="149" t="str">
        <f>IF('Budgeting Model'!X34="","",'Budgeting Model'!X34)</f>
        <v/>
      </c>
      <c r="Y34" s="130">
        <f t="shared" ca="1" si="6"/>
        <v>77421.971934478395</v>
      </c>
      <c r="Z34" s="149" t="str">
        <f>IF('Budgeting Model'!Z34="","",'Budgeting Model'!Z34)</f>
        <v/>
      </c>
      <c r="AA34" s="127">
        <f t="shared" ca="1" si="7"/>
        <v>44743</v>
      </c>
      <c r="AB34" s="149" t="str">
        <f>IF('Budgeting Model'!AB34="","",'Budgeting Model'!AB34)</f>
        <v/>
      </c>
      <c r="AC34" s="127">
        <f ca="1">IF(AB34="",IFERROR(VLOOKUP($D34,'Employee Master'!$A:$F,6,FALSE)+365,""),AB34)</f>
        <v>44924</v>
      </c>
      <c r="AD34" s="149"/>
      <c r="AE34" s="127">
        <f t="shared" ca="1" si="16"/>
        <v>45107</v>
      </c>
      <c r="AF34" s="131">
        <f t="shared" ca="1" si="17"/>
        <v>129</v>
      </c>
      <c r="AG34" s="131">
        <f t="shared" ca="1" si="18"/>
        <v>132</v>
      </c>
      <c r="AH34" s="131">
        <f t="shared" ca="1" si="19"/>
        <v>261</v>
      </c>
      <c r="AI34" s="158">
        <f t="shared" ca="1" si="8"/>
        <v>75950.201468880434</v>
      </c>
      <c r="AJ34" s="156">
        <f t="shared" ca="1" si="9"/>
        <v>75950.201468880434</v>
      </c>
      <c r="AK34" s="130">
        <f t="shared" ca="1" si="21"/>
        <v>14535.159481951883</v>
      </c>
      <c r="AL34" s="78"/>
      <c r="AM34" s="130">
        <f t="shared" ca="1" si="11"/>
        <v>0</v>
      </c>
      <c r="AN34" s="130">
        <f t="shared" ca="1" si="20"/>
        <v>0</v>
      </c>
      <c r="AO34" s="130">
        <f t="shared" ca="1" si="12"/>
        <v>0</v>
      </c>
      <c r="AP34" s="130">
        <f t="shared" ca="1" si="12"/>
        <v>0</v>
      </c>
    </row>
    <row r="35" spans="1:42" ht="16.5" thickBot="1">
      <c r="A35" s="92" t="s">
        <v>93</v>
      </c>
      <c r="B35" s="124" t="str">
        <f>IFERROR(VLOOKUP($A35,'Position Master'!B:C,2,FALSE),"Missing")</f>
        <v>Dept 9</v>
      </c>
      <c r="C35" s="98" t="str">
        <f ca="1">IFERROR(VLOOKUP($D35,'Employee Master'!$A:$F,3,FALSE)&amp;", "&amp;VLOOKUP($D35,'Employee Master'!$A:$F,2,FALSE),"Vacant")</f>
        <v>Gayle, David</v>
      </c>
      <c r="D35" s="98">
        <f>IF(INDEX('Position Master'!$A$7:$A$97,MATCH(A35,'Position Master'!$B$7:$B$97,0))=0,"Vacant",INDEX('Position Master'!$A$7:$A$97,MATCH(A35,'Position Master'!$B$7:$B$97,0)))</f>
        <v>4487721</v>
      </c>
      <c r="E35" s="156">
        <f ca="1">IFERROR(VLOOKUP(D35,'Employee Master'!A:F,5,FALSE),"")</f>
        <v>74319.469346280952</v>
      </c>
      <c r="F35" s="157" t="str">
        <f ca="1">IF(C35="Vacant","No",IF(AND(VLOOKUP(D35,'Employee Master'!A:F,6,FALSE)+360&lt;B$4,VLOOKUP(D35,'Employee Master'!A:F,6,FALSE)+360&lt;B29),"Yes","No"))</f>
        <v>Yes</v>
      </c>
      <c r="G35" s="156">
        <f ca="1">IF(C35="Vacant",VLOOKUP(A35,'Position Master'!B:D,3,FALSE),E35)*(1+IF(F35="Yes",F$8,0))</f>
        <v>76549.053426669387</v>
      </c>
      <c r="H35" s="125"/>
      <c r="I35" s="182" t="str">
        <f>IF('Budgeting Model'!I35="","",'Budgeting Model'!I35)</f>
        <v/>
      </c>
      <c r="J35" s="130">
        <f t="shared" ca="1" si="0"/>
        <v>79611.01556373616</v>
      </c>
      <c r="K35" s="149" t="str">
        <f>IF('Budgeting Model'!K35="","",'Budgeting Model'!K35)</f>
        <v/>
      </c>
      <c r="L35" s="127">
        <f t="shared" ca="1" si="1"/>
        <v>44743</v>
      </c>
      <c r="M35" s="149" t="str">
        <f>IF('Budgeting Model'!M35="","",'Budgeting Model'!M35)</f>
        <v/>
      </c>
      <c r="N35" s="127">
        <f ca="1">IF(M35="",IFERROR(VLOOKUP($D35,'Employee Master'!$A:$F,6,FALSE)+365,""),M35)</f>
        <v>44820</v>
      </c>
      <c r="O35" s="149" t="str">
        <f>IF('Budgeting Model'!O35="","",'Budgeting Model'!O35)</f>
        <v/>
      </c>
      <c r="P35" s="127">
        <f t="shared" ca="1" si="13"/>
        <v>45107</v>
      </c>
      <c r="Q35" s="131">
        <f t="shared" ca="1" si="2"/>
        <v>55</v>
      </c>
      <c r="R35" s="131">
        <f t="shared" ca="1" si="3"/>
        <v>206</v>
      </c>
      <c r="S35" s="131">
        <f t="shared" ca="1" si="14"/>
        <v>261</v>
      </c>
      <c r="T35" s="158">
        <f t="shared" ca="1" si="15"/>
        <v>78965.774500369604</v>
      </c>
      <c r="U35" s="156">
        <f t="shared" ca="1" si="4"/>
        <v>78965.774500369604</v>
      </c>
      <c r="V35" s="130">
        <f t="shared" ca="1" si="5"/>
        <v>14946.129358709088</v>
      </c>
      <c r="W35" s="77"/>
      <c r="X35" s="149" t="str">
        <f>IF('Budgeting Model'!X35="","",'Budgeting Model'!X35)</f>
        <v/>
      </c>
      <c r="Y35" s="130">
        <f t="shared" ca="1" si="6"/>
        <v>79611.01556373616</v>
      </c>
      <c r="Z35" s="149" t="str">
        <f>IF('Budgeting Model'!Z35="","",'Budgeting Model'!Z35)</f>
        <v/>
      </c>
      <c r="AA35" s="127">
        <f t="shared" ca="1" si="7"/>
        <v>44743</v>
      </c>
      <c r="AB35" s="149" t="str">
        <f>IF('Budgeting Model'!AB35="","",'Budgeting Model'!AB35)</f>
        <v/>
      </c>
      <c r="AC35" s="127">
        <f ca="1">IF(AB35="",IFERROR(VLOOKUP($D35,'Employee Master'!$A:$F,6,FALSE)+365,""),AB35)</f>
        <v>44820</v>
      </c>
      <c r="AD35" s="149"/>
      <c r="AE35" s="127">
        <f t="shared" ca="1" si="16"/>
        <v>45107</v>
      </c>
      <c r="AF35" s="131">
        <f t="shared" ca="1" si="17"/>
        <v>55</v>
      </c>
      <c r="AG35" s="131">
        <f t="shared" ca="1" si="18"/>
        <v>206</v>
      </c>
      <c r="AH35" s="131">
        <f t="shared" ca="1" si="19"/>
        <v>261</v>
      </c>
      <c r="AI35" s="158">
        <f t="shared" ca="1" si="8"/>
        <v>78965.774500369604</v>
      </c>
      <c r="AJ35" s="156">
        <f t="shared" ca="1" si="9"/>
        <v>78965.774500369604</v>
      </c>
      <c r="AK35" s="130">
        <f t="shared" ca="1" si="21"/>
        <v>14946.129358709088</v>
      </c>
      <c r="AL35" s="78"/>
      <c r="AM35" s="130">
        <f t="shared" ca="1" si="11"/>
        <v>0</v>
      </c>
      <c r="AN35" s="130">
        <f t="shared" ca="1" si="20"/>
        <v>0</v>
      </c>
      <c r="AO35" s="130">
        <f t="shared" ca="1" si="12"/>
        <v>0</v>
      </c>
      <c r="AP35" s="130">
        <f t="shared" ca="1" si="12"/>
        <v>0</v>
      </c>
    </row>
    <row r="36" spans="1:42" ht="16.5" thickBot="1">
      <c r="A36" s="92" t="s">
        <v>94</v>
      </c>
      <c r="B36" s="124" t="str">
        <f>IFERROR(VLOOKUP($A36,'Position Master'!B:C,2,FALSE),"Missing")</f>
        <v>Dept 2</v>
      </c>
      <c r="C36" s="98" t="str">
        <f ca="1">IFERROR(VLOOKUP($D36,'Employee Master'!$A:$F,3,FALSE)&amp;", "&amp;VLOOKUP($D36,'Employee Master'!$A:$F,2,FALSE),"Vacant")</f>
        <v>Guan, Wolfe</v>
      </c>
      <c r="D36" s="98">
        <f>IF(INDEX('Position Master'!$A$7:$A$97,MATCH(A36,'Position Master'!$B$7:$B$97,0))=0,"Vacant",INDEX('Position Master'!$A$7:$A$97,MATCH(A36,'Position Master'!$B$7:$B$97,0)))</f>
        <v>4682694</v>
      </c>
      <c r="E36" s="156">
        <f ca="1">IFERROR(VLOOKUP(D36,'Employee Master'!A:F,5,FALSE),"")</f>
        <v>60149.893046202844</v>
      </c>
      <c r="F36" s="157" t="str">
        <f ca="1">IF(C36="Vacant","No",IF(AND(VLOOKUP(D36,'Employee Master'!A:F,6,FALSE)+360&lt;B$4,VLOOKUP(D36,'Employee Master'!A:F,6,FALSE)+360&lt;B30),"Yes","No"))</f>
        <v>No</v>
      </c>
      <c r="G36" s="156">
        <f ca="1">IF(C36="Vacant",VLOOKUP(A36,'Position Master'!B:D,3,FALSE),E36)*(1+IF(F36="Yes",F$8,0))</f>
        <v>60149.893046202844</v>
      </c>
      <c r="H36" s="125"/>
      <c r="I36" s="182" t="str">
        <f>IF('Budgeting Model'!I36="","",'Budgeting Model'!I36)</f>
        <v/>
      </c>
      <c r="J36" s="130">
        <f t="shared" ca="1" si="0"/>
        <v>62555.888768050958</v>
      </c>
      <c r="K36" s="149" t="str">
        <f>IF('Budgeting Model'!K36="","",'Budgeting Model'!K36)</f>
        <v/>
      </c>
      <c r="L36" s="127">
        <f t="shared" ca="1" si="1"/>
        <v>44743</v>
      </c>
      <c r="M36" s="149" t="str">
        <f>IF('Budgeting Model'!M36="","",'Budgeting Model'!M36)</f>
        <v/>
      </c>
      <c r="N36" s="127">
        <f ca="1">IF(M36="",IFERROR(VLOOKUP($D36,'Employee Master'!$A:$F,6,FALSE)+365,""),M36)</f>
        <v>45076</v>
      </c>
      <c r="O36" s="149" t="str">
        <f>IF('Budgeting Model'!O36="","",'Budgeting Model'!O36)</f>
        <v/>
      </c>
      <c r="P36" s="127">
        <f t="shared" ca="1" si="13"/>
        <v>45107</v>
      </c>
      <c r="Q36" s="131">
        <f t="shared" ca="1" si="2"/>
        <v>237</v>
      </c>
      <c r="R36" s="131">
        <f t="shared" ca="1" si="3"/>
        <v>24</v>
      </c>
      <c r="S36" s="131">
        <f t="shared" ca="1" si="14"/>
        <v>261</v>
      </c>
      <c r="T36" s="158">
        <f t="shared" ca="1" si="15"/>
        <v>60371.134032119917</v>
      </c>
      <c r="U36" s="156">
        <f t="shared" ca="1" si="4"/>
        <v>60371.134032119917</v>
      </c>
      <c r="V36" s="130">
        <f t="shared" ca="1" si="5"/>
        <v>11513.749642100744</v>
      </c>
      <c r="W36" s="77"/>
      <c r="X36" s="149" t="str">
        <f>IF('Budgeting Model'!X36="","",'Budgeting Model'!X36)</f>
        <v/>
      </c>
      <c r="Y36" s="130">
        <f t="shared" ca="1" si="6"/>
        <v>62555.888768050958</v>
      </c>
      <c r="Z36" s="149" t="str">
        <f>IF('Budgeting Model'!Z36="","",'Budgeting Model'!Z36)</f>
        <v/>
      </c>
      <c r="AA36" s="127">
        <f t="shared" ca="1" si="7"/>
        <v>44743</v>
      </c>
      <c r="AB36" s="149" t="str">
        <f>IF('Budgeting Model'!AB36="","",'Budgeting Model'!AB36)</f>
        <v/>
      </c>
      <c r="AC36" s="127">
        <f ca="1">IF(AB36="",IFERROR(VLOOKUP($D36,'Employee Master'!$A:$F,6,FALSE)+365,""),AB36)</f>
        <v>45076</v>
      </c>
      <c r="AD36" s="149"/>
      <c r="AE36" s="127">
        <f t="shared" ca="1" si="16"/>
        <v>45107</v>
      </c>
      <c r="AF36" s="131">
        <f t="shared" ca="1" si="17"/>
        <v>237</v>
      </c>
      <c r="AG36" s="131">
        <f t="shared" ca="1" si="18"/>
        <v>24</v>
      </c>
      <c r="AH36" s="131">
        <f t="shared" ca="1" si="19"/>
        <v>261</v>
      </c>
      <c r="AI36" s="158">
        <f t="shared" ca="1" si="8"/>
        <v>60371.134032119917</v>
      </c>
      <c r="AJ36" s="156">
        <f t="shared" ca="1" si="9"/>
        <v>60371.134032119917</v>
      </c>
      <c r="AK36" s="130">
        <f t="shared" ca="1" si="21"/>
        <v>11513.749642100744</v>
      </c>
      <c r="AL36" s="78"/>
      <c r="AM36" s="130">
        <f t="shared" ca="1" si="11"/>
        <v>0</v>
      </c>
      <c r="AN36" s="130">
        <f t="shared" ca="1" si="20"/>
        <v>0</v>
      </c>
      <c r="AO36" s="130">
        <f t="shared" ca="1" si="12"/>
        <v>0</v>
      </c>
      <c r="AP36" s="130">
        <f t="shared" ca="1" si="12"/>
        <v>0</v>
      </c>
    </row>
    <row r="37" spans="1:42" ht="16.5" thickBot="1">
      <c r="A37" s="92" t="s">
        <v>95</v>
      </c>
      <c r="B37" s="124" t="str">
        <f>IFERROR(VLOOKUP($A37,'Position Master'!B:C,2,FALSE),"Missing")</f>
        <v>Dept 1</v>
      </c>
      <c r="C37" s="98" t="str">
        <f ca="1">IFERROR(VLOOKUP($D37,'Employee Master'!$A:$F,3,FALSE)&amp;", "&amp;VLOOKUP($D37,'Employee Master'!$A:$F,2,FALSE),"Vacant")</f>
        <v>He, Elvis</v>
      </c>
      <c r="D37" s="98">
        <f>IF(INDEX('Position Master'!$A$7:$A$97,MATCH(A37,'Position Master'!$B$7:$B$97,0))=0,"Vacant",INDEX('Position Master'!$A$7:$A$97,MATCH(A37,'Position Master'!$B$7:$B$97,0)))</f>
        <v>4697834</v>
      </c>
      <c r="E37" s="156">
        <f ca="1">IFERROR(VLOOKUP(D37,'Employee Master'!A:F,5,FALSE),"")</f>
        <v>64897.526683318953</v>
      </c>
      <c r="F37" s="157" t="str">
        <f ca="1">IF(C37="Vacant","No",IF(AND(VLOOKUP(D37,'Employee Master'!A:F,6,FALSE)+360&lt;B$4,VLOOKUP(D37,'Employee Master'!A:F,6,FALSE)+360&lt;B31),"Yes","No"))</f>
        <v>Yes</v>
      </c>
      <c r="G37" s="156">
        <f ca="1">IF(C37="Vacant",VLOOKUP(A37,'Position Master'!B:D,3,FALSE),E37)*(1+IF(F37="Yes",F$8,0))</f>
        <v>66844.452483818517</v>
      </c>
      <c r="H37" s="125"/>
      <c r="I37" s="182" t="str">
        <f>IF('Budgeting Model'!I37="","",'Budgeting Model'!I37)</f>
        <v/>
      </c>
      <c r="J37" s="130">
        <f t="shared" ca="1" si="0"/>
        <v>69518.230583171258</v>
      </c>
      <c r="K37" s="149" t="str">
        <f>IF('Budgeting Model'!K37="","",'Budgeting Model'!K37)</f>
        <v/>
      </c>
      <c r="L37" s="127">
        <f t="shared" ca="1" si="1"/>
        <v>44743</v>
      </c>
      <c r="M37" s="149" t="str">
        <f>IF('Budgeting Model'!M37="","",'Budgeting Model'!M37)</f>
        <v/>
      </c>
      <c r="N37" s="127">
        <f ca="1">IF(M37="",IFERROR(VLOOKUP($D37,'Employee Master'!$A:$F,6,FALSE)+365,""),M37)</f>
        <v>44895</v>
      </c>
      <c r="O37" s="149" t="str">
        <f>IF('Budgeting Model'!O37="","",'Budgeting Model'!O37)</f>
        <v/>
      </c>
      <c r="P37" s="127">
        <f t="shared" ca="1" si="13"/>
        <v>45107</v>
      </c>
      <c r="Q37" s="131">
        <f t="shared" ca="1" si="2"/>
        <v>108</v>
      </c>
      <c r="R37" s="131">
        <f t="shared" ca="1" si="3"/>
        <v>153</v>
      </c>
      <c r="S37" s="131">
        <f t="shared" ca="1" si="14"/>
        <v>261</v>
      </c>
      <c r="T37" s="158">
        <f t="shared" ca="1" si="15"/>
        <v>68411.839645508051</v>
      </c>
      <c r="U37" s="156">
        <f t="shared" ca="1" si="4"/>
        <v>68411.839645508051</v>
      </c>
      <c r="V37" s="130">
        <f t="shared" ca="1" si="5"/>
        <v>13051.315320212228</v>
      </c>
      <c r="W37" s="77"/>
      <c r="X37" s="149" t="str">
        <f>IF('Budgeting Model'!X37="","",'Budgeting Model'!X37)</f>
        <v/>
      </c>
      <c r="Y37" s="130">
        <f t="shared" ca="1" si="6"/>
        <v>69518.230583171258</v>
      </c>
      <c r="Z37" s="149" t="str">
        <f>IF('Budgeting Model'!Z37="","",'Budgeting Model'!Z37)</f>
        <v/>
      </c>
      <c r="AA37" s="127">
        <f t="shared" ca="1" si="7"/>
        <v>44743</v>
      </c>
      <c r="AB37" s="149" t="str">
        <f>IF('Budgeting Model'!AB37="","",'Budgeting Model'!AB37)</f>
        <v/>
      </c>
      <c r="AC37" s="127">
        <f ca="1">IF(AB37="",IFERROR(VLOOKUP($D37,'Employee Master'!$A:$F,6,FALSE)+365,""),AB37)</f>
        <v>44895</v>
      </c>
      <c r="AD37" s="149"/>
      <c r="AE37" s="127">
        <f t="shared" ca="1" si="16"/>
        <v>45107</v>
      </c>
      <c r="AF37" s="131">
        <f t="shared" ca="1" si="17"/>
        <v>108</v>
      </c>
      <c r="AG37" s="131">
        <f t="shared" ca="1" si="18"/>
        <v>153</v>
      </c>
      <c r="AH37" s="131">
        <f t="shared" ca="1" si="19"/>
        <v>261</v>
      </c>
      <c r="AI37" s="158">
        <f t="shared" ca="1" si="8"/>
        <v>68411.839645508051</v>
      </c>
      <c r="AJ37" s="156">
        <f t="shared" ca="1" si="9"/>
        <v>68411.839645508051</v>
      </c>
      <c r="AK37" s="130">
        <f t="shared" ca="1" si="21"/>
        <v>13051.315320212228</v>
      </c>
      <c r="AL37" s="78"/>
      <c r="AM37" s="130">
        <f t="shared" ca="1" si="11"/>
        <v>0</v>
      </c>
      <c r="AN37" s="130">
        <f t="shared" ca="1" si="20"/>
        <v>0</v>
      </c>
      <c r="AO37" s="130">
        <f t="shared" ca="1" si="12"/>
        <v>0</v>
      </c>
      <c r="AP37" s="130">
        <f t="shared" ca="1" si="12"/>
        <v>0</v>
      </c>
    </row>
    <row r="38" spans="1:42" ht="16.5" thickBot="1">
      <c r="A38" s="92" t="s">
        <v>96</v>
      </c>
      <c r="B38" s="124" t="str">
        <f>IFERROR(VLOOKUP($A38,'Position Master'!B:C,2,FALSE),"Missing")</f>
        <v>Dept 10</v>
      </c>
      <c r="C38" s="98" t="str">
        <f ca="1">IFERROR(VLOOKUP($D38,'Employee Master'!$A:$F,3,FALSE)&amp;", "&amp;VLOOKUP($D38,'Employee Master'!$A:$F,2,FALSE),"Vacant")</f>
        <v>Hua, Victor</v>
      </c>
      <c r="D38" s="98">
        <f>IF(INDEX('Position Master'!$A$7:$A$97,MATCH(A38,'Position Master'!$B$7:$B$97,0))=0,"Vacant",INDEX('Position Master'!$A$7:$A$97,MATCH(A38,'Position Master'!$B$7:$B$97,0)))</f>
        <v>4750210</v>
      </c>
      <c r="E38" s="156">
        <f ca="1">IFERROR(VLOOKUP(D38,'Employee Master'!A:F,5,FALSE),"")</f>
        <v>68923.331851023249</v>
      </c>
      <c r="F38" s="157" t="str">
        <f ca="1">IF(C38="Vacant","No",IF(AND(VLOOKUP(D38,'Employee Master'!A:F,6,FALSE)+360&lt;B$4,VLOOKUP(D38,'Employee Master'!A:F,6,FALSE)+360&lt;B32),"Yes","No"))</f>
        <v>Yes</v>
      </c>
      <c r="G38" s="156">
        <f ca="1">IF(C38="Vacant",VLOOKUP(A38,'Position Master'!B:D,3,FALSE),E38)*(1+IF(F38="Yes",F$8,0))</f>
        <v>70991.031806553947</v>
      </c>
      <c r="H38" s="125"/>
      <c r="I38" s="182" t="str">
        <f>IF('Budgeting Model'!I38="","",'Budgeting Model'!I38)</f>
        <v/>
      </c>
      <c r="J38" s="130">
        <f t="shared" ca="1" si="0"/>
        <v>73830.673078816108</v>
      </c>
      <c r="K38" s="149" t="str">
        <f>IF('Budgeting Model'!K38="","",'Budgeting Model'!K38)</f>
        <v/>
      </c>
      <c r="L38" s="127">
        <f t="shared" ca="1" si="1"/>
        <v>44743</v>
      </c>
      <c r="M38" s="149" t="str">
        <f>IF('Budgeting Model'!M38="","",'Budgeting Model'!M38)</f>
        <v/>
      </c>
      <c r="N38" s="127">
        <f ca="1">IF(M38="",IFERROR(VLOOKUP($D38,'Employee Master'!$A:$F,6,FALSE)+365,""),M38)</f>
        <v>44974</v>
      </c>
      <c r="O38" s="149" t="str">
        <f>IF('Budgeting Model'!O38="","",'Budgeting Model'!O38)</f>
        <v/>
      </c>
      <c r="P38" s="127">
        <f t="shared" ca="1" si="13"/>
        <v>45107</v>
      </c>
      <c r="Q38" s="131">
        <f t="shared" ca="1" si="2"/>
        <v>165</v>
      </c>
      <c r="R38" s="131">
        <f t="shared" ca="1" si="3"/>
        <v>96</v>
      </c>
      <c r="S38" s="131">
        <f t="shared" ca="1" si="14"/>
        <v>261</v>
      </c>
      <c r="T38" s="158">
        <f t="shared" ca="1" si="15"/>
        <v>72035.49756186876</v>
      </c>
      <c r="U38" s="156">
        <f t="shared" ca="1" si="4"/>
        <v>72035.49756186876</v>
      </c>
      <c r="V38" s="130">
        <f t="shared" ca="1" si="5"/>
        <v>13860.930961157048</v>
      </c>
      <c r="W38" s="77"/>
      <c r="X38" s="149" t="str">
        <f>IF('Budgeting Model'!X38="","",'Budgeting Model'!X38)</f>
        <v/>
      </c>
      <c r="Y38" s="130">
        <f t="shared" ca="1" si="6"/>
        <v>73830.673078816108</v>
      </c>
      <c r="Z38" s="149" t="str">
        <f>IF('Budgeting Model'!Z38="","",'Budgeting Model'!Z38)</f>
        <v/>
      </c>
      <c r="AA38" s="127">
        <f t="shared" ca="1" si="7"/>
        <v>44743</v>
      </c>
      <c r="AB38" s="149" t="str">
        <f>IF('Budgeting Model'!AB38="","",'Budgeting Model'!AB38)</f>
        <v/>
      </c>
      <c r="AC38" s="127">
        <f ca="1">IF(AB38="",IFERROR(VLOOKUP($D38,'Employee Master'!$A:$F,6,FALSE)+365,""),AB38)</f>
        <v>44974</v>
      </c>
      <c r="AD38" s="149"/>
      <c r="AE38" s="127">
        <f t="shared" ca="1" si="16"/>
        <v>45107</v>
      </c>
      <c r="AF38" s="131">
        <f t="shared" ca="1" si="17"/>
        <v>165</v>
      </c>
      <c r="AG38" s="131">
        <f t="shared" ca="1" si="18"/>
        <v>96</v>
      </c>
      <c r="AH38" s="131">
        <f t="shared" ca="1" si="19"/>
        <v>261</v>
      </c>
      <c r="AI38" s="158">
        <f t="shared" ca="1" si="8"/>
        <v>72035.49756186876</v>
      </c>
      <c r="AJ38" s="156">
        <f t="shared" ca="1" si="9"/>
        <v>72035.49756186876</v>
      </c>
      <c r="AK38" s="130">
        <f t="shared" ca="1" si="21"/>
        <v>13860.930961157048</v>
      </c>
      <c r="AL38" s="78"/>
      <c r="AM38" s="130">
        <f t="shared" ca="1" si="11"/>
        <v>0</v>
      </c>
      <c r="AN38" s="130">
        <f t="shared" ca="1" si="20"/>
        <v>0</v>
      </c>
      <c r="AO38" s="130">
        <f t="shared" ca="1" si="12"/>
        <v>0</v>
      </c>
      <c r="AP38" s="130">
        <f t="shared" ca="1" si="12"/>
        <v>0</v>
      </c>
    </row>
    <row r="39" spans="1:42" ht="16.5" thickBot="1">
      <c r="A39" s="92" t="s">
        <v>97</v>
      </c>
      <c r="B39" s="124" t="str">
        <f>IFERROR(VLOOKUP($A39,'Position Master'!B:C,2,FALSE),"Missing")</f>
        <v>Dept 13</v>
      </c>
      <c r="C39" s="98" t="str">
        <f ca="1">IFERROR(VLOOKUP($D39,'Employee Master'!$A:$F,3,FALSE)&amp;", "&amp;VLOOKUP($D39,'Employee Master'!$A:$F,2,FALSE),"Vacant")</f>
        <v>Huang, Veronica</v>
      </c>
      <c r="D39" s="98">
        <f>IF(INDEX('Position Master'!$A$7:$A$97,MATCH(A39,'Position Master'!$B$7:$B$97,0))=0,"Vacant",INDEX('Position Master'!$A$7:$A$97,MATCH(A39,'Position Master'!$B$7:$B$97,0)))</f>
        <v>4795506</v>
      </c>
      <c r="E39" s="156">
        <f ca="1">IFERROR(VLOOKUP(D39,'Employee Master'!A:F,5,FALSE),"")</f>
        <v>64348.253342896169</v>
      </c>
      <c r="F39" s="157" t="str">
        <f ca="1">IF(C39="Vacant","No",IF(AND(VLOOKUP(D39,'Employee Master'!A:F,6,FALSE)+360&lt;B$4,VLOOKUP(D39,'Employee Master'!A:F,6,FALSE)+360&lt;B33),"Yes","No"))</f>
        <v>Yes</v>
      </c>
      <c r="G39" s="156">
        <f ca="1">IF(C39="Vacant",VLOOKUP(A39,'Position Master'!B:D,3,FALSE),E39)*(1+IF(F39="Yes",F$8,0))</f>
        <v>66278.700943183052</v>
      </c>
      <c r="H39" s="125"/>
      <c r="I39" s="182" t="str">
        <f>IF('Budgeting Model'!I39="","",'Budgeting Model'!I39)</f>
        <v/>
      </c>
      <c r="J39" s="130">
        <f t="shared" ca="1" si="0"/>
        <v>68929.848980910378</v>
      </c>
      <c r="K39" s="149" t="str">
        <f>IF('Budgeting Model'!K39="","",'Budgeting Model'!K39)</f>
        <v/>
      </c>
      <c r="L39" s="127">
        <f t="shared" ca="1" si="1"/>
        <v>44743</v>
      </c>
      <c r="M39" s="149" t="str">
        <f>IF('Budgeting Model'!M39="","",'Budgeting Model'!M39)</f>
        <v/>
      </c>
      <c r="N39" s="127">
        <f ca="1">IF(M39="",IFERROR(VLOOKUP($D39,'Employee Master'!$A:$F,6,FALSE)+365,""),M39)</f>
        <v>44784</v>
      </c>
      <c r="O39" s="149">
        <f>IF('Budgeting Model'!O39="","",'Budgeting Model'!O39)</f>
        <v>44924</v>
      </c>
      <c r="P39" s="127">
        <f t="shared" si="13"/>
        <v>44924</v>
      </c>
      <c r="Q39" s="131">
        <f t="shared" ca="1" si="2"/>
        <v>29</v>
      </c>
      <c r="R39" s="131">
        <f t="shared" ca="1" si="3"/>
        <v>101</v>
      </c>
      <c r="S39" s="131">
        <f t="shared" ca="1" si="14"/>
        <v>130</v>
      </c>
      <c r="T39" s="158">
        <f t="shared" ca="1" si="15"/>
        <v>68338.439034032737</v>
      </c>
      <c r="U39" s="156">
        <f t="shared" ca="1" si="4"/>
        <v>34038.302967142743</v>
      </c>
      <c r="V39" s="130">
        <f t="shared" ca="1" si="5"/>
        <v>0</v>
      </c>
      <c r="W39" s="77"/>
      <c r="X39" s="149" t="str">
        <f>IF('Budgeting Model'!X39="","",'Budgeting Model'!X39)</f>
        <v/>
      </c>
      <c r="Y39" s="130">
        <f t="shared" ca="1" si="6"/>
        <v>68929.848980910378</v>
      </c>
      <c r="Z39" s="149" t="str">
        <f>IF('Budgeting Model'!Z39="","",'Budgeting Model'!Z39)</f>
        <v/>
      </c>
      <c r="AA39" s="127">
        <f t="shared" ca="1" si="7"/>
        <v>44743</v>
      </c>
      <c r="AB39" s="149" t="str">
        <f>IF('Budgeting Model'!AB39="","",'Budgeting Model'!AB39)</f>
        <v/>
      </c>
      <c r="AC39" s="127">
        <f ca="1">IF(AB39="",IFERROR(VLOOKUP($D39,'Employee Master'!$A:$F,6,FALSE)+365,""),AB39)</f>
        <v>44784</v>
      </c>
      <c r="AD39" s="149"/>
      <c r="AE39" s="127">
        <f t="shared" ca="1" si="16"/>
        <v>45107</v>
      </c>
      <c r="AF39" s="131">
        <f t="shared" ca="1" si="17"/>
        <v>29</v>
      </c>
      <c r="AG39" s="131">
        <f t="shared" ca="1" si="18"/>
        <v>232</v>
      </c>
      <c r="AH39" s="131">
        <f t="shared" ca="1" si="19"/>
        <v>261</v>
      </c>
      <c r="AI39" s="158">
        <f t="shared" ca="1" si="8"/>
        <v>68635.276976718451</v>
      </c>
      <c r="AJ39" s="156">
        <f t="shared" ca="1" si="9"/>
        <v>68635.276976718451</v>
      </c>
      <c r="AK39" s="130">
        <f t="shared" ca="1" si="21"/>
        <v>12940.85287381076</v>
      </c>
      <c r="AL39" s="78"/>
      <c r="AM39" s="130">
        <f t="shared" ca="1" si="11"/>
        <v>296.83794268571364</v>
      </c>
      <c r="AN39" s="130">
        <f t="shared" ca="1" si="20"/>
        <v>34300.136066889994</v>
      </c>
      <c r="AO39" s="130">
        <f t="shared" ca="1" si="12"/>
        <v>34596.974009575708</v>
      </c>
      <c r="AP39" s="130">
        <f t="shared" ca="1" si="12"/>
        <v>12940.85287381076</v>
      </c>
    </row>
    <row r="40" spans="1:42" ht="16.5" thickBot="1">
      <c r="A40" s="92" t="s">
        <v>98</v>
      </c>
      <c r="B40" s="124" t="str">
        <f>IFERROR(VLOOKUP($A40,'Position Master'!B:C,2,FALSE),"Missing")</f>
        <v>Dept 8</v>
      </c>
      <c r="C40" s="98" t="str">
        <f ca="1">IFERROR(VLOOKUP($D40,'Employee Master'!$A:$F,3,FALSE)&amp;", "&amp;VLOOKUP($D40,'Employee Master'!$A:$F,2,FALSE),"Vacant")</f>
        <v>Igua, Leslie</v>
      </c>
      <c r="D40" s="98">
        <f>IF(INDEX('Position Master'!$A$7:$A$97,MATCH(A40,'Position Master'!$B$7:$B$97,0))=0,"Vacant",INDEX('Position Master'!$A$7:$A$97,MATCH(A40,'Position Master'!$B$7:$B$97,0)))</f>
        <v>4814734</v>
      </c>
      <c r="E40" s="156">
        <f ca="1">IFERROR(VLOOKUP(D40,'Employee Master'!A:F,5,FALSE),"")</f>
        <v>42477.48042516753</v>
      </c>
      <c r="F40" s="157" t="str">
        <f ca="1">IF(C40="Vacant","No",IF(AND(VLOOKUP(D40,'Employee Master'!A:F,6,FALSE)+360&lt;B$4,VLOOKUP(D40,'Employee Master'!A:F,6,FALSE)+360&lt;B34),"Yes","No"))</f>
        <v>Yes</v>
      </c>
      <c r="G40" s="156">
        <f ca="1">IF(C40="Vacant",VLOOKUP(A40,'Position Master'!B:D,3,FALSE),E40)*(1+IF(F40="Yes",F$8,0))</f>
        <v>43751.804837922558</v>
      </c>
      <c r="H40" s="125"/>
      <c r="I40" s="182" t="str">
        <f>IF('Budgeting Model'!I40="","",'Budgeting Model'!I40)</f>
        <v/>
      </c>
      <c r="J40" s="130">
        <f t="shared" ca="1" si="0"/>
        <v>45501.877031439464</v>
      </c>
      <c r="K40" s="149" t="str">
        <f>IF('Budgeting Model'!K40="","",'Budgeting Model'!K40)</f>
        <v/>
      </c>
      <c r="L40" s="127">
        <f t="shared" ca="1" si="1"/>
        <v>44743</v>
      </c>
      <c r="M40" s="149" t="str">
        <f>IF('Budgeting Model'!M40="","",'Budgeting Model'!M40)</f>
        <v/>
      </c>
      <c r="N40" s="127">
        <f ca="1">IF(M40="",IFERROR(VLOOKUP($D40,'Employee Master'!$A:$F,6,FALSE)+365,""),M40)</f>
        <v>44827</v>
      </c>
      <c r="O40" s="149">
        <f>IF('Budgeting Model'!O40="","",'Budgeting Model'!O40)</f>
        <v>44925</v>
      </c>
      <c r="P40" s="127">
        <f t="shared" si="13"/>
        <v>44925</v>
      </c>
      <c r="Q40" s="131">
        <f t="shared" ca="1" si="2"/>
        <v>60</v>
      </c>
      <c r="R40" s="131">
        <f t="shared" ca="1" si="3"/>
        <v>71</v>
      </c>
      <c r="S40" s="131">
        <f t="shared" ca="1" si="14"/>
        <v>131</v>
      </c>
      <c r="T40" s="158">
        <f t="shared" ca="1" si="15"/>
        <v>44700.31724814928</v>
      </c>
      <c r="U40" s="156">
        <f t="shared" ca="1" si="4"/>
        <v>22435.79141573776</v>
      </c>
      <c r="V40" s="130">
        <f t="shared" ca="1" si="5"/>
        <v>0</v>
      </c>
      <c r="W40" s="77"/>
      <c r="X40" s="149" t="str">
        <f>IF('Budgeting Model'!X40="","",'Budgeting Model'!X40)</f>
        <v/>
      </c>
      <c r="Y40" s="130">
        <f t="shared" ca="1" si="6"/>
        <v>45501.877031439464</v>
      </c>
      <c r="Z40" s="149" t="str">
        <f>IF('Budgeting Model'!Z40="","",'Budgeting Model'!Z40)</f>
        <v/>
      </c>
      <c r="AA40" s="127">
        <f t="shared" ca="1" si="7"/>
        <v>44743</v>
      </c>
      <c r="AB40" s="149" t="str">
        <f>IF('Budgeting Model'!AB40="","",'Budgeting Model'!AB40)</f>
        <v/>
      </c>
      <c r="AC40" s="127">
        <f ca="1">IF(AB40="",IFERROR(VLOOKUP($D40,'Employee Master'!$A:$F,6,FALSE)+365,""),AB40)</f>
        <v>44827</v>
      </c>
      <c r="AD40" s="149"/>
      <c r="AE40" s="127">
        <f t="shared" ca="1" si="16"/>
        <v>45107</v>
      </c>
      <c r="AF40" s="131">
        <f t="shared" ca="1" si="17"/>
        <v>60</v>
      </c>
      <c r="AG40" s="131">
        <f t="shared" ca="1" si="18"/>
        <v>201</v>
      </c>
      <c r="AH40" s="131">
        <f t="shared" ca="1" si="19"/>
        <v>261</v>
      </c>
      <c r="AI40" s="158">
        <f t="shared" ca="1" si="8"/>
        <v>45099.561584653966</v>
      </c>
      <c r="AJ40" s="156">
        <f t="shared" ca="1" si="9"/>
        <v>45099.561584653966</v>
      </c>
      <c r="AK40" s="130">
        <f t="shared" ca="1" si="21"/>
        <v>8542.4979867453403</v>
      </c>
      <c r="AL40" s="78"/>
      <c r="AM40" s="130">
        <f t="shared" ca="1" si="11"/>
        <v>399.24433650468563</v>
      </c>
      <c r="AN40" s="130">
        <f t="shared" ca="1" si="20"/>
        <v>22264.52583241152</v>
      </c>
      <c r="AO40" s="130">
        <f t="shared" ca="1" si="12"/>
        <v>22663.770168916206</v>
      </c>
      <c r="AP40" s="130">
        <f t="shared" ca="1" si="12"/>
        <v>8542.4979867453403</v>
      </c>
    </row>
    <row r="41" spans="1:42" ht="16.5" thickBot="1">
      <c r="A41" s="92" t="s">
        <v>99</v>
      </c>
      <c r="B41" s="124" t="str">
        <f>IFERROR(VLOOKUP($A41,'Position Master'!B:C,2,FALSE),"Missing")</f>
        <v>Dept 14</v>
      </c>
      <c r="C41" s="98" t="str">
        <f ca="1">IFERROR(VLOOKUP($D41,'Employee Master'!$A:$F,3,FALSE)&amp;", "&amp;VLOOKUP($D41,'Employee Master'!$A:$F,2,FALSE),"Vacant")</f>
        <v>Isabella, Emely</v>
      </c>
      <c r="D41" s="98">
        <f>IF(INDEX('Position Master'!$A$7:$A$97,MATCH(A41,'Position Master'!$B$7:$B$97,0))=0,"Vacant",INDEX('Position Master'!$A$7:$A$97,MATCH(A41,'Position Master'!$B$7:$B$97,0)))</f>
        <v>4840103</v>
      </c>
      <c r="E41" s="156">
        <f ca="1">IFERROR(VLOOKUP(D41,'Employee Master'!A:F,5,FALSE),"")</f>
        <v>62083.631667331894</v>
      </c>
      <c r="F41" s="157" t="str">
        <f ca="1">IF(C41="Vacant","No",IF(AND(VLOOKUP(D41,'Employee Master'!A:F,6,FALSE)+360&lt;B$4,VLOOKUP(D41,'Employee Master'!A:F,6,FALSE)+360&lt;B35),"Yes","No"))</f>
        <v>Yes</v>
      </c>
      <c r="G41" s="156">
        <f ca="1">IF(C41="Vacant",VLOOKUP(A41,'Position Master'!B:D,3,FALSE),E41)*(1+IF(F41="Yes",F$8,0))</f>
        <v>63946.140617351855</v>
      </c>
      <c r="H41" s="125"/>
      <c r="I41" s="182" t="str">
        <f>IF('Budgeting Model'!I41="","",'Budgeting Model'!I41)</f>
        <v/>
      </c>
      <c r="J41" s="130">
        <f t="shared" ca="1" si="0"/>
        <v>66503.986242045925</v>
      </c>
      <c r="K41" s="149" t="str">
        <f>IF('Budgeting Model'!K41="","",'Budgeting Model'!K41)</f>
        <v/>
      </c>
      <c r="L41" s="127">
        <f t="shared" ca="1" si="1"/>
        <v>44743</v>
      </c>
      <c r="M41" s="149" t="str">
        <f>IF('Budgeting Model'!M41="","",'Budgeting Model'!M41)</f>
        <v/>
      </c>
      <c r="N41" s="127">
        <f ca="1">IF(M41="",IFERROR(VLOOKUP($D41,'Employee Master'!$A:$F,6,FALSE)+365,""),M41)</f>
        <v>44820</v>
      </c>
      <c r="O41" s="149">
        <f>IF('Budgeting Model'!O41="","",'Budgeting Model'!O41)</f>
        <v>44926</v>
      </c>
      <c r="P41" s="127">
        <f t="shared" si="13"/>
        <v>44926</v>
      </c>
      <c r="Q41" s="131">
        <f t="shared" ca="1" si="2"/>
        <v>55</v>
      </c>
      <c r="R41" s="131">
        <f t="shared" ca="1" si="3"/>
        <v>76</v>
      </c>
      <c r="S41" s="131">
        <f t="shared" ca="1" si="14"/>
        <v>131</v>
      </c>
      <c r="T41" s="158">
        <f t="shared" ca="1" si="15"/>
        <v>65430.081590456815</v>
      </c>
      <c r="U41" s="156">
        <f t="shared" ca="1" si="4"/>
        <v>32840.385779118173</v>
      </c>
      <c r="V41" s="130">
        <f t="shared" ca="1" si="5"/>
        <v>0</v>
      </c>
      <c r="W41" s="77"/>
      <c r="X41" s="149" t="str">
        <f>IF('Budgeting Model'!X41="","",'Budgeting Model'!X41)</f>
        <v/>
      </c>
      <c r="Y41" s="130">
        <f t="shared" ca="1" si="6"/>
        <v>66503.986242045925</v>
      </c>
      <c r="Z41" s="149" t="str">
        <f>IF('Budgeting Model'!Z41="","",'Budgeting Model'!Z41)</f>
        <v/>
      </c>
      <c r="AA41" s="127">
        <f t="shared" ca="1" si="7"/>
        <v>44743</v>
      </c>
      <c r="AB41" s="149" t="str">
        <f>IF('Budgeting Model'!AB41="","",'Budgeting Model'!AB41)</f>
        <v/>
      </c>
      <c r="AC41" s="127">
        <f ca="1">IF(AB41="",IFERROR(VLOOKUP($D41,'Employee Master'!$A:$F,6,FALSE)+365,""),AB41)</f>
        <v>44820</v>
      </c>
      <c r="AD41" s="149"/>
      <c r="AE41" s="127">
        <f t="shared" ca="1" si="16"/>
        <v>45107</v>
      </c>
      <c r="AF41" s="131">
        <f t="shared" ca="1" si="17"/>
        <v>55</v>
      </c>
      <c r="AG41" s="131">
        <f t="shared" ca="1" si="18"/>
        <v>206</v>
      </c>
      <c r="AH41" s="131">
        <f t="shared" ca="1" si="19"/>
        <v>261</v>
      </c>
      <c r="AI41" s="158">
        <f t="shared" ca="1" si="8"/>
        <v>65964.9766276468</v>
      </c>
      <c r="AJ41" s="156">
        <f t="shared" ca="1" si="9"/>
        <v>65964.9766276468</v>
      </c>
      <c r="AK41" s="130">
        <f t="shared" ca="1" si="21"/>
        <v>12485.422704445404</v>
      </c>
      <c r="AL41" s="78"/>
      <c r="AM41" s="130">
        <f t="shared" ca="1" si="11"/>
        <v>534.89503718998458</v>
      </c>
      <c r="AN41" s="130">
        <f t="shared" ca="1" si="20"/>
        <v>32589.695811338643</v>
      </c>
      <c r="AO41" s="130">
        <f t="shared" ca="1" si="12"/>
        <v>33124.590848528627</v>
      </c>
      <c r="AP41" s="130">
        <f t="shared" ca="1" si="12"/>
        <v>12485.422704445404</v>
      </c>
    </row>
    <row r="42" spans="1:42" ht="16.5" thickBot="1">
      <c r="A42" s="92" t="s">
        <v>100</v>
      </c>
      <c r="B42" s="124" t="str">
        <f>IFERROR(VLOOKUP($A42,'Position Master'!B:C,2,FALSE),"Missing")</f>
        <v>Dept 5</v>
      </c>
      <c r="C42" s="98" t="str">
        <f ca="1">IFERROR(VLOOKUP($D42,'Employee Master'!$A:$F,3,FALSE)&amp;", "&amp;VLOOKUP($D42,'Employee Master'!$A:$F,2,FALSE),"Vacant")</f>
        <v>Jacques, Ashley</v>
      </c>
      <c r="D42" s="98">
        <f>IF(INDEX('Position Master'!$A$7:$A$97,MATCH(A42,'Position Master'!$B$7:$B$97,0))=0,"Vacant",INDEX('Position Master'!$A$7:$A$97,MATCH(A42,'Position Master'!$B$7:$B$97,0)))</f>
        <v>4971553</v>
      </c>
      <c r="E42" s="156">
        <f ca="1">IFERROR(VLOOKUP(D42,'Employee Master'!A:F,5,FALSE),"")</f>
        <v>80701.102767306322</v>
      </c>
      <c r="F42" s="157" t="str">
        <f ca="1">IF(C42="Vacant","No",IF(AND(VLOOKUP(D42,'Employee Master'!A:F,6,FALSE)+360&lt;B$4,VLOOKUP(D42,'Employee Master'!A:F,6,FALSE)+360&lt;B36),"Yes","No"))</f>
        <v>Yes</v>
      </c>
      <c r="G42" s="156">
        <f ca="1">IF(C42="Vacant",VLOOKUP(A42,'Position Master'!B:D,3,FALSE),E42)*(1+IF(F42="Yes",F$8,0))</f>
        <v>83122.135850325518</v>
      </c>
      <c r="H42" s="125"/>
      <c r="I42" s="182" t="str">
        <f>IF('Budgeting Model'!I42="","",'Budgeting Model'!I42)</f>
        <v/>
      </c>
      <c r="J42" s="130">
        <f t="shared" ca="1" si="0"/>
        <v>86447.021284338538</v>
      </c>
      <c r="K42" s="149" t="str">
        <f>IF('Budgeting Model'!K42="","",'Budgeting Model'!K42)</f>
        <v/>
      </c>
      <c r="L42" s="127">
        <f t="shared" ca="1" si="1"/>
        <v>44743</v>
      </c>
      <c r="M42" s="149" t="str">
        <f>IF('Budgeting Model'!M42="","",'Budgeting Model'!M42)</f>
        <v/>
      </c>
      <c r="N42" s="127">
        <f ca="1">IF(M42="",IFERROR(VLOOKUP($D42,'Employee Master'!$A:$F,6,FALSE)+365,""),M42)</f>
        <v>44995</v>
      </c>
      <c r="O42" s="149" t="str">
        <f>IF('Budgeting Model'!O42="","",'Budgeting Model'!O42)</f>
        <v/>
      </c>
      <c r="P42" s="127">
        <f t="shared" ca="1" si="13"/>
        <v>45107</v>
      </c>
      <c r="Q42" s="131">
        <f t="shared" ca="1" si="2"/>
        <v>180</v>
      </c>
      <c r="R42" s="131">
        <f t="shared" ca="1" si="3"/>
        <v>81</v>
      </c>
      <c r="S42" s="131">
        <f t="shared" ca="1" si="14"/>
        <v>261</v>
      </c>
      <c r="T42" s="158">
        <f t="shared" ca="1" si="15"/>
        <v>84153.996847088172</v>
      </c>
      <c r="U42" s="156">
        <f t="shared" ca="1" si="4"/>
        <v>84153.996847088172</v>
      </c>
      <c r="V42" s="130">
        <f t="shared" ca="1" si="5"/>
        <v>16229.517405871988</v>
      </c>
      <c r="W42" s="77"/>
      <c r="X42" s="149" t="str">
        <f>IF('Budgeting Model'!X42="","",'Budgeting Model'!X42)</f>
        <v/>
      </c>
      <c r="Y42" s="130">
        <f t="shared" ca="1" si="6"/>
        <v>86447.021284338538</v>
      </c>
      <c r="Z42" s="149" t="str">
        <f>IF('Budgeting Model'!Z42="","",'Budgeting Model'!Z42)</f>
        <v/>
      </c>
      <c r="AA42" s="127">
        <f t="shared" ca="1" si="7"/>
        <v>44743</v>
      </c>
      <c r="AB42" s="149" t="str">
        <f>IF('Budgeting Model'!AB42="","",'Budgeting Model'!AB42)</f>
        <v/>
      </c>
      <c r="AC42" s="127">
        <f ca="1">IF(AB42="",IFERROR(VLOOKUP($D42,'Employee Master'!$A:$F,6,FALSE)+365,""),AB42)</f>
        <v>44995</v>
      </c>
      <c r="AD42" s="149"/>
      <c r="AE42" s="127">
        <f t="shared" ca="1" si="16"/>
        <v>45107</v>
      </c>
      <c r="AF42" s="131">
        <f t="shared" ca="1" si="17"/>
        <v>180</v>
      </c>
      <c r="AG42" s="131">
        <f t="shared" ca="1" si="18"/>
        <v>81</v>
      </c>
      <c r="AH42" s="131">
        <f t="shared" ca="1" si="19"/>
        <v>261</v>
      </c>
      <c r="AI42" s="158">
        <f t="shared" ca="1" si="8"/>
        <v>84153.996847088172</v>
      </c>
      <c r="AJ42" s="156">
        <f t="shared" ca="1" si="9"/>
        <v>84153.996847088172</v>
      </c>
      <c r="AK42" s="130">
        <f t="shared" ca="1" si="21"/>
        <v>16229.517405871988</v>
      </c>
      <c r="AL42" s="78"/>
      <c r="AM42" s="130">
        <f t="shared" ca="1" si="11"/>
        <v>0</v>
      </c>
      <c r="AN42" s="130">
        <f t="shared" ca="1" si="20"/>
        <v>0</v>
      </c>
      <c r="AO42" s="130">
        <f t="shared" ca="1" si="12"/>
        <v>0</v>
      </c>
      <c r="AP42" s="130">
        <f t="shared" ca="1" si="12"/>
        <v>0</v>
      </c>
    </row>
    <row r="43" spans="1:42" ht="16.5" thickBot="1">
      <c r="A43" s="92" t="s">
        <v>101</v>
      </c>
      <c r="B43" s="124" t="str">
        <f>IFERROR(VLOOKUP($A43,'Position Master'!B:C,2,FALSE),"Missing")</f>
        <v>Dept 12</v>
      </c>
      <c r="C43" s="98" t="str">
        <f ca="1">IFERROR(VLOOKUP($D43,'Employee Master'!$A:$F,3,FALSE)&amp;", "&amp;VLOOKUP($D43,'Employee Master'!$A:$F,2,FALSE),"Vacant")</f>
        <v>Jahmi, Yamina</v>
      </c>
      <c r="D43" s="98">
        <f>IF(INDEX('Position Master'!$A$7:$A$97,MATCH(A43,'Position Master'!$B$7:$B$97,0))=0,"Vacant",INDEX('Position Master'!$A$7:$A$97,MATCH(A43,'Position Master'!$B$7:$B$97,0)))</f>
        <v>5033643</v>
      </c>
      <c r="E43" s="156">
        <f ca="1">IFERROR(VLOOKUP(D43,'Employee Master'!A:F,5,FALSE),"")</f>
        <v>57783.197486306555</v>
      </c>
      <c r="F43" s="157" t="str">
        <f ca="1">IF(C43="Vacant","No",IF(AND(VLOOKUP(D43,'Employee Master'!A:F,6,FALSE)+360&lt;B$4,VLOOKUP(D43,'Employee Master'!A:F,6,FALSE)+360&lt;B37),"Yes","No"))</f>
        <v>Yes</v>
      </c>
      <c r="G43" s="156">
        <f ca="1">IF(C43="Vacant",VLOOKUP(A43,'Position Master'!B:D,3,FALSE),E43)*(1+IF(F43="Yes",F$8,0))</f>
        <v>59516.69341089575</v>
      </c>
      <c r="H43" s="125"/>
      <c r="I43" s="182" t="str">
        <f>IF('Budgeting Model'!I43="","",'Budgeting Model'!I43)</f>
        <v/>
      </c>
      <c r="J43" s="130">
        <f t="shared" ref="J43:J74" ca="1" si="22">$G43*(1+IF(I43="",$G$8,I43))</f>
        <v>61897.361147331583</v>
      </c>
      <c r="K43" s="149" t="str">
        <f>IF('Budgeting Model'!K43="","",'Budgeting Model'!K43)</f>
        <v/>
      </c>
      <c r="L43" s="127">
        <f t="shared" ca="1" si="1"/>
        <v>44743</v>
      </c>
      <c r="M43" s="149" t="str">
        <f>IF('Budgeting Model'!M43="","",'Budgeting Model'!M43)</f>
        <v/>
      </c>
      <c r="N43" s="127">
        <f ca="1">IF(M43="",IFERROR(VLOOKUP($D43,'Employee Master'!$A:$F,6,FALSE)+365,""),M43)</f>
        <v>45023</v>
      </c>
      <c r="O43" s="149" t="str">
        <f>IF('Budgeting Model'!O43="","",'Budgeting Model'!O43)</f>
        <v/>
      </c>
      <c r="P43" s="127">
        <f t="shared" ca="1" si="13"/>
        <v>45107</v>
      </c>
      <c r="Q43" s="131">
        <f t="shared" ca="1" si="2"/>
        <v>200</v>
      </c>
      <c r="R43" s="131">
        <f t="shared" ca="1" si="3"/>
        <v>61</v>
      </c>
      <c r="S43" s="131">
        <f t="shared" ca="1" si="14"/>
        <v>261</v>
      </c>
      <c r="T43" s="158">
        <f t="shared" ca="1" si="15"/>
        <v>60073.094682629788</v>
      </c>
      <c r="U43" s="156">
        <f t="shared" ca="1" si="4"/>
        <v>60073.094682629788</v>
      </c>
      <c r="V43" s="130">
        <f t="shared" ca="1" si="5"/>
        <v>11620.577380150375</v>
      </c>
      <c r="W43" s="77"/>
      <c r="X43" s="149" t="str">
        <f>IF('Budgeting Model'!X43="","",'Budgeting Model'!X43)</f>
        <v/>
      </c>
      <c r="Y43" s="130">
        <f t="shared" ref="Y43:Y74" ca="1" si="23">$G43*(1+IF(X43="",$G$8,X43))</f>
        <v>61897.361147331583</v>
      </c>
      <c r="Z43" s="149" t="str">
        <f>IF('Budgeting Model'!Z43="","",'Budgeting Model'!Z43)</f>
        <v/>
      </c>
      <c r="AA43" s="127">
        <f t="shared" ca="1" si="7"/>
        <v>44743</v>
      </c>
      <c r="AB43" s="149" t="str">
        <f>IF('Budgeting Model'!AB43="","",'Budgeting Model'!AB43)</f>
        <v/>
      </c>
      <c r="AC43" s="127">
        <f ca="1">IF(AB43="",IFERROR(VLOOKUP($D43,'Employee Master'!$A:$F,6,FALSE)+365,""),AB43)</f>
        <v>45023</v>
      </c>
      <c r="AD43" s="149"/>
      <c r="AE43" s="127">
        <f t="shared" ca="1" si="16"/>
        <v>45107</v>
      </c>
      <c r="AF43" s="131">
        <f t="shared" ca="1" si="17"/>
        <v>200</v>
      </c>
      <c r="AG43" s="131">
        <f t="shared" ca="1" si="18"/>
        <v>61</v>
      </c>
      <c r="AH43" s="131">
        <f t="shared" ca="1" si="19"/>
        <v>261</v>
      </c>
      <c r="AI43" s="158">
        <f t="shared" ca="1" si="8"/>
        <v>60073.094682629788</v>
      </c>
      <c r="AJ43" s="156">
        <f t="shared" ca="1" si="9"/>
        <v>60073.094682629788</v>
      </c>
      <c r="AK43" s="130">
        <f t="shared" ca="1" si="21"/>
        <v>11620.577380150375</v>
      </c>
      <c r="AL43" s="78"/>
      <c r="AM43" s="130">
        <f t="shared" ca="1" si="11"/>
        <v>0</v>
      </c>
      <c r="AN43" s="130">
        <f t="shared" ca="1" si="20"/>
        <v>0</v>
      </c>
      <c r="AO43" s="130">
        <f t="shared" ref="AO43:AP74" ca="1" si="24">AJ43-U43</f>
        <v>0</v>
      </c>
      <c r="AP43" s="130">
        <f t="shared" ca="1" si="24"/>
        <v>0</v>
      </c>
    </row>
    <row r="44" spans="1:42" ht="16.5" thickBot="1">
      <c r="A44" s="92" t="s">
        <v>102</v>
      </c>
      <c r="B44" s="124" t="str">
        <f>IFERROR(VLOOKUP($A44,'Position Master'!B:C,2,FALSE),"Missing")</f>
        <v>Dept 4</v>
      </c>
      <c r="C44" s="98" t="str">
        <f ca="1">IFERROR(VLOOKUP($D44,'Employee Master'!$A:$F,3,FALSE)&amp;", "&amp;VLOOKUP($D44,'Employee Master'!$A:$F,2,FALSE),"Vacant")</f>
        <v>Jogani, Huiying</v>
      </c>
      <c r="D44" s="98">
        <f>IF(INDEX('Position Master'!$A$7:$A$97,MATCH(A44,'Position Master'!$B$7:$B$97,0))=0,"Vacant",INDEX('Position Master'!$A$7:$A$97,MATCH(A44,'Position Master'!$B$7:$B$97,0)))</f>
        <v>5161953</v>
      </c>
      <c r="E44" s="156">
        <f ca="1">IFERROR(VLOOKUP(D44,'Employee Master'!A:F,5,FALSE),"")</f>
        <v>67546.230069506331</v>
      </c>
      <c r="F44" s="157" t="str">
        <f ca="1">IF(C44="Vacant","No",IF(AND(VLOOKUP(D44,'Employee Master'!A:F,6,FALSE)+360&lt;B$4,VLOOKUP(D44,'Employee Master'!A:F,6,FALSE)+360&lt;B38),"Yes","No"))</f>
        <v>Yes</v>
      </c>
      <c r="G44" s="156">
        <f ca="1">IF(C44="Vacant",VLOOKUP(A44,'Position Master'!B:D,3,FALSE),E44)*(1+IF(F44="Yes",F$8,0))</f>
        <v>69572.616971591517</v>
      </c>
      <c r="H44" s="125"/>
      <c r="I44" s="182" t="str">
        <f>IF('Budgeting Model'!I44="","",'Budgeting Model'!I44)</f>
        <v/>
      </c>
      <c r="J44" s="130">
        <f t="shared" ca="1" si="22"/>
        <v>72355.521650455179</v>
      </c>
      <c r="K44" s="149" t="str">
        <f>IF('Budgeting Model'!K44="","",'Budgeting Model'!K44)</f>
        <v/>
      </c>
      <c r="L44" s="127">
        <f t="shared" ca="1" si="1"/>
        <v>44743</v>
      </c>
      <c r="M44" s="149" t="str">
        <f>IF('Budgeting Model'!M44="","",'Budgeting Model'!M44)</f>
        <v/>
      </c>
      <c r="N44" s="127">
        <f ca="1">IF(M44="",IFERROR(VLOOKUP($D44,'Employee Master'!$A:$F,6,FALSE)+365,""),M44)</f>
        <v>44822</v>
      </c>
      <c r="O44" s="149" t="str">
        <f>IF('Budgeting Model'!O44="","",'Budgeting Model'!O44)</f>
        <v/>
      </c>
      <c r="P44" s="127">
        <f t="shared" ca="1" si="13"/>
        <v>45107</v>
      </c>
      <c r="Q44" s="131">
        <f t="shared" ca="1" si="2"/>
        <v>56</v>
      </c>
      <c r="R44" s="131">
        <f t="shared" ca="1" si="3"/>
        <v>205</v>
      </c>
      <c r="S44" s="131">
        <f t="shared" ca="1" si="14"/>
        <v>261</v>
      </c>
      <c r="T44" s="158">
        <f t="shared" ca="1" si="15"/>
        <v>71758.423328553399</v>
      </c>
      <c r="U44" s="156">
        <f t="shared" ca="1" si="4"/>
        <v>71758.423328553399</v>
      </c>
      <c r="V44" s="130">
        <f t="shared" ca="1" si="5"/>
        <v>13583.986823265532</v>
      </c>
      <c r="W44" s="77"/>
      <c r="X44" s="149" t="str">
        <f>IF('Budgeting Model'!X44="","",'Budgeting Model'!X44)</f>
        <v/>
      </c>
      <c r="Y44" s="130">
        <f t="shared" ca="1" si="23"/>
        <v>72355.521650455179</v>
      </c>
      <c r="Z44" s="149" t="str">
        <f>IF('Budgeting Model'!Z44="","",'Budgeting Model'!Z44)</f>
        <v/>
      </c>
      <c r="AA44" s="127">
        <f t="shared" ca="1" si="7"/>
        <v>44743</v>
      </c>
      <c r="AB44" s="149" t="str">
        <f>IF('Budgeting Model'!AB44="","",'Budgeting Model'!AB44)</f>
        <v/>
      </c>
      <c r="AC44" s="127">
        <f ca="1">IF(AB44="",IFERROR(VLOOKUP($D44,'Employee Master'!$A:$F,6,FALSE)+365,""),AB44)</f>
        <v>44822</v>
      </c>
      <c r="AD44" s="149"/>
      <c r="AE44" s="127">
        <f t="shared" ca="1" si="16"/>
        <v>45107</v>
      </c>
      <c r="AF44" s="131">
        <f t="shared" ca="1" si="17"/>
        <v>56</v>
      </c>
      <c r="AG44" s="131">
        <f t="shared" ca="1" si="18"/>
        <v>205</v>
      </c>
      <c r="AH44" s="131">
        <f t="shared" ca="1" si="19"/>
        <v>261</v>
      </c>
      <c r="AI44" s="158">
        <f t="shared" ca="1" si="8"/>
        <v>71758.423328553399</v>
      </c>
      <c r="AJ44" s="156">
        <f t="shared" ca="1" si="9"/>
        <v>71758.423328553399</v>
      </c>
      <c r="AK44" s="130">
        <f t="shared" ca="1" si="21"/>
        <v>13583.986823265532</v>
      </c>
      <c r="AL44" s="78"/>
      <c r="AM44" s="130">
        <f t="shared" ca="1" si="11"/>
        <v>0</v>
      </c>
      <c r="AN44" s="130">
        <f t="shared" ca="1" si="20"/>
        <v>0</v>
      </c>
      <c r="AO44" s="130">
        <f t="shared" ca="1" si="24"/>
        <v>0</v>
      </c>
      <c r="AP44" s="130">
        <f t="shared" ca="1" si="24"/>
        <v>0</v>
      </c>
    </row>
    <row r="45" spans="1:42" ht="16.5" thickBot="1">
      <c r="A45" s="92" t="s">
        <v>103</v>
      </c>
      <c r="B45" s="124" t="str">
        <f>IFERROR(VLOOKUP($A45,'Position Master'!B:C,2,FALSE),"Missing")</f>
        <v>Dept 7</v>
      </c>
      <c r="C45" s="98" t="str">
        <f ca="1">IFERROR(VLOOKUP($D45,'Employee Master'!$A:$F,3,FALSE)&amp;", "&amp;VLOOKUP($D45,'Employee Master'!$A:$F,2,FALSE),"Vacant")</f>
        <v>Joseph, Huiying</v>
      </c>
      <c r="D45" s="98">
        <f>IF(INDEX('Position Master'!$A$7:$A$97,MATCH(A45,'Position Master'!$B$7:$B$97,0))=0,"Vacant",INDEX('Position Master'!$A$7:$A$97,MATCH(A45,'Position Master'!$B$7:$B$97,0)))</f>
        <v>5284637</v>
      </c>
      <c r="E45" s="156">
        <f ca="1">IFERROR(VLOOKUP(D45,'Employee Master'!A:F,5,FALSE),"")</f>
        <v>55965.731511299135</v>
      </c>
      <c r="F45" s="157" t="str">
        <f ca="1">IF(C45="Vacant","No",IF(AND(VLOOKUP(D45,'Employee Master'!A:F,6,FALSE)+360&lt;B$4,VLOOKUP(D45,'Employee Master'!A:F,6,FALSE)+360&lt;B39),"Yes","No"))</f>
        <v>No</v>
      </c>
      <c r="G45" s="156">
        <f ca="1">IF(C45="Vacant",VLOOKUP(A45,'Position Master'!B:D,3,FALSE),E45)*(1+IF(F45="Yes",F$8,0))</f>
        <v>55965.731511299135</v>
      </c>
      <c r="H45" s="125"/>
      <c r="I45" s="182" t="str">
        <f>IF('Budgeting Model'!I45="","",'Budgeting Model'!I45)</f>
        <v/>
      </c>
      <c r="J45" s="130">
        <f t="shared" ca="1" si="22"/>
        <v>58204.360771751104</v>
      </c>
      <c r="K45" s="149" t="str">
        <f>IF('Budgeting Model'!K45="","",'Budgeting Model'!K45)</f>
        <v/>
      </c>
      <c r="L45" s="127">
        <f t="shared" ca="1" si="1"/>
        <v>44743</v>
      </c>
      <c r="M45" s="149" t="str">
        <f>IF('Budgeting Model'!M45="","",'Budgeting Model'!M45)</f>
        <v/>
      </c>
      <c r="N45" s="127">
        <f ca="1">IF(M45="",IFERROR(VLOOKUP($D45,'Employee Master'!$A:$F,6,FALSE)+365,""),M45)</f>
        <v>45067</v>
      </c>
      <c r="O45" s="149" t="str">
        <f>IF('Budgeting Model'!O45="","",'Budgeting Model'!O45)</f>
        <v/>
      </c>
      <c r="P45" s="127">
        <f t="shared" ca="1" si="13"/>
        <v>45107</v>
      </c>
      <c r="Q45" s="131">
        <f t="shared" ca="1" si="2"/>
        <v>231</v>
      </c>
      <c r="R45" s="131">
        <f t="shared" ca="1" si="3"/>
        <v>30</v>
      </c>
      <c r="S45" s="131">
        <f t="shared" ca="1" si="14"/>
        <v>261</v>
      </c>
      <c r="T45" s="158">
        <f t="shared" ca="1" si="15"/>
        <v>56223.045219397056</v>
      </c>
      <c r="U45" s="156">
        <f t="shared" ca="1" si="4"/>
        <v>56223.045219397056</v>
      </c>
      <c r="V45" s="130">
        <f t="shared" ca="1" si="5"/>
        <v>10764.290122096616</v>
      </c>
      <c r="W45" s="77"/>
      <c r="X45" s="149" t="str">
        <f>IF('Budgeting Model'!X45="","",'Budgeting Model'!X45)</f>
        <v/>
      </c>
      <c r="Y45" s="130">
        <f t="shared" ca="1" si="23"/>
        <v>58204.360771751104</v>
      </c>
      <c r="Z45" s="149" t="str">
        <f>IF('Budgeting Model'!Z45="","",'Budgeting Model'!Z45)</f>
        <v/>
      </c>
      <c r="AA45" s="127">
        <f t="shared" ca="1" si="7"/>
        <v>44743</v>
      </c>
      <c r="AB45" s="149" t="str">
        <f>IF('Budgeting Model'!AB45="","",'Budgeting Model'!AB45)</f>
        <v/>
      </c>
      <c r="AC45" s="127">
        <f ca="1">IF(AB45="",IFERROR(VLOOKUP($D45,'Employee Master'!$A:$F,6,FALSE)+365,""),AB45)</f>
        <v>45067</v>
      </c>
      <c r="AD45" s="149"/>
      <c r="AE45" s="127">
        <f t="shared" ca="1" si="16"/>
        <v>45107</v>
      </c>
      <c r="AF45" s="131">
        <f t="shared" ca="1" si="17"/>
        <v>231</v>
      </c>
      <c r="AG45" s="131">
        <f t="shared" ca="1" si="18"/>
        <v>30</v>
      </c>
      <c r="AH45" s="131">
        <f t="shared" ca="1" si="19"/>
        <v>261</v>
      </c>
      <c r="AI45" s="158">
        <f t="shared" ca="1" si="8"/>
        <v>56223.045219397056</v>
      </c>
      <c r="AJ45" s="156">
        <f t="shared" ca="1" si="9"/>
        <v>56223.045219397056</v>
      </c>
      <c r="AK45" s="130">
        <f t="shared" ca="1" si="21"/>
        <v>10764.290122096616</v>
      </c>
      <c r="AL45" s="78"/>
      <c r="AM45" s="130">
        <f t="shared" ca="1" si="11"/>
        <v>0</v>
      </c>
      <c r="AN45" s="130">
        <f t="shared" ca="1" si="20"/>
        <v>0</v>
      </c>
      <c r="AO45" s="130">
        <f t="shared" ca="1" si="24"/>
        <v>0</v>
      </c>
      <c r="AP45" s="130">
        <f t="shared" ca="1" si="24"/>
        <v>0</v>
      </c>
    </row>
    <row r="46" spans="1:42" ht="16.5" thickBot="1">
      <c r="A46" s="92" t="s">
        <v>104</v>
      </c>
      <c r="B46" s="124" t="str">
        <f>IFERROR(VLOOKUP($A46,'Position Master'!B:C,2,FALSE),"Missing")</f>
        <v>Dept 3</v>
      </c>
      <c r="C46" s="98" t="str">
        <f ca="1">IFERROR(VLOOKUP($D46,'Employee Master'!$A:$F,3,FALSE)&amp;", "&amp;VLOOKUP($D46,'Employee Master'!$A:$F,2,FALSE),"Vacant")</f>
        <v>Kazi, Iqra</v>
      </c>
      <c r="D46" s="98">
        <f>IF(INDEX('Position Master'!$A$7:$A$97,MATCH(A46,'Position Master'!$B$7:$B$97,0))=0,"Vacant",INDEX('Position Master'!$A$7:$A$97,MATCH(A46,'Position Master'!$B$7:$B$97,0)))</f>
        <v>5320193</v>
      </c>
      <c r="E46" s="156">
        <f ca="1">IFERROR(VLOOKUP(D46,'Employee Master'!A:F,5,FALSE),"")</f>
        <v>44171.151181219713</v>
      </c>
      <c r="F46" s="157" t="str">
        <f ca="1">IF(C46="Vacant","No",IF(AND(VLOOKUP(D46,'Employee Master'!A:F,6,FALSE)+360&lt;B$4,VLOOKUP(D46,'Employee Master'!A:F,6,FALSE)+360&lt;B40),"Yes","No"))</f>
        <v>Yes</v>
      </c>
      <c r="G46" s="156">
        <f ca="1">IF(C46="Vacant",VLOOKUP(A46,'Position Master'!B:D,3,FALSE),E46)*(1+IF(F46="Yes",F$8,0))</f>
        <v>45496.285716656304</v>
      </c>
      <c r="H46" s="125"/>
      <c r="I46" s="182" t="str">
        <f>IF('Budgeting Model'!I46="","",'Budgeting Model'!I46)</f>
        <v/>
      </c>
      <c r="J46" s="130">
        <f t="shared" ca="1" si="22"/>
        <v>47316.137145322558</v>
      </c>
      <c r="K46" s="149" t="str">
        <f>IF('Budgeting Model'!K46="","",'Budgeting Model'!K46)</f>
        <v/>
      </c>
      <c r="L46" s="127">
        <f t="shared" ca="1" si="1"/>
        <v>44743</v>
      </c>
      <c r="M46" s="149" t="str">
        <f>IF('Budgeting Model'!M46="","",'Budgeting Model'!M46)</f>
        <v/>
      </c>
      <c r="N46" s="127">
        <f ca="1">IF(M46="",IFERROR(VLOOKUP($D46,'Employee Master'!$A:$F,6,FALSE)+365,""),M46)</f>
        <v>44917</v>
      </c>
      <c r="O46" s="149">
        <f>IF('Budgeting Model'!O46="","",'Budgeting Model'!O46)</f>
        <v>44926</v>
      </c>
      <c r="P46" s="127">
        <f t="shared" si="13"/>
        <v>44926</v>
      </c>
      <c r="Q46" s="131">
        <f t="shared" ca="1" si="2"/>
        <v>124</v>
      </c>
      <c r="R46" s="131">
        <f t="shared" ca="1" si="3"/>
        <v>7</v>
      </c>
      <c r="S46" s="131">
        <f t="shared" ca="1" si="14"/>
        <v>131</v>
      </c>
      <c r="T46" s="158">
        <f t="shared" ca="1" si="15"/>
        <v>45593.529686127018</v>
      </c>
      <c r="U46" s="156">
        <f t="shared" ca="1" si="4"/>
        <v>22884.108769665283</v>
      </c>
      <c r="V46" s="130">
        <f t="shared" ca="1" si="5"/>
        <v>0</v>
      </c>
      <c r="W46" s="77"/>
      <c r="X46" s="149" t="str">
        <f>IF('Budgeting Model'!X46="","",'Budgeting Model'!X46)</f>
        <v/>
      </c>
      <c r="Y46" s="130">
        <f t="shared" ca="1" si="23"/>
        <v>47316.137145322558</v>
      </c>
      <c r="Z46" s="149" t="str">
        <f>IF('Budgeting Model'!Z46="","",'Budgeting Model'!Z46)</f>
        <v/>
      </c>
      <c r="AA46" s="127">
        <f t="shared" ca="1" si="7"/>
        <v>44743</v>
      </c>
      <c r="AB46" s="149" t="str">
        <f>IF('Budgeting Model'!AB46="","",'Budgeting Model'!AB46)</f>
        <v/>
      </c>
      <c r="AC46" s="127">
        <f ca="1">IF(AB46="",IFERROR(VLOOKUP($D46,'Employee Master'!$A:$F,6,FALSE)+365,""),AB46)</f>
        <v>44917</v>
      </c>
      <c r="AD46" s="149"/>
      <c r="AE46" s="127">
        <f t="shared" ca="1" si="16"/>
        <v>45107</v>
      </c>
      <c r="AF46" s="131">
        <f t="shared" ca="1" si="17"/>
        <v>124</v>
      </c>
      <c r="AG46" s="131">
        <f t="shared" ca="1" si="18"/>
        <v>137</v>
      </c>
      <c r="AH46" s="131">
        <f t="shared" ca="1" si="19"/>
        <v>261</v>
      </c>
      <c r="AI46" s="158">
        <f t="shared" ca="1" si="8"/>
        <v>46451.533401435139</v>
      </c>
      <c r="AJ46" s="156">
        <f t="shared" ca="1" si="9"/>
        <v>46451.533401435139</v>
      </c>
      <c r="AK46" s="130">
        <f t="shared" ca="1" si="21"/>
        <v>8883.1062073594076</v>
      </c>
      <c r="AL46" s="78"/>
      <c r="AM46" s="130">
        <f t="shared" ca="1" si="11"/>
        <v>858.00371530812117</v>
      </c>
      <c r="AN46" s="130">
        <f t="shared" ca="1" si="20"/>
        <v>22709.420916461735</v>
      </c>
      <c r="AO46" s="130">
        <f t="shared" ca="1" si="24"/>
        <v>23567.424631769856</v>
      </c>
      <c r="AP46" s="130">
        <f t="shared" ca="1" si="24"/>
        <v>8883.1062073594076</v>
      </c>
    </row>
    <row r="47" spans="1:42" ht="16.5" thickBot="1">
      <c r="A47" s="92" t="s">
        <v>105</v>
      </c>
      <c r="B47" s="124" t="str">
        <f>IFERROR(VLOOKUP($A47,'Position Master'!B:C,2,FALSE),"Missing")</f>
        <v>Dept 11</v>
      </c>
      <c r="C47" s="98" t="str">
        <f ca="1">IFERROR(VLOOKUP($D47,'Employee Master'!$A:$F,3,FALSE)&amp;", "&amp;VLOOKUP($D47,'Employee Master'!$A:$F,2,FALSE),"Vacant")</f>
        <v>Kemelman, Danielle</v>
      </c>
      <c r="D47" s="98">
        <f>IF(INDEX('Position Master'!$A$7:$A$97,MATCH(A47,'Position Master'!$B$7:$B$97,0))=0,"Vacant",INDEX('Position Master'!$A$7:$A$97,MATCH(A47,'Position Master'!$B$7:$B$97,0)))</f>
        <v>5360868</v>
      </c>
      <c r="E47" s="156">
        <f ca="1">IFERROR(VLOOKUP(D47,'Employee Master'!A:F,5,FALSE),"")</f>
        <v>86853.015231473124</v>
      </c>
      <c r="F47" s="157" t="str">
        <f ca="1">IF(C47="Vacant","No",IF(AND(VLOOKUP(D47,'Employee Master'!A:F,6,FALSE)+360&lt;B$4,VLOOKUP(D47,'Employee Master'!A:F,6,FALSE)+360&lt;B41),"Yes","No"))</f>
        <v>Yes</v>
      </c>
      <c r="G47" s="156">
        <f ca="1">IF(C47="Vacant",VLOOKUP(A47,'Position Master'!B:D,3,FALSE),E47)*(1+IF(F47="Yes",F$8,0))</f>
        <v>89458.605688417316</v>
      </c>
      <c r="H47" s="125"/>
      <c r="I47" s="182" t="str">
        <f>IF('Budgeting Model'!I47="","",'Budgeting Model'!I47)</f>
        <v/>
      </c>
      <c r="J47" s="130">
        <f t="shared" ca="1" si="22"/>
        <v>93036.949915954014</v>
      </c>
      <c r="K47" s="149" t="str">
        <f>IF('Budgeting Model'!K47="","",'Budgeting Model'!K47)</f>
        <v/>
      </c>
      <c r="L47" s="127">
        <f t="shared" ca="1" si="1"/>
        <v>44743</v>
      </c>
      <c r="M47" s="149" t="str">
        <f>IF('Budgeting Model'!M47="","",'Budgeting Model'!M47)</f>
        <v/>
      </c>
      <c r="N47" s="127">
        <f ca="1">IF(M47="",IFERROR(VLOOKUP($D47,'Employee Master'!$A:$F,6,FALSE)+365,""),M47)</f>
        <v>44967</v>
      </c>
      <c r="O47" s="149" t="str">
        <f>IF('Budgeting Model'!O47="","",'Budgeting Model'!O47)</f>
        <v/>
      </c>
      <c r="P47" s="127">
        <f t="shared" ca="1" si="13"/>
        <v>45107</v>
      </c>
      <c r="Q47" s="131">
        <f t="shared" ca="1" si="2"/>
        <v>160</v>
      </c>
      <c r="R47" s="131">
        <f t="shared" ca="1" si="3"/>
        <v>101</v>
      </c>
      <c r="S47" s="131">
        <f t="shared" ca="1" si="14"/>
        <v>261</v>
      </c>
      <c r="T47" s="158">
        <f t="shared" ca="1" si="15"/>
        <v>90843.32893355604</v>
      </c>
      <c r="U47" s="156">
        <f t="shared" ca="1" si="4"/>
        <v>90843.32893355604</v>
      </c>
      <c r="V47" s="130">
        <f t="shared" ca="1" si="5"/>
        <v>17466.707072343856</v>
      </c>
      <c r="W47" s="77"/>
      <c r="X47" s="149" t="str">
        <f>IF('Budgeting Model'!X47="","",'Budgeting Model'!X47)</f>
        <v/>
      </c>
      <c r="Y47" s="130">
        <f t="shared" ca="1" si="23"/>
        <v>93036.949915954014</v>
      </c>
      <c r="Z47" s="149" t="str">
        <f>IF('Budgeting Model'!Z47="","",'Budgeting Model'!Z47)</f>
        <v/>
      </c>
      <c r="AA47" s="127">
        <f t="shared" ca="1" si="7"/>
        <v>44743</v>
      </c>
      <c r="AB47" s="149" t="str">
        <f>IF('Budgeting Model'!AB47="","",'Budgeting Model'!AB47)</f>
        <v/>
      </c>
      <c r="AC47" s="127">
        <f ca="1">IF(AB47="",IFERROR(VLOOKUP($D47,'Employee Master'!$A:$F,6,FALSE)+365,""),AB47)</f>
        <v>44967</v>
      </c>
      <c r="AD47" s="149"/>
      <c r="AE47" s="127">
        <f t="shared" ca="1" si="16"/>
        <v>45107</v>
      </c>
      <c r="AF47" s="131">
        <f t="shared" ca="1" si="17"/>
        <v>160</v>
      </c>
      <c r="AG47" s="131">
        <f t="shared" ca="1" si="18"/>
        <v>101</v>
      </c>
      <c r="AH47" s="131">
        <f t="shared" ca="1" si="19"/>
        <v>261</v>
      </c>
      <c r="AI47" s="158">
        <f t="shared" ca="1" si="8"/>
        <v>90843.32893355604</v>
      </c>
      <c r="AJ47" s="156">
        <f t="shared" ca="1" si="9"/>
        <v>90843.32893355604</v>
      </c>
      <c r="AK47" s="130">
        <f t="shared" ca="1" si="21"/>
        <v>17466.707072343856</v>
      </c>
      <c r="AL47" s="78"/>
      <c r="AM47" s="130">
        <f t="shared" ca="1" si="11"/>
        <v>0</v>
      </c>
      <c r="AN47" s="130">
        <f t="shared" ca="1" si="20"/>
        <v>0</v>
      </c>
      <c r="AO47" s="130">
        <f t="shared" ca="1" si="24"/>
        <v>0</v>
      </c>
      <c r="AP47" s="130">
        <f t="shared" ca="1" si="24"/>
        <v>0</v>
      </c>
    </row>
    <row r="48" spans="1:42" ht="16.5" thickBot="1">
      <c r="A48" s="92" t="s">
        <v>106</v>
      </c>
      <c r="B48" s="124" t="str">
        <f>IFERROR(VLOOKUP($A48,'Position Master'!B:C,2,FALSE),"Missing")</f>
        <v>Dept 6</v>
      </c>
      <c r="C48" s="98" t="str">
        <f ca="1">IFERROR(VLOOKUP($D48,'Employee Master'!$A:$F,3,FALSE)&amp;", "&amp;VLOOKUP($D48,'Employee Master'!$A:$F,2,FALSE),"Vacant")</f>
        <v>Khaim, Victoria</v>
      </c>
      <c r="D48" s="98">
        <f>IF(INDEX('Position Master'!$A$7:$A$97,MATCH(A48,'Position Master'!$B$7:$B$97,0))=0,"Vacant",INDEX('Position Master'!$A$7:$A$97,MATCH(A48,'Position Master'!$B$7:$B$97,0)))</f>
        <v>5369503</v>
      </c>
      <c r="E48" s="156">
        <f ca="1">IFERROR(VLOOKUP(D48,'Employee Master'!A:F,5,FALSE),"")</f>
        <v>63737.153101434677</v>
      </c>
      <c r="F48" s="157" t="str">
        <f ca="1">IF(C48="Vacant","No",IF(AND(VLOOKUP(D48,'Employee Master'!A:F,6,FALSE)+360&lt;B$4,VLOOKUP(D48,'Employee Master'!A:F,6,FALSE)+360&lt;B42),"Yes","No"))</f>
        <v>No</v>
      </c>
      <c r="G48" s="156">
        <f ca="1">IF(C48="Vacant",VLOOKUP(A48,'Position Master'!B:D,3,FALSE),E48)*(1+IF(F48="Yes",F$8,0))</f>
        <v>63737.153101434677</v>
      </c>
      <c r="H48" s="125"/>
      <c r="I48" s="182" t="str">
        <f>IF('Budgeting Model'!I48="","",'Budgeting Model'!I48)</f>
        <v/>
      </c>
      <c r="J48" s="130">
        <f t="shared" ca="1" si="22"/>
        <v>66286.639225492065</v>
      </c>
      <c r="K48" s="149" t="str">
        <f>IF('Budgeting Model'!K48="","",'Budgeting Model'!K48)</f>
        <v/>
      </c>
      <c r="L48" s="127">
        <f t="shared" ca="1" si="1"/>
        <v>44743</v>
      </c>
      <c r="M48" s="149" t="str">
        <f>IF('Budgeting Model'!M48="","",'Budgeting Model'!M48)</f>
        <v/>
      </c>
      <c r="N48" s="127">
        <f ca="1">IF(M48="",IFERROR(VLOOKUP($D48,'Employee Master'!$A:$F,6,FALSE)+365,""),M48)</f>
        <v>45059</v>
      </c>
      <c r="O48" s="149" t="str">
        <f>IF('Budgeting Model'!O48="","",'Budgeting Model'!O48)</f>
        <v/>
      </c>
      <c r="P48" s="127">
        <f t="shared" ca="1" si="13"/>
        <v>45107</v>
      </c>
      <c r="Q48" s="131">
        <f t="shared" ca="1" si="2"/>
        <v>226</v>
      </c>
      <c r="R48" s="131">
        <f t="shared" ca="1" si="3"/>
        <v>35</v>
      </c>
      <c r="S48" s="131">
        <f t="shared" ca="1" si="14"/>
        <v>261</v>
      </c>
      <c r="T48" s="158">
        <f t="shared" ca="1" si="15"/>
        <v>64079.038213856162</v>
      </c>
      <c r="U48" s="156">
        <f t="shared" ca="1" si="4"/>
        <v>64079.038213856162</v>
      </c>
      <c r="V48" s="130">
        <f t="shared" ca="1" si="5"/>
        <v>12307.864047173593</v>
      </c>
      <c r="W48" s="77"/>
      <c r="X48" s="149" t="str">
        <f>IF('Budgeting Model'!X48="","",'Budgeting Model'!X48)</f>
        <v/>
      </c>
      <c r="Y48" s="130">
        <f t="shared" ca="1" si="23"/>
        <v>66286.639225492065</v>
      </c>
      <c r="Z48" s="149" t="str">
        <f>IF('Budgeting Model'!Z48="","",'Budgeting Model'!Z48)</f>
        <v/>
      </c>
      <c r="AA48" s="127">
        <f t="shared" ca="1" si="7"/>
        <v>44743</v>
      </c>
      <c r="AB48" s="149" t="str">
        <f>IF('Budgeting Model'!AB48="","",'Budgeting Model'!AB48)</f>
        <v/>
      </c>
      <c r="AC48" s="127">
        <f ca="1">IF(AB48="",IFERROR(VLOOKUP($D48,'Employee Master'!$A:$F,6,FALSE)+365,""),AB48)</f>
        <v>45059</v>
      </c>
      <c r="AD48" s="149"/>
      <c r="AE48" s="127">
        <f t="shared" ca="1" si="16"/>
        <v>45107</v>
      </c>
      <c r="AF48" s="131">
        <f t="shared" ca="1" si="17"/>
        <v>226</v>
      </c>
      <c r="AG48" s="131">
        <f t="shared" ca="1" si="18"/>
        <v>35</v>
      </c>
      <c r="AH48" s="131">
        <f t="shared" ca="1" si="19"/>
        <v>261</v>
      </c>
      <c r="AI48" s="158">
        <f t="shared" ca="1" si="8"/>
        <v>64079.038213856162</v>
      </c>
      <c r="AJ48" s="156">
        <f t="shared" ca="1" si="9"/>
        <v>64079.038213856162</v>
      </c>
      <c r="AK48" s="130">
        <f t="shared" ca="1" si="21"/>
        <v>12307.864047173593</v>
      </c>
      <c r="AL48" s="78"/>
      <c r="AM48" s="130">
        <f t="shared" ca="1" si="11"/>
        <v>0</v>
      </c>
      <c r="AN48" s="130">
        <f t="shared" ca="1" si="20"/>
        <v>0</v>
      </c>
      <c r="AO48" s="130">
        <f t="shared" ca="1" si="24"/>
        <v>0</v>
      </c>
      <c r="AP48" s="130">
        <f t="shared" ca="1" si="24"/>
        <v>0</v>
      </c>
    </row>
    <row r="49" spans="1:42" ht="16.5" thickBot="1">
      <c r="A49" s="92" t="s">
        <v>107</v>
      </c>
      <c r="B49" s="124" t="str">
        <f>IFERROR(VLOOKUP($A49,'Position Master'!B:C,2,FALSE),"Missing")</f>
        <v>Dept 9</v>
      </c>
      <c r="C49" s="98" t="str">
        <f ca="1">IFERROR(VLOOKUP($D49,'Employee Master'!$A:$F,3,FALSE)&amp;", "&amp;VLOOKUP($D49,'Employee Master'!$A:$F,2,FALSE),"Vacant")</f>
        <v>Khan, Jing Wen</v>
      </c>
      <c r="D49" s="98">
        <f>IF(INDEX('Position Master'!$A$7:$A$97,MATCH(A49,'Position Master'!$B$7:$B$97,0))=0,"Vacant",INDEX('Position Master'!$A$7:$A$97,MATCH(A49,'Position Master'!$B$7:$B$97,0)))</f>
        <v>5606287</v>
      </c>
      <c r="E49" s="156">
        <f ca="1">IFERROR(VLOOKUP(D49,'Employee Master'!A:F,5,FALSE),"")</f>
        <v>75033.756688150315</v>
      </c>
      <c r="F49" s="157" t="str">
        <f ca="1">IF(C49="Vacant","No",IF(AND(VLOOKUP(D49,'Employee Master'!A:F,6,FALSE)+360&lt;B$4,VLOOKUP(D49,'Employee Master'!A:F,6,FALSE)+360&lt;B43),"Yes","No"))</f>
        <v>Yes</v>
      </c>
      <c r="G49" s="156">
        <f ca="1">IF(C49="Vacant",VLOOKUP(A49,'Position Master'!B:D,3,FALSE),E49)*(1+IF(F49="Yes",F$8,0))</f>
        <v>77284.769388794826</v>
      </c>
      <c r="H49" s="125"/>
      <c r="I49" s="182" t="str">
        <f>IF('Budgeting Model'!I49="","",'Budgeting Model'!I49)</f>
        <v/>
      </c>
      <c r="J49" s="130">
        <f t="shared" ca="1" si="22"/>
        <v>80376.160164346627</v>
      </c>
      <c r="K49" s="149" t="str">
        <f>IF('Budgeting Model'!K49="","",'Budgeting Model'!K49)</f>
        <v/>
      </c>
      <c r="L49" s="127">
        <f t="shared" ca="1" si="1"/>
        <v>44743</v>
      </c>
      <c r="M49" s="149" t="str">
        <f>IF('Budgeting Model'!M49="","",'Budgeting Model'!M49)</f>
        <v/>
      </c>
      <c r="N49" s="127">
        <f ca="1">IF(M49="",IFERROR(VLOOKUP($D49,'Employee Master'!$A:$F,6,FALSE)+365,""),M49)</f>
        <v>44848</v>
      </c>
      <c r="O49" s="149" t="str">
        <f>IF('Budgeting Model'!O49="","",'Budgeting Model'!O49)</f>
        <v/>
      </c>
      <c r="P49" s="127">
        <f t="shared" ca="1" si="13"/>
        <v>45107</v>
      </c>
      <c r="Q49" s="131">
        <f t="shared" ca="1" si="2"/>
        <v>75</v>
      </c>
      <c r="R49" s="131">
        <f t="shared" ca="1" si="3"/>
        <v>186</v>
      </c>
      <c r="S49" s="131">
        <f t="shared" ca="1" si="14"/>
        <v>261</v>
      </c>
      <c r="T49" s="158">
        <f t="shared" ca="1" si="15"/>
        <v>79487.829481716792</v>
      </c>
      <c r="U49" s="156">
        <f t="shared" ca="1" si="4"/>
        <v>79487.829481716792</v>
      </c>
      <c r="V49" s="130">
        <f t="shared" ca="1" si="5"/>
        <v>15089.777195605306</v>
      </c>
      <c r="W49" s="77"/>
      <c r="X49" s="149" t="str">
        <f>IF('Budgeting Model'!X49="","",'Budgeting Model'!X49)</f>
        <v/>
      </c>
      <c r="Y49" s="130">
        <f t="shared" ca="1" si="23"/>
        <v>80376.160164346627</v>
      </c>
      <c r="Z49" s="149" t="str">
        <f>IF('Budgeting Model'!Z49="","",'Budgeting Model'!Z49)</f>
        <v/>
      </c>
      <c r="AA49" s="127">
        <f t="shared" ca="1" si="7"/>
        <v>44743</v>
      </c>
      <c r="AB49" s="149" t="str">
        <f>IF('Budgeting Model'!AB49="","",'Budgeting Model'!AB49)</f>
        <v/>
      </c>
      <c r="AC49" s="127">
        <f ca="1">IF(AB49="",IFERROR(VLOOKUP($D49,'Employee Master'!$A:$F,6,FALSE)+365,""),AB49)</f>
        <v>44848</v>
      </c>
      <c r="AD49" s="149"/>
      <c r="AE49" s="127">
        <f t="shared" ca="1" si="16"/>
        <v>45107</v>
      </c>
      <c r="AF49" s="131">
        <f t="shared" ca="1" si="17"/>
        <v>75</v>
      </c>
      <c r="AG49" s="131">
        <f t="shared" ca="1" si="18"/>
        <v>186</v>
      </c>
      <c r="AH49" s="131">
        <f t="shared" ca="1" si="19"/>
        <v>261</v>
      </c>
      <c r="AI49" s="158">
        <f t="shared" ca="1" si="8"/>
        <v>79487.829481716792</v>
      </c>
      <c r="AJ49" s="156">
        <f t="shared" ca="1" si="9"/>
        <v>79487.829481716792</v>
      </c>
      <c r="AK49" s="130">
        <f t="shared" ca="1" si="21"/>
        <v>15089.777195605306</v>
      </c>
      <c r="AL49" s="78"/>
      <c r="AM49" s="130">
        <f t="shared" ca="1" si="11"/>
        <v>0</v>
      </c>
      <c r="AN49" s="130">
        <f t="shared" ca="1" si="20"/>
        <v>0</v>
      </c>
      <c r="AO49" s="130">
        <f t="shared" ca="1" si="24"/>
        <v>0</v>
      </c>
      <c r="AP49" s="130">
        <f t="shared" ca="1" si="24"/>
        <v>0</v>
      </c>
    </row>
    <row r="50" spans="1:42" ht="16.5" thickBot="1">
      <c r="A50" s="92" t="s">
        <v>108</v>
      </c>
      <c r="B50" s="124" t="str">
        <f>IFERROR(VLOOKUP($A50,'Position Master'!B:C,2,FALSE),"Missing")</f>
        <v>Dept 2</v>
      </c>
      <c r="C50" s="98" t="str">
        <f ca="1">IFERROR(VLOOKUP($D50,'Employee Master'!$A:$F,3,FALSE)&amp;", "&amp;VLOOKUP($D50,'Employee Master'!$A:$F,2,FALSE),"Vacant")</f>
        <v>Khanna, Ting Ting</v>
      </c>
      <c r="D50" s="98">
        <f>IF(INDEX('Position Master'!$A$7:$A$97,MATCH(A50,'Position Master'!$B$7:$B$97,0))=0,"Vacant",INDEX('Position Master'!$A$7:$A$97,MATCH(A50,'Position Master'!$B$7:$B$97,0)))</f>
        <v>5610062</v>
      </c>
      <c r="E50" s="156">
        <f ca="1">IFERROR(VLOOKUP(D50,'Employee Master'!A:F,5,FALSE),"")</f>
        <v>50194.454600207377</v>
      </c>
      <c r="F50" s="157" t="str">
        <f ca="1">IF(C50="Vacant","No",IF(AND(VLOOKUP(D50,'Employee Master'!A:F,6,FALSE)+360&lt;B$4,VLOOKUP(D50,'Employee Master'!A:F,6,FALSE)+360&lt;B44),"Yes","No"))</f>
        <v>Yes</v>
      </c>
      <c r="G50" s="156">
        <f ca="1">IF(C50="Vacant",VLOOKUP(A50,'Position Master'!B:D,3,FALSE),E50)*(1+IF(F50="Yes",F$8,0))</f>
        <v>51700.288238213601</v>
      </c>
      <c r="H50" s="125"/>
      <c r="I50" s="182" t="str">
        <f>IF('Budgeting Model'!I50="","",'Budgeting Model'!I50)</f>
        <v/>
      </c>
      <c r="J50" s="130">
        <f t="shared" ca="1" si="22"/>
        <v>53768.299767742144</v>
      </c>
      <c r="K50" s="149" t="str">
        <f>IF('Budgeting Model'!K50="","",'Budgeting Model'!K50)</f>
        <v/>
      </c>
      <c r="L50" s="127">
        <f t="shared" ca="1" si="1"/>
        <v>44743</v>
      </c>
      <c r="M50" s="149" t="str">
        <f>IF('Budgeting Model'!M50="","",'Budgeting Model'!M50)</f>
        <v/>
      </c>
      <c r="N50" s="127">
        <f ca="1">IF(M50="",IFERROR(VLOOKUP($D50,'Employee Master'!$A:$F,6,FALSE)+365,""),M50)</f>
        <v>44937</v>
      </c>
      <c r="O50" s="149" t="str">
        <f>IF('Budgeting Model'!O50="","",'Budgeting Model'!O50)</f>
        <v/>
      </c>
      <c r="P50" s="127">
        <f t="shared" ca="1" si="13"/>
        <v>45107</v>
      </c>
      <c r="Q50" s="131">
        <f t="shared" ca="1" si="2"/>
        <v>138</v>
      </c>
      <c r="R50" s="131">
        <f t="shared" ca="1" si="3"/>
        <v>123</v>
      </c>
      <c r="S50" s="131">
        <f t="shared" ca="1" si="14"/>
        <v>261</v>
      </c>
      <c r="T50" s="158">
        <f t="shared" ca="1" si="15"/>
        <v>52674.86838431326</v>
      </c>
      <c r="U50" s="156">
        <f t="shared" ca="1" si="4"/>
        <v>52674.86838431326</v>
      </c>
      <c r="V50" s="130">
        <f t="shared" ca="1" si="5"/>
        <v>10094.431757162318</v>
      </c>
      <c r="W50" s="77"/>
      <c r="X50" s="149" t="str">
        <f>IF('Budgeting Model'!X50="","",'Budgeting Model'!X50)</f>
        <v/>
      </c>
      <c r="Y50" s="130">
        <f t="shared" ca="1" si="23"/>
        <v>53768.299767742144</v>
      </c>
      <c r="Z50" s="149" t="str">
        <f>IF('Budgeting Model'!Z50="","",'Budgeting Model'!Z50)</f>
        <v/>
      </c>
      <c r="AA50" s="127">
        <f t="shared" ca="1" si="7"/>
        <v>44743</v>
      </c>
      <c r="AB50" s="149" t="str">
        <f>IF('Budgeting Model'!AB50="","",'Budgeting Model'!AB50)</f>
        <v/>
      </c>
      <c r="AC50" s="127">
        <f ca="1">IF(AB50="",IFERROR(VLOOKUP($D50,'Employee Master'!$A:$F,6,FALSE)+365,""),AB50)</f>
        <v>44937</v>
      </c>
      <c r="AD50" s="149"/>
      <c r="AE50" s="127">
        <f t="shared" ca="1" si="16"/>
        <v>45107</v>
      </c>
      <c r="AF50" s="131">
        <f t="shared" ca="1" si="17"/>
        <v>138</v>
      </c>
      <c r="AG50" s="131">
        <f t="shared" ca="1" si="18"/>
        <v>123</v>
      </c>
      <c r="AH50" s="131">
        <f t="shared" ca="1" si="19"/>
        <v>261</v>
      </c>
      <c r="AI50" s="158">
        <f t="shared" ca="1" si="8"/>
        <v>52674.86838431326</v>
      </c>
      <c r="AJ50" s="156">
        <f t="shared" ca="1" si="9"/>
        <v>52674.86838431326</v>
      </c>
      <c r="AK50" s="130">
        <f t="shared" ca="1" si="21"/>
        <v>10094.431757162318</v>
      </c>
      <c r="AL50" s="78"/>
      <c r="AM50" s="130">
        <f t="shared" ca="1" si="11"/>
        <v>0</v>
      </c>
      <c r="AN50" s="130">
        <f t="shared" ca="1" si="20"/>
        <v>0</v>
      </c>
      <c r="AO50" s="130">
        <f t="shared" ca="1" si="24"/>
        <v>0</v>
      </c>
      <c r="AP50" s="130">
        <f t="shared" ca="1" si="24"/>
        <v>0</v>
      </c>
    </row>
    <row r="51" spans="1:42" ht="16.5" thickBot="1">
      <c r="A51" s="92" t="s">
        <v>109</v>
      </c>
      <c r="B51" s="124" t="str">
        <f>IFERROR(VLOOKUP($A51,'Position Master'!B:C,2,FALSE),"Missing")</f>
        <v>Dept 1</v>
      </c>
      <c r="C51" s="98" t="str">
        <f ca="1">IFERROR(VLOOKUP($D51,'Employee Master'!$A:$F,3,FALSE)&amp;", "&amp;VLOOKUP($D51,'Employee Master'!$A:$F,2,FALSE),"Vacant")</f>
        <v>Kobzarenko, Qetsiyah</v>
      </c>
      <c r="D51" s="98">
        <f>IF(INDEX('Position Master'!$A$7:$A$97,MATCH(A51,'Position Master'!$B$7:$B$97,0))=0,"Vacant",INDEX('Position Master'!$A$7:$A$97,MATCH(A51,'Position Master'!$B$7:$B$97,0)))</f>
        <v>5857397</v>
      </c>
      <c r="E51" s="156">
        <f ca="1">IFERROR(VLOOKUP(D51,'Employee Master'!A:F,5,FALSE),"")</f>
        <v>83056.168204901012</v>
      </c>
      <c r="F51" s="157" t="str">
        <f ca="1">IF(C51="Vacant","No",IF(AND(VLOOKUP(D51,'Employee Master'!A:F,6,FALSE)+360&lt;B$4,VLOOKUP(D51,'Employee Master'!A:F,6,FALSE)+360&lt;B45),"Yes","No"))</f>
        <v>No</v>
      </c>
      <c r="G51" s="156">
        <f ca="1">IF(C51="Vacant",VLOOKUP(A51,'Position Master'!B:D,3,FALSE),E51)*(1+IF(F51="Yes",F$8,0))</f>
        <v>83056.168204901012</v>
      </c>
      <c r="H51" s="125"/>
      <c r="I51" s="182" t="str">
        <f>IF('Budgeting Model'!I51="","",'Budgeting Model'!I51)</f>
        <v/>
      </c>
      <c r="J51" s="130">
        <f t="shared" ca="1" si="22"/>
        <v>86378.414933097054</v>
      </c>
      <c r="K51" s="149" t="str">
        <f>IF('Budgeting Model'!K51="","",'Budgeting Model'!K51)</f>
        <v/>
      </c>
      <c r="L51" s="127">
        <f t="shared" ca="1" si="1"/>
        <v>44743</v>
      </c>
      <c r="M51" s="149" t="str">
        <f>IF('Budgeting Model'!M51="","",'Budgeting Model'!M51)</f>
        <v/>
      </c>
      <c r="N51" s="127">
        <f ca="1">IF(M51="",IFERROR(VLOOKUP($D51,'Employee Master'!$A:$F,6,FALSE)+365,""),M51)</f>
        <v>45069</v>
      </c>
      <c r="O51" s="149" t="str">
        <f>IF('Budgeting Model'!O51="","",'Budgeting Model'!O51)</f>
        <v/>
      </c>
      <c r="P51" s="127">
        <f t="shared" ca="1" si="13"/>
        <v>45107</v>
      </c>
      <c r="Q51" s="131">
        <f t="shared" ca="1" si="2"/>
        <v>232</v>
      </c>
      <c r="R51" s="131">
        <f t="shared" ca="1" si="3"/>
        <v>29</v>
      </c>
      <c r="S51" s="131">
        <f t="shared" ca="1" si="14"/>
        <v>261</v>
      </c>
      <c r="T51" s="158">
        <f t="shared" ca="1" si="15"/>
        <v>83425.306730256125</v>
      </c>
      <c r="U51" s="156">
        <f t="shared" ca="1" si="4"/>
        <v>83425.306730256125</v>
      </c>
      <c r="V51" s="130">
        <f t="shared" ca="1" si="5"/>
        <v>15962.058992941897</v>
      </c>
      <c r="W51" s="77"/>
      <c r="X51" s="149" t="str">
        <f>IF('Budgeting Model'!X51="","",'Budgeting Model'!X51)</f>
        <v/>
      </c>
      <c r="Y51" s="130">
        <f t="shared" ca="1" si="23"/>
        <v>86378.414933097054</v>
      </c>
      <c r="Z51" s="149" t="str">
        <f>IF('Budgeting Model'!Z51="","",'Budgeting Model'!Z51)</f>
        <v/>
      </c>
      <c r="AA51" s="127">
        <f t="shared" ca="1" si="7"/>
        <v>44743</v>
      </c>
      <c r="AB51" s="149" t="str">
        <f>IF('Budgeting Model'!AB51="","",'Budgeting Model'!AB51)</f>
        <v/>
      </c>
      <c r="AC51" s="127">
        <f ca="1">IF(AB51="",IFERROR(VLOOKUP($D51,'Employee Master'!$A:$F,6,FALSE)+365,""),AB51)</f>
        <v>45069</v>
      </c>
      <c r="AD51" s="149"/>
      <c r="AE51" s="127">
        <f t="shared" ca="1" si="16"/>
        <v>45107</v>
      </c>
      <c r="AF51" s="131">
        <f t="shared" ca="1" si="17"/>
        <v>232</v>
      </c>
      <c r="AG51" s="131">
        <f t="shared" ca="1" si="18"/>
        <v>29</v>
      </c>
      <c r="AH51" s="131">
        <f t="shared" ca="1" si="19"/>
        <v>261</v>
      </c>
      <c r="AI51" s="158">
        <f t="shared" ca="1" si="8"/>
        <v>83425.306730256125</v>
      </c>
      <c r="AJ51" s="156">
        <f t="shared" ca="1" si="9"/>
        <v>83425.306730256125</v>
      </c>
      <c r="AK51" s="130">
        <f t="shared" ca="1" si="21"/>
        <v>15962.058992941897</v>
      </c>
      <c r="AL51" s="78"/>
      <c r="AM51" s="130">
        <f t="shared" ca="1" si="11"/>
        <v>0</v>
      </c>
      <c r="AN51" s="130">
        <f t="shared" ca="1" si="20"/>
        <v>0</v>
      </c>
      <c r="AO51" s="130">
        <f t="shared" ca="1" si="24"/>
        <v>0</v>
      </c>
      <c r="AP51" s="130">
        <f t="shared" ca="1" si="24"/>
        <v>0</v>
      </c>
    </row>
    <row r="52" spans="1:42" ht="16.5" thickBot="1">
      <c r="A52" s="92" t="s">
        <v>110</v>
      </c>
      <c r="B52" s="124" t="str">
        <f>IFERROR(VLOOKUP($A52,'Position Master'!B:C,2,FALSE),"Missing")</f>
        <v>Dept 10</v>
      </c>
      <c r="C52" s="98" t="str">
        <f ca="1">IFERROR(VLOOKUP($D52,'Employee Master'!$A:$F,3,FALSE)&amp;", "&amp;VLOOKUP($D52,'Employee Master'!$A:$F,2,FALSE),"Vacant")</f>
        <v>Kumar, Yllana</v>
      </c>
      <c r="D52" s="98">
        <f>IF(INDEX('Position Master'!$A$7:$A$97,MATCH(A52,'Position Master'!$B$7:$B$97,0))=0,"Vacant",INDEX('Position Master'!$A$7:$A$97,MATCH(A52,'Position Master'!$B$7:$B$97,0)))</f>
        <v>5937943</v>
      </c>
      <c r="E52" s="156">
        <f ca="1">IFERROR(VLOOKUP(D52,'Employee Master'!A:F,5,FALSE),"")</f>
        <v>73182.260557611007</v>
      </c>
      <c r="F52" s="157" t="str">
        <f ca="1">IF(C52="Vacant","No",IF(AND(VLOOKUP(D52,'Employee Master'!A:F,6,FALSE)+360&lt;B$4,VLOOKUP(D52,'Employee Master'!A:F,6,FALSE)+360&lt;B46),"Yes","No"))</f>
        <v>Yes</v>
      </c>
      <c r="G52" s="156">
        <f ca="1">IF(C52="Vacant",VLOOKUP(A52,'Position Master'!B:D,3,FALSE),E52)*(1+IF(F52="Yes",F$8,0))</f>
        <v>75377.728374339335</v>
      </c>
      <c r="H52" s="125"/>
      <c r="I52" s="182" t="str">
        <f>IF('Budgeting Model'!I52="","",'Budgeting Model'!I52)</f>
        <v/>
      </c>
      <c r="J52" s="130">
        <f t="shared" ca="1" si="22"/>
        <v>78392.837509312914</v>
      </c>
      <c r="K52" s="149" t="str">
        <f>IF('Budgeting Model'!K52="","",'Budgeting Model'!K52)</f>
        <v/>
      </c>
      <c r="L52" s="127">
        <f t="shared" ca="1" si="1"/>
        <v>44743</v>
      </c>
      <c r="M52" s="149" t="str">
        <f>IF('Budgeting Model'!M52="","",'Budgeting Model'!M52)</f>
        <v/>
      </c>
      <c r="N52" s="127">
        <f ca="1">IF(M52="",IFERROR(VLOOKUP($D52,'Employee Master'!$A:$F,6,FALSE)+365,""),M52)</f>
        <v>45027</v>
      </c>
      <c r="O52" s="149" t="str">
        <f>IF('Budgeting Model'!O52="","",'Budgeting Model'!O52)</f>
        <v/>
      </c>
      <c r="P52" s="127">
        <f t="shared" ca="1" si="13"/>
        <v>45107</v>
      </c>
      <c r="Q52" s="131">
        <f t="shared" ca="1" si="2"/>
        <v>202</v>
      </c>
      <c r="R52" s="131">
        <f t="shared" ca="1" si="3"/>
        <v>59</v>
      </c>
      <c r="S52" s="131">
        <f t="shared" ca="1" si="14"/>
        <v>261</v>
      </c>
      <c r="T52" s="158">
        <f t="shared" ca="1" si="15"/>
        <v>76059.304768835282</v>
      </c>
      <c r="U52" s="156">
        <f t="shared" ca="1" si="4"/>
        <v>76059.304768835282</v>
      </c>
      <c r="V52" s="130">
        <f t="shared" ca="1" si="5"/>
        <v>14717.429264200509</v>
      </c>
      <c r="W52" s="77"/>
      <c r="X52" s="149" t="str">
        <f>IF('Budgeting Model'!X52="","",'Budgeting Model'!X52)</f>
        <v/>
      </c>
      <c r="Y52" s="130">
        <f t="shared" ca="1" si="23"/>
        <v>78392.837509312914</v>
      </c>
      <c r="Z52" s="149" t="str">
        <f>IF('Budgeting Model'!Z52="","",'Budgeting Model'!Z52)</f>
        <v/>
      </c>
      <c r="AA52" s="127">
        <f t="shared" ca="1" si="7"/>
        <v>44743</v>
      </c>
      <c r="AB52" s="149" t="str">
        <f>IF('Budgeting Model'!AB52="","",'Budgeting Model'!AB52)</f>
        <v/>
      </c>
      <c r="AC52" s="127">
        <f ca="1">IF(AB52="",IFERROR(VLOOKUP($D52,'Employee Master'!$A:$F,6,FALSE)+365,""),AB52)</f>
        <v>45027</v>
      </c>
      <c r="AD52" s="149"/>
      <c r="AE52" s="127">
        <f t="shared" ca="1" si="16"/>
        <v>45107</v>
      </c>
      <c r="AF52" s="131">
        <f t="shared" ca="1" si="17"/>
        <v>202</v>
      </c>
      <c r="AG52" s="131">
        <f t="shared" ca="1" si="18"/>
        <v>59</v>
      </c>
      <c r="AH52" s="131">
        <f t="shared" ca="1" si="19"/>
        <v>261</v>
      </c>
      <c r="AI52" s="158">
        <f t="shared" ca="1" si="8"/>
        <v>76059.304768835282</v>
      </c>
      <c r="AJ52" s="156">
        <f t="shared" ca="1" si="9"/>
        <v>76059.304768835282</v>
      </c>
      <c r="AK52" s="130">
        <f t="shared" ca="1" si="21"/>
        <v>14717.429264200509</v>
      </c>
      <c r="AL52" s="78"/>
      <c r="AM52" s="130">
        <f t="shared" ca="1" si="11"/>
        <v>0</v>
      </c>
      <c r="AN52" s="130">
        <f t="shared" ca="1" si="20"/>
        <v>0</v>
      </c>
      <c r="AO52" s="130">
        <f t="shared" ca="1" si="24"/>
        <v>0</v>
      </c>
      <c r="AP52" s="130">
        <f t="shared" ca="1" si="24"/>
        <v>0</v>
      </c>
    </row>
    <row r="53" spans="1:42" ht="16.5" thickBot="1">
      <c r="A53" s="92" t="s">
        <v>111</v>
      </c>
      <c r="B53" s="124" t="str">
        <f>IFERROR(VLOOKUP($A53,'Position Master'!B:C,2,FALSE),"Missing")</f>
        <v>Dept 13</v>
      </c>
      <c r="C53" s="98" t="str">
        <f ca="1">IFERROR(VLOOKUP($D53,'Employee Master'!$A:$F,3,FALSE)&amp;", "&amp;VLOOKUP($D53,'Employee Master'!$A:$F,2,FALSE),"Vacant")</f>
        <v>Lao, Rebecca</v>
      </c>
      <c r="D53" s="98">
        <f>IF(INDEX('Position Master'!$A$7:$A$97,MATCH(A53,'Position Master'!$B$7:$B$97,0))=0,"Vacant",INDEX('Position Master'!$A$7:$A$97,MATCH(A53,'Position Master'!$B$7:$B$97,0)))</f>
        <v>5992705</v>
      </c>
      <c r="E53" s="156">
        <f ca="1">IFERROR(VLOOKUP(D53,'Employee Master'!A:F,5,FALSE),"")</f>
        <v>47227.207773976283</v>
      </c>
      <c r="F53" s="157" t="str">
        <f ca="1">IF(C53="Vacant","No",IF(AND(VLOOKUP(D53,'Employee Master'!A:F,6,FALSE)+360&lt;B$4,VLOOKUP(D53,'Employee Master'!A:F,6,FALSE)+360&lt;B47),"Yes","No"))</f>
        <v>Yes</v>
      </c>
      <c r="G53" s="156">
        <f ca="1">IF(C53="Vacant",VLOOKUP(A53,'Position Master'!B:D,3,FALSE),E53)*(1+IF(F53="Yes",F$8,0))</f>
        <v>48644.02400719557</v>
      </c>
      <c r="H53" s="125"/>
      <c r="I53" s="182" t="str">
        <f>IF('Budgeting Model'!I53="","",'Budgeting Model'!I53)</f>
        <v/>
      </c>
      <c r="J53" s="130">
        <f t="shared" ca="1" si="22"/>
        <v>50589.784967483392</v>
      </c>
      <c r="K53" s="149" t="str">
        <f>IF('Budgeting Model'!K53="","",'Budgeting Model'!K53)</f>
        <v/>
      </c>
      <c r="L53" s="127">
        <f t="shared" ca="1" si="1"/>
        <v>44743</v>
      </c>
      <c r="M53" s="149" t="str">
        <f>IF('Budgeting Model'!M53="","",'Budgeting Model'!M53)</f>
        <v/>
      </c>
      <c r="N53" s="127">
        <f ca="1">IF(M53="",IFERROR(VLOOKUP($D53,'Employee Master'!$A:$F,6,FALSE)+365,""),M53)</f>
        <v>44797</v>
      </c>
      <c r="O53" s="149">
        <f>IF('Budgeting Model'!O53="","",'Budgeting Model'!O53)</f>
        <v>44926</v>
      </c>
      <c r="P53" s="127">
        <f t="shared" si="13"/>
        <v>44926</v>
      </c>
      <c r="Q53" s="131">
        <f t="shared" ca="1" si="2"/>
        <v>38</v>
      </c>
      <c r="R53" s="131">
        <f t="shared" ca="1" si="3"/>
        <v>93</v>
      </c>
      <c r="S53" s="131">
        <f t="shared" ca="1" si="14"/>
        <v>131</v>
      </c>
      <c r="T53" s="158">
        <f t="shared" ca="1" si="15"/>
        <v>50025.365757628912</v>
      </c>
      <c r="U53" s="156">
        <f t="shared" ca="1" si="4"/>
        <v>25108.5169128329</v>
      </c>
      <c r="V53" s="130">
        <f t="shared" ca="1" si="5"/>
        <v>0</v>
      </c>
      <c r="W53" s="77"/>
      <c r="X53" s="149" t="str">
        <f>IF('Budgeting Model'!X53="","",'Budgeting Model'!X53)</f>
        <v/>
      </c>
      <c r="Y53" s="130">
        <f t="shared" ca="1" si="23"/>
        <v>50589.784967483392</v>
      </c>
      <c r="Z53" s="149" t="str">
        <f>IF('Budgeting Model'!Z53="","",'Budgeting Model'!Z53)</f>
        <v/>
      </c>
      <c r="AA53" s="127">
        <f t="shared" ca="1" si="7"/>
        <v>44743</v>
      </c>
      <c r="AB53" s="149" t="str">
        <f>IF('Budgeting Model'!AB53="","",'Budgeting Model'!AB53)</f>
        <v/>
      </c>
      <c r="AC53" s="127">
        <f ca="1">IF(AB53="",IFERROR(VLOOKUP($D53,'Employee Master'!$A:$F,6,FALSE)+365,""),AB53)</f>
        <v>44797</v>
      </c>
      <c r="AD53" s="149"/>
      <c r="AE53" s="127">
        <f t="shared" ca="1" si="16"/>
        <v>45107</v>
      </c>
      <c r="AF53" s="131">
        <f t="shared" ca="1" si="17"/>
        <v>38</v>
      </c>
      <c r="AG53" s="131">
        <f t="shared" ca="1" si="18"/>
        <v>223</v>
      </c>
      <c r="AH53" s="131">
        <f t="shared" ca="1" si="19"/>
        <v>261</v>
      </c>
      <c r="AI53" s="158">
        <f t="shared" ca="1" si="8"/>
        <v>50306.494099702024</v>
      </c>
      <c r="AJ53" s="156">
        <f t="shared" ca="1" si="9"/>
        <v>50306.494099702024</v>
      </c>
      <c r="AK53" s="130">
        <f t="shared" ca="1" si="21"/>
        <v>9497.6990935122085</v>
      </c>
      <c r="AL53" s="78"/>
      <c r="AM53" s="130">
        <f t="shared" ca="1" si="11"/>
        <v>281.12834207311244</v>
      </c>
      <c r="AN53" s="130">
        <f t="shared" ca="1" si="20"/>
        <v>24916.848844796012</v>
      </c>
      <c r="AO53" s="130">
        <f t="shared" ca="1" si="24"/>
        <v>25197.977186869124</v>
      </c>
      <c r="AP53" s="130">
        <f t="shared" ca="1" si="24"/>
        <v>9497.6990935122085</v>
      </c>
    </row>
    <row r="54" spans="1:42" ht="16.5" thickBot="1">
      <c r="A54" s="92" t="s">
        <v>112</v>
      </c>
      <c r="B54" s="124" t="str">
        <f>IFERROR(VLOOKUP($A54,'Position Master'!B:C,2,FALSE),"Missing")</f>
        <v>Dept 8</v>
      </c>
      <c r="C54" s="98" t="str">
        <f ca="1">IFERROR(VLOOKUP($D54,'Employee Master'!$A:$F,3,FALSE)&amp;", "&amp;VLOOKUP($D54,'Employee Master'!$A:$F,2,FALSE),"Vacant")</f>
        <v>Vacant</v>
      </c>
      <c r="D54" s="98" t="str">
        <f>IF(INDEX('Position Master'!$A$7:$A$97,MATCH(A54,'Position Master'!$B$7:$B$97,0))=0,"Vacant",INDEX('Position Master'!$A$7:$A$97,MATCH(A54,'Position Master'!$B$7:$B$97,0)))</f>
        <v>Vacant</v>
      </c>
      <c r="E54" s="156" t="str">
        <f ca="1">IFERROR(VLOOKUP(D54,'Employee Master'!A:F,5,FALSE),"")</f>
        <v/>
      </c>
      <c r="F54" s="157" t="str">
        <f ca="1">IF(C54="Vacant","No",IF(AND(VLOOKUP(D54,'Employee Master'!A:F,6,FALSE)+360&lt;B$4,VLOOKUP(D54,'Employee Master'!A:F,6,FALSE)+360&lt;B48),"Yes","No"))</f>
        <v>No</v>
      </c>
      <c r="G54" s="156">
        <f ca="1">IF(C54="Vacant",VLOOKUP(A54,'Position Master'!B:D,3,FALSE),E54)*(1+IF(F54="Yes",F$8,0))</f>
        <v>44280.91233617493</v>
      </c>
      <c r="H54" s="125"/>
      <c r="I54" s="182" t="str">
        <f>IF('Budgeting Model'!I54="","",'Budgeting Model'!I54)</f>
        <v/>
      </c>
      <c r="J54" s="130">
        <f t="shared" ca="1" si="22"/>
        <v>46052.148829621925</v>
      </c>
      <c r="K54" s="149" t="str">
        <f>IF('Budgeting Model'!K54="","",'Budgeting Model'!K54)</f>
        <v/>
      </c>
      <c r="L54" s="127">
        <f t="shared" ca="1" si="1"/>
        <v>44833</v>
      </c>
      <c r="M54" s="149" t="str">
        <f>IF('Budgeting Model'!M54="","",'Budgeting Model'!M54)</f>
        <v/>
      </c>
      <c r="N54" s="127" t="str">
        <f ca="1">IF(M54="",IFERROR(VLOOKUP($D54,'Employee Master'!$A:$F,6,FALSE)+365,""),M54)</f>
        <v/>
      </c>
      <c r="O54" s="149">
        <f>IF('Budgeting Model'!O54="","",'Budgeting Model'!O54)</f>
        <v>44927</v>
      </c>
      <c r="P54" s="127">
        <f t="shared" si="13"/>
        <v>44927</v>
      </c>
      <c r="Q54" s="131">
        <f t="shared" ca="1" si="2"/>
        <v>67</v>
      </c>
      <c r="R54" s="131">
        <f t="shared" ca="1" si="3"/>
        <v>0</v>
      </c>
      <c r="S54" s="131">
        <f t="shared" ca="1" si="14"/>
        <v>67</v>
      </c>
      <c r="T54" s="158">
        <f t="shared" ca="1" si="15"/>
        <v>44280.91233617493</v>
      </c>
      <c r="U54" s="156">
        <f t="shared" ca="1" si="4"/>
        <v>11367.130752964445</v>
      </c>
      <c r="V54" s="130">
        <f t="shared" ca="1" si="5"/>
        <v>0</v>
      </c>
      <c r="W54" s="77"/>
      <c r="X54" s="149" t="str">
        <f>IF('Budgeting Model'!X54="","",'Budgeting Model'!X54)</f>
        <v/>
      </c>
      <c r="Y54" s="130">
        <f t="shared" ca="1" si="23"/>
        <v>46052.148829621925</v>
      </c>
      <c r="Z54" s="149" t="str">
        <f>IF('Budgeting Model'!Z54="","",'Budgeting Model'!Z54)</f>
        <v/>
      </c>
      <c r="AA54" s="127">
        <f t="shared" ca="1" si="7"/>
        <v>44833</v>
      </c>
      <c r="AB54" s="149" t="str">
        <f>IF('Budgeting Model'!AB54="","",'Budgeting Model'!AB54)</f>
        <v/>
      </c>
      <c r="AC54" s="127" t="str">
        <f ca="1">IF(AB54="",IFERROR(VLOOKUP($D54,'Employee Master'!$A:$F,6,FALSE)+365,""),AB54)</f>
        <v/>
      </c>
      <c r="AD54" s="149"/>
      <c r="AE54" s="127">
        <f t="shared" ca="1" si="16"/>
        <v>45107</v>
      </c>
      <c r="AF54" s="131">
        <f t="shared" ca="1" si="17"/>
        <v>197</v>
      </c>
      <c r="AG54" s="131">
        <f t="shared" ca="1" si="18"/>
        <v>0</v>
      </c>
      <c r="AH54" s="131">
        <f t="shared" ca="1" si="19"/>
        <v>197</v>
      </c>
      <c r="AI54" s="158">
        <f t="shared" ca="1" si="8"/>
        <v>44280.91233617493</v>
      </c>
      <c r="AJ54" s="156">
        <f t="shared" ca="1" si="9"/>
        <v>33422.757587074564</v>
      </c>
      <c r="AK54" s="130">
        <f t="shared" ca="1" si="21"/>
        <v>33422.757587074564</v>
      </c>
      <c r="AL54" s="78"/>
      <c r="AM54" s="130">
        <f t="shared" ca="1" si="11"/>
        <v>0</v>
      </c>
      <c r="AN54" s="130">
        <f t="shared" ca="1" si="20"/>
        <v>22055.626834110117</v>
      </c>
      <c r="AO54" s="130">
        <f t="shared" ca="1" si="24"/>
        <v>22055.626834110117</v>
      </c>
      <c r="AP54" s="130">
        <f t="shared" ca="1" si="24"/>
        <v>33422.757587074564</v>
      </c>
    </row>
    <row r="55" spans="1:42" ht="16.5" thickBot="1">
      <c r="A55" s="92" t="s">
        <v>113</v>
      </c>
      <c r="B55" s="124" t="str">
        <f>IFERROR(VLOOKUP($A55,'Position Master'!B:C,2,FALSE),"Missing")</f>
        <v>Dept 14</v>
      </c>
      <c r="C55" s="98" t="str">
        <f ca="1">IFERROR(VLOOKUP($D55,'Employee Master'!$A:$F,3,FALSE)&amp;", "&amp;VLOOKUP($D55,'Employee Master'!$A:$F,2,FALSE),"Vacant")</f>
        <v>Lavi, Jose</v>
      </c>
      <c r="D55" s="98">
        <f>IF(INDEX('Position Master'!$A$7:$A$97,MATCH(A55,'Position Master'!$B$7:$B$97,0))=0,"Vacant",INDEX('Position Master'!$A$7:$A$97,MATCH(A55,'Position Master'!$B$7:$B$97,0)))</f>
        <v>6182382</v>
      </c>
      <c r="E55" s="156">
        <f ca="1">IFERROR(VLOOKUP(D55,'Employee Master'!A:F,5,FALSE),"")</f>
        <v>68558.35810588504</v>
      </c>
      <c r="F55" s="157" t="str">
        <f ca="1">IF(C55="Vacant","No",IF(AND(VLOOKUP(D55,'Employee Master'!A:F,6,FALSE)+360&lt;B$4,VLOOKUP(D55,'Employee Master'!A:F,6,FALSE)+360&lt;B49),"Yes","No"))</f>
        <v>Yes</v>
      </c>
      <c r="G55" s="156">
        <f ca="1">IF(C55="Vacant",VLOOKUP(A55,'Position Master'!B:D,3,FALSE),E55)*(1+IF(F55="Yes",F$8,0))</f>
        <v>70615.108849061595</v>
      </c>
      <c r="H55" s="125"/>
      <c r="I55" s="182" t="str">
        <f>IF('Budgeting Model'!I55="","",'Budgeting Model'!I55)</f>
        <v/>
      </c>
      <c r="J55" s="130">
        <f t="shared" ca="1" si="22"/>
        <v>73439.713203024061</v>
      </c>
      <c r="K55" s="149" t="str">
        <f>IF('Budgeting Model'!K55="","",'Budgeting Model'!K55)</f>
        <v/>
      </c>
      <c r="L55" s="127">
        <f t="shared" ca="1" si="1"/>
        <v>44743</v>
      </c>
      <c r="M55" s="149" t="str">
        <f>IF('Budgeting Model'!M55="","",'Budgeting Model'!M55)</f>
        <v/>
      </c>
      <c r="N55" s="127">
        <f ca="1">IF(M55="",IFERROR(VLOOKUP($D55,'Employee Master'!$A:$F,6,FALSE)+365,""),M55)</f>
        <v>45020</v>
      </c>
      <c r="O55" s="149" t="str">
        <f>IF('Budgeting Model'!O55="","",'Budgeting Model'!O55)</f>
        <v/>
      </c>
      <c r="P55" s="127">
        <f t="shared" ca="1" si="13"/>
        <v>45107</v>
      </c>
      <c r="Q55" s="131">
        <f t="shared" ca="1" si="2"/>
        <v>197</v>
      </c>
      <c r="R55" s="131">
        <f t="shared" ca="1" si="3"/>
        <v>64</v>
      </c>
      <c r="S55" s="131">
        <f t="shared" ca="1" si="14"/>
        <v>261</v>
      </c>
      <c r="T55" s="158">
        <f t="shared" ca="1" si="15"/>
        <v>71307.732138922118</v>
      </c>
      <c r="U55" s="156">
        <f t="shared" ca="1" si="4"/>
        <v>71307.732138922118</v>
      </c>
      <c r="V55" s="130">
        <f t="shared" ca="1" si="5"/>
        <v>13787.532363786127</v>
      </c>
      <c r="W55" s="77"/>
      <c r="X55" s="149" t="str">
        <f>IF('Budgeting Model'!X55="","",'Budgeting Model'!X55)</f>
        <v/>
      </c>
      <c r="Y55" s="130">
        <f t="shared" ca="1" si="23"/>
        <v>73439.713203024061</v>
      </c>
      <c r="Z55" s="149" t="str">
        <f>IF('Budgeting Model'!Z55="","",'Budgeting Model'!Z55)</f>
        <v/>
      </c>
      <c r="AA55" s="127">
        <f t="shared" ca="1" si="7"/>
        <v>44743</v>
      </c>
      <c r="AB55" s="149" t="str">
        <f>IF('Budgeting Model'!AB55="","",'Budgeting Model'!AB55)</f>
        <v/>
      </c>
      <c r="AC55" s="127">
        <f ca="1">IF(AB55="",IFERROR(VLOOKUP($D55,'Employee Master'!$A:$F,6,FALSE)+365,""),AB55)</f>
        <v>45020</v>
      </c>
      <c r="AD55" s="149"/>
      <c r="AE55" s="127">
        <f t="shared" ca="1" si="16"/>
        <v>45107</v>
      </c>
      <c r="AF55" s="131">
        <f t="shared" ca="1" si="17"/>
        <v>197</v>
      </c>
      <c r="AG55" s="131">
        <f t="shared" ca="1" si="18"/>
        <v>64</v>
      </c>
      <c r="AH55" s="131">
        <f t="shared" ca="1" si="19"/>
        <v>261</v>
      </c>
      <c r="AI55" s="158">
        <f t="shared" ca="1" si="8"/>
        <v>71307.732138922118</v>
      </c>
      <c r="AJ55" s="156">
        <f t="shared" ca="1" si="9"/>
        <v>71307.732138922118</v>
      </c>
      <c r="AK55" s="130">
        <f t="shared" ca="1" si="21"/>
        <v>13787.532363786127</v>
      </c>
      <c r="AL55" s="78"/>
      <c r="AM55" s="130">
        <f t="shared" ca="1" si="11"/>
        <v>0</v>
      </c>
      <c r="AN55" s="130">
        <f t="shared" ca="1" si="20"/>
        <v>0</v>
      </c>
      <c r="AO55" s="130">
        <f t="shared" ca="1" si="24"/>
        <v>0</v>
      </c>
      <c r="AP55" s="130">
        <f t="shared" ca="1" si="24"/>
        <v>0</v>
      </c>
    </row>
    <row r="56" spans="1:42" ht="16.5" thickBot="1">
      <c r="A56" s="92" t="s">
        <v>114</v>
      </c>
      <c r="B56" s="124" t="str">
        <f>IFERROR(VLOOKUP($A56,'Position Master'!B:C,2,FALSE),"Missing")</f>
        <v>Dept 5</v>
      </c>
      <c r="C56" s="98" t="str">
        <f ca="1">IFERROR(VLOOKUP($D56,'Employee Master'!$A:$F,3,FALSE)&amp;", "&amp;VLOOKUP($D56,'Employee Master'!$A:$F,2,FALSE),"Vacant")</f>
        <v>Lee, George</v>
      </c>
      <c r="D56" s="98">
        <f>IF(INDEX('Position Master'!$A$7:$A$97,MATCH(A56,'Position Master'!$B$7:$B$97,0))=0,"Vacant",INDEX('Position Master'!$A$7:$A$97,MATCH(A56,'Position Master'!$B$7:$B$97,0)))</f>
        <v>6191433</v>
      </c>
      <c r="E56" s="156">
        <f ca="1">IFERROR(VLOOKUP(D56,'Employee Master'!A:F,5,FALSE),"")</f>
        <v>79376.45668273553</v>
      </c>
      <c r="F56" s="157" t="str">
        <f ca="1">IF(C56="Vacant","No",IF(AND(VLOOKUP(D56,'Employee Master'!A:F,6,FALSE)+360&lt;B$4,VLOOKUP(D56,'Employee Master'!A:F,6,FALSE)+360&lt;B50),"Yes","No"))</f>
        <v>Yes</v>
      </c>
      <c r="G56" s="156">
        <f ca="1">IF(C56="Vacant",VLOOKUP(A56,'Position Master'!B:D,3,FALSE),E56)*(1+IF(F56="Yes",F$8,0))</f>
        <v>81757.750383217601</v>
      </c>
      <c r="H56" s="125"/>
      <c r="I56" s="182" t="str">
        <f>IF('Budgeting Model'!I56="","",'Budgeting Model'!I56)</f>
        <v/>
      </c>
      <c r="J56" s="130">
        <f t="shared" ca="1" si="22"/>
        <v>85028.060398546309</v>
      </c>
      <c r="K56" s="149" t="str">
        <f>IF('Budgeting Model'!K56="","",'Budgeting Model'!K56)</f>
        <v/>
      </c>
      <c r="L56" s="127">
        <f t="shared" ca="1" si="1"/>
        <v>44743</v>
      </c>
      <c r="M56" s="149" t="str">
        <f>IF('Budgeting Model'!M56="","",'Budgeting Model'!M56)</f>
        <v/>
      </c>
      <c r="N56" s="127">
        <f ca="1">IF(M56="",IFERROR(VLOOKUP($D56,'Employee Master'!$A:$F,6,FALSE)+365,""),M56)</f>
        <v>44848</v>
      </c>
      <c r="O56" s="149" t="str">
        <f>IF('Budgeting Model'!O56="","",'Budgeting Model'!O56)</f>
        <v/>
      </c>
      <c r="P56" s="127">
        <f t="shared" ca="1" si="13"/>
        <v>45107</v>
      </c>
      <c r="Q56" s="131">
        <f t="shared" ca="1" si="2"/>
        <v>75</v>
      </c>
      <c r="R56" s="131">
        <f t="shared" ca="1" si="3"/>
        <v>186</v>
      </c>
      <c r="S56" s="131">
        <f t="shared" ca="1" si="14"/>
        <v>261</v>
      </c>
      <c r="T56" s="158">
        <f t="shared" ca="1" si="15"/>
        <v>84088.316141267947</v>
      </c>
      <c r="U56" s="156">
        <f t="shared" ca="1" si="4"/>
        <v>84088.316141267947</v>
      </c>
      <c r="V56" s="130">
        <f t="shared" ca="1" si="5"/>
        <v>15963.122450301798</v>
      </c>
      <c r="W56" s="77"/>
      <c r="X56" s="149" t="str">
        <f>IF('Budgeting Model'!X56="","",'Budgeting Model'!X56)</f>
        <v/>
      </c>
      <c r="Y56" s="130">
        <f t="shared" ca="1" si="23"/>
        <v>85028.060398546309</v>
      </c>
      <c r="Z56" s="149" t="str">
        <f>IF('Budgeting Model'!Z56="","",'Budgeting Model'!Z56)</f>
        <v/>
      </c>
      <c r="AA56" s="127">
        <f t="shared" ca="1" si="7"/>
        <v>44743</v>
      </c>
      <c r="AB56" s="149" t="str">
        <f>IF('Budgeting Model'!AB56="","",'Budgeting Model'!AB56)</f>
        <v/>
      </c>
      <c r="AC56" s="127">
        <f ca="1">IF(AB56="",IFERROR(VLOOKUP($D56,'Employee Master'!$A:$F,6,FALSE)+365,""),AB56)</f>
        <v>44848</v>
      </c>
      <c r="AD56" s="149"/>
      <c r="AE56" s="127">
        <f t="shared" ca="1" si="16"/>
        <v>45107</v>
      </c>
      <c r="AF56" s="131">
        <f t="shared" ca="1" si="17"/>
        <v>75</v>
      </c>
      <c r="AG56" s="131">
        <f t="shared" ca="1" si="18"/>
        <v>186</v>
      </c>
      <c r="AH56" s="131">
        <f t="shared" ca="1" si="19"/>
        <v>261</v>
      </c>
      <c r="AI56" s="158">
        <f t="shared" ca="1" si="8"/>
        <v>84088.316141267947</v>
      </c>
      <c r="AJ56" s="156">
        <f t="shared" ca="1" si="9"/>
        <v>84088.316141267947</v>
      </c>
      <c r="AK56" s="130">
        <f t="shared" ca="1" si="21"/>
        <v>15963.122450301798</v>
      </c>
      <c r="AL56" s="78"/>
      <c r="AM56" s="130">
        <f t="shared" ca="1" si="11"/>
        <v>0</v>
      </c>
      <c r="AN56" s="130">
        <f t="shared" ca="1" si="20"/>
        <v>0</v>
      </c>
      <c r="AO56" s="130">
        <f t="shared" ca="1" si="24"/>
        <v>0</v>
      </c>
      <c r="AP56" s="130">
        <f t="shared" ca="1" si="24"/>
        <v>0</v>
      </c>
    </row>
    <row r="57" spans="1:42" ht="16.5" thickBot="1">
      <c r="A57" s="92" t="s">
        <v>115</v>
      </c>
      <c r="B57" s="124" t="str">
        <f>IFERROR(VLOOKUP($A57,'Position Master'!B:C,2,FALSE),"Missing")</f>
        <v>Dept 12</v>
      </c>
      <c r="C57" s="98" t="str">
        <f ca="1">IFERROR(VLOOKUP($D57,'Employee Master'!$A:$F,3,FALSE)&amp;", "&amp;VLOOKUP($D57,'Employee Master'!$A:$F,2,FALSE),"Vacant")</f>
        <v>Vacant</v>
      </c>
      <c r="D57" s="98" t="str">
        <f>IF(INDEX('Position Master'!$A$7:$A$97,MATCH(A57,'Position Master'!$B$7:$B$97,0))=0,"Vacant",INDEX('Position Master'!$A$7:$A$97,MATCH(A57,'Position Master'!$B$7:$B$97,0)))</f>
        <v>Vacant</v>
      </c>
      <c r="E57" s="156" t="str">
        <f ca="1">IFERROR(VLOOKUP(D57,'Employee Master'!A:F,5,FALSE),"")</f>
        <v/>
      </c>
      <c r="F57" s="157" t="str">
        <f ca="1">IF(C57="Vacant","No",IF(AND(VLOOKUP(D57,'Employee Master'!A:F,6,FALSE)+360&lt;B$4,VLOOKUP(D57,'Employee Master'!A:F,6,FALSE)+360&lt;B51),"Yes","No"))</f>
        <v>No</v>
      </c>
      <c r="G57" s="156">
        <f ca="1">IF(C57="Vacant",VLOOKUP(A57,'Position Master'!B:D,3,FALSE),E57)*(1+IF(F57="Yes",F$8,0))</f>
        <v>66397.974881596252</v>
      </c>
      <c r="H57" s="125"/>
      <c r="I57" s="182" t="str">
        <f>IF('Budgeting Model'!I57="","",'Budgeting Model'!I57)</f>
        <v/>
      </c>
      <c r="J57" s="130">
        <f t="shared" ca="1" si="22"/>
        <v>69053.893876860107</v>
      </c>
      <c r="K57" s="149" t="str">
        <f>IF('Budgeting Model'!K57="","",'Budgeting Model'!K57)</f>
        <v/>
      </c>
      <c r="L57" s="127">
        <f t="shared" ca="1" si="1"/>
        <v>44833</v>
      </c>
      <c r="M57" s="149" t="str">
        <f>IF('Budgeting Model'!M57="","",'Budgeting Model'!M57)</f>
        <v/>
      </c>
      <c r="N57" s="127" t="str">
        <f ca="1">IF(M57="",IFERROR(VLOOKUP($D57,'Employee Master'!$A:$F,6,FALSE)+365,""),M57)</f>
        <v/>
      </c>
      <c r="O57" s="149" t="str">
        <f>IF('Budgeting Model'!O57="","",'Budgeting Model'!O57)</f>
        <v/>
      </c>
      <c r="P57" s="127">
        <f t="shared" ca="1" si="13"/>
        <v>45107</v>
      </c>
      <c r="Q57" s="131">
        <f t="shared" ca="1" si="2"/>
        <v>197</v>
      </c>
      <c r="R57" s="131">
        <f t="shared" ca="1" si="3"/>
        <v>0</v>
      </c>
      <c r="S57" s="131">
        <f t="shared" ca="1" si="14"/>
        <v>197</v>
      </c>
      <c r="T57" s="158">
        <f t="shared" ca="1" si="15"/>
        <v>66397.974881596252</v>
      </c>
      <c r="U57" s="156">
        <f t="shared" ca="1" si="4"/>
        <v>50116.479125189508</v>
      </c>
      <c r="V57" s="130">
        <f t="shared" ca="1" si="5"/>
        <v>50116.479125189508</v>
      </c>
      <c r="W57" s="77"/>
      <c r="X57" s="149" t="str">
        <f>IF('Budgeting Model'!X57="","",'Budgeting Model'!X57)</f>
        <v/>
      </c>
      <c r="Y57" s="130">
        <f t="shared" ca="1" si="23"/>
        <v>69053.893876860107</v>
      </c>
      <c r="Z57" s="149" t="str">
        <f>IF('Budgeting Model'!Z57="","",'Budgeting Model'!Z57)</f>
        <v/>
      </c>
      <c r="AA57" s="127">
        <f t="shared" ca="1" si="7"/>
        <v>44833</v>
      </c>
      <c r="AB57" s="149" t="str">
        <f>IF('Budgeting Model'!AB57="","",'Budgeting Model'!AB57)</f>
        <v/>
      </c>
      <c r="AC57" s="127" t="str">
        <f ca="1">IF(AB57="",IFERROR(VLOOKUP($D57,'Employee Master'!$A:$F,6,FALSE)+365,""),AB57)</f>
        <v/>
      </c>
      <c r="AD57" s="149"/>
      <c r="AE57" s="127">
        <f t="shared" ca="1" si="16"/>
        <v>45107</v>
      </c>
      <c r="AF57" s="131">
        <f t="shared" ca="1" si="17"/>
        <v>197</v>
      </c>
      <c r="AG57" s="131">
        <f t="shared" ca="1" si="18"/>
        <v>0</v>
      </c>
      <c r="AH57" s="131">
        <f t="shared" ca="1" si="19"/>
        <v>197</v>
      </c>
      <c r="AI57" s="158">
        <f t="shared" ca="1" si="8"/>
        <v>66397.974881596252</v>
      </c>
      <c r="AJ57" s="156">
        <f t="shared" ca="1" si="9"/>
        <v>50116.479125189508</v>
      </c>
      <c r="AK57" s="130">
        <f t="shared" ca="1" si="21"/>
        <v>50116.479125189508</v>
      </c>
      <c r="AL57" s="78"/>
      <c r="AM57" s="130">
        <f t="shared" ca="1" si="11"/>
        <v>0</v>
      </c>
      <c r="AN57" s="130">
        <f t="shared" ca="1" si="20"/>
        <v>0</v>
      </c>
      <c r="AO57" s="130">
        <f t="shared" ca="1" si="24"/>
        <v>0</v>
      </c>
      <c r="AP57" s="130">
        <f t="shared" ca="1" si="24"/>
        <v>0</v>
      </c>
    </row>
    <row r="58" spans="1:42" ht="16.5" thickBot="1">
      <c r="A58" s="92" t="s">
        <v>116</v>
      </c>
      <c r="B58" s="124" t="str">
        <f>IFERROR(VLOOKUP($A58,'Position Master'!B:C,2,FALSE),"Missing")</f>
        <v>Dept 4</v>
      </c>
      <c r="C58" s="98" t="str">
        <f ca="1">IFERROR(VLOOKUP($D58,'Employee Master'!$A:$F,3,FALSE)&amp;", "&amp;VLOOKUP($D58,'Employee Master'!$A:$F,2,FALSE),"Vacant")</f>
        <v>Lei, Wei Bin</v>
      </c>
      <c r="D58" s="98">
        <f>IF(INDEX('Position Master'!$A$7:$A$97,MATCH(A58,'Position Master'!$B$7:$B$97,0))=0,"Vacant",INDEX('Position Master'!$A$7:$A$97,MATCH(A58,'Position Master'!$B$7:$B$97,0)))</f>
        <v>6349261</v>
      </c>
      <c r="E58" s="156">
        <f ca="1">IFERROR(VLOOKUP(D58,'Employee Master'!A:F,5,FALSE),"")</f>
        <v>68262.60991382091</v>
      </c>
      <c r="F58" s="157" t="str">
        <f ca="1">IF(C58="Vacant","No",IF(AND(VLOOKUP(D58,'Employee Master'!A:F,6,FALSE)+360&lt;B$4,VLOOKUP(D58,'Employee Master'!A:F,6,FALSE)+360&lt;B52),"Yes","No"))</f>
        <v>Yes</v>
      </c>
      <c r="G58" s="156">
        <f ca="1">IF(C58="Vacant",VLOOKUP(A58,'Position Master'!B:D,3,FALSE),E58)*(1+IF(F58="Yes",F$8,0))</f>
        <v>70310.488211235541</v>
      </c>
      <c r="H58" s="125"/>
      <c r="I58" s="182" t="str">
        <f>IF('Budgeting Model'!I58="","",'Budgeting Model'!I58)</f>
        <v/>
      </c>
      <c r="J58" s="130">
        <f t="shared" ca="1" si="22"/>
        <v>73122.907739684961</v>
      </c>
      <c r="K58" s="149" t="str">
        <f>IF('Budgeting Model'!K58="","",'Budgeting Model'!K58)</f>
        <v/>
      </c>
      <c r="L58" s="127">
        <f t="shared" ca="1" si="1"/>
        <v>44743</v>
      </c>
      <c r="M58" s="149" t="str">
        <f>IF('Budgeting Model'!M58="","",'Budgeting Model'!M58)</f>
        <v/>
      </c>
      <c r="N58" s="127">
        <f ca="1">IF(M58="",IFERROR(VLOOKUP($D58,'Employee Master'!$A:$F,6,FALSE)+365,""),M58)</f>
        <v>44757</v>
      </c>
      <c r="O58" s="149">
        <f>IF('Budgeting Model'!O58="","",'Budgeting Model'!O58)</f>
        <v>44926</v>
      </c>
      <c r="P58" s="127">
        <f t="shared" si="13"/>
        <v>44926</v>
      </c>
      <c r="Q58" s="131">
        <f t="shared" ca="1" si="2"/>
        <v>10</v>
      </c>
      <c r="R58" s="131">
        <f t="shared" ca="1" si="3"/>
        <v>121</v>
      </c>
      <c r="S58" s="131">
        <f t="shared" ca="1" si="14"/>
        <v>131</v>
      </c>
      <c r="T58" s="158">
        <f t="shared" ca="1" si="15"/>
        <v>72908.219226062851</v>
      </c>
      <c r="U58" s="156">
        <f t="shared" ca="1" si="4"/>
        <v>36593.780531089025</v>
      </c>
      <c r="V58" s="130">
        <f t="shared" ca="1" si="5"/>
        <v>0</v>
      </c>
      <c r="W58" s="77"/>
      <c r="X58" s="149" t="str">
        <f>IF('Budgeting Model'!X58="","",'Budgeting Model'!X58)</f>
        <v/>
      </c>
      <c r="Y58" s="130">
        <f t="shared" ca="1" si="23"/>
        <v>73122.907739684961</v>
      </c>
      <c r="Z58" s="149" t="str">
        <f>IF('Budgeting Model'!Z58="","",'Budgeting Model'!Z58)</f>
        <v/>
      </c>
      <c r="AA58" s="127">
        <f t="shared" ca="1" si="7"/>
        <v>44743</v>
      </c>
      <c r="AB58" s="149" t="str">
        <f>IF('Budgeting Model'!AB58="","",'Budgeting Model'!AB58)</f>
        <v/>
      </c>
      <c r="AC58" s="127">
        <f ca="1">IF(AB58="",IFERROR(VLOOKUP($D58,'Employee Master'!$A:$F,6,FALSE)+365,""),AB58)</f>
        <v>44757</v>
      </c>
      <c r="AD58" s="149"/>
      <c r="AE58" s="127">
        <f t="shared" ca="1" si="16"/>
        <v>45107</v>
      </c>
      <c r="AF58" s="131">
        <f t="shared" ca="1" si="17"/>
        <v>10</v>
      </c>
      <c r="AG58" s="131">
        <f t="shared" ca="1" si="18"/>
        <v>251</v>
      </c>
      <c r="AH58" s="131">
        <f t="shared" ca="1" si="19"/>
        <v>261</v>
      </c>
      <c r="AI58" s="158">
        <f t="shared" ca="1" si="8"/>
        <v>73015.152202196492</v>
      </c>
      <c r="AJ58" s="156">
        <f t="shared" ca="1" si="9"/>
        <v>73015.152202196492</v>
      </c>
      <c r="AK58" s="130">
        <f t="shared" ca="1" si="21"/>
        <v>13728.055476032809</v>
      </c>
      <c r="AL58" s="78"/>
      <c r="AM58" s="130">
        <f t="shared" ca="1" si="11"/>
        <v>106.9329761336412</v>
      </c>
      <c r="AN58" s="130">
        <f t="shared" ca="1" si="20"/>
        <v>36314.438694973825</v>
      </c>
      <c r="AO58" s="130">
        <f t="shared" ca="1" si="24"/>
        <v>36421.371671107467</v>
      </c>
      <c r="AP58" s="130">
        <f t="shared" ca="1" si="24"/>
        <v>13728.055476032809</v>
      </c>
    </row>
    <row r="59" spans="1:42" ht="16.5" thickBot="1">
      <c r="A59" s="92" t="s">
        <v>117</v>
      </c>
      <c r="B59" s="124" t="str">
        <f>IFERROR(VLOOKUP($A59,'Position Master'!B:C,2,FALSE),"Missing")</f>
        <v>Dept 7</v>
      </c>
      <c r="C59" s="98" t="str">
        <f ca="1">IFERROR(VLOOKUP($D59,'Employee Master'!$A:$F,3,FALSE)&amp;", "&amp;VLOOKUP($D59,'Employee Master'!$A:$F,2,FALSE),"Vacant")</f>
        <v>Vacant</v>
      </c>
      <c r="D59" s="98" t="str">
        <f>IF(INDEX('Position Master'!$A$7:$A$97,MATCH(A59,'Position Master'!$B$7:$B$97,0))=0,"Vacant",INDEX('Position Master'!$A$7:$A$97,MATCH(A59,'Position Master'!$B$7:$B$97,0)))</f>
        <v>Vacant</v>
      </c>
      <c r="E59" s="156" t="str">
        <f ca="1">IFERROR(VLOOKUP(D59,'Employee Master'!A:F,5,FALSE),"")</f>
        <v/>
      </c>
      <c r="F59" s="157" t="str">
        <f ca="1">IF(C59="Vacant","No",IF(AND(VLOOKUP(D59,'Employee Master'!A:F,6,FALSE)+360&lt;B$4,VLOOKUP(D59,'Employee Master'!A:F,6,FALSE)+360&lt;B53),"Yes","No"))</f>
        <v>No</v>
      </c>
      <c r="G59" s="156">
        <f ca="1">IF(C59="Vacant",VLOOKUP(A59,'Position Master'!B:D,3,FALSE),E59)*(1+IF(F59="Yes",F$8,0))</f>
        <v>86380.567725529385</v>
      </c>
      <c r="H59" s="125"/>
      <c r="I59" s="182" t="str">
        <f>IF('Budgeting Model'!I59="","",'Budgeting Model'!I59)</f>
        <v/>
      </c>
      <c r="J59" s="130">
        <f t="shared" ca="1" si="22"/>
        <v>89835.790434550567</v>
      </c>
      <c r="K59" s="149" t="str">
        <f>IF('Budgeting Model'!K59="","",'Budgeting Model'!K59)</f>
        <v/>
      </c>
      <c r="L59" s="127">
        <f t="shared" ca="1" si="1"/>
        <v>44833</v>
      </c>
      <c r="M59" s="149" t="str">
        <f>IF('Budgeting Model'!M59="","",'Budgeting Model'!M59)</f>
        <v/>
      </c>
      <c r="N59" s="127" t="str">
        <f ca="1">IF(M59="",IFERROR(VLOOKUP($D59,'Employee Master'!$A:$F,6,FALSE)+365,""),M59)</f>
        <v/>
      </c>
      <c r="O59" s="149" t="str">
        <f>IF('Budgeting Model'!O59="","",'Budgeting Model'!O59)</f>
        <v/>
      </c>
      <c r="P59" s="127">
        <f t="shared" ca="1" si="13"/>
        <v>45107</v>
      </c>
      <c r="Q59" s="131">
        <f t="shared" ca="1" si="2"/>
        <v>197</v>
      </c>
      <c r="R59" s="131">
        <f t="shared" ca="1" si="3"/>
        <v>0</v>
      </c>
      <c r="S59" s="131">
        <f t="shared" ca="1" si="14"/>
        <v>197</v>
      </c>
      <c r="T59" s="158">
        <f t="shared" ca="1" si="15"/>
        <v>86380.567725529399</v>
      </c>
      <c r="U59" s="156">
        <f t="shared" ca="1" si="4"/>
        <v>65199.12583114671</v>
      </c>
      <c r="V59" s="130">
        <f t="shared" ca="1" si="5"/>
        <v>65199.12583114671</v>
      </c>
      <c r="W59" s="77"/>
      <c r="X59" s="149" t="str">
        <f>IF('Budgeting Model'!X59="","",'Budgeting Model'!X59)</f>
        <v/>
      </c>
      <c r="Y59" s="130">
        <f t="shared" ca="1" si="23"/>
        <v>89835.790434550567</v>
      </c>
      <c r="Z59" s="149" t="str">
        <f>IF('Budgeting Model'!Z59="","",'Budgeting Model'!Z59)</f>
        <v/>
      </c>
      <c r="AA59" s="127">
        <f t="shared" ca="1" si="7"/>
        <v>44833</v>
      </c>
      <c r="AB59" s="149" t="str">
        <f>IF('Budgeting Model'!AB59="","",'Budgeting Model'!AB59)</f>
        <v/>
      </c>
      <c r="AC59" s="127" t="str">
        <f ca="1">IF(AB59="",IFERROR(VLOOKUP($D59,'Employee Master'!$A:$F,6,FALSE)+365,""),AB59)</f>
        <v/>
      </c>
      <c r="AD59" s="149"/>
      <c r="AE59" s="127">
        <f t="shared" ca="1" si="16"/>
        <v>45107</v>
      </c>
      <c r="AF59" s="131">
        <f t="shared" ca="1" si="17"/>
        <v>197</v>
      </c>
      <c r="AG59" s="131">
        <f t="shared" ca="1" si="18"/>
        <v>0</v>
      </c>
      <c r="AH59" s="131">
        <f t="shared" ca="1" si="19"/>
        <v>197</v>
      </c>
      <c r="AI59" s="158">
        <f t="shared" ca="1" si="8"/>
        <v>86380.567725529399</v>
      </c>
      <c r="AJ59" s="156">
        <f t="shared" ca="1" si="9"/>
        <v>65199.12583114671</v>
      </c>
      <c r="AK59" s="130">
        <f t="shared" ca="1" si="21"/>
        <v>65199.12583114671</v>
      </c>
      <c r="AL59" s="78"/>
      <c r="AM59" s="130">
        <f t="shared" ca="1" si="11"/>
        <v>0</v>
      </c>
      <c r="AN59" s="130">
        <f t="shared" ca="1" si="20"/>
        <v>0</v>
      </c>
      <c r="AO59" s="130">
        <f t="shared" ca="1" si="24"/>
        <v>0</v>
      </c>
      <c r="AP59" s="130">
        <f t="shared" ca="1" si="24"/>
        <v>0</v>
      </c>
    </row>
    <row r="60" spans="1:42" ht="16.5" thickBot="1">
      <c r="A60" s="92" t="s">
        <v>118</v>
      </c>
      <c r="B60" s="124" t="str">
        <f>IFERROR(VLOOKUP($A60,'Position Master'!B:C,2,FALSE),"Missing")</f>
        <v>Dept 3</v>
      </c>
      <c r="C60" s="98" t="str">
        <f ca="1">IFERROR(VLOOKUP($D60,'Employee Master'!$A:$F,3,FALSE)&amp;", "&amp;VLOOKUP($D60,'Employee Master'!$A:$F,2,FALSE),"Vacant")</f>
        <v>Leung, Andres</v>
      </c>
      <c r="D60" s="98">
        <f>IF(INDEX('Position Master'!$A$7:$A$97,MATCH(A60,'Position Master'!$B$7:$B$97,0))=0,"Vacant",INDEX('Position Master'!$A$7:$A$97,MATCH(A60,'Position Master'!$B$7:$B$97,0)))</f>
        <v>6540916</v>
      </c>
      <c r="E60" s="156">
        <f ca="1">IFERROR(VLOOKUP(D60,'Employee Master'!A:F,5,FALSE),"")</f>
        <v>69912.163925211236</v>
      </c>
      <c r="F60" s="157" t="str">
        <f ca="1">IF(C60="Vacant","No",IF(AND(VLOOKUP(D60,'Employee Master'!A:F,6,FALSE)+360&lt;B$4,VLOOKUP(D60,'Employee Master'!A:F,6,FALSE)+360&lt;B54),"Yes","No"))</f>
        <v>Yes</v>
      </c>
      <c r="G60" s="156">
        <f ca="1">IF(C60="Vacant",VLOOKUP(A60,'Position Master'!B:D,3,FALSE),E60)*(1+IF(F60="Yes",F$8,0))</f>
        <v>72009.528842967571</v>
      </c>
      <c r="H60" s="125"/>
      <c r="I60" s="182" t="str">
        <f>IF('Budgeting Model'!I60="","",'Budgeting Model'!I60)</f>
        <v/>
      </c>
      <c r="J60" s="130">
        <f t="shared" ca="1" si="22"/>
        <v>74889.90999668627</v>
      </c>
      <c r="K60" s="149" t="str">
        <f>IF('Budgeting Model'!K60="","",'Budgeting Model'!K60)</f>
        <v/>
      </c>
      <c r="L60" s="127">
        <f t="shared" ca="1" si="1"/>
        <v>44743</v>
      </c>
      <c r="M60" s="149" t="str">
        <f>IF('Budgeting Model'!M60="","",'Budgeting Model'!M60)</f>
        <v/>
      </c>
      <c r="N60" s="127">
        <f ca="1">IF(M60="",IFERROR(VLOOKUP($D60,'Employee Master'!$A:$F,6,FALSE)+365,""),M60)</f>
        <v>44812</v>
      </c>
      <c r="O60" s="149" t="str">
        <f>IF('Budgeting Model'!O60="","",'Budgeting Model'!O60)</f>
        <v/>
      </c>
      <c r="P60" s="127">
        <f t="shared" ca="1" si="13"/>
        <v>45107</v>
      </c>
      <c r="Q60" s="131">
        <f t="shared" ca="1" si="2"/>
        <v>49</v>
      </c>
      <c r="R60" s="131">
        <f t="shared" ca="1" si="3"/>
        <v>212</v>
      </c>
      <c r="S60" s="131">
        <f t="shared" ca="1" si="14"/>
        <v>261</v>
      </c>
      <c r="T60" s="158">
        <f t="shared" ca="1" si="15"/>
        <v>74349.148783919154</v>
      </c>
      <c r="U60" s="156">
        <f t="shared" ca="1" si="4"/>
        <v>74349.148783919154</v>
      </c>
      <c r="V60" s="130">
        <f t="shared" ca="1" si="5"/>
        <v>14059.791531944933</v>
      </c>
      <c r="W60" s="77"/>
      <c r="X60" s="149" t="str">
        <f>IF('Budgeting Model'!X60="","",'Budgeting Model'!X60)</f>
        <v/>
      </c>
      <c r="Y60" s="130">
        <f t="shared" ca="1" si="23"/>
        <v>74889.90999668627</v>
      </c>
      <c r="Z60" s="149" t="str">
        <f>IF('Budgeting Model'!Z60="","",'Budgeting Model'!Z60)</f>
        <v/>
      </c>
      <c r="AA60" s="127">
        <f t="shared" ca="1" si="7"/>
        <v>44743</v>
      </c>
      <c r="AB60" s="149" t="str">
        <f>IF('Budgeting Model'!AB60="","",'Budgeting Model'!AB60)</f>
        <v/>
      </c>
      <c r="AC60" s="127">
        <f ca="1">IF(AB60="",IFERROR(VLOOKUP($D60,'Employee Master'!$A:$F,6,FALSE)+365,""),AB60)</f>
        <v>44812</v>
      </c>
      <c r="AD60" s="149"/>
      <c r="AE60" s="127">
        <f t="shared" ca="1" si="16"/>
        <v>45107</v>
      </c>
      <c r="AF60" s="131">
        <f t="shared" ca="1" si="17"/>
        <v>49</v>
      </c>
      <c r="AG60" s="131">
        <f t="shared" ca="1" si="18"/>
        <v>212</v>
      </c>
      <c r="AH60" s="131">
        <f t="shared" ca="1" si="19"/>
        <v>261</v>
      </c>
      <c r="AI60" s="158">
        <f t="shared" ca="1" si="8"/>
        <v>74349.148783919154</v>
      </c>
      <c r="AJ60" s="156">
        <f t="shared" ca="1" si="9"/>
        <v>74349.148783919154</v>
      </c>
      <c r="AK60" s="130">
        <f t="shared" ca="1" si="21"/>
        <v>14059.791531944933</v>
      </c>
      <c r="AL60" s="78"/>
      <c r="AM60" s="130">
        <f t="shared" ca="1" si="11"/>
        <v>0</v>
      </c>
      <c r="AN60" s="130">
        <f t="shared" ca="1" si="20"/>
        <v>0</v>
      </c>
      <c r="AO60" s="130">
        <f t="shared" ca="1" si="24"/>
        <v>0</v>
      </c>
      <c r="AP60" s="130">
        <f t="shared" ca="1" si="24"/>
        <v>0</v>
      </c>
    </row>
    <row r="61" spans="1:42" ht="16.5" thickBot="1">
      <c r="A61" s="92" t="s">
        <v>119</v>
      </c>
      <c r="B61" s="124" t="str">
        <f>IFERROR(VLOOKUP($A61,'Position Master'!B:C,2,FALSE),"Missing")</f>
        <v>Dept 11</v>
      </c>
      <c r="C61" s="98" t="str">
        <f ca="1">IFERROR(VLOOKUP($D61,'Employee Master'!$A:$F,3,FALSE)&amp;", "&amp;VLOOKUP($D61,'Employee Master'!$A:$F,2,FALSE),"Vacant")</f>
        <v>Li, Ndeye</v>
      </c>
      <c r="D61" s="98">
        <f>IF(INDEX('Position Master'!$A$7:$A$97,MATCH(A61,'Position Master'!$B$7:$B$97,0))=0,"Vacant",INDEX('Position Master'!$A$7:$A$97,MATCH(A61,'Position Master'!$B$7:$B$97,0)))</f>
        <v>6584356</v>
      </c>
      <c r="E61" s="156">
        <f ca="1">IFERROR(VLOOKUP(D61,'Employee Master'!A:F,5,FALSE),"")</f>
        <v>65677.255370302213</v>
      </c>
      <c r="F61" s="157" t="str">
        <f ca="1">IF(C61="Vacant","No",IF(AND(VLOOKUP(D61,'Employee Master'!A:F,6,FALSE)+360&lt;B$4,VLOOKUP(D61,'Employee Master'!A:F,6,FALSE)+360&lt;B55),"Yes","No"))</f>
        <v>Yes</v>
      </c>
      <c r="G61" s="156">
        <f ca="1">IF(C61="Vacant",VLOOKUP(A61,'Position Master'!B:D,3,FALSE),E61)*(1+IF(F61="Yes",F$8,0))</f>
        <v>67647.573031411288</v>
      </c>
      <c r="H61" s="125"/>
      <c r="I61" s="182" t="str">
        <f>IF('Budgeting Model'!I61="","",'Budgeting Model'!I61)</f>
        <v/>
      </c>
      <c r="J61" s="130">
        <f t="shared" ca="1" si="22"/>
        <v>70353.475952667737</v>
      </c>
      <c r="K61" s="149" t="str">
        <f>IF('Budgeting Model'!K61="","",'Budgeting Model'!K61)</f>
        <v/>
      </c>
      <c r="L61" s="127">
        <f t="shared" ca="1" si="1"/>
        <v>44743</v>
      </c>
      <c r="M61" s="149" t="str">
        <f>IF('Budgeting Model'!M61="","",'Budgeting Model'!M61)</f>
        <v/>
      </c>
      <c r="N61" s="127">
        <f ca="1">IF(M61="",IFERROR(VLOOKUP($D61,'Employee Master'!$A:$F,6,FALSE)+365,""),M61)</f>
        <v>44779</v>
      </c>
      <c r="O61" s="149">
        <f>IF('Budgeting Model'!O61="","",'Budgeting Model'!O61)</f>
        <v>44926</v>
      </c>
      <c r="P61" s="127">
        <f t="shared" si="13"/>
        <v>44926</v>
      </c>
      <c r="Q61" s="131">
        <f t="shared" ca="1" si="2"/>
        <v>26</v>
      </c>
      <c r="R61" s="131">
        <f t="shared" ca="1" si="3"/>
        <v>105</v>
      </c>
      <c r="S61" s="131">
        <f t="shared" ca="1" si="14"/>
        <v>131</v>
      </c>
      <c r="T61" s="158">
        <f t="shared" ca="1" si="15"/>
        <v>69816.426517914544</v>
      </c>
      <c r="U61" s="156">
        <f t="shared" ca="1" si="4"/>
        <v>35041.961202478182</v>
      </c>
      <c r="V61" s="130">
        <f t="shared" ca="1" si="5"/>
        <v>0</v>
      </c>
      <c r="W61" s="77"/>
      <c r="X61" s="149" t="str">
        <f>IF('Budgeting Model'!X61="","",'Budgeting Model'!X61)</f>
        <v/>
      </c>
      <c r="Y61" s="130">
        <f t="shared" ca="1" si="23"/>
        <v>70353.475952667737</v>
      </c>
      <c r="Z61" s="149" t="str">
        <f>IF('Budgeting Model'!Z61="","",'Budgeting Model'!Z61)</f>
        <v/>
      </c>
      <c r="AA61" s="127">
        <f t="shared" ca="1" si="7"/>
        <v>44743</v>
      </c>
      <c r="AB61" s="149" t="str">
        <f>IF('Budgeting Model'!AB61="","",'Budgeting Model'!AB61)</f>
        <v/>
      </c>
      <c r="AC61" s="127">
        <f ca="1">IF(AB61="",IFERROR(VLOOKUP($D61,'Employee Master'!$A:$F,6,FALSE)+365,""),AB61)</f>
        <v>44779</v>
      </c>
      <c r="AD61" s="149"/>
      <c r="AE61" s="127">
        <f t="shared" ca="1" si="16"/>
        <v>45107</v>
      </c>
      <c r="AF61" s="131">
        <f t="shared" ca="1" si="17"/>
        <v>26</v>
      </c>
      <c r="AG61" s="131">
        <f t="shared" ca="1" si="18"/>
        <v>235</v>
      </c>
      <c r="AH61" s="131">
        <f t="shared" ca="1" si="19"/>
        <v>261</v>
      </c>
      <c r="AI61" s="158">
        <f t="shared" ca="1" si="8"/>
        <v>70083.922404956364</v>
      </c>
      <c r="AJ61" s="156">
        <f t="shared" ca="1" si="9"/>
        <v>70083.922404956364</v>
      </c>
      <c r="AK61" s="130">
        <f t="shared" ca="1" si="21"/>
        <v>13208.123837857162</v>
      </c>
      <c r="AL61" s="78"/>
      <c r="AM61" s="130">
        <f t="shared" ca="1" si="11"/>
        <v>267.49588704181951</v>
      </c>
      <c r="AN61" s="130">
        <f t="shared" ca="1" si="20"/>
        <v>34774.465315436362</v>
      </c>
      <c r="AO61" s="130">
        <f t="shared" ca="1" si="24"/>
        <v>35041.961202478182</v>
      </c>
      <c r="AP61" s="130">
        <f t="shared" ca="1" si="24"/>
        <v>13208.123837857162</v>
      </c>
    </row>
    <row r="62" spans="1:42" ht="16.5" thickBot="1">
      <c r="A62" s="92" t="s">
        <v>120</v>
      </c>
      <c r="B62" s="124" t="str">
        <f>IFERROR(VLOOKUP($A62,'Position Master'!B:C,2,FALSE),"Missing")</f>
        <v>Dept 6</v>
      </c>
      <c r="C62" s="98" t="str">
        <f ca="1">IFERROR(VLOOKUP($D62,'Employee Master'!$A:$F,3,FALSE)&amp;", "&amp;VLOOKUP($D62,'Employee Master'!$A:$F,2,FALSE),"Vacant")</f>
        <v>Vacant</v>
      </c>
      <c r="D62" s="98" t="str">
        <f>IF(INDEX('Position Master'!$A$7:$A$97,MATCH(A62,'Position Master'!$B$7:$B$97,0))=0,"Vacant",INDEX('Position Master'!$A$7:$A$97,MATCH(A62,'Position Master'!$B$7:$B$97,0)))</f>
        <v>Vacant</v>
      </c>
      <c r="E62" s="156" t="str">
        <f ca="1">IFERROR(VLOOKUP(D62,'Employee Master'!A:F,5,FALSE),"")</f>
        <v/>
      </c>
      <c r="F62" s="157" t="str">
        <f ca="1">IF(C62="Vacant","No",IF(AND(VLOOKUP(D62,'Employee Master'!A:F,6,FALSE)+360&lt;B$4,VLOOKUP(D62,'Employee Master'!A:F,6,FALSE)+360&lt;B56),"Yes","No"))</f>
        <v>No</v>
      </c>
      <c r="G62" s="156">
        <f ca="1">IF(C62="Vacant",VLOOKUP(A62,'Position Master'!B:D,3,FALSE),E62)*(1+IF(F62="Yes",F$8,0))</f>
        <v>95070.662689154677</v>
      </c>
      <c r="H62" s="125"/>
      <c r="I62" s="182" t="str">
        <f>IF('Budgeting Model'!I62="","",'Budgeting Model'!I62)</f>
        <v/>
      </c>
      <c r="J62" s="130">
        <f t="shared" ca="1" si="22"/>
        <v>98873.489196720868</v>
      </c>
      <c r="K62" s="149" t="str">
        <f>IF('Budgeting Model'!K62="","",'Budgeting Model'!K62)</f>
        <v/>
      </c>
      <c r="L62" s="127">
        <f t="shared" ca="1" si="1"/>
        <v>44833</v>
      </c>
      <c r="M62" s="149" t="str">
        <f>IF('Budgeting Model'!M62="","",'Budgeting Model'!M62)</f>
        <v/>
      </c>
      <c r="N62" s="127" t="str">
        <f ca="1">IF(M62="",IFERROR(VLOOKUP($D62,'Employee Master'!$A:$F,6,FALSE)+365,""),M62)</f>
        <v/>
      </c>
      <c r="O62" s="149" t="str">
        <f>IF('Budgeting Model'!O62="","",'Budgeting Model'!O62)</f>
        <v/>
      </c>
      <c r="P62" s="127">
        <f t="shared" ca="1" si="13"/>
        <v>45107</v>
      </c>
      <c r="Q62" s="131">
        <f t="shared" ca="1" si="2"/>
        <v>197</v>
      </c>
      <c r="R62" s="131">
        <f t="shared" ca="1" si="3"/>
        <v>0</v>
      </c>
      <c r="S62" s="131">
        <f t="shared" ca="1" si="14"/>
        <v>197</v>
      </c>
      <c r="T62" s="158">
        <f t="shared" ca="1" si="15"/>
        <v>95070.662689154677</v>
      </c>
      <c r="U62" s="156">
        <f t="shared" ca="1" si="4"/>
        <v>71758.31628261866</v>
      </c>
      <c r="V62" s="130">
        <f t="shared" ca="1" si="5"/>
        <v>71758.31628261866</v>
      </c>
      <c r="W62" s="77"/>
      <c r="X62" s="149" t="str">
        <f>IF('Budgeting Model'!X62="","",'Budgeting Model'!X62)</f>
        <v/>
      </c>
      <c r="Y62" s="130">
        <f t="shared" ca="1" si="23"/>
        <v>98873.489196720868</v>
      </c>
      <c r="Z62" s="149" t="str">
        <f>IF('Budgeting Model'!Z62="","",'Budgeting Model'!Z62)</f>
        <v/>
      </c>
      <c r="AA62" s="127">
        <f t="shared" ca="1" si="7"/>
        <v>44833</v>
      </c>
      <c r="AB62" s="149" t="str">
        <f>IF('Budgeting Model'!AB62="","",'Budgeting Model'!AB62)</f>
        <v/>
      </c>
      <c r="AC62" s="127" t="str">
        <f ca="1">IF(AB62="",IFERROR(VLOOKUP($D62,'Employee Master'!$A:$F,6,FALSE)+365,""),AB62)</f>
        <v/>
      </c>
      <c r="AD62" s="149"/>
      <c r="AE62" s="127">
        <f t="shared" ca="1" si="16"/>
        <v>45107</v>
      </c>
      <c r="AF62" s="131">
        <f t="shared" ca="1" si="17"/>
        <v>197</v>
      </c>
      <c r="AG62" s="131">
        <f t="shared" ca="1" si="18"/>
        <v>0</v>
      </c>
      <c r="AH62" s="131">
        <f t="shared" ca="1" si="19"/>
        <v>197</v>
      </c>
      <c r="AI62" s="158">
        <f t="shared" ca="1" si="8"/>
        <v>95070.662689154677</v>
      </c>
      <c r="AJ62" s="156">
        <f t="shared" ca="1" si="9"/>
        <v>71758.31628261866</v>
      </c>
      <c r="AK62" s="130">
        <f t="shared" ca="1" si="21"/>
        <v>71758.31628261866</v>
      </c>
      <c r="AL62" s="78"/>
      <c r="AM62" s="130">
        <f t="shared" ca="1" si="11"/>
        <v>0</v>
      </c>
      <c r="AN62" s="130">
        <f t="shared" ca="1" si="20"/>
        <v>0</v>
      </c>
      <c r="AO62" s="130">
        <f t="shared" ca="1" si="24"/>
        <v>0</v>
      </c>
      <c r="AP62" s="130">
        <f t="shared" ca="1" si="24"/>
        <v>0</v>
      </c>
    </row>
    <row r="63" spans="1:42" ht="16.5" thickBot="1">
      <c r="A63" s="92" t="s">
        <v>121</v>
      </c>
      <c r="B63" s="124" t="str">
        <f>IFERROR(VLOOKUP($A63,'Position Master'!B:C,2,FALSE),"Missing")</f>
        <v>Dept 9</v>
      </c>
      <c r="C63" s="98" t="str">
        <f ca="1">IFERROR(VLOOKUP($D63,'Employee Master'!$A:$F,3,FALSE)&amp;", "&amp;VLOOKUP($D63,'Employee Master'!$A:$F,2,FALSE),"Vacant")</f>
        <v>Lian, Fechar</v>
      </c>
      <c r="D63" s="98">
        <f>IF(INDEX('Position Master'!$A$7:$A$97,MATCH(A63,'Position Master'!$B$7:$B$97,0))=0,"Vacant",INDEX('Position Master'!$A$7:$A$97,MATCH(A63,'Position Master'!$B$7:$B$97,0)))</f>
        <v>6606821</v>
      </c>
      <c r="E63" s="156">
        <f ca="1">IFERROR(VLOOKUP(D63,'Employee Master'!A:F,5,FALSE),"")</f>
        <v>89622.015137677226</v>
      </c>
      <c r="F63" s="157" t="str">
        <f ca="1">IF(C63="Vacant","No",IF(AND(VLOOKUP(D63,'Employee Master'!A:F,6,FALSE)+360&lt;B$4,VLOOKUP(D63,'Employee Master'!A:F,6,FALSE)+360&lt;B57),"Yes","No"))</f>
        <v>Yes</v>
      </c>
      <c r="G63" s="156">
        <f ca="1">IF(C63="Vacant",VLOOKUP(A63,'Position Master'!B:D,3,FALSE),E63)*(1+IF(F63="Yes",F$8,0))</f>
        <v>92310.675591807551</v>
      </c>
      <c r="H63" s="125"/>
      <c r="I63" s="182" t="str">
        <f>IF('Budgeting Model'!I63="","",'Budgeting Model'!I63)</f>
        <v/>
      </c>
      <c r="J63" s="130">
        <f t="shared" ca="1" si="22"/>
        <v>96003.10261547986</v>
      </c>
      <c r="K63" s="149" t="str">
        <f>IF('Budgeting Model'!K63="","",'Budgeting Model'!K63)</f>
        <v/>
      </c>
      <c r="L63" s="127">
        <f t="shared" ca="1" si="1"/>
        <v>44743</v>
      </c>
      <c r="M63" s="149" t="str">
        <f>IF('Budgeting Model'!M63="","",'Budgeting Model'!M63)</f>
        <v/>
      </c>
      <c r="N63" s="127">
        <f ca="1">IF(M63="",IFERROR(VLOOKUP($D63,'Employee Master'!$A:$F,6,FALSE)+365,""),M63)</f>
        <v>45021</v>
      </c>
      <c r="O63" s="149" t="str">
        <f>IF('Budgeting Model'!O63="","",'Budgeting Model'!O63)</f>
        <v/>
      </c>
      <c r="P63" s="127">
        <f t="shared" ca="1" si="13"/>
        <v>45107</v>
      </c>
      <c r="Q63" s="131">
        <f t="shared" ca="1" si="2"/>
        <v>198</v>
      </c>
      <c r="R63" s="131">
        <f t="shared" ca="1" si="3"/>
        <v>63</v>
      </c>
      <c r="S63" s="131">
        <f t="shared" ca="1" si="14"/>
        <v>261</v>
      </c>
      <c r="T63" s="158">
        <f t="shared" ca="1" si="15"/>
        <v>93201.951080280181</v>
      </c>
      <c r="U63" s="156">
        <f t="shared" ca="1" si="4"/>
        <v>93201.951080280181</v>
      </c>
      <c r="V63" s="130">
        <f t="shared" ca="1" si="5"/>
        <v>18023.570989113075</v>
      </c>
      <c r="W63" s="77"/>
      <c r="X63" s="149" t="str">
        <f>IF('Budgeting Model'!X63="","",'Budgeting Model'!X63)</f>
        <v/>
      </c>
      <c r="Y63" s="130">
        <f t="shared" ca="1" si="23"/>
        <v>96003.10261547986</v>
      </c>
      <c r="Z63" s="149" t="str">
        <f>IF('Budgeting Model'!Z63="","",'Budgeting Model'!Z63)</f>
        <v/>
      </c>
      <c r="AA63" s="127">
        <f t="shared" ca="1" si="7"/>
        <v>44743</v>
      </c>
      <c r="AB63" s="149" t="str">
        <f>IF('Budgeting Model'!AB63="","",'Budgeting Model'!AB63)</f>
        <v/>
      </c>
      <c r="AC63" s="127">
        <f ca="1">IF(AB63="",IFERROR(VLOOKUP($D63,'Employee Master'!$A:$F,6,FALSE)+365,""),AB63)</f>
        <v>45021</v>
      </c>
      <c r="AD63" s="149"/>
      <c r="AE63" s="127">
        <f t="shared" ca="1" si="16"/>
        <v>45107</v>
      </c>
      <c r="AF63" s="131">
        <f t="shared" ca="1" si="17"/>
        <v>198</v>
      </c>
      <c r="AG63" s="131">
        <f t="shared" ca="1" si="18"/>
        <v>63</v>
      </c>
      <c r="AH63" s="131">
        <f t="shared" ca="1" si="19"/>
        <v>261</v>
      </c>
      <c r="AI63" s="158">
        <f t="shared" ca="1" si="8"/>
        <v>93201.951080280181</v>
      </c>
      <c r="AJ63" s="156">
        <f t="shared" ca="1" si="9"/>
        <v>93201.951080280181</v>
      </c>
      <c r="AK63" s="130">
        <f t="shared" ca="1" si="21"/>
        <v>18023.570989113075</v>
      </c>
      <c r="AL63" s="78"/>
      <c r="AM63" s="130">
        <f t="shared" ca="1" si="11"/>
        <v>0</v>
      </c>
      <c r="AN63" s="130">
        <f t="shared" ca="1" si="20"/>
        <v>0</v>
      </c>
      <c r="AO63" s="130">
        <f t="shared" ca="1" si="24"/>
        <v>0</v>
      </c>
      <c r="AP63" s="130">
        <f t="shared" ca="1" si="24"/>
        <v>0</v>
      </c>
    </row>
    <row r="64" spans="1:42" ht="16.5" thickBot="1">
      <c r="A64" s="92" t="s">
        <v>122</v>
      </c>
      <c r="B64" s="124" t="str">
        <f>IFERROR(VLOOKUP($A64,'Position Master'!B:C,2,FALSE),"Missing")</f>
        <v>Dept 2</v>
      </c>
      <c r="C64" s="98" t="str">
        <f ca="1">IFERROR(VLOOKUP($D64,'Employee Master'!$A:$F,3,FALSE)&amp;", "&amp;VLOOKUP($D64,'Employee Master'!$A:$F,2,FALSE),"Vacant")</f>
        <v>Liang, Romel</v>
      </c>
      <c r="D64" s="98">
        <f>IF(INDEX('Position Master'!$A$7:$A$97,MATCH(A64,'Position Master'!$B$7:$B$97,0))=0,"Vacant",INDEX('Position Master'!$A$7:$A$97,MATCH(A64,'Position Master'!$B$7:$B$97,0)))</f>
        <v>6669387</v>
      </c>
      <c r="E64" s="156">
        <f ca="1">IFERROR(VLOOKUP(D64,'Employee Master'!A:F,5,FALSE),"")</f>
        <v>76365.258444293722</v>
      </c>
      <c r="F64" s="157" t="str">
        <f ca="1">IF(C64="Vacant","No",IF(AND(VLOOKUP(D64,'Employee Master'!A:F,6,FALSE)+360&lt;B$4,VLOOKUP(D64,'Employee Master'!A:F,6,FALSE)+360&lt;B58),"Yes","No"))</f>
        <v>No</v>
      </c>
      <c r="G64" s="156">
        <f ca="1">IF(C64="Vacant",VLOOKUP(A64,'Position Master'!B:D,3,FALSE),E64)*(1+IF(F64="Yes",F$8,0))</f>
        <v>76365.258444293722</v>
      </c>
      <c r="H64" s="125"/>
      <c r="I64" s="182" t="str">
        <f>IF('Budgeting Model'!I64="","",'Budgeting Model'!I64)</f>
        <v/>
      </c>
      <c r="J64" s="130">
        <f t="shared" ca="1" si="22"/>
        <v>79419.868782065474</v>
      </c>
      <c r="K64" s="149" t="str">
        <f>IF('Budgeting Model'!K64="","",'Budgeting Model'!K64)</f>
        <v/>
      </c>
      <c r="L64" s="127">
        <f t="shared" ca="1" si="1"/>
        <v>44743</v>
      </c>
      <c r="M64" s="149" t="str">
        <f>IF('Budgeting Model'!M64="","",'Budgeting Model'!M64)</f>
        <v/>
      </c>
      <c r="N64" s="127">
        <f ca="1">IF(M64="",IFERROR(VLOOKUP($D64,'Employee Master'!$A:$F,6,FALSE)+365,""),M64)</f>
        <v>45087</v>
      </c>
      <c r="O64" s="149" t="str">
        <f>IF('Budgeting Model'!O64="","",'Budgeting Model'!O64)</f>
        <v/>
      </c>
      <c r="P64" s="127">
        <f t="shared" ca="1" si="13"/>
        <v>45107</v>
      </c>
      <c r="Q64" s="131">
        <f t="shared" ca="1" si="2"/>
        <v>246</v>
      </c>
      <c r="R64" s="131">
        <f t="shared" ca="1" si="3"/>
        <v>15</v>
      </c>
      <c r="S64" s="131">
        <f t="shared" ca="1" si="14"/>
        <v>261</v>
      </c>
      <c r="T64" s="158">
        <f t="shared" ca="1" si="15"/>
        <v>76540.810762556459</v>
      </c>
      <c r="U64" s="156">
        <f t="shared" ca="1" si="4"/>
        <v>76540.810762556459</v>
      </c>
      <c r="V64" s="130">
        <f t="shared" ca="1" si="5"/>
        <v>14512.324976386852</v>
      </c>
      <c r="W64" s="77"/>
      <c r="X64" s="149" t="str">
        <f>IF('Budgeting Model'!X64="","",'Budgeting Model'!X64)</f>
        <v/>
      </c>
      <c r="Y64" s="130">
        <f t="shared" ca="1" si="23"/>
        <v>79419.868782065474</v>
      </c>
      <c r="Z64" s="149" t="str">
        <f>IF('Budgeting Model'!Z64="","",'Budgeting Model'!Z64)</f>
        <v/>
      </c>
      <c r="AA64" s="127">
        <f t="shared" ca="1" si="7"/>
        <v>44743</v>
      </c>
      <c r="AB64" s="149">
        <f>IF('Budgeting Model'!AB64="","",'Budgeting Model'!AB64)</f>
        <v>44844</v>
      </c>
      <c r="AC64" s="127">
        <f>IF(AB64="",IFERROR(VLOOKUP($D64,'Employee Master'!$A:$F,6,FALSE)+365,""),AB64)</f>
        <v>44844</v>
      </c>
      <c r="AD64" s="149"/>
      <c r="AE64" s="127">
        <f t="shared" ca="1" si="16"/>
        <v>45107</v>
      </c>
      <c r="AF64" s="131">
        <f t="shared" ca="1" si="17"/>
        <v>71</v>
      </c>
      <c r="AG64" s="131">
        <f t="shared" ca="1" si="18"/>
        <v>190</v>
      </c>
      <c r="AH64" s="131">
        <f t="shared" ca="1" si="19"/>
        <v>261</v>
      </c>
      <c r="AI64" s="158">
        <f t="shared" ca="1" si="8"/>
        <v>78588.921142288484</v>
      </c>
      <c r="AJ64" s="156">
        <f t="shared" ca="1" si="9"/>
        <v>78588.921142288484</v>
      </c>
      <c r="AK64" s="130">
        <f t="shared" ca="1" si="21"/>
        <v>14910.243564449074</v>
      </c>
      <c r="AL64" s="78"/>
      <c r="AM64" s="130">
        <f t="shared" ca="1" si="11"/>
        <v>2048.1103797320247</v>
      </c>
      <c r="AN64" s="130">
        <f t="shared" ca="1" si="20"/>
        <v>0</v>
      </c>
      <c r="AO64" s="130">
        <f t="shared" ca="1" si="24"/>
        <v>2048.1103797320247</v>
      </c>
      <c r="AP64" s="130">
        <f t="shared" ca="1" si="24"/>
        <v>397.91858806222263</v>
      </c>
    </row>
    <row r="65" spans="1:42" ht="16.5" thickBot="1">
      <c r="A65" s="92" t="s">
        <v>123</v>
      </c>
      <c r="B65" s="124" t="str">
        <f>IFERROR(VLOOKUP($A65,'Position Master'!B:C,2,FALSE),"Missing")</f>
        <v>Dept 1</v>
      </c>
      <c r="C65" s="98" t="str">
        <f ca="1">IFERROR(VLOOKUP($D65,'Employee Master'!$A:$F,3,FALSE)&amp;", "&amp;VLOOKUP($D65,'Employee Master'!$A:$F,2,FALSE),"Vacant")</f>
        <v>Vacant</v>
      </c>
      <c r="D65" s="98" t="str">
        <f>IF(INDEX('Position Master'!$A$7:$A$97,MATCH(A65,'Position Master'!$B$7:$B$97,0))=0,"Vacant",INDEX('Position Master'!$A$7:$A$97,MATCH(A65,'Position Master'!$B$7:$B$97,0)))</f>
        <v>Vacant</v>
      </c>
      <c r="E65" s="156" t="str">
        <f ca="1">IFERROR(VLOOKUP(D65,'Employee Master'!A:F,5,FALSE),"")</f>
        <v/>
      </c>
      <c r="F65" s="157" t="str">
        <f ca="1">IF(C65="Vacant","No",IF(AND(VLOOKUP(D65,'Employee Master'!A:F,6,FALSE)+360&lt;B$4,VLOOKUP(D65,'Employee Master'!A:F,6,FALSE)+360&lt;B59),"Yes","No"))</f>
        <v>No</v>
      </c>
      <c r="G65" s="156">
        <f ca="1">IF(C65="Vacant",VLOOKUP(A65,'Position Master'!B:D,3,FALSE),E65)*(1+IF(F65="Yes",F$8,0))</f>
        <v>48278.142712785993</v>
      </c>
      <c r="H65" s="125"/>
      <c r="I65" s="182" t="str">
        <f>IF('Budgeting Model'!I65="","",'Budgeting Model'!I65)</f>
        <v/>
      </c>
      <c r="J65" s="130">
        <f t="shared" ca="1" si="22"/>
        <v>50209.268421297435</v>
      </c>
      <c r="K65" s="149" t="str">
        <f>IF('Budgeting Model'!K65="","",'Budgeting Model'!K65)</f>
        <v/>
      </c>
      <c r="L65" s="127">
        <f t="shared" ca="1" si="1"/>
        <v>44833</v>
      </c>
      <c r="M65" s="149" t="str">
        <f>IF('Budgeting Model'!M65="","",'Budgeting Model'!M65)</f>
        <v/>
      </c>
      <c r="N65" s="127" t="str">
        <f ca="1">IF(M65="",IFERROR(VLOOKUP($D65,'Employee Master'!$A:$F,6,FALSE)+365,""),M65)</f>
        <v/>
      </c>
      <c r="O65" s="149" t="str">
        <f>IF('Budgeting Model'!O65="","",'Budgeting Model'!O65)</f>
        <v/>
      </c>
      <c r="P65" s="127">
        <f t="shared" ca="1" si="13"/>
        <v>45107</v>
      </c>
      <c r="Q65" s="131">
        <f t="shared" ca="1" si="2"/>
        <v>197</v>
      </c>
      <c r="R65" s="131">
        <f t="shared" ca="1" si="3"/>
        <v>0</v>
      </c>
      <c r="S65" s="131">
        <f t="shared" ca="1" si="14"/>
        <v>197</v>
      </c>
      <c r="T65" s="158">
        <f t="shared" ca="1" si="15"/>
        <v>48278.142712785993</v>
      </c>
      <c r="U65" s="156">
        <f t="shared" ca="1" si="4"/>
        <v>36439.824193175635</v>
      </c>
      <c r="V65" s="130">
        <f t="shared" ca="1" si="5"/>
        <v>36439.824193175635</v>
      </c>
      <c r="W65" s="77"/>
      <c r="X65" s="149" t="str">
        <f>IF('Budgeting Model'!X65="","",'Budgeting Model'!X65)</f>
        <v/>
      </c>
      <c r="Y65" s="130">
        <f t="shared" ca="1" si="23"/>
        <v>50209.268421297435</v>
      </c>
      <c r="Z65" s="149" t="str">
        <f>IF('Budgeting Model'!Z65="","",'Budgeting Model'!Z65)</f>
        <v/>
      </c>
      <c r="AA65" s="127">
        <f t="shared" ca="1" si="7"/>
        <v>44833</v>
      </c>
      <c r="AB65" s="149" t="str">
        <f>IF('Budgeting Model'!AB65="","",'Budgeting Model'!AB65)</f>
        <v/>
      </c>
      <c r="AC65" s="127" t="str">
        <f ca="1">IF(AB65="",IFERROR(VLOOKUP($D65,'Employee Master'!$A:$F,6,FALSE)+365,""),AB65)</f>
        <v/>
      </c>
      <c r="AD65" s="149"/>
      <c r="AE65" s="127">
        <f t="shared" ca="1" si="16"/>
        <v>45107</v>
      </c>
      <c r="AF65" s="131">
        <f t="shared" ca="1" si="17"/>
        <v>197</v>
      </c>
      <c r="AG65" s="131">
        <f t="shared" ca="1" si="18"/>
        <v>0</v>
      </c>
      <c r="AH65" s="131">
        <f t="shared" ca="1" si="19"/>
        <v>197</v>
      </c>
      <c r="AI65" s="158">
        <f t="shared" ca="1" si="8"/>
        <v>48278.142712785993</v>
      </c>
      <c r="AJ65" s="156">
        <f t="shared" ca="1" si="9"/>
        <v>36439.824193175635</v>
      </c>
      <c r="AK65" s="130">
        <f t="shared" ca="1" si="21"/>
        <v>36439.824193175635</v>
      </c>
      <c r="AL65" s="78"/>
      <c r="AM65" s="130">
        <f t="shared" ca="1" si="11"/>
        <v>0</v>
      </c>
      <c r="AN65" s="130">
        <f t="shared" ca="1" si="20"/>
        <v>0</v>
      </c>
      <c r="AO65" s="130">
        <f t="shared" ca="1" si="24"/>
        <v>0</v>
      </c>
      <c r="AP65" s="130">
        <f t="shared" ca="1" si="24"/>
        <v>0</v>
      </c>
    </row>
    <row r="66" spans="1:42" ht="16.5" thickBot="1">
      <c r="A66" s="92" t="s">
        <v>124</v>
      </c>
      <c r="B66" s="124" t="str">
        <f>IFERROR(VLOOKUP($A66,'Position Master'!B:C,2,FALSE),"Missing")</f>
        <v>Dept 10</v>
      </c>
      <c r="C66" s="98" t="str">
        <f ca="1">IFERROR(VLOOKUP($D66,'Employee Master'!$A:$F,3,FALSE)&amp;", "&amp;VLOOKUP($D66,'Employee Master'!$A:$F,2,FALSE),"Vacant")</f>
        <v>Lieberman, Bellamy</v>
      </c>
      <c r="D66" s="98">
        <f>IF(INDEX('Position Master'!$A$7:$A$97,MATCH(A66,'Position Master'!$B$7:$B$97,0))=0,"Vacant",INDEX('Position Master'!$A$7:$A$97,MATCH(A66,'Position Master'!$B$7:$B$97,0)))</f>
        <v>6768299</v>
      </c>
      <c r="E66" s="156">
        <f ca="1">IFERROR(VLOOKUP(D66,'Employee Master'!A:F,5,FALSE),"")</f>
        <v>54533.282461792362</v>
      </c>
      <c r="F66" s="157" t="str">
        <f ca="1">IF(C66="Vacant","No",IF(AND(VLOOKUP(D66,'Employee Master'!A:F,6,FALSE)+360&lt;B$4,VLOOKUP(D66,'Employee Master'!A:F,6,FALSE)+360&lt;B60),"Yes","No"))</f>
        <v>No</v>
      </c>
      <c r="G66" s="156">
        <f ca="1">IF(C66="Vacant",VLOOKUP(A66,'Position Master'!B:D,3,FALSE),E66)*(1+IF(F66="Yes",F$8,0))</f>
        <v>54533.282461792362</v>
      </c>
      <c r="H66" s="125"/>
      <c r="I66" s="182" t="str">
        <f>IF('Budgeting Model'!I66="","",'Budgeting Model'!I66)</f>
        <v/>
      </c>
      <c r="J66" s="130">
        <f t="shared" ca="1" si="22"/>
        <v>56714.613760264059</v>
      </c>
      <c r="K66" s="149" t="str">
        <f>IF('Budgeting Model'!K66="","",'Budgeting Model'!K66)</f>
        <v/>
      </c>
      <c r="L66" s="127">
        <f t="shared" ca="1" si="1"/>
        <v>44743</v>
      </c>
      <c r="M66" s="149" t="str">
        <f>IF('Budgeting Model'!M66="","",'Budgeting Model'!M66)</f>
        <v/>
      </c>
      <c r="N66" s="127">
        <f ca="1">IF(M66="",IFERROR(VLOOKUP($D66,'Employee Master'!$A:$F,6,FALSE)+365,""),M66)</f>
        <v>45100</v>
      </c>
      <c r="O66" s="149" t="str">
        <f>IF('Budgeting Model'!O66="","",'Budgeting Model'!O66)</f>
        <v/>
      </c>
      <c r="P66" s="127">
        <f t="shared" ca="1" si="13"/>
        <v>45107</v>
      </c>
      <c r="Q66" s="131">
        <f t="shared" ca="1" si="2"/>
        <v>255</v>
      </c>
      <c r="R66" s="131">
        <f t="shared" ca="1" si="3"/>
        <v>6</v>
      </c>
      <c r="S66" s="131">
        <f t="shared" ca="1" si="14"/>
        <v>261</v>
      </c>
      <c r="T66" s="158">
        <f t="shared" ca="1" si="15"/>
        <v>54583.428008883668</v>
      </c>
      <c r="U66" s="156">
        <f t="shared" ca="1" si="4"/>
        <v>54583.428008883668</v>
      </c>
      <c r="V66" s="130">
        <f t="shared" ca="1" si="5"/>
        <v>10288.194744899065</v>
      </c>
      <c r="W66" s="77"/>
      <c r="X66" s="149" t="str">
        <f>IF('Budgeting Model'!X66="","",'Budgeting Model'!X66)</f>
        <v/>
      </c>
      <c r="Y66" s="130">
        <f t="shared" ca="1" si="23"/>
        <v>56714.613760264059</v>
      </c>
      <c r="Z66" s="149" t="str">
        <f>IF('Budgeting Model'!Z66="","",'Budgeting Model'!Z66)</f>
        <v/>
      </c>
      <c r="AA66" s="127">
        <f t="shared" ca="1" si="7"/>
        <v>44743</v>
      </c>
      <c r="AB66" s="149" t="str">
        <f>IF('Budgeting Model'!AB66="","",'Budgeting Model'!AB66)</f>
        <v/>
      </c>
      <c r="AC66" s="127">
        <f ca="1">IF(AB66="",IFERROR(VLOOKUP($D66,'Employee Master'!$A:$F,6,FALSE)+365,""),AB66)</f>
        <v>45100</v>
      </c>
      <c r="AD66" s="149"/>
      <c r="AE66" s="127">
        <f t="shared" ca="1" si="16"/>
        <v>45107</v>
      </c>
      <c r="AF66" s="131">
        <f t="shared" ca="1" si="17"/>
        <v>255</v>
      </c>
      <c r="AG66" s="131">
        <f t="shared" ca="1" si="18"/>
        <v>6</v>
      </c>
      <c r="AH66" s="131">
        <f t="shared" ca="1" si="19"/>
        <v>261</v>
      </c>
      <c r="AI66" s="158">
        <f t="shared" ca="1" si="8"/>
        <v>54583.428008883668</v>
      </c>
      <c r="AJ66" s="156">
        <f t="shared" ca="1" si="9"/>
        <v>54583.428008883668</v>
      </c>
      <c r="AK66" s="130">
        <f t="shared" ca="1" si="21"/>
        <v>10288.194744899065</v>
      </c>
      <c r="AL66" s="78"/>
      <c r="AM66" s="130">
        <f t="shared" ca="1" si="11"/>
        <v>0</v>
      </c>
      <c r="AN66" s="130">
        <f t="shared" ca="1" si="20"/>
        <v>0</v>
      </c>
      <c r="AO66" s="130">
        <f t="shared" ca="1" si="24"/>
        <v>0</v>
      </c>
      <c r="AP66" s="130">
        <f t="shared" ca="1" si="24"/>
        <v>0</v>
      </c>
    </row>
    <row r="67" spans="1:42" ht="16.5" thickBot="1">
      <c r="A67" s="92" t="s">
        <v>125</v>
      </c>
      <c r="B67" s="124" t="str">
        <f>IFERROR(VLOOKUP($A67,'Position Master'!B:C,2,FALSE),"Missing")</f>
        <v>Dept 13</v>
      </c>
      <c r="C67" s="98" t="str">
        <f ca="1">IFERROR(VLOOKUP($D67,'Employee Master'!$A:$F,3,FALSE)&amp;", "&amp;VLOOKUP($D67,'Employee Master'!$A:$F,2,FALSE),"Vacant")</f>
        <v>Vacant</v>
      </c>
      <c r="D67" s="98" t="str">
        <f>IF(INDEX('Position Master'!$A$7:$A$97,MATCH(A67,'Position Master'!$B$7:$B$97,0))=0,"Vacant",INDEX('Position Master'!$A$7:$A$97,MATCH(A67,'Position Master'!$B$7:$B$97,0)))</f>
        <v>Vacant</v>
      </c>
      <c r="E67" s="156" t="str">
        <f ca="1">IFERROR(VLOOKUP(D67,'Employee Master'!A:F,5,FALSE),"")</f>
        <v/>
      </c>
      <c r="F67" s="157" t="str">
        <f ca="1">IF(C67="Vacant","No",IF(AND(VLOOKUP(D67,'Employee Master'!A:F,6,FALSE)+360&lt;B$4,VLOOKUP(D67,'Employee Master'!A:F,6,FALSE)+360&lt;B61),"Yes","No"))</f>
        <v>No</v>
      </c>
      <c r="G67" s="156">
        <f ca="1">IF(C67="Vacant",VLOOKUP(A67,'Position Master'!B:D,3,FALSE),E67)*(1+IF(F67="Yes",F$8,0))</f>
        <v>53101.517268436117</v>
      </c>
      <c r="H67" s="125"/>
      <c r="I67" s="182" t="str">
        <f>IF('Budgeting Model'!I67="","",'Budgeting Model'!I67)</f>
        <v/>
      </c>
      <c r="J67" s="130">
        <f t="shared" ca="1" si="22"/>
        <v>55225.577959173563</v>
      </c>
      <c r="K67" s="149" t="str">
        <f>IF('Budgeting Model'!K67="","",'Budgeting Model'!K67)</f>
        <v/>
      </c>
      <c r="L67" s="127">
        <f t="shared" ca="1" si="1"/>
        <v>44833</v>
      </c>
      <c r="M67" s="149" t="str">
        <f>IF('Budgeting Model'!M67="","",'Budgeting Model'!M67)</f>
        <v/>
      </c>
      <c r="N67" s="127" t="str">
        <f ca="1">IF(M67="",IFERROR(VLOOKUP($D67,'Employee Master'!$A:$F,6,FALSE)+365,""),M67)</f>
        <v/>
      </c>
      <c r="O67" s="149" t="str">
        <f>IF('Budgeting Model'!O67="","",'Budgeting Model'!O67)</f>
        <v/>
      </c>
      <c r="P67" s="127">
        <f t="shared" ca="1" si="13"/>
        <v>45107</v>
      </c>
      <c r="Q67" s="131">
        <f t="shared" ca="1" si="2"/>
        <v>197</v>
      </c>
      <c r="R67" s="131">
        <f t="shared" ca="1" si="3"/>
        <v>0</v>
      </c>
      <c r="S67" s="131">
        <f t="shared" ca="1" si="14"/>
        <v>197</v>
      </c>
      <c r="T67" s="158">
        <f t="shared" ca="1" si="15"/>
        <v>53101.517268436117</v>
      </c>
      <c r="U67" s="156">
        <f t="shared" ca="1" si="4"/>
        <v>40080.455562765957</v>
      </c>
      <c r="V67" s="130">
        <f t="shared" ca="1" si="5"/>
        <v>40080.455562765957</v>
      </c>
      <c r="W67" s="77"/>
      <c r="X67" s="149" t="str">
        <f>IF('Budgeting Model'!X67="","",'Budgeting Model'!X67)</f>
        <v/>
      </c>
      <c r="Y67" s="130">
        <f t="shared" ca="1" si="23"/>
        <v>55225.577959173563</v>
      </c>
      <c r="Z67" s="149" t="str">
        <f>IF('Budgeting Model'!Z67="","",'Budgeting Model'!Z67)</f>
        <v/>
      </c>
      <c r="AA67" s="127">
        <f t="shared" ca="1" si="7"/>
        <v>44833</v>
      </c>
      <c r="AB67" s="149" t="str">
        <f>IF('Budgeting Model'!AB67="","",'Budgeting Model'!AB67)</f>
        <v/>
      </c>
      <c r="AC67" s="127" t="str">
        <f ca="1">IF(AB67="",IFERROR(VLOOKUP($D67,'Employee Master'!$A:$F,6,FALSE)+365,""),AB67)</f>
        <v/>
      </c>
      <c r="AD67" s="149"/>
      <c r="AE67" s="127">
        <f t="shared" ca="1" si="16"/>
        <v>45107</v>
      </c>
      <c r="AF67" s="131">
        <f t="shared" ca="1" si="17"/>
        <v>197</v>
      </c>
      <c r="AG67" s="131">
        <f t="shared" ca="1" si="18"/>
        <v>0</v>
      </c>
      <c r="AH67" s="131">
        <f t="shared" ca="1" si="19"/>
        <v>197</v>
      </c>
      <c r="AI67" s="158">
        <f t="shared" ca="1" si="8"/>
        <v>53101.517268436117</v>
      </c>
      <c r="AJ67" s="156">
        <f t="shared" ca="1" si="9"/>
        <v>40080.455562765957</v>
      </c>
      <c r="AK67" s="130">
        <f t="shared" ca="1" si="21"/>
        <v>40080.455562765957</v>
      </c>
      <c r="AL67" s="78"/>
      <c r="AM67" s="130">
        <f t="shared" ca="1" si="11"/>
        <v>0</v>
      </c>
      <c r="AN67" s="130">
        <f t="shared" ca="1" si="20"/>
        <v>0</v>
      </c>
      <c r="AO67" s="130">
        <f t="shared" ca="1" si="24"/>
        <v>0</v>
      </c>
      <c r="AP67" s="130">
        <f t="shared" ca="1" si="24"/>
        <v>0</v>
      </c>
    </row>
    <row r="68" spans="1:42" ht="16.5" thickBot="1">
      <c r="A68" s="92" t="s">
        <v>126</v>
      </c>
      <c r="B68" s="124" t="str">
        <f>IFERROR(VLOOKUP($A68,'Position Master'!B:C,2,FALSE),"Missing")</f>
        <v>Dept 8</v>
      </c>
      <c r="C68" s="98" t="str">
        <f ca="1">IFERROR(VLOOKUP($D68,'Employee Master'!$A:$F,3,FALSE)&amp;", "&amp;VLOOKUP($D68,'Employee Master'!$A:$F,2,FALSE),"Vacant")</f>
        <v>Lin, Shirley</v>
      </c>
      <c r="D68" s="98">
        <f>IF(INDEX('Position Master'!$A$7:$A$97,MATCH(A68,'Position Master'!$B$7:$B$97,0))=0,"Vacant",INDEX('Position Master'!$A$7:$A$97,MATCH(A68,'Position Master'!$B$7:$B$97,0)))</f>
        <v>6878675</v>
      </c>
      <c r="E68" s="156">
        <f ca="1">IFERROR(VLOOKUP(D68,'Employee Master'!A:F,5,FALSE),"")</f>
        <v>65832.741189585315</v>
      </c>
      <c r="F68" s="157" t="str">
        <f ca="1">IF(C68="Vacant","No",IF(AND(VLOOKUP(D68,'Employee Master'!A:F,6,FALSE)+360&lt;B$4,VLOOKUP(D68,'Employee Master'!A:F,6,FALSE)+360&lt;B62),"Yes","No"))</f>
        <v>Yes</v>
      </c>
      <c r="G68" s="156">
        <f ca="1">IF(C68="Vacant",VLOOKUP(A68,'Position Master'!B:D,3,FALSE),E68)*(1+IF(F68="Yes",F$8,0))</f>
        <v>67807.723425272881</v>
      </c>
      <c r="H68" s="125"/>
      <c r="I68" s="182" t="str">
        <f>IF('Budgeting Model'!I68="","",'Budgeting Model'!I68)</f>
        <v/>
      </c>
      <c r="J68" s="130">
        <f t="shared" ca="1" si="22"/>
        <v>70520.032362283804</v>
      </c>
      <c r="K68" s="149" t="str">
        <f>IF('Budgeting Model'!K68="","",'Budgeting Model'!K68)</f>
        <v/>
      </c>
      <c r="L68" s="127">
        <f t="shared" ca="1" si="1"/>
        <v>44743</v>
      </c>
      <c r="M68" s="149" t="str">
        <f>IF('Budgeting Model'!M68="","",'Budgeting Model'!M68)</f>
        <v/>
      </c>
      <c r="N68" s="127">
        <f ca="1">IF(M68="",IFERROR(VLOOKUP($D68,'Employee Master'!$A:$F,6,FALSE)+365,""),M68)</f>
        <v>44980</v>
      </c>
      <c r="O68" s="149" t="str">
        <f>IF('Budgeting Model'!O68="","",'Budgeting Model'!O68)</f>
        <v/>
      </c>
      <c r="P68" s="127">
        <f t="shared" ca="1" si="13"/>
        <v>45107</v>
      </c>
      <c r="Q68" s="131">
        <f t="shared" ca="1" si="2"/>
        <v>169</v>
      </c>
      <c r="R68" s="131">
        <f t="shared" ca="1" si="3"/>
        <v>92</v>
      </c>
      <c r="S68" s="131">
        <f t="shared" ca="1" si="14"/>
        <v>261</v>
      </c>
      <c r="T68" s="158">
        <f t="shared" ca="1" si="15"/>
        <v>68763.786345598579</v>
      </c>
      <c r="U68" s="156">
        <f t="shared" ca="1" si="4"/>
        <v>68763.786345598579</v>
      </c>
      <c r="V68" s="130">
        <f t="shared" ca="1" si="5"/>
        <v>13239.393048857879</v>
      </c>
      <c r="W68" s="77"/>
      <c r="X68" s="149" t="str">
        <f>IF('Budgeting Model'!X68="","",'Budgeting Model'!X68)</f>
        <v/>
      </c>
      <c r="Y68" s="130">
        <f t="shared" ca="1" si="23"/>
        <v>70520.032362283804</v>
      </c>
      <c r="Z68" s="149" t="str">
        <f>IF('Budgeting Model'!Z68="","",'Budgeting Model'!Z68)</f>
        <v/>
      </c>
      <c r="AA68" s="127">
        <f t="shared" ca="1" si="7"/>
        <v>44743</v>
      </c>
      <c r="AB68" s="149" t="str">
        <f>IF('Budgeting Model'!AB68="","",'Budgeting Model'!AB68)</f>
        <v/>
      </c>
      <c r="AC68" s="127">
        <f ca="1">IF(AB68="",IFERROR(VLOOKUP($D68,'Employee Master'!$A:$F,6,FALSE)+365,""),AB68)</f>
        <v>44980</v>
      </c>
      <c r="AD68" s="149"/>
      <c r="AE68" s="127">
        <f t="shared" ca="1" si="16"/>
        <v>45107</v>
      </c>
      <c r="AF68" s="131">
        <f ca="1">IF(AC68="",NETWORKDAYS(AA68,AE68),NETWORKDAYS(AA68,AC68-1))</f>
        <v>169</v>
      </c>
      <c r="AG68" s="131">
        <f ca="1">IF(AC68="",0,NETWORKDAYS(AC68,AE68))</f>
        <v>92</v>
      </c>
      <c r="AH68" s="131">
        <f t="shared" ca="1" si="19"/>
        <v>261</v>
      </c>
      <c r="AI68" s="158">
        <f t="shared" ca="1" si="8"/>
        <v>68763.786345598579</v>
      </c>
      <c r="AJ68" s="156">
        <f t="shared" ca="1" si="9"/>
        <v>68763.786345598579</v>
      </c>
      <c r="AK68" s="130">
        <f t="shared" ca="1" si="21"/>
        <v>13239.393048857879</v>
      </c>
      <c r="AL68" s="78"/>
      <c r="AM68" s="130">
        <f t="shared" ca="1" si="11"/>
        <v>0</v>
      </c>
      <c r="AN68" s="130">
        <f t="shared" ca="1" si="20"/>
        <v>0</v>
      </c>
      <c r="AO68" s="130">
        <f t="shared" ca="1" si="24"/>
        <v>0</v>
      </c>
      <c r="AP68" s="130">
        <f t="shared" ca="1" si="24"/>
        <v>0</v>
      </c>
    </row>
    <row r="69" spans="1:42" ht="16.5" thickBot="1">
      <c r="A69" s="92" t="s">
        <v>127</v>
      </c>
      <c r="B69" s="124" t="str">
        <f>IFERROR(VLOOKUP($A69,'Position Master'!B:C,2,FALSE),"Missing")</f>
        <v>Dept 14</v>
      </c>
      <c r="C69" s="98" t="str">
        <f ca="1">IFERROR(VLOOKUP($D69,'Employee Master'!$A:$F,3,FALSE)&amp;", "&amp;VLOOKUP($D69,'Employee Master'!$A:$F,2,FALSE),"Vacant")</f>
        <v>Louadah, Joel</v>
      </c>
      <c r="D69" s="98">
        <f>IF(INDEX('Position Master'!$A$7:$A$97,MATCH(A69,'Position Master'!$B$7:$B$97,0))=0,"Vacant",INDEX('Position Master'!$A$7:$A$97,MATCH(A69,'Position Master'!$B$7:$B$97,0)))</f>
        <v>7068036</v>
      </c>
      <c r="E69" s="156">
        <f ca="1">IFERROR(VLOOKUP(D69,'Employee Master'!A:F,5,FALSE),"")</f>
        <v>62797.962137445531</v>
      </c>
      <c r="F69" s="157" t="str">
        <f ca="1">IF(C69="Vacant","No",IF(AND(VLOOKUP(D69,'Employee Master'!A:F,6,FALSE)+360&lt;B$4,VLOOKUP(D69,'Employee Master'!A:F,6,FALSE)+360&lt;B63),"Yes","No"))</f>
        <v>Yes</v>
      </c>
      <c r="G69" s="156">
        <f ca="1">IF(C69="Vacant",VLOOKUP(A69,'Position Master'!B:D,3,FALSE),E69)*(1+IF(F69="Yes",F$8,0))</f>
        <v>64681.901001568898</v>
      </c>
      <c r="H69" s="125"/>
      <c r="I69" s="182" t="str">
        <f>IF('Budgeting Model'!I69="","",'Budgeting Model'!I69)</f>
        <v/>
      </c>
      <c r="J69" s="130">
        <f t="shared" ca="1" si="22"/>
        <v>67269.177041631658</v>
      </c>
      <c r="K69" s="149" t="str">
        <f>IF('Budgeting Model'!K69="","",'Budgeting Model'!K69)</f>
        <v/>
      </c>
      <c r="L69" s="127">
        <f t="shared" ca="1" si="1"/>
        <v>44743</v>
      </c>
      <c r="M69" s="149" t="str">
        <f>IF('Budgeting Model'!M69="","",'Budgeting Model'!M69)</f>
        <v/>
      </c>
      <c r="N69" s="127">
        <f ca="1">IF(M69="",IFERROR(VLOOKUP($D69,'Employee Master'!$A:$F,6,FALSE)+365,""),M69)</f>
        <v>44863</v>
      </c>
      <c r="O69" s="149" t="str">
        <f>IF('Budgeting Model'!O69="","",'Budgeting Model'!O69)</f>
        <v/>
      </c>
      <c r="P69" s="127">
        <f t="shared" ca="1" si="13"/>
        <v>45107</v>
      </c>
      <c r="Q69" s="131">
        <f t="shared" ca="1" si="2"/>
        <v>86</v>
      </c>
      <c r="R69" s="131">
        <f t="shared" ca="1" si="3"/>
        <v>175</v>
      </c>
      <c r="S69" s="131">
        <f t="shared" ca="1" si="14"/>
        <v>261</v>
      </c>
      <c r="T69" s="158">
        <f t="shared" ca="1" si="15"/>
        <v>66416.664629963459</v>
      </c>
      <c r="U69" s="156">
        <f t="shared" ca="1" si="4"/>
        <v>66416.664629963459</v>
      </c>
      <c r="V69" s="130">
        <f t="shared" ca="1" si="5"/>
        <v>12629.079214712458</v>
      </c>
      <c r="W69" s="77"/>
      <c r="X69" s="149" t="str">
        <f>IF('Budgeting Model'!X69="","",'Budgeting Model'!X69)</f>
        <v/>
      </c>
      <c r="Y69" s="130">
        <f t="shared" ca="1" si="23"/>
        <v>67269.177041631658</v>
      </c>
      <c r="Z69" s="149" t="str">
        <f>IF('Budgeting Model'!Z69="","",'Budgeting Model'!Z69)</f>
        <v/>
      </c>
      <c r="AA69" s="127">
        <f t="shared" ca="1" si="7"/>
        <v>44743</v>
      </c>
      <c r="AB69" s="149" t="str">
        <f>IF('Budgeting Model'!AB69="","",'Budgeting Model'!AB69)</f>
        <v/>
      </c>
      <c r="AC69" s="127">
        <f ca="1">IF(AB69="",IFERROR(VLOOKUP($D69,'Employee Master'!$A:$F,6,FALSE)+365,""),AB69)</f>
        <v>44863</v>
      </c>
      <c r="AD69" s="149"/>
      <c r="AE69" s="127">
        <f t="shared" ca="1" si="16"/>
        <v>45107</v>
      </c>
      <c r="AF69" s="131">
        <f t="shared" ref="AF69:AF100" ca="1" si="25">IF(AC69="",NETWORKDAYS(AA69,AE69),NETWORKDAYS(AA69,AC69-1))</f>
        <v>86</v>
      </c>
      <c r="AG69" s="131">
        <f t="shared" ref="AG69:AG100" ca="1" si="26">IF(AC69="",0,NETWORKDAYS(AC69,AE69))</f>
        <v>175</v>
      </c>
      <c r="AH69" s="131">
        <f t="shared" ca="1" si="19"/>
        <v>261</v>
      </c>
      <c r="AI69" s="158">
        <f t="shared" ca="1" si="8"/>
        <v>66416.664629963459</v>
      </c>
      <c r="AJ69" s="156">
        <f t="shared" ca="1" si="9"/>
        <v>66416.664629963459</v>
      </c>
      <c r="AK69" s="130">
        <f t="shared" ca="1" si="21"/>
        <v>12629.079214712458</v>
      </c>
      <c r="AL69" s="78"/>
      <c r="AM69" s="130">
        <f t="shared" ca="1" si="11"/>
        <v>0</v>
      </c>
      <c r="AN69" s="130">
        <f t="shared" ca="1" si="20"/>
        <v>0</v>
      </c>
      <c r="AO69" s="130">
        <f t="shared" ca="1" si="24"/>
        <v>0</v>
      </c>
      <c r="AP69" s="130">
        <f t="shared" ca="1" si="24"/>
        <v>0</v>
      </c>
    </row>
    <row r="70" spans="1:42" ht="16.5" thickBot="1">
      <c r="A70" s="92" t="s">
        <v>128</v>
      </c>
      <c r="B70" s="124" t="str">
        <f>IFERROR(VLOOKUP($A70,'Position Master'!B:C,2,FALSE),"Missing")</f>
        <v>Dept 5</v>
      </c>
      <c r="C70" s="98" t="str">
        <f ca="1">IFERROR(VLOOKUP($D70,'Employee Master'!$A:$F,3,FALSE)&amp;", "&amp;VLOOKUP($D70,'Employee Master'!$A:$F,2,FALSE),"Vacant")</f>
        <v>Vacant</v>
      </c>
      <c r="D70" s="98" t="str">
        <f>IF(INDEX('Position Master'!$A$7:$A$97,MATCH(A70,'Position Master'!$B$7:$B$97,0))=0,"Vacant",INDEX('Position Master'!$A$7:$A$97,MATCH(A70,'Position Master'!$B$7:$B$97,0)))</f>
        <v>Vacant</v>
      </c>
      <c r="E70" s="156" t="str">
        <f ca="1">IFERROR(VLOOKUP(D70,'Employee Master'!A:F,5,FALSE),"")</f>
        <v/>
      </c>
      <c r="F70" s="157" t="str">
        <f ca="1">IF(C70="Vacant","No",IF(AND(VLOOKUP(D70,'Employee Master'!A:F,6,FALSE)+360&lt;B$4,VLOOKUP(D70,'Employee Master'!A:F,6,FALSE)+360&lt;B64),"Yes","No"))</f>
        <v>No</v>
      </c>
      <c r="G70" s="156">
        <f ca="1">IF(C70="Vacant",VLOOKUP(A70,'Position Master'!B:D,3,FALSE),E70)*(1+IF(F70="Yes",F$8,0))</f>
        <v>91855.743496201001</v>
      </c>
      <c r="H70" s="125"/>
      <c r="I70" s="182" t="str">
        <f>IF('Budgeting Model'!I70="","",'Budgeting Model'!I70)</f>
        <v/>
      </c>
      <c r="J70" s="130">
        <f t="shared" ca="1" si="22"/>
        <v>95529.973236049045</v>
      </c>
      <c r="K70" s="149" t="str">
        <f>IF('Budgeting Model'!K70="","",'Budgeting Model'!K70)</f>
        <v/>
      </c>
      <c r="L70" s="127">
        <f t="shared" ca="1" si="1"/>
        <v>44833</v>
      </c>
      <c r="M70" s="149" t="str">
        <f>IF('Budgeting Model'!M70="","",'Budgeting Model'!M70)</f>
        <v/>
      </c>
      <c r="N70" s="127" t="str">
        <f ca="1">IF(M70="",IFERROR(VLOOKUP($D70,'Employee Master'!$A:$F,6,FALSE)+365,""),M70)</f>
        <v/>
      </c>
      <c r="O70" s="149" t="str">
        <f>IF('Budgeting Model'!O70="","",'Budgeting Model'!O70)</f>
        <v/>
      </c>
      <c r="P70" s="127">
        <f t="shared" ca="1" si="13"/>
        <v>45107</v>
      </c>
      <c r="Q70" s="131">
        <f t="shared" ca="1" si="2"/>
        <v>197</v>
      </c>
      <c r="R70" s="131">
        <f t="shared" ca="1" si="3"/>
        <v>0</v>
      </c>
      <c r="S70" s="131">
        <f t="shared" ca="1" si="14"/>
        <v>197</v>
      </c>
      <c r="T70" s="158">
        <f t="shared" ca="1" si="15"/>
        <v>91855.743496201001</v>
      </c>
      <c r="U70" s="156">
        <f t="shared" ca="1" si="4"/>
        <v>69331.729765331795</v>
      </c>
      <c r="V70" s="130">
        <f t="shared" ca="1" si="5"/>
        <v>69331.729765331795</v>
      </c>
      <c r="W70" s="77"/>
      <c r="X70" s="149" t="str">
        <f>IF('Budgeting Model'!X70="","",'Budgeting Model'!X70)</f>
        <v/>
      </c>
      <c r="Y70" s="130">
        <f t="shared" ca="1" si="23"/>
        <v>95529.973236049045</v>
      </c>
      <c r="Z70" s="149" t="str">
        <f>IF('Budgeting Model'!Z70="","",'Budgeting Model'!Z70)</f>
        <v/>
      </c>
      <c r="AA70" s="127">
        <f t="shared" ca="1" si="7"/>
        <v>44833</v>
      </c>
      <c r="AB70" s="149" t="str">
        <f>IF('Budgeting Model'!AB70="","",'Budgeting Model'!AB70)</f>
        <v/>
      </c>
      <c r="AC70" s="127" t="str">
        <f ca="1">IF(AB70="",IFERROR(VLOOKUP($D70,'Employee Master'!$A:$F,6,FALSE)+365,""),AB70)</f>
        <v/>
      </c>
      <c r="AD70" s="149"/>
      <c r="AE70" s="127">
        <f t="shared" ca="1" si="16"/>
        <v>45107</v>
      </c>
      <c r="AF70" s="131">
        <f t="shared" ca="1" si="25"/>
        <v>197</v>
      </c>
      <c r="AG70" s="131">
        <f t="shared" ca="1" si="26"/>
        <v>0</v>
      </c>
      <c r="AH70" s="131">
        <f t="shared" ca="1" si="19"/>
        <v>197</v>
      </c>
      <c r="AI70" s="158">
        <f t="shared" ca="1" si="8"/>
        <v>91855.743496201001</v>
      </c>
      <c r="AJ70" s="156">
        <f t="shared" ca="1" si="9"/>
        <v>69331.729765331795</v>
      </c>
      <c r="AK70" s="130">
        <f t="shared" ca="1" si="21"/>
        <v>69331.729765331795</v>
      </c>
      <c r="AL70" s="78"/>
      <c r="AM70" s="130">
        <f t="shared" ca="1" si="11"/>
        <v>0</v>
      </c>
      <c r="AN70" s="130">
        <f t="shared" ca="1" si="20"/>
        <v>0</v>
      </c>
      <c r="AO70" s="130">
        <f t="shared" ca="1" si="24"/>
        <v>0</v>
      </c>
      <c r="AP70" s="130">
        <f t="shared" ca="1" si="24"/>
        <v>0</v>
      </c>
    </row>
    <row r="71" spans="1:42" ht="16.5" thickBot="1">
      <c r="A71" s="92" t="s">
        <v>129</v>
      </c>
      <c r="B71" s="124" t="str">
        <f>IFERROR(VLOOKUP($A71,'Position Master'!B:C,2,FALSE),"Missing")</f>
        <v>Dept 12</v>
      </c>
      <c r="C71" s="98" t="str">
        <f ca="1">IFERROR(VLOOKUP($D71,'Employee Master'!$A:$F,3,FALSE)&amp;", "&amp;VLOOKUP($D71,'Employee Master'!$A:$F,2,FALSE),"Vacant")</f>
        <v>Vacant</v>
      </c>
      <c r="D71" s="98" t="str">
        <f>IF(INDEX('Position Master'!$A$7:$A$97,MATCH(A71,'Position Master'!$B$7:$B$97,0))=0,"Vacant",INDEX('Position Master'!$A$7:$A$97,MATCH(A71,'Position Master'!$B$7:$B$97,0)))</f>
        <v>Vacant</v>
      </c>
      <c r="E71" s="156" t="str">
        <f ca="1">IFERROR(VLOOKUP(D71,'Employee Master'!A:F,5,FALSE),"")</f>
        <v/>
      </c>
      <c r="F71" s="157" t="str">
        <f ca="1">IF(C71="Vacant","No",IF(AND(VLOOKUP(D71,'Employee Master'!A:F,6,FALSE)+360&lt;B$4,VLOOKUP(D71,'Employee Master'!A:F,6,FALSE)+360&lt;B65),"Yes","No"))</f>
        <v>No</v>
      </c>
      <c r="G71" s="156">
        <f ca="1">IF(C71="Vacant",VLOOKUP(A71,'Position Master'!B:D,3,FALSE),E71)*(1+IF(F71="Yes",F$8,0))</f>
        <v>77400.623255255108</v>
      </c>
      <c r="H71" s="125"/>
      <c r="I71" s="182" t="str">
        <f>IF('Budgeting Model'!I71="","",'Budgeting Model'!I71)</f>
        <v/>
      </c>
      <c r="J71" s="130">
        <f t="shared" ca="1" si="22"/>
        <v>80496.64818546531</v>
      </c>
      <c r="K71" s="149" t="str">
        <f>IF('Budgeting Model'!K71="","",'Budgeting Model'!K71)</f>
        <v/>
      </c>
      <c r="L71" s="127">
        <f t="shared" ca="1" si="1"/>
        <v>44833</v>
      </c>
      <c r="M71" s="149" t="str">
        <f>IF('Budgeting Model'!M71="","",'Budgeting Model'!M71)</f>
        <v/>
      </c>
      <c r="N71" s="127" t="str">
        <f ca="1">IF(M71="",IFERROR(VLOOKUP($D71,'Employee Master'!$A:$F,6,FALSE)+365,""),M71)</f>
        <v/>
      </c>
      <c r="O71" s="149" t="str">
        <f>IF('Budgeting Model'!O71="","",'Budgeting Model'!O71)</f>
        <v/>
      </c>
      <c r="P71" s="127">
        <f t="shared" ca="1" si="13"/>
        <v>45107</v>
      </c>
      <c r="Q71" s="131">
        <f t="shared" ca="1" si="2"/>
        <v>197</v>
      </c>
      <c r="R71" s="131">
        <f t="shared" ca="1" si="3"/>
        <v>0</v>
      </c>
      <c r="S71" s="131">
        <f t="shared" ca="1" si="14"/>
        <v>197</v>
      </c>
      <c r="T71" s="158">
        <f t="shared" ca="1" si="15"/>
        <v>77400.623255255108</v>
      </c>
      <c r="U71" s="156">
        <f t="shared" ca="1" si="4"/>
        <v>58421.160081552705</v>
      </c>
      <c r="V71" s="130">
        <f t="shared" ca="1" si="5"/>
        <v>58421.160081552705</v>
      </c>
      <c r="W71" s="77"/>
      <c r="X71" s="149" t="str">
        <f>IF('Budgeting Model'!X71="","",'Budgeting Model'!X71)</f>
        <v/>
      </c>
      <c r="Y71" s="130">
        <f t="shared" ca="1" si="23"/>
        <v>80496.64818546531</v>
      </c>
      <c r="Z71" s="149" t="str">
        <f>IF('Budgeting Model'!Z71="","",'Budgeting Model'!Z71)</f>
        <v/>
      </c>
      <c r="AA71" s="127">
        <f t="shared" ca="1" si="7"/>
        <v>44833</v>
      </c>
      <c r="AB71" s="149" t="str">
        <f>IF('Budgeting Model'!AB71="","",'Budgeting Model'!AB71)</f>
        <v/>
      </c>
      <c r="AC71" s="127" t="str">
        <f ca="1">IF(AB71="",IFERROR(VLOOKUP($D71,'Employee Master'!$A:$F,6,FALSE)+365,""),AB71)</f>
        <v/>
      </c>
      <c r="AD71" s="149"/>
      <c r="AE71" s="127">
        <f t="shared" ca="1" si="16"/>
        <v>45107</v>
      </c>
      <c r="AF71" s="131">
        <f t="shared" ca="1" si="25"/>
        <v>197</v>
      </c>
      <c r="AG71" s="131">
        <f t="shared" ca="1" si="26"/>
        <v>0</v>
      </c>
      <c r="AH71" s="131">
        <f t="shared" ca="1" si="19"/>
        <v>197</v>
      </c>
      <c r="AI71" s="158">
        <f t="shared" ca="1" si="8"/>
        <v>77400.623255255108</v>
      </c>
      <c r="AJ71" s="156">
        <f t="shared" ca="1" si="9"/>
        <v>58421.160081552705</v>
      </c>
      <c r="AK71" s="130">
        <f t="shared" ca="1" si="21"/>
        <v>58421.160081552705</v>
      </c>
      <c r="AL71" s="78"/>
      <c r="AM71" s="130">
        <f t="shared" ca="1" si="11"/>
        <v>0</v>
      </c>
      <c r="AN71" s="130">
        <f t="shared" ca="1" si="20"/>
        <v>0</v>
      </c>
      <c r="AO71" s="130">
        <f t="shared" ca="1" si="24"/>
        <v>0</v>
      </c>
      <c r="AP71" s="130">
        <f t="shared" ca="1" si="24"/>
        <v>0</v>
      </c>
    </row>
    <row r="72" spans="1:42" ht="16.5" thickBot="1">
      <c r="A72" s="92" t="s">
        <v>130</v>
      </c>
      <c r="B72" s="124" t="str">
        <f>IFERROR(VLOOKUP($A72,'Position Master'!B:C,2,FALSE),"Missing")</f>
        <v>Dept 4</v>
      </c>
      <c r="C72" s="98" t="str">
        <f ca="1">IFERROR(VLOOKUP($D72,'Employee Master'!$A:$F,3,FALSE)&amp;", "&amp;VLOOKUP($D72,'Employee Master'!$A:$F,2,FALSE),"Vacant")</f>
        <v>Martin, Laura</v>
      </c>
      <c r="D72" s="98">
        <f>IF(INDEX('Position Master'!$A$7:$A$97,MATCH(A72,'Position Master'!$B$7:$B$97,0))=0,"Vacant",INDEX('Position Master'!$A$7:$A$97,MATCH(A72,'Position Master'!$B$7:$B$97,0)))</f>
        <v>7151567</v>
      </c>
      <c r="E72" s="156">
        <f ca="1">IFERROR(VLOOKUP(D72,'Employee Master'!A:F,5,FALSE),"")</f>
        <v>72036.471157910637</v>
      </c>
      <c r="F72" s="157" t="str">
        <f ca="1">IF(C72="Vacant","No",IF(AND(VLOOKUP(D72,'Employee Master'!A:F,6,FALSE)+360&lt;B$4,VLOOKUP(D72,'Employee Master'!A:F,6,FALSE)+360&lt;B66),"Yes","No"))</f>
        <v>Yes</v>
      </c>
      <c r="G72" s="156">
        <f ca="1">IF(C72="Vacant",VLOOKUP(A72,'Position Master'!B:D,3,FALSE),E72)*(1+IF(F72="Yes",F$8,0))</f>
        <v>74197.565292647952</v>
      </c>
      <c r="H72" s="125"/>
      <c r="I72" s="182" t="str">
        <f>IF('Budgeting Model'!I72="","",'Budgeting Model'!I72)</f>
        <v/>
      </c>
      <c r="J72" s="130">
        <f t="shared" ca="1" si="22"/>
        <v>77165.467904353878</v>
      </c>
      <c r="K72" s="149" t="str">
        <f>IF('Budgeting Model'!K72="","",'Budgeting Model'!K72)</f>
        <v/>
      </c>
      <c r="L72" s="127">
        <f t="shared" ca="1" si="1"/>
        <v>44743</v>
      </c>
      <c r="M72" s="149" t="str">
        <f>IF('Budgeting Model'!M72="","",'Budgeting Model'!M72)</f>
        <v/>
      </c>
      <c r="N72" s="127">
        <f ca="1">IF(M72="",IFERROR(VLOOKUP($D72,'Employee Master'!$A:$F,6,FALSE)+365,""),M72)</f>
        <v>44934</v>
      </c>
      <c r="O72" s="149" t="str">
        <f>IF('Budgeting Model'!O72="","",'Budgeting Model'!O72)</f>
        <v/>
      </c>
      <c r="P72" s="127">
        <f t="shared" ca="1" si="13"/>
        <v>45107</v>
      </c>
      <c r="Q72" s="131">
        <f t="shared" ca="1" si="2"/>
        <v>136</v>
      </c>
      <c r="R72" s="131">
        <f t="shared" ca="1" si="3"/>
        <v>125</v>
      </c>
      <c r="S72" s="131">
        <f t="shared" ca="1" si="14"/>
        <v>261</v>
      </c>
      <c r="T72" s="158">
        <f t="shared" ca="1" si="15"/>
        <v>75618.974589441976</v>
      </c>
      <c r="U72" s="156">
        <f t="shared" ca="1" si="4"/>
        <v>75618.974589441976</v>
      </c>
      <c r="V72" s="130">
        <f t="shared" ca="1" si="5"/>
        <v>14487.003552924674</v>
      </c>
      <c r="W72" s="77"/>
      <c r="X72" s="149" t="str">
        <f>IF('Budgeting Model'!X72="","",'Budgeting Model'!X72)</f>
        <v/>
      </c>
      <c r="Y72" s="130">
        <f t="shared" ca="1" si="23"/>
        <v>77165.467904353878</v>
      </c>
      <c r="Z72" s="149" t="str">
        <f>IF('Budgeting Model'!Z72="","",'Budgeting Model'!Z72)</f>
        <v/>
      </c>
      <c r="AA72" s="127">
        <f t="shared" ca="1" si="7"/>
        <v>44743</v>
      </c>
      <c r="AB72" s="149" t="str">
        <f>IF('Budgeting Model'!AB72="","",'Budgeting Model'!AB72)</f>
        <v/>
      </c>
      <c r="AC72" s="127">
        <f ca="1">IF(AB72="",IFERROR(VLOOKUP($D72,'Employee Master'!$A:$F,6,FALSE)+365,""),AB72)</f>
        <v>44934</v>
      </c>
      <c r="AD72" s="149"/>
      <c r="AE72" s="127">
        <f t="shared" ca="1" si="16"/>
        <v>45107</v>
      </c>
      <c r="AF72" s="131">
        <f t="shared" ca="1" si="25"/>
        <v>136</v>
      </c>
      <c r="AG72" s="131">
        <f t="shared" ca="1" si="26"/>
        <v>125</v>
      </c>
      <c r="AH72" s="131">
        <f t="shared" ca="1" si="19"/>
        <v>261</v>
      </c>
      <c r="AI72" s="158">
        <f t="shared" ca="1" si="8"/>
        <v>75618.974589441976</v>
      </c>
      <c r="AJ72" s="156">
        <f t="shared" ca="1" si="9"/>
        <v>75618.974589441976</v>
      </c>
      <c r="AK72" s="130">
        <f t="shared" ca="1" si="21"/>
        <v>14487.003552924674</v>
      </c>
      <c r="AL72" s="78"/>
      <c r="AM72" s="130">
        <f t="shared" ca="1" si="11"/>
        <v>0</v>
      </c>
      <c r="AN72" s="130">
        <f t="shared" ca="1" si="20"/>
        <v>0</v>
      </c>
      <c r="AO72" s="130">
        <f t="shared" ca="1" si="24"/>
        <v>0</v>
      </c>
      <c r="AP72" s="130">
        <f t="shared" ca="1" si="24"/>
        <v>0</v>
      </c>
    </row>
    <row r="73" spans="1:42" ht="16.5" thickBot="1">
      <c r="A73" s="92" t="s">
        <v>131</v>
      </c>
      <c r="B73" s="124" t="str">
        <f>IFERROR(VLOOKUP($A73,'Position Master'!B:C,2,FALSE),"Missing")</f>
        <v>Dept 7</v>
      </c>
      <c r="C73" s="98" t="str">
        <f ca="1">IFERROR(VLOOKUP($D73,'Employee Master'!$A:$F,3,FALSE)&amp;", "&amp;VLOOKUP($D73,'Employee Master'!$A:$F,2,FALSE),"Vacant")</f>
        <v>Mathur, Shadman</v>
      </c>
      <c r="D73" s="98">
        <f>IF(INDEX('Position Master'!$A$7:$A$97,MATCH(A73,'Position Master'!$B$7:$B$97,0))=0,"Vacant",INDEX('Position Master'!$A$7:$A$97,MATCH(A73,'Position Master'!$B$7:$B$97,0)))</f>
        <v>7158061</v>
      </c>
      <c r="E73" s="156">
        <f ca="1">IFERROR(VLOOKUP(D73,'Employee Master'!A:F,5,FALSE),"")</f>
        <v>65432.306672875085</v>
      </c>
      <c r="F73" s="157" t="str">
        <f ca="1">IF(C73="Vacant","No",IF(AND(VLOOKUP(D73,'Employee Master'!A:F,6,FALSE)+360&lt;B$4,VLOOKUP(D73,'Employee Master'!A:F,6,FALSE)+360&lt;B67),"Yes","No"))</f>
        <v>Yes</v>
      </c>
      <c r="G73" s="156">
        <f ca="1">IF(C73="Vacant",VLOOKUP(A73,'Position Master'!B:D,3,FALSE),E73)*(1+IF(F73="Yes",F$8,0))</f>
        <v>67395.275873061342</v>
      </c>
      <c r="H73" s="125"/>
      <c r="I73" s="182" t="str">
        <f>IF('Budgeting Model'!I73="","",'Budgeting Model'!I73)</f>
        <v/>
      </c>
      <c r="J73" s="130">
        <f t="shared" ca="1" si="22"/>
        <v>70091.086907983801</v>
      </c>
      <c r="K73" s="149" t="str">
        <f>IF('Budgeting Model'!K73="","",'Budgeting Model'!K73)</f>
        <v/>
      </c>
      <c r="L73" s="127">
        <f t="shared" ca="1" si="1"/>
        <v>44743</v>
      </c>
      <c r="M73" s="149" t="str">
        <f>IF('Budgeting Model'!M73="","",'Budgeting Model'!M73)</f>
        <v/>
      </c>
      <c r="N73" s="127">
        <f ca="1">IF(M73="",IFERROR(VLOOKUP($D73,'Employee Master'!$A:$F,6,FALSE)+365,""),M73)</f>
        <v>44817</v>
      </c>
      <c r="O73" s="149" t="str">
        <f>IF('Budgeting Model'!O73="","",'Budgeting Model'!O73)</f>
        <v/>
      </c>
      <c r="P73" s="127">
        <f t="shared" ca="1" si="13"/>
        <v>45107</v>
      </c>
      <c r="Q73" s="131">
        <f t="shared" ca="1" si="2"/>
        <v>52</v>
      </c>
      <c r="R73" s="131">
        <f t="shared" ca="1" si="3"/>
        <v>209</v>
      </c>
      <c r="S73" s="131">
        <f t="shared" ca="1" si="14"/>
        <v>261</v>
      </c>
      <c r="T73" s="158">
        <f t="shared" ca="1" si="15"/>
        <v>69553.990456581625</v>
      </c>
      <c r="U73" s="156">
        <f t="shared" ca="1" si="4"/>
        <v>69553.990456581625</v>
      </c>
      <c r="V73" s="130">
        <f t="shared" ca="1" si="5"/>
        <v>13158.863059353282</v>
      </c>
      <c r="W73" s="77"/>
      <c r="X73" s="149" t="str">
        <f>IF('Budgeting Model'!X73="","",'Budgeting Model'!X73)</f>
        <v/>
      </c>
      <c r="Y73" s="130">
        <f t="shared" ca="1" si="23"/>
        <v>70091.086907983801</v>
      </c>
      <c r="Z73" s="149" t="str">
        <f>IF('Budgeting Model'!Z73="","",'Budgeting Model'!Z73)</f>
        <v/>
      </c>
      <c r="AA73" s="127">
        <f t="shared" ca="1" si="7"/>
        <v>44743</v>
      </c>
      <c r="AB73" s="149" t="str">
        <f>IF('Budgeting Model'!AB73="","",'Budgeting Model'!AB73)</f>
        <v/>
      </c>
      <c r="AC73" s="127">
        <f ca="1">IF(AB73="",IFERROR(VLOOKUP($D73,'Employee Master'!$A:$F,6,FALSE)+365,""),AB73)</f>
        <v>44817</v>
      </c>
      <c r="AD73" s="149"/>
      <c r="AE73" s="127">
        <f t="shared" ca="1" si="16"/>
        <v>45107</v>
      </c>
      <c r="AF73" s="131">
        <f t="shared" ca="1" si="25"/>
        <v>52</v>
      </c>
      <c r="AG73" s="131">
        <f t="shared" ca="1" si="26"/>
        <v>209</v>
      </c>
      <c r="AH73" s="131">
        <f t="shared" ca="1" si="19"/>
        <v>261</v>
      </c>
      <c r="AI73" s="158">
        <f t="shared" ca="1" si="8"/>
        <v>69553.990456581625</v>
      </c>
      <c r="AJ73" s="156">
        <f t="shared" ca="1" si="9"/>
        <v>69553.990456581625</v>
      </c>
      <c r="AK73" s="130">
        <f t="shared" ca="1" si="21"/>
        <v>13158.863059353282</v>
      </c>
      <c r="AL73" s="78"/>
      <c r="AM73" s="130">
        <f t="shared" ca="1" si="11"/>
        <v>0</v>
      </c>
      <c r="AN73" s="130">
        <f t="shared" ca="1" si="20"/>
        <v>0</v>
      </c>
      <c r="AO73" s="130">
        <f t="shared" ca="1" si="24"/>
        <v>0</v>
      </c>
      <c r="AP73" s="130">
        <f t="shared" ca="1" si="24"/>
        <v>0</v>
      </c>
    </row>
    <row r="74" spans="1:42" ht="16.5" thickBot="1">
      <c r="A74" s="92" t="s">
        <v>132</v>
      </c>
      <c r="B74" s="124" t="str">
        <f>IFERROR(VLOOKUP($A74,'Position Master'!B:C,2,FALSE),"Missing")</f>
        <v>Dept 3</v>
      </c>
      <c r="C74" s="98" t="str">
        <f ca="1">IFERROR(VLOOKUP($D74,'Employee Master'!$A:$F,3,FALSE)&amp;", "&amp;VLOOKUP($D74,'Employee Master'!$A:$F,2,FALSE),"Vacant")</f>
        <v>Mei, Amanda</v>
      </c>
      <c r="D74" s="98">
        <f>IF(INDEX('Position Master'!$A$7:$A$97,MATCH(A74,'Position Master'!$B$7:$B$97,0))=0,"Vacant",INDEX('Position Master'!$A$7:$A$97,MATCH(A74,'Position Master'!$B$7:$B$97,0)))</f>
        <v>7481703</v>
      </c>
      <c r="E74" s="156">
        <f ca="1">IFERROR(VLOOKUP(D74,'Employee Master'!A:F,5,FALSE),"")</f>
        <v>41554.187361475633</v>
      </c>
      <c r="F74" s="157" t="str">
        <f ca="1">IF(C74="Vacant","No",IF(AND(VLOOKUP(D74,'Employee Master'!A:F,6,FALSE)+360&lt;B$4,VLOOKUP(D74,'Employee Master'!A:F,6,FALSE)+360&lt;B68),"Yes","No"))</f>
        <v>Yes</v>
      </c>
      <c r="G74" s="156">
        <f ca="1">IF(C74="Vacant",VLOOKUP(A74,'Position Master'!B:D,3,FALSE),E74)*(1+IF(F74="Yes",F$8,0))</f>
        <v>42800.812982319905</v>
      </c>
      <c r="H74" s="125"/>
      <c r="I74" s="182" t="str">
        <f>IF('Budgeting Model'!I74="","",'Budgeting Model'!I74)</f>
        <v/>
      </c>
      <c r="J74" s="130">
        <f t="shared" ca="1" si="22"/>
        <v>44512.845501612705</v>
      </c>
      <c r="K74" s="149" t="str">
        <f>IF('Budgeting Model'!K74="","",'Budgeting Model'!K74)</f>
        <v/>
      </c>
      <c r="L74" s="127">
        <f t="shared" ca="1" si="1"/>
        <v>44743</v>
      </c>
      <c r="M74" s="149" t="str">
        <f>IF('Budgeting Model'!M74="","",'Budgeting Model'!M74)</f>
        <v/>
      </c>
      <c r="N74" s="127">
        <f ca="1">IF(M74="",IFERROR(VLOOKUP($D74,'Employee Master'!$A:$F,6,FALSE)+365,""),M74)</f>
        <v>44956</v>
      </c>
      <c r="O74" s="149" t="str">
        <f>IF('Budgeting Model'!O74="","",'Budgeting Model'!O74)</f>
        <v/>
      </c>
      <c r="P74" s="127">
        <f t="shared" ca="1" si="13"/>
        <v>45107</v>
      </c>
      <c r="Q74" s="131">
        <f t="shared" ca="1" si="2"/>
        <v>151</v>
      </c>
      <c r="R74" s="131">
        <f t="shared" ca="1" si="3"/>
        <v>110</v>
      </c>
      <c r="S74" s="131">
        <f t="shared" ca="1" si="14"/>
        <v>261</v>
      </c>
      <c r="T74" s="158">
        <f t="shared" ca="1" si="15"/>
        <v>43522.359254818788</v>
      </c>
      <c r="U74" s="156">
        <f t="shared" ca="1" si="4"/>
        <v>43522.359254818788</v>
      </c>
      <c r="V74" s="130">
        <f t="shared" ca="1" si="5"/>
        <v>8356.8177378506607</v>
      </c>
      <c r="W74" s="77"/>
      <c r="X74" s="149" t="str">
        <f>IF('Budgeting Model'!X74="","",'Budgeting Model'!X74)</f>
        <v/>
      </c>
      <c r="Y74" s="130">
        <f t="shared" ca="1" si="23"/>
        <v>44512.845501612705</v>
      </c>
      <c r="Z74" s="149" t="str">
        <f>IF('Budgeting Model'!Z74="","",'Budgeting Model'!Z74)</f>
        <v/>
      </c>
      <c r="AA74" s="127">
        <f t="shared" ca="1" si="7"/>
        <v>44743</v>
      </c>
      <c r="AB74" s="149" t="str">
        <f>IF('Budgeting Model'!AB74="","",'Budgeting Model'!AB74)</f>
        <v/>
      </c>
      <c r="AC74" s="127">
        <f ca="1">IF(AB74="",IFERROR(VLOOKUP($D74,'Employee Master'!$A:$F,6,FALSE)+365,""),AB74)</f>
        <v>44956</v>
      </c>
      <c r="AD74" s="149"/>
      <c r="AE74" s="127">
        <f t="shared" ca="1" si="16"/>
        <v>45107</v>
      </c>
      <c r="AF74" s="131">
        <f t="shared" ca="1" si="25"/>
        <v>151</v>
      </c>
      <c r="AG74" s="131">
        <f t="shared" ca="1" si="26"/>
        <v>110</v>
      </c>
      <c r="AH74" s="131">
        <f t="shared" ca="1" si="19"/>
        <v>261</v>
      </c>
      <c r="AI74" s="158">
        <f t="shared" ca="1" si="8"/>
        <v>43522.359254818788</v>
      </c>
      <c r="AJ74" s="156">
        <f t="shared" ca="1" si="9"/>
        <v>43522.359254818788</v>
      </c>
      <c r="AK74" s="130">
        <f t="shared" ca="1" si="21"/>
        <v>8356.8177378506607</v>
      </c>
      <c r="AL74" s="78"/>
      <c r="AM74" s="130">
        <f t="shared" ca="1" si="11"/>
        <v>0</v>
      </c>
      <c r="AN74" s="130">
        <f t="shared" ca="1" si="20"/>
        <v>0</v>
      </c>
      <c r="AO74" s="130">
        <f t="shared" ca="1" si="24"/>
        <v>0</v>
      </c>
      <c r="AP74" s="130">
        <f t="shared" ca="1" si="24"/>
        <v>0</v>
      </c>
    </row>
    <row r="75" spans="1:42" ht="16.5" thickBot="1">
      <c r="A75" s="92" t="s">
        <v>133</v>
      </c>
      <c r="B75" s="124" t="str">
        <f>IFERROR(VLOOKUP($A75,'Position Master'!B:C,2,FALSE),"Missing")</f>
        <v>Dept 11</v>
      </c>
      <c r="C75" s="98" t="str">
        <f ca="1">IFERROR(VLOOKUP($D75,'Employee Master'!$A:$F,3,FALSE)&amp;", "&amp;VLOOKUP($D75,'Employee Master'!$A:$F,2,FALSE),"Vacant")</f>
        <v>Moon, Prokhor</v>
      </c>
      <c r="D75" s="98">
        <f>IF(INDEX('Position Master'!$A$7:$A$97,MATCH(A75,'Position Master'!$B$7:$B$97,0))=0,"Vacant",INDEX('Position Master'!$A$7:$A$97,MATCH(A75,'Position Master'!$B$7:$B$97,0)))</f>
        <v>7684611</v>
      </c>
      <c r="E75" s="156">
        <f ca="1">IFERROR(VLOOKUP(D75,'Employee Master'!A:F,5,FALSE),"")</f>
        <v>50324.920437202782</v>
      </c>
      <c r="F75" s="157" t="str">
        <f ca="1">IF(C75="Vacant","No",IF(AND(VLOOKUP(D75,'Employee Master'!A:F,6,FALSE)+360&lt;B$4,VLOOKUP(D75,'Employee Master'!A:F,6,FALSE)+360&lt;B69),"Yes","No"))</f>
        <v>Yes</v>
      </c>
      <c r="G75" s="156">
        <f ca="1">IF(C75="Vacant",VLOOKUP(A75,'Position Master'!B:D,3,FALSE),E75)*(1+IF(F75="Yes",F$8,0))</f>
        <v>51834.668050318869</v>
      </c>
      <c r="H75" s="125"/>
      <c r="I75" s="182" t="str">
        <f>IF('Budgeting Model'!I75="","",'Budgeting Model'!I75)</f>
        <v/>
      </c>
      <c r="J75" s="130">
        <f t="shared" ref="J75:J100" ca="1" si="27">$G75*(1+IF(I75="",$G$8,I75))</f>
        <v>53908.054772331627</v>
      </c>
      <c r="K75" s="149" t="str">
        <f>IF('Budgeting Model'!K75="","",'Budgeting Model'!K75)</f>
        <v/>
      </c>
      <c r="L75" s="127">
        <f t="shared" ref="L75:L100" ca="1" si="28">IF(K75="",IF($D75="Vacant",$B$5+90,$B$5),K75)</f>
        <v>44743</v>
      </c>
      <c r="M75" s="149" t="str">
        <f>IF('Budgeting Model'!M75="","",'Budgeting Model'!M75)</f>
        <v/>
      </c>
      <c r="N75" s="127">
        <f ca="1">IF(M75="",IFERROR(VLOOKUP($D75,'Employee Master'!$A:$F,6,FALSE)+365,""),M75)</f>
        <v>44761</v>
      </c>
      <c r="O75" s="149" t="str">
        <f>IF('Budgeting Model'!O75="","",'Budgeting Model'!O75)</f>
        <v/>
      </c>
      <c r="P75" s="127">
        <f t="shared" ca="1" si="13"/>
        <v>45107</v>
      </c>
      <c r="Q75" s="131">
        <f t="shared" ref="Q75:Q100" ca="1" si="29">IF(N75="",NETWORKDAYS(L75,P75),NETWORKDAYS(L75,N75-1))</f>
        <v>12</v>
      </c>
      <c r="R75" s="131">
        <f t="shared" ref="R75:R100" ca="1" si="30">IF(N75="",0,NETWORKDAYS(N75,P75))</f>
        <v>249</v>
      </c>
      <c r="S75" s="131">
        <f t="shared" ca="1" si="14"/>
        <v>261</v>
      </c>
      <c r="T75" s="158">
        <f t="shared" ca="1" si="15"/>
        <v>53812.726647181618</v>
      </c>
      <c r="U75" s="156">
        <f t="shared" ref="U75:U100" ca="1" si="31">G75*Q75/$B$7+J75*R75/$B$7</f>
        <v>53812.726647181618</v>
      </c>
      <c r="V75" s="130">
        <f t="shared" ref="V75:V100" ca="1" si="32">IF($B$4&gt;P75,0,IF(OR(N75="",$B$4&lt;L75),U75,IF($B$4&lt;N75,NETWORKDAYS($B$4,N75-1)*$G75/$B$7+R75*J75/$B$7,NETWORKDAYS($B$4,P75)*J75/$B$7)))</f>
        <v>10120.669286759578</v>
      </c>
      <c r="W75" s="77"/>
      <c r="X75" s="149" t="str">
        <f>IF('Budgeting Model'!X75="","",'Budgeting Model'!X75)</f>
        <v/>
      </c>
      <c r="Y75" s="130">
        <f t="shared" ref="Y75:Y100" ca="1" si="33">$G75*(1+IF(X75="",$G$8,X75))</f>
        <v>53908.054772331627</v>
      </c>
      <c r="Z75" s="149" t="str">
        <f>IF('Budgeting Model'!Z75="","",'Budgeting Model'!Z75)</f>
        <v/>
      </c>
      <c r="AA75" s="127">
        <f t="shared" ref="AA75:AA100" ca="1" si="34">IF(Z75="",IF($D75="Vacant",$B$5+90,$B$5),Z75)</f>
        <v>44743</v>
      </c>
      <c r="AB75" s="149" t="str">
        <f>IF('Budgeting Model'!AB75="","",'Budgeting Model'!AB75)</f>
        <v/>
      </c>
      <c r="AC75" s="127">
        <f ca="1">IF(AB75="",IFERROR(VLOOKUP($D75,'Employee Master'!$A:$F,6,FALSE)+365,""),AB75)</f>
        <v>44761</v>
      </c>
      <c r="AD75" s="149"/>
      <c r="AE75" s="127">
        <f t="shared" ca="1" si="16"/>
        <v>45107</v>
      </c>
      <c r="AF75" s="131">
        <f t="shared" ca="1" si="25"/>
        <v>12</v>
      </c>
      <c r="AG75" s="131">
        <f t="shared" ca="1" si="26"/>
        <v>249</v>
      </c>
      <c r="AH75" s="131">
        <f t="shared" ca="1" si="19"/>
        <v>261</v>
      </c>
      <c r="AI75" s="158">
        <f t="shared" ref="AI75:AI100" ca="1" si="35">G75*AF75/AH75+Y75*AG75/AH75</f>
        <v>53812.726647181618</v>
      </c>
      <c r="AJ75" s="156">
        <f t="shared" ref="AJ75:AJ100" ca="1" si="36">G75*AF75/$B$7+Y75*AG75/$B$7</f>
        <v>53812.726647181618</v>
      </c>
      <c r="AK75" s="130">
        <f t="shared" ca="1" si="21"/>
        <v>10120.669286759578</v>
      </c>
      <c r="AL75" s="78"/>
      <c r="AM75" s="130">
        <f t="shared" ref="AM75:AM100" ca="1" si="37">AI75-T75</f>
        <v>0</v>
      </c>
      <c r="AN75" s="130">
        <f t="shared" ca="1" si="20"/>
        <v>0</v>
      </c>
      <c r="AO75" s="130">
        <f t="shared" ref="AO75:AP100" ca="1" si="38">AJ75-U75</f>
        <v>0</v>
      </c>
      <c r="AP75" s="130">
        <f t="shared" ca="1" si="38"/>
        <v>0</v>
      </c>
    </row>
    <row r="76" spans="1:42" ht="16.5" thickBot="1">
      <c r="A76" s="92" t="s">
        <v>134</v>
      </c>
      <c r="B76" s="124" t="str">
        <f>IFERROR(VLOOKUP($A76,'Position Master'!B:C,2,FALSE),"Missing")</f>
        <v>Dept 6</v>
      </c>
      <c r="C76" s="98" t="str">
        <f ca="1">IFERROR(VLOOKUP($D76,'Employee Master'!$A:$F,3,FALSE)&amp;", "&amp;VLOOKUP($D76,'Employee Master'!$A:$F,2,FALSE),"Vacant")</f>
        <v>Vacant</v>
      </c>
      <c r="D76" s="98" t="str">
        <f>IF(INDEX('Position Master'!$A$7:$A$97,MATCH(A76,'Position Master'!$B$7:$B$97,0))=0,"Vacant",INDEX('Position Master'!$A$7:$A$97,MATCH(A76,'Position Master'!$B$7:$B$97,0)))</f>
        <v>Vacant</v>
      </c>
      <c r="E76" s="156" t="str">
        <f ca="1">IFERROR(VLOOKUP(D76,'Employee Master'!A:F,5,FALSE),"")</f>
        <v/>
      </c>
      <c r="F76" s="157" t="str">
        <f ca="1">IF(C76="Vacant","No",IF(AND(VLOOKUP(D76,'Employee Master'!A:F,6,FALSE)+360&lt;B$4,VLOOKUP(D76,'Employee Master'!A:F,6,FALSE)+360&lt;B70),"Yes","No"))</f>
        <v>No</v>
      </c>
      <c r="G76" s="156">
        <f ca="1">IF(C76="Vacant",VLOOKUP(A76,'Position Master'!B:D,3,FALSE),E76)*(1+IF(F76="Yes",F$8,0))</f>
        <v>59992.331119620794</v>
      </c>
      <c r="H76" s="125"/>
      <c r="I76" s="182" t="str">
        <f>IF('Budgeting Model'!I76="","",'Budgeting Model'!I76)</f>
        <v/>
      </c>
      <c r="J76" s="130">
        <f t="shared" ca="1" si="27"/>
        <v>62392.024364405625</v>
      </c>
      <c r="K76" s="149" t="str">
        <f>IF('Budgeting Model'!K76="","",'Budgeting Model'!K76)</f>
        <v/>
      </c>
      <c r="L76" s="127">
        <f t="shared" ca="1" si="28"/>
        <v>44833</v>
      </c>
      <c r="M76" s="149" t="str">
        <f>IF('Budgeting Model'!M76="","",'Budgeting Model'!M76)</f>
        <v/>
      </c>
      <c r="N76" s="127" t="str">
        <f ca="1">IF(M76="",IFERROR(VLOOKUP($D76,'Employee Master'!$A:$F,6,FALSE)+365,""),M76)</f>
        <v/>
      </c>
      <c r="O76" s="149" t="str">
        <f>IF('Budgeting Model'!O76="","",'Budgeting Model'!O76)</f>
        <v/>
      </c>
      <c r="P76" s="127">
        <f t="shared" ref="P76:P100" ca="1" si="39">IF(O76="",$B$6,O76)</f>
        <v>45107</v>
      </c>
      <c r="Q76" s="131">
        <f t="shared" ca="1" si="29"/>
        <v>197</v>
      </c>
      <c r="R76" s="131">
        <f t="shared" ca="1" si="30"/>
        <v>0</v>
      </c>
      <c r="S76" s="131">
        <f t="shared" ref="S76:S100" ca="1" si="40">Q76+R76</f>
        <v>197</v>
      </c>
      <c r="T76" s="158">
        <f t="shared" ref="T76:T100" ca="1" si="41">G76*Q76/S76+J76*R76/S76</f>
        <v>59992.331119620794</v>
      </c>
      <c r="U76" s="156">
        <f t="shared" ca="1" si="31"/>
        <v>45281.567933200371</v>
      </c>
      <c r="V76" s="130">
        <f t="shared" ca="1" si="32"/>
        <v>45281.567933200371</v>
      </c>
      <c r="W76" s="77"/>
      <c r="X76" s="149" t="str">
        <f>IF('Budgeting Model'!X76="","",'Budgeting Model'!X76)</f>
        <v/>
      </c>
      <c r="Y76" s="130">
        <f t="shared" ca="1" si="33"/>
        <v>62392.024364405625</v>
      </c>
      <c r="Z76" s="149" t="str">
        <f>IF('Budgeting Model'!Z76="","",'Budgeting Model'!Z76)</f>
        <v/>
      </c>
      <c r="AA76" s="127">
        <f t="shared" ca="1" si="34"/>
        <v>44833</v>
      </c>
      <c r="AB76" s="149" t="str">
        <f>IF('Budgeting Model'!AB76="","",'Budgeting Model'!AB76)</f>
        <v/>
      </c>
      <c r="AC76" s="127" t="str">
        <f ca="1">IF(AB76="",IFERROR(VLOOKUP($D76,'Employee Master'!$A:$F,6,FALSE)+365,""),AB76)</f>
        <v/>
      </c>
      <c r="AD76" s="149"/>
      <c r="AE76" s="127">
        <f t="shared" ref="AE76:AE100" ca="1" si="42">IF(AD76="",$B$6,AD76)</f>
        <v>45107</v>
      </c>
      <c r="AF76" s="131">
        <f t="shared" ca="1" si="25"/>
        <v>197</v>
      </c>
      <c r="AG76" s="131">
        <f t="shared" ca="1" si="26"/>
        <v>0</v>
      </c>
      <c r="AH76" s="131">
        <f t="shared" ref="AH76:AH100" ca="1" si="43">AF76+AG76</f>
        <v>197</v>
      </c>
      <c r="AI76" s="158">
        <f t="shared" ca="1" si="35"/>
        <v>59992.331119620794</v>
      </c>
      <c r="AJ76" s="156">
        <f t="shared" ca="1" si="36"/>
        <v>45281.567933200371</v>
      </c>
      <c r="AK76" s="130">
        <f t="shared" ca="1" si="21"/>
        <v>45281.567933200371</v>
      </c>
      <c r="AL76" s="78"/>
      <c r="AM76" s="130">
        <f t="shared" ca="1" si="37"/>
        <v>0</v>
      </c>
      <c r="AN76" s="130">
        <f t="shared" ref="AN76:AN100" ca="1" si="44">AO76-AM76</f>
        <v>0</v>
      </c>
      <c r="AO76" s="130">
        <f t="shared" ca="1" si="38"/>
        <v>0</v>
      </c>
      <c r="AP76" s="130">
        <f t="shared" ca="1" si="38"/>
        <v>0</v>
      </c>
    </row>
    <row r="77" spans="1:42" ht="16.5" thickBot="1">
      <c r="A77" s="92" t="s">
        <v>135</v>
      </c>
      <c r="B77" s="124" t="str">
        <f>IFERROR(VLOOKUP($A77,'Position Master'!B:C,2,FALSE),"Missing")</f>
        <v>Dept 9</v>
      </c>
      <c r="C77" s="98" t="str">
        <f ca="1">IFERROR(VLOOKUP($D77,'Employee Master'!$A:$F,3,FALSE)&amp;", "&amp;VLOOKUP($D77,'Employee Master'!$A:$F,2,FALSE),"Vacant")</f>
        <v>Vacant</v>
      </c>
      <c r="D77" s="98" t="str">
        <f>IF(INDEX('Position Master'!$A$7:$A$97,MATCH(A77,'Position Master'!$B$7:$B$97,0))=0,"Vacant",INDEX('Position Master'!$A$7:$A$97,MATCH(A77,'Position Master'!$B$7:$B$97,0)))</f>
        <v>Vacant</v>
      </c>
      <c r="E77" s="156" t="str">
        <f ca="1">IFERROR(VLOOKUP(D77,'Employee Master'!A:F,5,FALSE),"")</f>
        <v/>
      </c>
      <c r="F77" s="157" t="str">
        <f ca="1">IF(C77="Vacant","No",IF(AND(VLOOKUP(D77,'Employee Master'!A:F,6,FALSE)+360&lt;B$4,VLOOKUP(D77,'Employee Master'!A:F,6,FALSE)+360&lt;B71),"Yes","No"))</f>
        <v>No</v>
      </c>
      <c r="G77" s="156">
        <f ca="1">IF(C77="Vacant",VLOOKUP(A77,'Position Master'!B:D,3,FALSE),E77)*(1+IF(F77="Yes",F$8,0))</f>
        <v>62985.741122919208</v>
      </c>
      <c r="H77" s="125"/>
      <c r="I77" s="182" t="str">
        <f>IF('Budgeting Model'!I77="","",'Budgeting Model'!I77)</f>
        <v/>
      </c>
      <c r="J77" s="130">
        <f t="shared" ca="1" si="27"/>
        <v>65505.170767835982</v>
      </c>
      <c r="K77" s="149" t="str">
        <f>IF('Budgeting Model'!K77="","",'Budgeting Model'!K77)</f>
        <v/>
      </c>
      <c r="L77" s="127">
        <f t="shared" ca="1" si="28"/>
        <v>44833</v>
      </c>
      <c r="M77" s="149" t="str">
        <f>IF('Budgeting Model'!M77="","",'Budgeting Model'!M77)</f>
        <v/>
      </c>
      <c r="N77" s="127" t="str">
        <f ca="1">IF(M77="",IFERROR(VLOOKUP($D77,'Employee Master'!$A:$F,6,FALSE)+365,""),M77)</f>
        <v/>
      </c>
      <c r="O77" s="149" t="str">
        <f>IF('Budgeting Model'!O77="","",'Budgeting Model'!O77)</f>
        <v/>
      </c>
      <c r="P77" s="127">
        <f t="shared" ca="1" si="39"/>
        <v>45107</v>
      </c>
      <c r="Q77" s="131">
        <f t="shared" ca="1" si="29"/>
        <v>197</v>
      </c>
      <c r="R77" s="131">
        <f t="shared" ca="1" si="30"/>
        <v>0</v>
      </c>
      <c r="S77" s="131">
        <f t="shared" ca="1" si="40"/>
        <v>197</v>
      </c>
      <c r="T77" s="158">
        <f t="shared" ca="1" si="41"/>
        <v>62985.741122919208</v>
      </c>
      <c r="U77" s="156">
        <f t="shared" ca="1" si="31"/>
        <v>47540.961690479249</v>
      </c>
      <c r="V77" s="130">
        <f t="shared" ca="1" si="32"/>
        <v>47540.961690479249</v>
      </c>
      <c r="W77" s="77"/>
      <c r="X77" s="149" t="str">
        <f>IF('Budgeting Model'!X77="","",'Budgeting Model'!X77)</f>
        <v/>
      </c>
      <c r="Y77" s="130">
        <f t="shared" ca="1" si="33"/>
        <v>65505.170767835982</v>
      </c>
      <c r="Z77" s="149" t="str">
        <f>IF('Budgeting Model'!Z77="","",'Budgeting Model'!Z77)</f>
        <v/>
      </c>
      <c r="AA77" s="127">
        <f t="shared" ca="1" si="34"/>
        <v>44833</v>
      </c>
      <c r="AB77" s="149" t="str">
        <f>IF('Budgeting Model'!AB77="","",'Budgeting Model'!AB77)</f>
        <v/>
      </c>
      <c r="AC77" s="127" t="str">
        <f ca="1">IF(AB77="",IFERROR(VLOOKUP($D77,'Employee Master'!$A:$F,6,FALSE)+365,""),AB77)</f>
        <v/>
      </c>
      <c r="AD77" s="149"/>
      <c r="AE77" s="127">
        <f t="shared" ca="1" si="42"/>
        <v>45107</v>
      </c>
      <c r="AF77" s="131">
        <f t="shared" ca="1" si="25"/>
        <v>197</v>
      </c>
      <c r="AG77" s="131">
        <f t="shared" ca="1" si="26"/>
        <v>0</v>
      </c>
      <c r="AH77" s="131">
        <f t="shared" ca="1" si="43"/>
        <v>197</v>
      </c>
      <c r="AI77" s="158">
        <f t="shared" ca="1" si="35"/>
        <v>62985.741122919208</v>
      </c>
      <c r="AJ77" s="156">
        <f t="shared" ca="1" si="36"/>
        <v>47540.961690479249</v>
      </c>
      <c r="AK77" s="130">
        <f t="shared" ref="AK77:AK100" ca="1" si="45">IF($B$4&gt;AE77,0,IF(OR(AC77="",$B$4&lt;AA77),AJ77,IF($B$4&lt;AC77,NETWORKDAYS($B$4,AC77-1)*$G77/$B$7+AG77*Y77/$B$7,NETWORKDAYS($B$4,AE77)*Y77/$B$7)))</f>
        <v>47540.961690479249</v>
      </c>
      <c r="AL77" s="78"/>
      <c r="AM77" s="130">
        <f t="shared" ca="1" si="37"/>
        <v>0</v>
      </c>
      <c r="AN77" s="130">
        <f t="shared" ca="1" si="44"/>
        <v>0</v>
      </c>
      <c r="AO77" s="130">
        <f t="shared" ca="1" si="38"/>
        <v>0</v>
      </c>
      <c r="AP77" s="130">
        <f t="shared" ca="1" si="38"/>
        <v>0</v>
      </c>
    </row>
    <row r="78" spans="1:42" ht="16.5" thickBot="1">
      <c r="A78" s="92" t="s">
        <v>136</v>
      </c>
      <c r="B78" s="124" t="str">
        <f>IFERROR(VLOOKUP($A78,'Position Master'!B:C,2,FALSE),"Missing")</f>
        <v>Dept 2</v>
      </c>
      <c r="C78" s="98" t="str">
        <f ca="1">IFERROR(VLOOKUP($D78,'Employee Master'!$A:$F,3,FALSE)&amp;", "&amp;VLOOKUP($D78,'Employee Master'!$A:$F,2,FALSE),"Vacant")</f>
        <v>Nabatian, David</v>
      </c>
      <c r="D78" s="98">
        <f>IF(INDEX('Position Master'!$A$7:$A$97,MATCH(A78,'Position Master'!$B$7:$B$97,0))=0,"Vacant",INDEX('Position Master'!$A$7:$A$97,MATCH(A78,'Position Master'!$B$7:$B$97,0)))</f>
        <v>7777919</v>
      </c>
      <c r="E78" s="156">
        <f ca="1">IFERROR(VLOOKUP(D78,'Employee Master'!A:F,5,FALSE),"")</f>
        <v>44636.404484090825</v>
      </c>
      <c r="F78" s="157" t="str">
        <f ca="1">IF(C78="Vacant","No",IF(AND(VLOOKUP(D78,'Employee Master'!A:F,6,FALSE)+360&lt;B$4,VLOOKUP(D78,'Employee Master'!A:F,6,FALSE)+360&lt;B72),"Yes","No"))</f>
        <v>Yes</v>
      </c>
      <c r="G78" s="156">
        <f ca="1">IF(C78="Vacant",VLOOKUP(A78,'Position Master'!B:D,3,FALSE),E78)*(1+IF(F78="Yes",F$8,0))</f>
        <v>45975.49661861355</v>
      </c>
      <c r="H78" s="125"/>
      <c r="I78" s="182" t="str">
        <f>IF('Budgeting Model'!I78="","",'Budgeting Model'!I78)</f>
        <v/>
      </c>
      <c r="J78" s="130">
        <f t="shared" ca="1" si="27"/>
        <v>47814.516483358093</v>
      </c>
      <c r="K78" s="149" t="str">
        <f>IF('Budgeting Model'!K78="","",'Budgeting Model'!K78)</f>
        <v/>
      </c>
      <c r="L78" s="127">
        <f t="shared" ca="1" si="28"/>
        <v>44743</v>
      </c>
      <c r="M78" s="149" t="str">
        <f>IF('Budgeting Model'!M78="","",'Budgeting Model'!M78)</f>
        <v/>
      </c>
      <c r="N78" s="127">
        <f ca="1">IF(M78="",IFERROR(VLOOKUP($D78,'Employee Master'!$A:$F,6,FALSE)+365,""),M78)</f>
        <v>44786</v>
      </c>
      <c r="O78" s="149" t="str">
        <f>IF('Budgeting Model'!O78="","",'Budgeting Model'!O78)</f>
        <v/>
      </c>
      <c r="P78" s="127">
        <f t="shared" ca="1" si="39"/>
        <v>45107</v>
      </c>
      <c r="Q78" s="131">
        <f t="shared" ca="1" si="29"/>
        <v>31</v>
      </c>
      <c r="R78" s="131">
        <f t="shared" ca="1" si="30"/>
        <v>230</v>
      </c>
      <c r="S78" s="131">
        <f t="shared" ca="1" si="40"/>
        <v>261</v>
      </c>
      <c r="T78" s="158">
        <f t="shared" ca="1" si="41"/>
        <v>47596.088836587667</v>
      </c>
      <c r="U78" s="156">
        <f t="shared" ca="1" si="31"/>
        <v>47596.088836587667</v>
      </c>
      <c r="V78" s="130">
        <f t="shared" ca="1" si="32"/>
        <v>8976.6716769522845</v>
      </c>
      <c r="W78" s="77"/>
      <c r="X78" s="149" t="str">
        <f>IF('Budgeting Model'!X78="","",'Budgeting Model'!X78)</f>
        <v/>
      </c>
      <c r="Y78" s="130">
        <f t="shared" ca="1" si="33"/>
        <v>47814.516483358093</v>
      </c>
      <c r="Z78" s="149" t="str">
        <f>IF('Budgeting Model'!Z78="","",'Budgeting Model'!Z78)</f>
        <v/>
      </c>
      <c r="AA78" s="127">
        <f t="shared" ca="1" si="34"/>
        <v>44743</v>
      </c>
      <c r="AB78" s="149" t="str">
        <f>IF('Budgeting Model'!AB78="","",'Budgeting Model'!AB78)</f>
        <v/>
      </c>
      <c r="AC78" s="127">
        <f ca="1">IF(AB78="",IFERROR(VLOOKUP($D78,'Employee Master'!$A:$F,6,FALSE)+365,""),AB78)</f>
        <v>44786</v>
      </c>
      <c r="AD78" s="149"/>
      <c r="AE78" s="127">
        <f t="shared" ca="1" si="42"/>
        <v>45107</v>
      </c>
      <c r="AF78" s="131">
        <f t="shared" ca="1" si="25"/>
        <v>31</v>
      </c>
      <c r="AG78" s="131">
        <f t="shared" ca="1" si="26"/>
        <v>230</v>
      </c>
      <c r="AH78" s="131">
        <f t="shared" ca="1" si="43"/>
        <v>261</v>
      </c>
      <c r="AI78" s="158">
        <f t="shared" ca="1" si="35"/>
        <v>47596.088836587667</v>
      </c>
      <c r="AJ78" s="156">
        <f t="shared" ca="1" si="36"/>
        <v>47596.088836587667</v>
      </c>
      <c r="AK78" s="130">
        <f t="shared" ca="1" si="45"/>
        <v>8976.6716769522845</v>
      </c>
      <c r="AL78" s="78"/>
      <c r="AM78" s="130">
        <f t="shared" ca="1" si="37"/>
        <v>0</v>
      </c>
      <c r="AN78" s="130">
        <f t="shared" ca="1" si="44"/>
        <v>0</v>
      </c>
      <c r="AO78" s="130">
        <f t="shared" ca="1" si="38"/>
        <v>0</v>
      </c>
      <c r="AP78" s="130">
        <f t="shared" ca="1" si="38"/>
        <v>0</v>
      </c>
    </row>
    <row r="79" spans="1:42" ht="16.5" thickBot="1">
      <c r="A79" s="92" t="s">
        <v>137</v>
      </c>
      <c r="B79" s="124" t="str">
        <f>IFERROR(VLOOKUP($A79,'Position Master'!B:C,2,FALSE),"Missing")</f>
        <v>Dept 1</v>
      </c>
      <c r="C79" s="98" t="str">
        <f ca="1">IFERROR(VLOOKUP($D79,'Employee Master'!$A:$F,3,FALSE)&amp;", "&amp;VLOOKUP($D79,'Employee Master'!$A:$F,2,FALSE),"Vacant")</f>
        <v>Nguyen, Janet</v>
      </c>
      <c r="D79" s="98">
        <f>IF(INDEX('Position Master'!$A$7:$A$97,MATCH(A79,'Position Master'!$B$7:$B$97,0))=0,"Vacant",INDEX('Position Master'!$A$7:$A$97,MATCH(A79,'Position Master'!$B$7:$B$97,0)))</f>
        <v>7839723</v>
      </c>
      <c r="E79" s="156">
        <f ca="1">IFERROR(VLOOKUP(D79,'Employee Master'!A:F,5,FALSE),"")</f>
        <v>44914.228807177737</v>
      </c>
      <c r="F79" s="157" t="str">
        <f ca="1">IF(C79="Vacant","No",IF(AND(VLOOKUP(D79,'Employee Master'!A:F,6,FALSE)+360&lt;B$4,VLOOKUP(D79,'Employee Master'!A:F,6,FALSE)+360&lt;B73),"Yes","No"))</f>
        <v>Yes</v>
      </c>
      <c r="G79" s="156">
        <f ca="1">IF(C79="Vacant",VLOOKUP(A79,'Position Master'!B:D,3,FALSE),E79)*(1+IF(F79="Yes",F$8,0))</f>
        <v>46261.655671393069</v>
      </c>
      <c r="H79" s="125"/>
      <c r="I79" s="182" t="str">
        <f>IF('Budgeting Model'!I79="","",'Budgeting Model'!I79)</f>
        <v/>
      </c>
      <c r="J79" s="130">
        <f t="shared" ca="1" si="27"/>
        <v>48112.121898248792</v>
      </c>
      <c r="K79" s="149" t="str">
        <f>IF('Budgeting Model'!K79="","",'Budgeting Model'!K79)</f>
        <v/>
      </c>
      <c r="L79" s="127">
        <f t="shared" ca="1" si="28"/>
        <v>44743</v>
      </c>
      <c r="M79" s="149" t="str">
        <f>IF('Budgeting Model'!M79="","",'Budgeting Model'!M79)</f>
        <v/>
      </c>
      <c r="N79" s="127">
        <f ca="1">IF(M79="",IFERROR(VLOOKUP($D79,'Employee Master'!$A:$F,6,FALSE)+365,""),M79)</f>
        <v>45026</v>
      </c>
      <c r="O79" s="149" t="str">
        <f>IF('Budgeting Model'!O79="","",'Budgeting Model'!O79)</f>
        <v/>
      </c>
      <c r="P79" s="127">
        <f t="shared" ca="1" si="39"/>
        <v>45107</v>
      </c>
      <c r="Q79" s="131">
        <f t="shared" ca="1" si="29"/>
        <v>201</v>
      </c>
      <c r="R79" s="131">
        <f t="shared" ca="1" si="30"/>
        <v>60</v>
      </c>
      <c r="S79" s="131">
        <f t="shared" ca="1" si="40"/>
        <v>261</v>
      </c>
      <c r="T79" s="158">
        <f t="shared" ca="1" si="41"/>
        <v>46687.050206302432</v>
      </c>
      <c r="U79" s="156">
        <f t="shared" ca="1" si="31"/>
        <v>46687.050206302432</v>
      </c>
      <c r="V79" s="130">
        <f t="shared" ca="1" si="32"/>
        <v>9032.5439579087779</v>
      </c>
      <c r="W79" s="77"/>
      <c r="X79" s="149" t="str">
        <f>IF('Budgeting Model'!X79="","",'Budgeting Model'!X79)</f>
        <v/>
      </c>
      <c r="Y79" s="130">
        <f t="shared" ca="1" si="33"/>
        <v>48112.121898248792</v>
      </c>
      <c r="Z79" s="149" t="str">
        <f>IF('Budgeting Model'!Z79="","",'Budgeting Model'!Z79)</f>
        <v/>
      </c>
      <c r="AA79" s="127">
        <f t="shared" ca="1" si="34"/>
        <v>44743</v>
      </c>
      <c r="AB79" s="149" t="str">
        <f>IF('Budgeting Model'!AB79="","",'Budgeting Model'!AB79)</f>
        <v/>
      </c>
      <c r="AC79" s="127">
        <f ca="1">IF(AB79="",IFERROR(VLOOKUP($D79,'Employee Master'!$A:$F,6,FALSE)+365,""),AB79)</f>
        <v>45026</v>
      </c>
      <c r="AD79" s="149"/>
      <c r="AE79" s="127">
        <f t="shared" ca="1" si="42"/>
        <v>45107</v>
      </c>
      <c r="AF79" s="131">
        <f t="shared" ca="1" si="25"/>
        <v>201</v>
      </c>
      <c r="AG79" s="131">
        <f t="shared" ca="1" si="26"/>
        <v>60</v>
      </c>
      <c r="AH79" s="131">
        <f t="shared" ca="1" si="43"/>
        <v>261</v>
      </c>
      <c r="AI79" s="158">
        <f t="shared" ca="1" si="35"/>
        <v>46687.050206302432</v>
      </c>
      <c r="AJ79" s="156">
        <f t="shared" ca="1" si="36"/>
        <v>46687.050206302432</v>
      </c>
      <c r="AK79" s="130">
        <f t="shared" ca="1" si="45"/>
        <v>9032.5439579087779</v>
      </c>
      <c r="AL79" s="78"/>
      <c r="AM79" s="130">
        <f t="shared" ca="1" si="37"/>
        <v>0</v>
      </c>
      <c r="AN79" s="130">
        <f t="shared" ca="1" si="44"/>
        <v>0</v>
      </c>
      <c r="AO79" s="130">
        <f t="shared" ca="1" si="38"/>
        <v>0</v>
      </c>
      <c r="AP79" s="130">
        <f t="shared" ca="1" si="38"/>
        <v>0</v>
      </c>
    </row>
    <row r="80" spans="1:42" ht="16.5" thickBot="1">
      <c r="A80" s="92" t="s">
        <v>138</v>
      </c>
      <c r="B80" s="124" t="str">
        <f>IFERROR(VLOOKUP($A80,'Position Master'!B:C,2,FALSE),"Missing")</f>
        <v>Dept 10</v>
      </c>
      <c r="C80" s="98" t="str">
        <f ca="1">IFERROR(VLOOKUP($D80,'Employee Master'!$A:$F,3,FALSE)&amp;", "&amp;VLOOKUP($D80,'Employee Master'!$A:$F,2,FALSE),"Vacant")</f>
        <v>Patel, Andy</v>
      </c>
      <c r="D80" s="98">
        <f>IF(INDEX('Position Master'!$A$7:$A$97,MATCH(A80,'Position Master'!$B$7:$B$97,0))=0,"Vacant",INDEX('Position Master'!$A$7:$A$97,MATCH(A80,'Position Master'!$B$7:$B$97,0)))</f>
        <v>8406505</v>
      </c>
      <c r="E80" s="156">
        <f ca="1">IFERROR(VLOOKUP(D80,'Employee Master'!A:F,5,FALSE),"")</f>
        <v>69920.61868203315</v>
      </c>
      <c r="F80" s="157" t="str">
        <f ca="1">IF(C80="Vacant","No",IF(AND(VLOOKUP(D80,'Employee Master'!A:F,6,FALSE)+360&lt;B$4,VLOOKUP(D80,'Employee Master'!A:F,6,FALSE)+360&lt;B74),"Yes","No"))</f>
        <v>Yes</v>
      </c>
      <c r="G80" s="156">
        <f ca="1">IF(C80="Vacant",VLOOKUP(A80,'Position Master'!B:D,3,FALSE),E80)*(1+IF(F80="Yes",F$8,0))</f>
        <v>72018.237242494142</v>
      </c>
      <c r="H80" s="125"/>
      <c r="I80" s="182" t="str">
        <f>IF('Budgeting Model'!I80="","",'Budgeting Model'!I80)</f>
        <v/>
      </c>
      <c r="J80" s="130">
        <f t="shared" ca="1" si="27"/>
        <v>74898.966732193905</v>
      </c>
      <c r="K80" s="149" t="str">
        <f>IF('Budgeting Model'!K80="","",'Budgeting Model'!K80)</f>
        <v/>
      </c>
      <c r="L80" s="127">
        <f t="shared" ca="1" si="28"/>
        <v>44743</v>
      </c>
      <c r="M80" s="149" t="str">
        <f>IF('Budgeting Model'!M80="","",'Budgeting Model'!M80)</f>
        <v/>
      </c>
      <c r="N80" s="127">
        <f ca="1">IF(M80="",IFERROR(VLOOKUP($D80,'Employee Master'!$A:$F,6,FALSE)+365,""),M80)</f>
        <v>44919</v>
      </c>
      <c r="O80" s="149" t="str">
        <f>IF('Budgeting Model'!O80="","",'Budgeting Model'!O80)</f>
        <v/>
      </c>
      <c r="P80" s="127">
        <f t="shared" ca="1" si="39"/>
        <v>45107</v>
      </c>
      <c r="Q80" s="131">
        <f t="shared" ca="1" si="29"/>
        <v>126</v>
      </c>
      <c r="R80" s="131">
        <f t="shared" ca="1" si="30"/>
        <v>135</v>
      </c>
      <c r="S80" s="131">
        <f t="shared" ca="1" si="40"/>
        <v>261</v>
      </c>
      <c r="T80" s="158">
        <f t="shared" ca="1" si="41"/>
        <v>73508.26973716644</v>
      </c>
      <c r="U80" s="156">
        <f t="shared" ca="1" si="31"/>
        <v>73508.26973716644</v>
      </c>
      <c r="V80" s="130">
        <f t="shared" ca="1" si="32"/>
        <v>14061.491838611117</v>
      </c>
      <c r="W80" s="77"/>
      <c r="X80" s="149" t="str">
        <f>IF('Budgeting Model'!X80="","",'Budgeting Model'!X80)</f>
        <v/>
      </c>
      <c r="Y80" s="130">
        <f t="shared" ca="1" si="33"/>
        <v>74898.966732193905</v>
      </c>
      <c r="Z80" s="149" t="str">
        <f>IF('Budgeting Model'!Z80="","",'Budgeting Model'!Z80)</f>
        <v/>
      </c>
      <c r="AA80" s="127">
        <f t="shared" ca="1" si="34"/>
        <v>44743</v>
      </c>
      <c r="AB80" s="149" t="str">
        <f>IF('Budgeting Model'!AB80="","",'Budgeting Model'!AB80)</f>
        <v/>
      </c>
      <c r="AC80" s="127">
        <f ca="1">IF(AB80="",IFERROR(VLOOKUP($D80,'Employee Master'!$A:$F,6,FALSE)+365,""),AB80)</f>
        <v>44919</v>
      </c>
      <c r="AD80" s="149"/>
      <c r="AE80" s="127">
        <f t="shared" ca="1" si="42"/>
        <v>45107</v>
      </c>
      <c r="AF80" s="131">
        <f t="shared" ca="1" si="25"/>
        <v>126</v>
      </c>
      <c r="AG80" s="131">
        <f t="shared" ca="1" si="26"/>
        <v>135</v>
      </c>
      <c r="AH80" s="131">
        <f t="shared" ca="1" si="43"/>
        <v>261</v>
      </c>
      <c r="AI80" s="158">
        <f t="shared" ca="1" si="35"/>
        <v>73508.26973716644</v>
      </c>
      <c r="AJ80" s="156">
        <f t="shared" ca="1" si="36"/>
        <v>73508.26973716644</v>
      </c>
      <c r="AK80" s="130">
        <f t="shared" ca="1" si="45"/>
        <v>14061.491838611117</v>
      </c>
      <c r="AL80" s="78"/>
      <c r="AM80" s="130">
        <f t="shared" ca="1" si="37"/>
        <v>0</v>
      </c>
      <c r="AN80" s="130">
        <f t="shared" ca="1" si="44"/>
        <v>0</v>
      </c>
      <c r="AO80" s="130">
        <f t="shared" ca="1" si="38"/>
        <v>0</v>
      </c>
      <c r="AP80" s="130">
        <f t="shared" ca="1" si="38"/>
        <v>0</v>
      </c>
    </row>
    <row r="81" spans="1:42" ht="16.5" thickBot="1">
      <c r="A81" s="92" t="s">
        <v>139</v>
      </c>
      <c r="B81" s="124" t="str">
        <f>IFERROR(VLOOKUP($A81,'Position Master'!B:C,2,FALSE),"Missing")</f>
        <v>Dept 13</v>
      </c>
      <c r="C81" s="98" t="str">
        <f ca="1">IFERROR(VLOOKUP($D81,'Employee Master'!$A:$F,3,FALSE)&amp;", "&amp;VLOOKUP($D81,'Employee Master'!$A:$F,2,FALSE),"Vacant")</f>
        <v>Petillo, Patrycja</v>
      </c>
      <c r="D81" s="98">
        <f>IF(INDEX('Position Master'!$A$7:$A$97,MATCH(A81,'Position Master'!$B$7:$B$97,0))=0,"Vacant",INDEX('Position Master'!$A$7:$A$97,MATCH(A81,'Position Master'!$B$7:$B$97,0)))</f>
        <v>8694735</v>
      </c>
      <c r="E81" s="156">
        <f ca="1">IFERROR(VLOOKUP(D81,'Employee Master'!A:F,5,FALSE),"")</f>
        <v>51759.61625085141</v>
      </c>
      <c r="F81" s="157" t="str">
        <f ca="1">IF(C81="Vacant","No",IF(AND(VLOOKUP(D81,'Employee Master'!A:F,6,FALSE)+360&lt;B$4,VLOOKUP(D81,'Employee Master'!A:F,6,FALSE)+360&lt;B75),"Yes","No"))</f>
        <v>No</v>
      </c>
      <c r="G81" s="156">
        <f ca="1">IF(C81="Vacant",VLOOKUP(A81,'Position Master'!B:D,3,FALSE),E81)*(1+IF(F81="Yes",F$8,0))</f>
        <v>51759.61625085141</v>
      </c>
      <c r="H81" s="125"/>
      <c r="I81" s="182" t="str">
        <f>IF('Budgeting Model'!I81="","",'Budgeting Model'!I81)</f>
        <v/>
      </c>
      <c r="J81" s="130">
        <f t="shared" ca="1" si="27"/>
        <v>53830.000900885469</v>
      </c>
      <c r="K81" s="149" t="str">
        <f>IF('Budgeting Model'!K81="","",'Budgeting Model'!K81)</f>
        <v/>
      </c>
      <c r="L81" s="127">
        <f t="shared" ca="1" si="28"/>
        <v>44743</v>
      </c>
      <c r="M81" s="149" t="str">
        <f>IF('Budgeting Model'!M81="","",'Budgeting Model'!M81)</f>
        <v/>
      </c>
      <c r="N81" s="127">
        <f ca="1">IF(M81="",IFERROR(VLOOKUP($D81,'Employee Master'!$A:$F,6,FALSE)+365,""),M81)</f>
        <v>45075</v>
      </c>
      <c r="O81" s="149" t="str">
        <f>IF('Budgeting Model'!O81="","",'Budgeting Model'!O81)</f>
        <v/>
      </c>
      <c r="P81" s="127">
        <f t="shared" ca="1" si="39"/>
        <v>45107</v>
      </c>
      <c r="Q81" s="131">
        <f t="shared" ca="1" si="29"/>
        <v>236</v>
      </c>
      <c r="R81" s="131">
        <f t="shared" ca="1" si="30"/>
        <v>25</v>
      </c>
      <c r="S81" s="131">
        <f t="shared" ca="1" si="40"/>
        <v>261</v>
      </c>
      <c r="T81" s="158">
        <f t="shared" ca="1" si="41"/>
        <v>51957.928956793374</v>
      </c>
      <c r="U81" s="156">
        <f t="shared" ca="1" si="31"/>
        <v>51957.928956793374</v>
      </c>
      <c r="V81" s="130">
        <f t="shared" ca="1" si="32"/>
        <v>9915.6352970979715</v>
      </c>
      <c r="W81" s="77"/>
      <c r="X81" s="149" t="str">
        <f>IF('Budgeting Model'!X81="","",'Budgeting Model'!X81)</f>
        <v/>
      </c>
      <c r="Y81" s="130">
        <f t="shared" ca="1" si="33"/>
        <v>53830.000900885469</v>
      </c>
      <c r="Z81" s="149" t="str">
        <f>IF('Budgeting Model'!Z81="","",'Budgeting Model'!Z81)</f>
        <v/>
      </c>
      <c r="AA81" s="127">
        <f t="shared" ca="1" si="34"/>
        <v>44743</v>
      </c>
      <c r="AB81" s="149" t="str">
        <f>IF('Budgeting Model'!AB81="","",'Budgeting Model'!AB81)</f>
        <v/>
      </c>
      <c r="AC81" s="127">
        <f ca="1">IF(AB81="",IFERROR(VLOOKUP($D81,'Employee Master'!$A:$F,6,FALSE)+365,""),AB81)</f>
        <v>45075</v>
      </c>
      <c r="AD81" s="149"/>
      <c r="AE81" s="127">
        <f t="shared" ca="1" si="42"/>
        <v>45107</v>
      </c>
      <c r="AF81" s="131">
        <f t="shared" ca="1" si="25"/>
        <v>236</v>
      </c>
      <c r="AG81" s="131">
        <f t="shared" ca="1" si="26"/>
        <v>25</v>
      </c>
      <c r="AH81" s="131">
        <f t="shared" ca="1" si="43"/>
        <v>261</v>
      </c>
      <c r="AI81" s="158">
        <f t="shared" ca="1" si="35"/>
        <v>51957.928956793374</v>
      </c>
      <c r="AJ81" s="156">
        <f t="shared" ca="1" si="36"/>
        <v>51957.928956793374</v>
      </c>
      <c r="AK81" s="130">
        <f t="shared" ca="1" si="45"/>
        <v>9915.6352970979715</v>
      </c>
      <c r="AL81" s="78"/>
      <c r="AM81" s="130">
        <f t="shared" ca="1" si="37"/>
        <v>0</v>
      </c>
      <c r="AN81" s="130">
        <f t="shared" ca="1" si="44"/>
        <v>0</v>
      </c>
      <c r="AO81" s="130">
        <f t="shared" ca="1" si="38"/>
        <v>0</v>
      </c>
      <c r="AP81" s="130">
        <f t="shared" ca="1" si="38"/>
        <v>0</v>
      </c>
    </row>
    <row r="82" spans="1:42" ht="16.5" thickBot="1">
      <c r="A82" s="92" t="s">
        <v>140</v>
      </c>
      <c r="B82" s="124" t="str">
        <f>IFERROR(VLOOKUP($A82,'Position Master'!B:C,2,FALSE),"Missing")</f>
        <v>Dept 8</v>
      </c>
      <c r="C82" s="98" t="str">
        <f ca="1">IFERROR(VLOOKUP($D82,'Employee Master'!$A:$F,3,FALSE)&amp;", "&amp;VLOOKUP($D82,'Employee Master'!$A:$F,2,FALSE),"Vacant")</f>
        <v>Qasim, Xu</v>
      </c>
      <c r="D82" s="98">
        <f>IF(INDEX('Position Master'!$A$7:$A$97,MATCH(A82,'Position Master'!$B$7:$B$97,0))=0,"Vacant",INDEX('Position Master'!$A$7:$A$97,MATCH(A82,'Position Master'!$B$7:$B$97,0)))</f>
        <v>8723688</v>
      </c>
      <c r="E82" s="156">
        <f ca="1">IFERROR(VLOOKUP(D82,'Employee Master'!A:F,5,FALSE),"")</f>
        <v>56928.864369479474</v>
      </c>
      <c r="F82" s="157" t="str">
        <f ca="1">IF(C82="Vacant","No",IF(AND(VLOOKUP(D82,'Employee Master'!A:F,6,FALSE)+360&lt;B$4,VLOOKUP(D82,'Employee Master'!A:F,6,FALSE)+360&lt;B76),"Yes","No"))</f>
        <v>Yes</v>
      </c>
      <c r="G82" s="156">
        <f ca="1">IF(C82="Vacant",VLOOKUP(A82,'Position Master'!B:D,3,FALSE),E82)*(1+IF(F82="Yes",F$8,0))</f>
        <v>58636.730300563861</v>
      </c>
      <c r="H82" s="125"/>
      <c r="I82" s="182" t="str">
        <f>IF('Budgeting Model'!I82="","",'Budgeting Model'!I82)</f>
        <v/>
      </c>
      <c r="J82" s="130">
        <f t="shared" ca="1" si="27"/>
        <v>60982.19951258642</v>
      </c>
      <c r="K82" s="149" t="str">
        <f>IF('Budgeting Model'!K82="","",'Budgeting Model'!K82)</f>
        <v/>
      </c>
      <c r="L82" s="127">
        <f t="shared" ca="1" si="28"/>
        <v>44743</v>
      </c>
      <c r="M82" s="149" t="str">
        <f>IF('Budgeting Model'!M82="","",'Budgeting Model'!M82)</f>
        <v/>
      </c>
      <c r="N82" s="127">
        <f ca="1">IF(M82="",IFERROR(VLOOKUP($D82,'Employee Master'!$A:$F,6,FALSE)+365,""),M82)</f>
        <v>44770</v>
      </c>
      <c r="O82" s="149" t="str">
        <f>IF('Budgeting Model'!O82="","",'Budgeting Model'!O82)</f>
        <v/>
      </c>
      <c r="P82" s="127">
        <f t="shared" ca="1" si="39"/>
        <v>45107</v>
      </c>
      <c r="Q82" s="131">
        <f t="shared" ca="1" si="29"/>
        <v>19</v>
      </c>
      <c r="R82" s="131">
        <f t="shared" ca="1" si="30"/>
        <v>242</v>
      </c>
      <c r="S82" s="131">
        <f t="shared" ca="1" si="40"/>
        <v>261</v>
      </c>
      <c r="T82" s="158">
        <f t="shared" ca="1" si="41"/>
        <v>60811.456543128836</v>
      </c>
      <c r="U82" s="156">
        <f t="shared" ca="1" si="31"/>
        <v>60811.456543128836</v>
      </c>
      <c r="V82" s="130">
        <f t="shared" ca="1" si="32"/>
        <v>11448.765425734615</v>
      </c>
      <c r="W82" s="77"/>
      <c r="X82" s="149" t="str">
        <f>IF('Budgeting Model'!X82="","",'Budgeting Model'!X82)</f>
        <v/>
      </c>
      <c r="Y82" s="130">
        <f t="shared" ca="1" si="33"/>
        <v>60982.19951258642</v>
      </c>
      <c r="Z82" s="149" t="str">
        <f>IF('Budgeting Model'!Z82="","",'Budgeting Model'!Z82)</f>
        <v/>
      </c>
      <c r="AA82" s="127">
        <f t="shared" ca="1" si="34"/>
        <v>44743</v>
      </c>
      <c r="AB82" s="149" t="str">
        <f>IF('Budgeting Model'!AB82="","",'Budgeting Model'!AB82)</f>
        <v/>
      </c>
      <c r="AC82" s="127">
        <f ca="1">IF(AB82="",IFERROR(VLOOKUP($D82,'Employee Master'!$A:$F,6,FALSE)+365,""),AB82)</f>
        <v>44770</v>
      </c>
      <c r="AD82" s="149"/>
      <c r="AE82" s="127">
        <f t="shared" ca="1" si="42"/>
        <v>45107</v>
      </c>
      <c r="AF82" s="131">
        <f t="shared" ca="1" si="25"/>
        <v>19</v>
      </c>
      <c r="AG82" s="131">
        <f t="shared" ca="1" si="26"/>
        <v>242</v>
      </c>
      <c r="AH82" s="131">
        <f t="shared" ca="1" si="43"/>
        <v>261</v>
      </c>
      <c r="AI82" s="158">
        <f t="shared" ca="1" si="35"/>
        <v>60811.456543128836</v>
      </c>
      <c r="AJ82" s="156">
        <f t="shared" ca="1" si="36"/>
        <v>60811.456543128836</v>
      </c>
      <c r="AK82" s="130">
        <f t="shared" ca="1" si="45"/>
        <v>11448.765425734615</v>
      </c>
      <c r="AL82" s="78"/>
      <c r="AM82" s="130">
        <f t="shared" ca="1" si="37"/>
        <v>0</v>
      </c>
      <c r="AN82" s="130">
        <f t="shared" ca="1" si="44"/>
        <v>0</v>
      </c>
      <c r="AO82" s="130">
        <f t="shared" ca="1" si="38"/>
        <v>0</v>
      </c>
      <c r="AP82" s="130">
        <f t="shared" ca="1" si="38"/>
        <v>0</v>
      </c>
    </row>
    <row r="83" spans="1:42" ht="16.5" thickBot="1">
      <c r="A83" s="92" t="s">
        <v>141</v>
      </c>
      <c r="B83" s="124" t="str">
        <f>IFERROR(VLOOKUP($A83,'Position Master'!B:C,2,FALSE),"Missing")</f>
        <v>Dept 14</v>
      </c>
      <c r="C83" s="98" t="str">
        <f ca="1">IFERROR(VLOOKUP($D83,'Employee Master'!$A:$F,3,FALSE)&amp;", "&amp;VLOOKUP($D83,'Employee Master'!$A:$F,2,FALSE),"Vacant")</f>
        <v>Quizhpe, Kristen</v>
      </c>
      <c r="D83" s="98">
        <f>IF(INDEX('Position Master'!$A$7:$A$97,MATCH(A83,'Position Master'!$B$7:$B$97,0))=0,"Vacant",INDEX('Position Master'!$A$7:$A$97,MATCH(A83,'Position Master'!$B$7:$B$97,0)))</f>
        <v>8841428</v>
      </c>
      <c r="E83" s="156">
        <f ca="1">IFERROR(VLOOKUP(D83,'Employee Master'!A:F,5,FALSE),"")</f>
        <v>64147.578015211926</v>
      </c>
      <c r="F83" s="157" t="str">
        <f ca="1">IF(C83="Vacant","No",IF(AND(VLOOKUP(D83,'Employee Master'!A:F,6,FALSE)+360&lt;B$4,VLOOKUP(D83,'Employee Master'!A:F,6,FALSE)+360&lt;B77),"Yes","No"))</f>
        <v>Yes</v>
      </c>
      <c r="G83" s="156">
        <f ca="1">IF(C83="Vacant",VLOOKUP(A83,'Position Master'!B:D,3,FALSE),E83)*(1+IF(F83="Yes",F$8,0))</f>
        <v>66072.005355668283</v>
      </c>
      <c r="H83" s="125"/>
      <c r="I83" s="182" t="str">
        <f>IF('Budgeting Model'!I83="","",'Budgeting Model'!I83)</f>
        <v/>
      </c>
      <c r="J83" s="130">
        <f t="shared" ca="1" si="27"/>
        <v>68714.885569895021</v>
      </c>
      <c r="K83" s="149" t="str">
        <f>IF('Budgeting Model'!K83="","",'Budgeting Model'!K83)</f>
        <v/>
      </c>
      <c r="L83" s="127">
        <f t="shared" ca="1" si="28"/>
        <v>44743</v>
      </c>
      <c r="M83" s="149" t="str">
        <f>IF('Budgeting Model'!M83="","",'Budgeting Model'!M83)</f>
        <v/>
      </c>
      <c r="N83" s="127">
        <f ca="1">IF(M83="",IFERROR(VLOOKUP($D83,'Employee Master'!$A:$F,6,FALSE)+365,""),M83)</f>
        <v>44782</v>
      </c>
      <c r="O83" s="149" t="str">
        <f>IF('Budgeting Model'!O83="","",'Budgeting Model'!O83)</f>
        <v/>
      </c>
      <c r="P83" s="127">
        <f t="shared" ca="1" si="39"/>
        <v>45107</v>
      </c>
      <c r="Q83" s="131">
        <f t="shared" ca="1" si="29"/>
        <v>27</v>
      </c>
      <c r="R83" s="131">
        <f t="shared" ca="1" si="30"/>
        <v>234</v>
      </c>
      <c r="S83" s="131">
        <f t="shared" ca="1" si="40"/>
        <v>261</v>
      </c>
      <c r="T83" s="158">
        <f t="shared" ca="1" si="41"/>
        <v>68441.484168423296</v>
      </c>
      <c r="U83" s="156">
        <f t="shared" ca="1" si="31"/>
        <v>68441.484168423296</v>
      </c>
      <c r="V83" s="130">
        <f t="shared" ca="1" si="32"/>
        <v>12900.495758332781</v>
      </c>
      <c r="W83" s="77"/>
      <c r="X83" s="149" t="str">
        <f>IF('Budgeting Model'!X83="","",'Budgeting Model'!X83)</f>
        <v/>
      </c>
      <c r="Y83" s="130">
        <f t="shared" ca="1" si="33"/>
        <v>68714.885569895021</v>
      </c>
      <c r="Z83" s="149" t="str">
        <f>IF('Budgeting Model'!Z83="","",'Budgeting Model'!Z83)</f>
        <v/>
      </c>
      <c r="AA83" s="127">
        <f t="shared" ca="1" si="34"/>
        <v>44743</v>
      </c>
      <c r="AB83" s="149" t="str">
        <f>IF('Budgeting Model'!AB83="","",'Budgeting Model'!AB83)</f>
        <v/>
      </c>
      <c r="AC83" s="127">
        <f ca="1">IF(AB83="",IFERROR(VLOOKUP($D83,'Employee Master'!$A:$F,6,FALSE)+365,""),AB83)</f>
        <v>44782</v>
      </c>
      <c r="AD83" s="149"/>
      <c r="AE83" s="127">
        <f t="shared" ca="1" si="42"/>
        <v>45107</v>
      </c>
      <c r="AF83" s="131">
        <f t="shared" ca="1" si="25"/>
        <v>27</v>
      </c>
      <c r="AG83" s="131">
        <f t="shared" ca="1" si="26"/>
        <v>234</v>
      </c>
      <c r="AH83" s="131">
        <f t="shared" ca="1" si="43"/>
        <v>261</v>
      </c>
      <c r="AI83" s="158">
        <f t="shared" ca="1" si="35"/>
        <v>68441.484168423296</v>
      </c>
      <c r="AJ83" s="156">
        <f t="shared" ca="1" si="36"/>
        <v>68441.484168423296</v>
      </c>
      <c r="AK83" s="130">
        <f t="shared" ca="1" si="45"/>
        <v>12900.495758332781</v>
      </c>
      <c r="AL83" s="78"/>
      <c r="AM83" s="130">
        <f t="shared" ca="1" si="37"/>
        <v>0</v>
      </c>
      <c r="AN83" s="130">
        <f t="shared" ca="1" si="44"/>
        <v>0</v>
      </c>
      <c r="AO83" s="130">
        <f t="shared" ca="1" si="38"/>
        <v>0</v>
      </c>
      <c r="AP83" s="130">
        <f t="shared" ca="1" si="38"/>
        <v>0</v>
      </c>
    </row>
    <row r="84" spans="1:42" ht="16.5" thickBot="1">
      <c r="A84" s="92" t="s">
        <v>142</v>
      </c>
      <c r="B84" s="124" t="str">
        <f>IFERROR(VLOOKUP($A84,'Position Master'!B:C,2,FALSE),"Missing")</f>
        <v>Dept 5</v>
      </c>
      <c r="C84" s="98" t="str">
        <f ca="1">IFERROR(VLOOKUP($D84,'Employee Master'!$A:$F,3,FALSE)&amp;", "&amp;VLOOKUP($D84,'Employee Master'!$A:$F,2,FALSE),"Vacant")</f>
        <v>Vacant</v>
      </c>
      <c r="D84" s="98" t="str">
        <f>IF(INDEX('Position Master'!$A$7:$A$97,MATCH(A84,'Position Master'!$B$7:$B$97,0))=0,"Vacant",INDEX('Position Master'!$A$7:$A$97,MATCH(A84,'Position Master'!$B$7:$B$97,0)))</f>
        <v>Vacant</v>
      </c>
      <c r="E84" s="156" t="str">
        <f ca="1">IFERROR(VLOOKUP(D84,'Employee Master'!A:F,5,FALSE),"")</f>
        <v/>
      </c>
      <c r="F84" s="157" t="str">
        <f ca="1">IF(C84="Vacant","No",IF(AND(VLOOKUP(D84,'Employee Master'!A:F,6,FALSE)+360&lt;B$4,VLOOKUP(D84,'Employee Master'!A:F,6,FALSE)+360&lt;B78),"Yes","No"))</f>
        <v>No</v>
      </c>
      <c r="G84" s="156">
        <f ca="1">IF(C84="Vacant",VLOOKUP(A84,'Position Master'!B:D,3,FALSE),E84)*(1+IF(F84="Yes",F$8,0))</f>
        <v>89375.792342291083</v>
      </c>
      <c r="H84" s="125"/>
      <c r="I84" s="182" t="str">
        <f>IF('Budgeting Model'!I84="","",'Budgeting Model'!I84)</f>
        <v/>
      </c>
      <c r="J84" s="130">
        <f t="shared" ca="1" si="27"/>
        <v>92950.824035982732</v>
      </c>
      <c r="K84" s="149" t="str">
        <f>IF('Budgeting Model'!K84="","",'Budgeting Model'!K84)</f>
        <v/>
      </c>
      <c r="L84" s="127">
        <f t="shared" ca="1" si="28"/>
        <v>44833</v>
      </c>
      <c r="M84" s="149" t="str">
        <f>IF('Budgeting Model'!M84="","",'Budgeting Model'!M84)</f>
        <v/>
      </c>
      <c r="N84" s="127" t="str">
        <f ca="1">IF(M84="",IFERROR(VLOOKUP($D84,'Employee Master'!$A:$F,6,FALSE)+365,""),M84)</f>
        <v/>
      </c>
      <c r="O84" s="149" t="str">
        <f>IF('Budgeting Model'!O84="","",'Budgeting Model'!O84)</f>
        <v/>
      </c>
      <c r="P84" s="127">
        <f t="shared" ca="1" si="39"/>
        <v>45107</v>
      </c>
      <c r="Q84" s="131">
        <f t="shared" ca="1" si="29"/>
        <v>197</v>
      </c>
      <c r="R84" s="131">
        <f t="shared" ca="1" si="30"/>
        <v>0</v>
      </c>
      <c r="S84" s="131">
        <f t="shared" ca="1" si="40"/>
        <v>197</v>
      </c>
      <c r="T84" s="158">
        <f t="shared" ca="1" si="41"/>
        <v>89375.792342291083</v>
      </c>
      <c r="U84" s="156">
        <f t="shared" ca="1" si="31"/>
        <v>67459.889239200551</v>
      </c>
      <c r="V84" s="130">
        <f t="shared" ca="1" si="32"/>
        <v>67459.889239200551</v>
      </c>
      <c r="W84" s="77"/>
      <c r="X84" s="149" t="str">
        <f>IF('Budgeting Model'!X84="","",'Budgeting Model'!X84)</f>
        <v/>
      </c>
      <c r="Y84" s="130">
        <f t="shared" ca="1" si="33"/>
        <v>92950.824035982732</v>
      </c>
      <c r="Z84" s="149" t="str">
        <f>IF('Budgeting Model'!Z84="","",'Budgeting Model'!Z84)</f>
        <v/>
      </c>
      <c r="AA84" s="127">
        <f t="shared" ca="1" si="34"/>
        <v>44833</v>
      </c>
      <c r="AB84" s="149" t="str">
        <f>IF('Budgeting Model'!AB84="","",'Budgeting Model'!AB84)</f>
        <v/>
      </c>
      <c r="AC84" s="127" t="str">
        <f ca="1">IF(AB84="",IFERROR(VLOOKUP($D84,'Employee Master'!$A:$F,6,FALSE)+365,""),AB84)</f>
        <v/>
      </c>
      <c r="AD84" s="149"/>
      <c r="AE84" s="127">
        <f t="shared" ca="1" si="42"/>
        <v>45107</v>
      </c>
      <c r="AF84" s="131">
        <f t="shared" ca="1" si="25"/>
        <v>197</v>
      </c>
      <c r="AG84" s="131">
        <f t="shared" ca="1" si="26"/>
        <v>0</v>
      </c>
      <c r="AH84" s="131">
        <f t="shared" ca="1" si="43"/>
        <v>197</v>
      </c>
      <c r="AI84" s="158">
        <f t="shared" ca="1" si="35"/>
        <v>89375.792342291083</v>
      </c>
      <c r="AJ84" s="156">
        <f t="shared" ca="1" si="36"/>
        <v>67459.889239200551</v>
      </c>
      <c r="AK84" s="130">
        <f t="shared" ca="1" si="45"/>
        <v>67459.889239200551</v>
      </c>
      <c r="AL84" s="78"/>
      <c r="AM84" s="130">
        <f t="shared" ca="1" si="37"/>
        <v>0</v>
      </c>
      <c r="AN84" s="130">
        <f t="shared" ca="1" si="44"/>
        <v>0</v>
      </c>
      <c r="AO84" s="130">
        <f t="shared" ca="1" si="38"/>
        <v>0</v>
      </c>
      <c r="AP84" s="130">
        <f t="shared" ca="1" si="38"/>
        <v>0</v>
      </c>
    </row>
    <row r="85" spans="1:42" ht="16.5" thickBot="1">
      <c r="A85" s="92" t="s">
        <v>143</v>
      </c>
      <c r="B85" s="124" t="str">
        <f>IFERROR(VLOOKUP($A85,'Position Master'!B:C,2,FALSE),"Missing")</f>
        <v>Dept 12</v>
      </c>
      <c r="C85" s="98" t="str">
        <f ca="1">IFERROR(VLOOKUP($D85,'Employee Master'!$A:$F,3,FALSE)&amp;", "&amp;VLOOKUP($D85,'Employee Master'!$A:$F,2,FALSE),"Vacant")</f>
        <v>Vacant</v>
      </c>
      <c r="D85" s="98" t="str">
        <f>IF(INDEX('Position Master'!$A$7:$A$97,MATCH(A85,'Position Master'!$B$7:$B$97,0))=0,"Vacant",INDEX('Position Master'!$A$7:$A$97,MATCH(A85,'Position Master'!$B$7:$B$97,0)))</f>
        <v>Vacant</v>
      </c>
      <c r="E85" s="156" t="str">
        <f ca="1">IFERROR(VLOOKUP(D85,'Employee Master'!A:F,5,FALSE),"")</f>
        <v/>
      </c>
      <c r="F85" s="157" t="str">
        <f ca="1">IF(C85="Vacant","No",IF(AND(VLOOKUP(D85,'Employee Master'!A:F,6,FALSE)+360&lt;B$4,VLOOKUP(D85,'Employee Master'!A:F,6,FALSE)+360&lt;B79),"Yes","No"))</f>
        <v>No</v>
      </c>
      <c r="G85" s="156">
        <f ca="1">IF(C85="Vacant",VLOOKUP(A85,'Position Master'!B:D,3,FALSE),E85)*(1+IF(F85="Yes",F$8,0))</f>
        <v>97827.049520897825</v>
      </c>
      <c r="H85" s="125"/>
      <c r="I85" s="182" t="str">
        <f>IF('Budgeting Model'!I85="","",'Budgeting Model'!I85)</f>
        <v/>
      </c>
      <c r="J85" s="130">
        <f t="shared" ca="1" si="27"/>
        <v>101740.13150173375</v>
      </c>
      <c r="K85" s="149" t="str">
        <f>IF('Budgeting Model'!K85="","",'Budgeting Model'!K85)</f>
        <v/>
      </c>
      <c r="L85" s="127">
        <f t="shared" ca="1" si="28"/>
        <v>44833</v>
      </c>
      <c r="M85" s="149" t="str">
        <f>IF('Budgeting Model'!M85="","",'Budgeting Model'!M85)</f>
        <v/>
      </c>
      <c r="N85" s="127" t="str">
        <f ca="1">IF(M85="",IFERROR(VLOOKUP($D85,'Employee Master'!$A:$F,6,FALSE)+365,""),M85)</f>
        <v/>
      </c>
      <c r="O85" s="149" t="str">
        <f>IF('Budgeting Model'!O85="","",'Budgeting Model'!O85)</f>
        <v/>
      </c>
      <c r="P85" s="127">
        <f t="shared" ca="1" si="39"/>
        <v>45107</v>
      </c>
      <c r="Q85" s="131">
        <f t="shared" ca="1" si="29"/>
        <v>197</v>
      </c>
      <c r="R85" s="131">
        <f t="shared" ca="1" si="30"/>
        <v>0</v>
      </c>
      <c r="S85" s="131">
        <f t="shared" ca="1" si="40"/>
        <v>197</v>
      </c>
      <c r="T85" s="158">
        <f t="shared" ca="1" si="41"/>
        <v>97827.04952089781</v>
      </c>
      <c r="U85" s="156">
        <f t="shared" ca="1" si="31"/>
        <v>73838.807492784937</v>
      </c>
      <c r="V85" s="130">
        <f t="shared" ca="1" si="32"/>
        <v>73838.807492784937</v>
      </c>
      <c r="W85" s="77"/>
      <c r="X85" s="149" t="str">
        <f>IF('Budgeting Model'!X85="","",'Budgeting Model'!X85)</f>
        <v/>
      </c>
      <c r="Y85" s="130">
        <f t="shared" ca="1" si="33"/>
        <v>101740.13150173375</v>
      </c>
      <c r="Z85" s="149" t="str">
        <f>IF('Budgeting Model'!Z85="","",'Budgeting Model'!Z85)</f>
        <v/>
      </c>
      <c r="AA85" s="127">
        <f t="shared" ca="1" si="34"/>
        <v>44833</v>
      </c>
      <c r="AB85" s="149" t="str">
        <f>IF('Budgeting Model'!AB85="","",'Budgeting Model'!AB85)</f>
        <v/>
      </c>
      <c r="AC85" s="127" t="str">
        <f ca="1">IF(AB85="",IFERROR(VLOOKUP($D85,'Employee Master'!$A:$F,6,FALSE)+365,""),AB85)</f>
        <v/>
      </c>
      <c r="AD85" s="149"/>
      <c r="AE85" s="127">
        <f t="shared" ca="1" si="42"/>
        <v>45107</v>
      </c>
      <c r="AF85" s="131">
        <f t="shared" ca="1" si="25"/>
        <v>197</v>
      </c>
      <c r="AG85" s="131">
        <f t="shared" ca="1" si="26"/>
        <v>0</v>
      </c>
      <c r="AH85" s="131">
        <f t="shared" ca="1" si="43"/>
        <v>197</v>
      </c>
      <c r="AI85" s="158">
        <f t="shared" ca="1" si="35"/>
        <v>97827.04952089781</v>
      </c>
      <c r="AJ85" s="156">
        <f t="shared" ca="1" si="36"/>
        <v>73838.807492784937</v>
      </c>
      <c r="AK85" s="130">
        <f t="shared" ca="1" si="45"/>
        <v>73838.807492784937</v>
      </c>
      <c r="AL85" s="78"/>
      <c r="AM85" s="130">
        <f t="shared" ca="1" si="37"/>
        <v>0</v>
      </c>
      <c r="AN85" s="130">
        <f t="shared" ca="1" si="44"/>
        <v>0</v>
      </c>
      <c r="AO85" s="130">
        <f t="shared" ca="1" si="38"/>
        <v>0</v>
      </c>
      <c r="AP85" s="130">
        <f t="shared" ca="1" si="38"/>
        <v>0</v>
      </c>
    </row>
    <row r="86" spans="1:42" ht="16.5" thickBot="1">
      <c r="A86" s="92" t="s">
        <v>144</v>
      </c>
      <c r="B86" s="124" t="str">
        <f>IFERROR(VLOOKUP($A86,'Position Master'!B:C,2,FALSE),"Missing")</f>
        <v>Dept 4</v>
      </c>
      <c r="C86" s="98" t="str">
        <f ca="1">IFERROR(VLOOKUP($D86,'Employee Master'!$A:$F,3,FALSE)&amp;", "&amp;VLOOKUP($D86,'Employee Master'!$A:$F,2,FALSE),"Vacant")</f>
        <v>Romero, Muhammad</v>
      </c>
      <c r="D86" s="98">
        <f>IF(INDEX('Position Master'!$A$7:$A$97,MATCH(A86,'Position Master'!$B$7:$B$97,0))=0,"Vacant",INDEX('Position Master'!$A$7:$A$97,MATCH(A86,'Position Master'!$B$7:$B$97,0)))</f>
        <v>9015512</v>
      </c>
      <c r="E86" s="156">
        <f ca="1">IFERROR(VLOOKUP(D86,'Employee Master'!A:F,5,FALSE),"")</f>
        <v>82154.467357095884</v>
      </c>
      <c r="F86" s="157" t="str">
        <f ca="1">IF(C86="Vacant","No",IF(AND(VLOOKUP(D86,'Employee Master'!A:F,6,FALSE)+360&lt;B$4,VLOOKUP(D86,'Employee Master'!A:F,6,FALSE)+360&lt;B80),"Yes","No"))</f>
        <v>Yes</v>
      </c>
      <c r="G86" s="156">
        <f ca="1">IF(C86="Vacant",VLOOKUP(A86,'Position Master'!B:D,3,FALSE),E86)*(1+IF(F86="Yes",F$8,0))</f>
        <v>84619.101377808765</v>
      </c>
      <c r="H86" s="125"/>
      <c r="I86" s="182" t="str">
        <f>IF('Budgeting Model'!I86="","",'Budgeting Model'!I86)</f>
        <v/>
      </c>
      <c r="J86" s="130">
        <f t="shared" ca="1" si="27"/>
        <v>88003.865432921113</v>
      </c>
      <c r="K86" s="149" t="str">
        <f>IF('Budgeting Model'!K86="","",'Budgeting Model'!K86)</f>
        <v/>
      </c>
      <c r="L86" s="127">
        <f t="shared" ca="1" si="28"/>
        <v>44743</v>
      </c>
      <c r="M86" s="149" t="str">
        <f>IF('Budgeting Model'!M86="","",'Budgeting Model'!M86)</f>
        <v/>
      </c>
      <c r="N86" s="127">
        <f ca="1">IF(M86="",IFERROR(VLOOKUP($D86,'Employee Master'!$A:$F,6,FALSE)+365,""),M86)</f>
        <v>44978</v>
      </c>
      <c r="O86" s="149" t="str">
        <f>IF('Budgeting Model'!O86="","",'Budgeting Model'!O86)</f>
        <v/>
      </c>
      <c r="P86" s="127">
        <f t="shared" ca="1" si="39"/>
        <v>45107</v>
      </c>
      <c r="Q86" s="131">
        <f t="shared" ca="1" si="29"/>
        <v>167</v>
      </c>
      <c r="R86" s="131">
        <f t="shared" ca="1" si="30"/>
        <v>94</v>
      </c>
      <c r="S86" s="131">
        <f t="shared" ca="1" si="40"/>
        <v>261</v>
      </c>
      <c r="T86" s="158">
        <f t="shared" ca="1" si="41"/>
        <v>85838.13517543544</v>
      </c>
      <c r="U86" s="156">
        <f t="shared" ca="1" si="31"/>
        <v>85838.13517543544</v>
      </c>
      <c r="V86" s="130">
        <f t="shared" ca="1" si="32"/>
        <v>16521.798491238063</v>
      </c>
      <c r="W86" s="77"/>
      <c r="X86" s="149" t="str">
        <f>IF('Budgeting Model'!X86="","",'Budgeting Model'!X86)</f>
        <v/>
      </c>
      <c r="Y86" s="130">
        <f t="shared" ca="1" si="33"/>
        <v>88003.865432921113</v>
      </c>
      <c r="Z86" s="149" t="str">
        <f>IF('Budgeting Model'!Z86="","",'Budgeting Model'!Z86)</f>
        <v/>
      </c>
      <c r="AA86" s="127">
        <f t="shared" ca="1" si="34"/>
        <v>44743</v>
      </c>
      <c r="AB86" s="149" t="str">
        <f>IF('Budgeting Model'!AB86="","",'Budgeting Model'!AB86)</f>
        <v/>
      </c>
      <c r="AC86" s="127">
        <f ca="1">IF(AB86="",IFERROR(VLOOKUP($D86,'Employee Master'!$A:$F,6,FALSE)+365,""),AB86)</f>
        <v>44978</v>
      </c>
      <c r="AD86" s="149"/>
      <c r="AE86" s="127">
        <f t="shared" ca="1" si="42"/>
        <v>45107</v>
      </c>
      <c r="AF86" s="131">
        <f t="shared" ca="1" si="25"/>
        <v>167</v>
      </c>
      <c r="AG86" s="131">
        <f t="shared" ca="1" si="26"/>
        <v>94</v>
      </c>
      <c r="AH86" s="131">
        <f t="shared" ca="1" si="43"/>
        <v>261</v>
      </c>
      <c r="AI86" s="158">
        <f t="shared" ca="1" si="35"/>
        <v>85838.13517543544</v>
      </c>
      <c r="AJ86" s="156">
        <f t="shared" ca="1" si="36"/>
        <v>85838.13517543544</v>
      </c>
      <c r="AK86" s="130">
        <f t="shared" ca="1" si="45"/>
        <v>16521.798491238063</v>
      </c>
      <c r="AL86" s="78"/>
      <c r="AM86" s="130">
        <f t="shared" ca="1" si="37"/>
        <v>0</v>
      </c>
      <c r="AN86" s="130">
        <f t="shared" ca="1" si="44"/>
        <v>0</v>
      </c>
      <c r="AO86" s="130">
        <f t="shared" ca="1" si="38"/>
        <v>0</v>
      </c>
      <c r="AP86" s="130">
        <f t="shared" ca="1" si="38"/>
        <v>0</v>
      </c>
    </row>
    <row r="87" spans="1:42" ht="16.5" thickBot="1">
      <c r="A87" s="92" t="s">
        <v>145</v>
      </c>
      <c r="B87" s="124" t="str">
        <f>IFERROR(VLOOKUP($A87,'Position Master'!B:C,2,FALSE),"Missing")</f>
        <v>Dept 7</v>
      </c>
      <c r="C87" s="98" t="str">
        <f ca="1">IFERROR(VLOOKUP($D87,'Employee Master'!$A:$F,3,FALSE)&amp;", "&amp;VLOOKUP($D87,'Employee Master'!$A:$F,2,FALSE),"Vacant")</f>
        <v>Rios, Syed</v>
      </c>
      <c r="D87" s="98">
        <f>IF(INDEX('Position Master'!$A$7:$A$97,MATCH(A87,'Position Master'!$B$7:$B$97,0))=0,"Vacant",INDEX('Position Master'!$A$7:$A$97,MATCH(A87,'Position Master'!$B$7:$B$97,0)))</f>
        <v>9072661</v>
      </c>
      <c r="E87" s="156">
        <f ca="1">IFERROR(VLOOKUP(D87,'Employee Master'!A:F,5,FALSE),"")</f>
        <v>61083.58108021746</v>
      </c>
      <c r="F87" s="157" t="str">
        <f ca="1">IF(C87="Vacant","No",IF(AND(VLOOKUP(D87,'Employee Master'!A:F,6,FALSE)+360&lt;B$4,VLOOKUP(D87,'Employee Master'!A:F,6,FALSE)+360&lt;B81),"Yes","No"))</f>
        <v>Yes</v>
      </c>
      <c r="G87" s="156">
        <f ca="1">IF(C87="Vacant",VLOOKUP(A87,'Position Master'!B:D,3,FALSE),E87)*(1+IF(F87="Yes",F$8,0))</f>
        <v>62916.088512623988</v>
      </c>
      <c r="H87" s="125"/>
      <c r="I87" s="182" t="str">
        <f>IF('Budgeting Model'!I87="","",'Budgeting Model'!I87)</f>
        <v/>
      </c>
      <c r="J87" s="130">
        <f t="shared" ca="1" si="27"/>
        <v>65432.732053128952</v>
      </c>
      <c r="K87" s="149" t="str">
        <f>IF('Budgeting Model'!K87="","",'Budgeting Model'!K87)</f>
        <v/>
      </c>
      <c r="L87" s="127">
        <f t="shared" ca="1" si="28"/>
        <v>44743</v>
      </c>
      <c r="M87" s="149" t="str">
        <f>IF('Budgeting Model'!M87="","",'Budgeting Model'!M87)</f>
        <v/>
      </c>
      <c r="N87" s="127">
        <f ca="1">IF(M87="",IFERROR(VLOOKUP($D87,'Employee Master'!$A:$F,6,FALSE)+365,""),M87)</f>
        <v>45033</v>
      </c>
      <c r="O87" s="149" t="str">
        <f>IF('Budgeting Model'!O87="","",'Budgeting Model'!O87)</f>
        <v/>
      </c>
      <c r="P87" s="127">
        <f t="shared" ca="1" si="39"/>
        <v>45107</v>
      </c>
      <c r="Q87" s="131">
        <f t="shared" ca="1" si="29"/>
        <v>206</v>
      </c>
      <c r="R87" s="131">
        <f t="shared" ca="1" si="30"/>
        <v>55</v>
      </c>
      <c r="S87" s="131">
        <f t="shared" ca="1" si="40"/>
        <v>261</v>
      </c>
      <c r="T87" s="158">
        <f t="shared" ca="1" si="41"/>
        <v>63446.41569548902</v>
      </c>
      <c r="U87" s="156">
        <f t="shared" ca="1" si="31"/>
        <v>63446.41569548902</v>
      </c>
      <c r="V87" s="130">
        <f t="shared" ca="1" si="32"/>
        <v>12284.306017637236</v>
      </c>
      <c r="W87" s="77"/>
      <c r="X87" s="149" t="str">
        <f>IF('Budgeting Model'!X87="","",'Budgeting Model'!X87)</f>
        <v/>
      </c>
      <c r="Y87" s="130">
        <f t="shared" ca="1" si="33"/>
        <v>65432.732053128952</v>
      </c>
      <c r="Z87" s="149" t="str">
        <f>IF('Budgeting Model'!Z87="","",'Budgeting Model'!Z87)</f>
        <v/>
      </c>
      <c r="AA87" s="127">
        <f t="shared" ca="1" si="34"/>
        <v>44743</v>
      </c>
      <c r="AB87" s="149" t="str">
        <f>IF('Budgeting Model'!AB87="","",'Budgeting Model'!AB87)</f>
        <v/>
      </c>
      <c r="AC87" s="127">
        <f ca="1">IF(AB87="",IFERROR(VLOOKUP($D87,'Employee Master'!$A:$F,6,FALSE)+365,""),AB87)</f>
        <v>45033</v>
      </c>
      <c r="AD87" s="149"/>
      <c r="AE87" s="127">
        <f t="shared" ca="1" si="42"/>
        <v>45107</v>
      </c>
      <c r="AF87" s="131">
        <f t="shared" ca="1" si="25"/>
        <v>206</v>
      </c>
      <c r="AG87" s="131">
        <f t="shared" ca="1" si="26"/>
        <v>55</v>
      </c>
      <c r="AH87" s="131">
        <f t="shared" ca="1" si="43"/>
        <v>261</v>
      </c>
      <c r="AI87" s="158">
        <f t="shared" ca="1" si="35"/>
        <v>63446.41569548902</v>
      </c>
      <c r="AJ87" s="156">
        <f t="shared" ca="1" si="36"/>
        <v>63446.41569548902</v>
      </c>
      <c r="AK87" s="130">
        <f t="shared" ca="1" si="45"/>
        <v>12284.306017637236</v>
      </c>
      <c r="AL87" s="78"/>
      <c r="AM87" s="130">
        <f t="shared" ca="1" si="37"/>
        <v>0</v>
      </c>
      <c r="AN87" s="130">
        <f t="shared" ca="1" si="44"/>
        <v>0</v>
      </c>
      <c r="AO87" s="130">
        <f t="shared" ca="1" si="38"/>
        <v>0</v>
      </c>
      <c r="AP87" s="130">
        <f t="shared" ca="1" si="38"/>
        <v>0</v>
      </c>
    </row>
    <row r="88" spans="1:42" ht="16.5" thickBot="1">
      <c r="A88" s="92" t="s">
        <v>146</v>
      </c>
      <c r="B88" s="124" t="str">
        <f>IFERROR(VLOOKUP($A88,'Position Master'!B:C,2,FALSE),"Missing")</f>
        <v>Dept 3</v>
      </c>
      <c r="C88" s="98" t="str">
        <f ca="1">IFERROR(VLOOKUP($D88,'Employee Master'!$A:$F,3,FALSE)&amp;", "&amp;VLOOKUP($D88,'Employee Master'!$A:$F,2,FALSE),"Vacant")</f>
        <v>Rowe, Muqsiteen</v>
      </c>
      <c r="D88" s="98">
        <f>IF(INDEX('Position Master'!$A$7:$A$97,MATCH(A88,'Position Master'!$B$7:$B$97,0))=0,"Vacant",INDEX('Position Master'!$A$7:$A$97,MATCH(A88,'Position Master'!$B$7:$B$97,0)))</f>
        <v>9078679</v>
      </c>
      <c r="E88" s="156">
        <f ca="1">IFERROR(VLOOKUP(D88,'Employee Master'!A:F,5,FALSE),"")</f>
        <v>71274.239774832022</v>
      </c>
      <c r="F88" s="157" t="str">
        <f ca="1">IF(C88="Vacant","No",IF(AND(VLOOKUP(D88,'Employee Master'!A:F,6,FALSE)+360&lt;B$4,VLOOKUP(D88,'Employee Master'!A:F,6,FALSE)+360&lt;B82),"Yes","No"))</f>
        <v>Yes</v>
      </c>
      <c r="G88" s="156">
        <f ca="1">IF(C88="Vacant",VLOOKUP(A88,'Position Master'!B:D,3,FALSE),E88)*(1+IF(F88="Yes",F$8,0))</f>
        <v>73412.466968076988</v>
      </c>
      <c r="H88" s="125"/>
      <c r="I88" s="182" t="str">
        <f>IF('Budgeting Model'!I88="","",'Budgeting Model'!I88)</f>
        <v/>
      </c>
      <c r="J88" s="130">
        <f t="shared" ca="1" si="27"/>
        <v>76348.965646800076</v>
      </c>
      <c r="K88" s="149" t="str">
        <f>IF('Budgeting Model'!K88="","",'Budgeting Model'!K88)</f>
        <v/>
      </c>
      <c r="L88" s="127">
        <f t="shared" ca="1" si="28"/>
        <v>44743</v>
      </c>
      <c r="M88" s="149" t="str">
        <f>IF('Budgeting Model'!M88="","",'Budgeting Model'!M88)</f>
        <v/>
      </c>
      <c r="N88" s="127">
        <f ca="1">IF(M88="",IFERROR(VLOOKUP($D88,'Employee Master'!$A:$F,6,FALSE)+365,""),M88)</f>
        <v>45043</v>
      </c>
      <c r="O88" s="149" t="str">
        <f>IF('Budgeting Model'!O88="","",'Budgeting Model'!O88)</f>
        <v/>
      </c>
      <c r="P88" s="127">
        <f t="shared" ca="1" si="39"/>
        <v>45107</v>
      </c>
      <c r="Q88" s="131">
        <f t="shared" ca="1" si="29"/>
        <v>214</v>
      </c>
      <c r="R88" s="131">
        <f t="shared" ca="1" si="30"/>
        <v>47</v>
      </c>
      <c r="S88" s="131">
        <f t="shared" ca="1" si="40"/>
        <v>261</v>
      </c>
      <c r="T88" s="158">
        <f t="shared" ca="1" si="41"/>
        <v>73941.261749302983</v>
      </c>
      <c r="U88" s="156">
        <f t="shared" ca="1" si="31"/>
        <v>73941.261749302983</v>
      </c>
      <c r="V88" s="130">
        <f t="shared" ca="1" si="32"/>
        <v>14311.211951477999</v>
      </c>
      <c r="W88" s="77"/>
      <c r="X88" s="149" t="str">
        <f>IF('Budgeting Model'!X88="","",'Budgeting Model'!X88)</f>
        <v/>
      </c>
      <c r="Y88" s="130">
        <f t="shared" ca="1" si="33"/>
        <v>76348.965646800076</v>
      </c>
      <c r="Z88" s="149">
        <f>IF('Budgeting Model'!Z88="","",'Budgeting Model'!Z88)</f>
        <v>44823</v>
      </c>
      <c r="AA88" s="127">
        <f t="shared" si="34"/>
        <v>44823</v>
      </c>
      <c r="AB88" s="149" t="str">
        <f>IF('Budgeting Model'!AB88="","",'Budgeting Model'!AB88)</f>
        <v/>
      </c>
      <c r="AC88" s="127">
        <f ca="1">IF(AB88="",IFERROR(VLOOKUP($D88,'Employee Master'!$A:$F,6,FALSE)+365,""),AB88)</f>
        <v>45043</v>
      </c>
      <c r="AD88" s="149"/>
      <c r="AE88" s="127">
        <f t="shared" ca="1" si="42"/>
        <v>45107</v>
      </c>
      <c r="AF88" s="131">
        <f t="shared" ca="1" si="25"/>
        <v>158</v>
      </c>
      <c r="AG88" s="131">
        <f t="shared" ca="1" si="26"/>
        <v>47</v>
      </c>
      <c r="AH88" s="131">
        <f t="shared" ca="1" si="43"/>
        <v>205</v>
      </c>
      <c r="AI88" s="158">
        <f t="shared" ca="1" si="35"/>
        <v>74085.7130066135</v>
      </c>
      <c r="AJ88" s="156">
        <f t="shared" ca="1" si="36"/>
        <v>58189.927840443561</v>
      </c>
      <c r="AK88" s="130">
        <f t="shared" ca="1" si="45"/>
        <v>14311.211951477999</v>
      </c>
      <c r="AL88" s="78"/>
      <c r="AM88" s="130">
        <f t="shared" ca="1" si="37"/>
        <v>144.45125731051667</v>
      </c>
      <c r="AN88" s="130">
        <f t="shared" ca="1" si="44"/>
        <v>-15895.785166169939</v>
      </c>
      <c r="AO88" s="130">
        <f t="shared" ca="1" si="38"/>
        <v>-15751.333908859422</v>
      </c>
      <c r="AP88" s="130">
        <f t="shared" ca="1" si="38"/>
        <v>0</v>
      </c>
    </row>
    <row r="89" spans="1:42" ht="16.5" thickBot="1">
      <c r="A89" s="92" t="s">
        <v>147</v>
      </c>
      <c r="B89" s="124" t="str">
        <f>IFERROR(VLOOKUP($A89,'Position Master'!B:C,2,FALSE),"Missing")</f>
        <v>Dept 11</v>
      </c>
      <c r="C89" s="98" t="str">
        <f ca="1">IFERROR(VLOOKUP($D89,'Employee Master'!$A:$F,3,FALSE)&amp;", "&amp;VLOOKUP($D89,'Employee Master'!$A:$F,2,FALSE),"Vacant")</f>
        <v>Ruan, Anjali</v>
      </c>
      <c r="D89" s="98">
        <f>IF(INDEX('Position Master'!$A$7:$A$97,MATCH(A89,'Position Master'!$B$7:$B$97,0))=0,"Vacant",INDEX('Position Master'!$A$7:$A$97,MATCH(A89,'Position Master'!$B$7:$B$97,0)))</f>
        <v>9238859</v>
      </c>
      <c r="E89" s="156">
        <f ca="1">IFERROR(VLOOKUP(D89,'Employee Master'!A:F,5,FALSE),"")</f>
        <v>52749.935741385481</v>
      </c>
      <c r="F89" s="157" t="str">
        <f ca="1">IF(C89="Vacant","No",IF(AND(VLOOKUP(D89,'Employee Master'!A:F,6,FALSE)+360&lt;B$4,VLOOKUP(D89,'Employee Master'!A:F,6,FALSE)+360&lt;B83),"Yes","No"))</f>
        <v>Yes</v>
      </c>
      <c r="G89" s="156">
        <f ca="1">IF(C89="Vacant",VLOOKUP(A89,'Position Master'!B:D,3,FALSE),E89)*(1+IF(F89="Yes",F$8,0))</f>
        <v>54332.433813627045</v>
      </c>
      <c r="H89" s="125"/>
      <c r="I89" s="182" t="str">
        <f>IF('Budgeting Model'!I89="","",'Budgeting Model'!I89)</f>
        <v/>
      </c>
      <c r="J89" s="130">
        <f t="shared" ca="1" si="27"/>
        <v>56505.731166172132</v>
      </c>
      <c r="K89" s="149" t="str">
        <f>IF('Budgeting Model'!K89="","",'Budgeting Model'!K89)</f>
        <v/>
      </c>
      <c r="L89" s="127">
        <f t="shared" ca="1" si="28"/>
        <v>44743</v>
      </c>
      <c r="M89" s="149" t="str">
        <f>IF('Budgeting Model'!M89="","",'Budgeting Model'!M89)</f>
        <v/>
      </c>
      <c r="N89" s="127">
        <f ca="1">IF(M89="",IFERROR(VLOOKUP($D89,'Employee Master'!$A:$F,6,FALSE)+365,""),M89)</f>
        <v>44869</v>
      </c>
      <c r="O89" s="149" t="str">
        <f>IF('Budgeting Model'!O89="","",'Budgeting Model'!O89)</f>
        <v/>
      </c>
      <c r="P89" s="127">
        <f t="shared" ca="1" si="39"/>
        <v>45107</v>
      </c>
      <c r="Q89" s="131">
        <f t="shared" ca="1" si="29"/>
        <v>90</v>
      </c>
      <c r="R89" s="131">
        <f t="shared" ca="1" si="30"/>
        <v>171</v>
      </c>
      <c r="S89" s="131">
        <f t="shared" ca="1" si="40"/>
        <v>261</v>
      </c>
      <c r="T89" s="158">
        <f t="shared" ca="1" si="41"/>
        <v>55756.318285984169</v>
      </c>
      <c r="U89" s="156">
        <f t="shared" ca="1" si="31"/>
        <v>55756.318285984169</v>
      </c>
      <c r="V89" s="130">
        <f t="shared" ca="1" si="32"/>
        <v>10608.355659549557</v>
      </c>
      <c r="W89" s="77"/>
      <c r="X89" s="149" t="str">
        <f>IF('Budgeting Model'!X89="","",'Budgeting Model'!X89)</f>
        <v/>
      </c>
      <c r="Y89" s="130">
        <f t="shared" ca="1" si="33"/>
        <v>56505.731166172132</v>
      </c>
      <c r="Z89" s="149">
        <f>IF('Budgeting Model'!Z89="","",'Budgeting Model'!Z89)</f>
        <v>44830</v>
      </c>
      <c r="AA89" s="127">
        <f t="shared" si="34"/>
        <v>44830</v>
      </c>
      <c r="AB89" s="149" t="str">
        <f>IF('Budgeting Model'!AB89="","",'Budgeting Model'!AB89)</f>
        <v/>
      </c>
      <c r="AC89" s="127">
        <f ca="1">IF(AB89="",IFERROR(VLOOKUP($D89,'Employee Master'!$A:$F,6,FALSE)+365,""),AB89)</f>
        <v>44869</v>
      </c>
      <c r="AD89" s="149"/>
      <c r="AE89" s="127">
        <f t="shared" ca="1" si="42"/>
        <v>45107</v>
      </c>
      <c r="AF89" s="131">
        <f t="shared" ca="1" si="25"/>
        <v>29</v>
      </c>
      <c r="AG89" s="131">
        <f t="shared" ca="1" si="26"/>
        <v>171</v>
      </c>
      <c r="AH89" s="131">
        <f t="shared" ca="1" si="43"/>
        <v>200</v>
      </c>
      <c r="AI89" s="158">
        <f t="shared" ca="1" si="35"/>
        <v>56190.603050053091</v>
      </c>
      <c r="AJ89" s="156">
        <f t="shared" ca="1" si="36"/>
        <v>43057.933371688196</v>
      </c>
      <c r="AK89" s="130">
        <f t="shared" ca="1" si="45"/>
        <v>10608.355659549557</v>
      </c>
      <c r="AL89" s="78"/>
      <c r="AM89" s="130">
        <f t="shared" ca="1" si="37"/>
        <v>434.2847640689215</v>
      </c>
      <c r="AN89" s="130">
        <f t="shared" ca="1" si="44"/>
        <v>-13132.669678364895</v>
      </c>
      <c r="AO89" s="130">
        <f t="shared" ca="1" si="38"/>
        <v>-12698.384914295973</v>
      </c>
      <c r="AP89" s="130">
        <f t="shared" ca="1" si="38"/>
        <v>0</v>
      </c>
    </row>
    <row r="90" spans="1:42" ht="16.5" thickBot="1">
      <c r="A90" s="92" t="s">
        <v>148</v>
      </c>
      <c r="B90" s="124" t="str">
        <f>IFERROR(VLOOKUP($A90,'Position Master'!B:C,2,FALSE),"Missing")</f>
        <v>Dept 6</v>
      </c>
      <c r="C90" s="98" t="str">
        <f ca="1">IFERROR(VLOOKUP($D90,'Employee Master'!$A:$F,3,FALSE)&amp;", "&amp;VLOOKUP($D90,'Employee Master'!$A:$F,2,FALSE),"Vacant")</f>
        <v>Vacant</v>
      </c>
      <c r="D90" s="98" t="str">
        <f>IF(INDEX('Position Master'!$A$7:$A$97,MATCH(A90,'Position Master'!$B$7:$B$97,0))=0,"Vacant",INDEX('Position Master'!$A$7:$A$97,MATCH(A90,'Position Master'!$B$7:$B$97,0)))</f>
        <v>Vacant</v>
      </c>
      <c r="E90" s="156" t="str">
        <f ca="1">IFERROR(VLOOKUP(D90,'Employee Master'!A:F,5,FALSE),"")</f>
        <v/>
      </c>
      <c r="F90" s="157" t="str">
        <f ca="1">IF(C90="Vacant","No",IF(AND(VLOOKUP(D90,'Employee Master'!A:F,6,FALSE)+360&lt;B$4,VLOOKUP(D90,'Employee Master'!A:F,6,FALSE)+360&lt;B84),"Yes","No"))</f>
        <v>No</v>
      </c>
      <c r="G90" s="156">
        <f ca="1">IF(C90="Vacant",VLOOKUP(A90,'Position Master'!B:D,3,FALSE),E90)*(1+IF(F90="Yes",F$8,0))</f>
        <v>69906.028107361708</v>
      </c>
      <c r="H90" s="125"/>
      <c r="I90" s="182" t="str">
        <f>IF('Budgeting Model'!I90="","",'Budgeting Model'!I90)</f>
        <v/>
      </c>
      <c r="J90" s="130">
        <f t="shared" ca="1" si="27"/>
        <v>72702.269231656173</v>
      </c>
      <c r="K90" s="149" t="str">
        <f>IF('Budgeting Model'!K90="","",'Budgeting Model'!K90)</f>
        <v/>
      </c>
      <c r="L90" s="127">
        <f t="shared" ca="1" si="28"/>
        <v>44833</v>
      </c>
      <c r="M90" s="149" t="str">
        <f>IF('Budgeting Model'!M90="","",'Budgeting Model'!M90)</f>
        <v/>
      </c>
      <c r="N90" s="127" t="str">
        <f ca="1">IF(M90="",IFERROR(VLOOKUP($D90,'Employee Master'!$A:$F,6,FALSE)+365,""),M90)</f>
        <v/>
      </c>
      <c r="O90" s="149" t="str">
        <f>IF('Budgeting Model'!O90="","",'Budgeting Model'!O90)</f>
        <v/>
      </c>
      <c r="P90" s="127">
        <f t="shared" ca="1" si="39"/>
        <v>45107</v>
      </c>
      <c r="Q90" s="131">
        <f t="shared" ca="1" si="29"/>
        <v>197</v>
      </c>
      <c r="R90" s="131">
        <f t="shared" ca="1" si="30"/>
        <v>0</v>
      </c>
      <c r="S90" s="131">
        <f t="shared" ca="1" si="40"/>
        <v>197</v>
      </c>
      <c r="T90" s="158">
        <f t="shared" ca="1" si="41"/>
        <v>69906.028107361708</v>
      </c>
      <c r="U90" s="156">
        <f t="shared" ca="1" si="31"/>
        <v>52764.320065709791</v>
      </c>
      <c r="V90" s="130">
        <f t="shared" ca="1" si="32"/>
        <v>52764.320065709791</v>
      </c>
      <c r="W90" s="77"/>
      <c r="X90" s="149" t="str">
        <f>IF('Budgeting Model'!X90="","",'Budgeting Model'!X90)</f>
        <v/>
      </c>
      <c r="Y90" s="130">
        <f t="shared" ca="1" si="33"/>
        <v>72702.269231656173</v>
      </c>
      <c r="Z90" s="149">
        <f>IF('Budgeting Model'!Z90="","",'Budgeting Model'!Z90)</f>
        <v>44798</v>
      </c>
      <c r="AA90" s="127">
        <f t="shared" si="34"/>
        <v>44798</v>
      </c>
      <c r="AB90" s="149">
        <f>IF('Budgeting Model'!AB90="","",'Budgeting Model'!AB90)</f>
        <v>44866</v>
      </c>
      <c r="AC90" s="127">
        <f>IF(AB90="",IFERROR(VLOOKUP($D90,'Employee Master'!$A:$F,6,FALSE)+365,""),AB90)</f>
        <v>44866</v>
      </c>
      <c r="AD90" s="149"/>
      <c r="AE90" s="127">
        <f t="shared" ca="1" si="42"/>
        <v>45107</v>
      </c>
      <c r="AF90" s="131">
        <f t="shared" si="25"/>
        <v>48</v>
      </c>
      <c r="AG90" s="131">
        <f t="shared" ca="1" si="26"/>
        <v>174</v>
      </c>
      <c r="AH90" s="131">
        <f t="shared" ca="1" si="43"/>
        <v>222</v>
      </c>
      <c r="AI90" s="158">
        <f t="shared" ca="1" si="35"/>
        <v>72097.676556133039</v>
      </c>
      <c r="AJ90" s="156">
        <f t="shared" ca="1" si="36"/>
        <v>61324.460519009714</v>
      </c>
      <c r="AK90" s="130">
        <f t="shared" ca="1" si="45"/>
        <v>13649.085028165337</v>
      </c>
      <c r="AL90" s="78"/>
      <c r="AM90" s="130">
        <f t="shared" ca="1" si="37"/>
        <v>2191.6484487713315</v>
      </c>
      <c r="AN90" s="130">
        <f t="shared" ca="1" si="44"/>
        <v>6368.4920045285908</v>
      </c>
      <c r="AO90" s="130">
        <f t="shared" ca="1" si="38"/>
        <v>8560.1404532999222</v>
      </c>
      <c r="AP90" s="130">
        <f t="shared" ca="1" si="38"/>
        <v>-39115.235037544451</v>
      </c>
    </row>
    <row r="91" spans="1:42" ht="16.5" thickBot="1">
      <c r="A91" s="92" t="s">
        <v>149</v>
      </c>
      <c r="B91" s="124" t="str">
        <f>IFERROR(VLOOKUP($A91,'Position Master'!B:C,2,FALSE),"Missing")</f>
        <v>Dept 9</v>
      </c>
      <c r="C91" s="98" t="str">
        <f ca="1">IFERROR(VLOOKUP($D91,'Employee Master'!$A:$F,3,FALSE)&amp;", "&amp;VLOOKUP($D91,'Employee Master'!$A:$F,2,FALSE),"Vacant")</f>
        <v>Sanghavi, Fidencio</v>
      </c>
      <c r="D91" s="98">
        <f>IF(INDEX('Position Master'!$A$7:$A$97,MATCH(A91,'Position Master'!$B$7:$B$97,0))=0,"Vacant",INDEX('Position Master'!$A$7:$A$97,MATCH(A91,'Position Master'!$B$7:$B$97,0)))</f>
        <v>9246666</v>
      </c>
      <c r="E91" s="156">
        <f ca="1">IFERROR(VLOOKUP(D91,'Employee Master'!A:F,5,FALSE),"")</f>
        <v>46246.841724590704</v>
      </c>
      <c r="F91" s="157" t="str">
        <f ca="1">IF(C91="Vacant","No",IF(AND(VLOOKUP(D91,'Employee Master'!A:F,6,FALSE)+360&lt;B$4,VLOOKUP(D91,'Employee Master'!A:F,6,FALSE)+360&lt;B85),"Yes","No"))</f>
        <v>Yes</v>
      </c>
      <c r="G91" s="156">
        <f ca="1">IF(C91="Vacant",VLOOKUP(A91,'Position Master'!B:D,3,FALSE),E91)*(1+IF(F91="Yes",F$8,0))</f>
        <v>47634.246976328424</v>
      </c>
      <c r="H91" s="125"/>
      <c r="I91" s="182" t="str">
        <f>IF('Budgeting Model'!I91="","",'Budgeting Model'!I91)</f>
        <v/>
      </c>
      <c r="J91" s="130">
        <f t="shared" ca="1" si="27"/>
        <v>49539.616855381566</v>
      </c>
      <c r="K91" s="149" t="str">
        <f>IF('Budgeting Model'!K91="","",'Budgeting Model'!K91)</f>
        <v/>
      </c>
      <c r="L91" s="127">
        <f t="shared" ca="1" si="28"/>
        <v>44743</v>
      </c>
      <c r="M91" s="149" t="str">
        <f>IF('Budgeting Model'!M91="","",'Budgeting Model'!M91)</f>
        <v/>
      </c>
      <c r="N91" s="127">
        <f ca="1">IF(M91="",IFERROR(VLOOKUP($D91,'Employee Master'!$A:$F,6,FALSE)+365,""),M91)</f>
        <v>44862</v>
      </c>
      <c r="O91" s="149">
        <f>IF('Budgeting Model'!O91="","",'Budgeting Model'!O91)</f>
        <v>45077</v>
      </c>
      <c r="P91" s="127">
        <f t="shared" si="39"/>
        <v>45077</v>
      </c>
      <c r="Q91" s="131">
        <f t="shared" ca="1" si="29"/>
        <v>85</v>
      </c>
      <c r="R91" s="131">
        <f t="shared" ca="1" si="30"/>
        <v>154</v>
      </c>
      <c r="S91" s="131">
        <f t="shared" ca="1" si="40"/>
        <v>239</v>
      </c>
      <c r="T91" s="158">
        <f t="shared" ca="1" si="41"/>
        <v>48861.974848186932</v>
      </c>
      <c r="U91" s="156">
        <f t="shared" ca="1" si="31"/>
        <v>44743.340952937462</v>
      </c>
      <c r="V91" s="130">
        <f t="shared" ca="1" si="32"/>
        <v>5124.7879505567134</v>
      </c>
      <c r="W91" s="77"/>
      <c r="X91" s="149" t="str">
        <f>IF('Budgeting Model'!X91="","",'Budgeting Model'!X91)</f>
        <v/>
      </c>
      <c r="Y91" s="130">
        <f t="shared" ca="1" si="33"/>
        <v>49539.616855381566</v>
      </c>
      <c r="Z91" s="149">
        <f>IF('Budgeting Model'!Z91="","",'Budgeting Model'!Z91)</f>
        <v>44747</v>
      </c>
      <c r="AA91" s="127">
        <f t="shared" si="34"/>
        <v>44747</v>
      </c>
      <c r="AB91" s="149" t="str">
        <f>IF('Budgeting Model'!AB91="","",'Budgeting Model'!AB91)</f>
        <v/>
      </c>
      <c r="AC91" s="127">
        <f ca="1">IF(AB91="",IFERROR(VLOOKUP($D91,'Employee Master'!$A:$F,6,FALSE)+365,""),AB91)</f>
        <v>44862</v>
      </c>
      <c r="AD91" s="149"/>
      <c r="AE91" s="127">
        <f t="shared" ca="1" si="42"/>
        <v>45107</v>
      </c>
      <c r="AF91" s="131">
        <f t="shared" ca="1" si="25"/>
        <v>83</v>
      </c>
      <c r="AG91" s="131">
        <f t="shared" ca="1" si="26"/>
        <v>176</v>
      </c>
      <c r="AH91" s="131">
        <f t="shared" ca="1" si="43"/>
        <v>259</v>
      </c>
      <c r="AI91" s="158">
        <f t="shared" ca="1" si="35"/>
        <v>48929.015697229399</v>
      </c>
      <c r="AJ91" s="156">
        <f t="shared" ca="1" si="36"/>
        <v>48554.080711043731</v>
      </c>
      <c r="AK91" s="130">
        <f t="shared" ca="1" si="45"/>
        <v>9300.541095454777</v>
      </c>
      <c r="AL91" s="78"/>
      <c r="AM91" s="130">
        <f t="shared" ca="1" si="37"/>
        <v>67.040849042467016</v>
      </c>
      <c r="AN91" s="130">
        <f t="shared" ca="1" si="44"/>
        <v>3743.6989090638017</v>
      </c>
      <c r="AO91" s="130">
        <f t="shared" ca="1" si="38"/>
        <v>3810.7397581062687</v>
      </c>
      <c r="AP91" s="130">
        <f t="shared" ca="1" si="38"/>
        <v>4175.7531448980635</v>
      </c>
    </row>
    <row r="92" spans="1:42" ht="16.5" thickBot="1">
      <c r="A92" s="92" t="s">
        <v>150</v>
      </c>
      <c r="B92" s="124" t="str">
        <f>IFERROR(VLOOKUP($A92,'Position Master'!B:C,2,FALSE),"Missing")</f>
        <v>Dept 2</v>
      </c>
      <c r="C92" s="98" t="str">
        <f ca="1">IFERROR(VLOOKUP($D92,'Employee Master'!$A:$F,3,FALSE)&amp;", "&amp;VLOOKUP($D92,'Employee Master'!$A:$F,2,FALSE),"Vacant")</f>
        <v>Sanoulis, Denzel</v>
      </c>
      <c r="D92" s="98">
        <f>IF(INDEX('Position Master'!$A$7:$A$97,MATCH(A92,'Position Master'!$B$7:$B$97,0))=0,"Vacant",INDEX('Position Master'!$A$7:$A$97,MATCH(A92,'Position Master'!$B$7:$B$97,0)))</f>
        <v>9495233</v>
      </c>
      <c r="E92" s="156">
        <f ca="1">IFERROR(VLOOKUP(D92,'Employee Master'!A:F,5,FALSE),"")</f>
        <v>89748.843404155748</v>
      </c>
      <c r="F92" s="157" t="str">
        <f ca="1">IF(C92="Vacant","No",IF(AND(VLOOKUP(D92,'Employee Master'!A:F,6,FALSE)+360&lt;B$4,VLOOKUP(D92,'Employee Master'!A:F,6,FALSE)+360&lt;B86),"Yes","No"))</f>
        <v>Yes</v>
      </c>
      <c r="G92" s="156">
        <f ca="1">IF(C92="Vacant",VLOOKUP(A92,'Position Master'!B:D,3,FALSE),E92)*(1+IF(F92="Yes",F$8,0))</f>
        <v>92441.308706280426</v>
      </c>
      <c r="H92" s="125"/>
      <c r="I92" s="182" t="str">
        <f>IF('Budgeting Model'!I92="","",'Budgeting Model'!I92)</f>
        <v/>
      </c>
      <c r="J92" s="130">
        <f t="shared" ca="1" si="27"/>
        <v>96138.961054531654</v>
      </c>
      <c r="K92" s="149" t="str">
        <f>IF('Budgeting Model'!K92="","",'Budgeting Model'!K92)</f>
        <v/>
      </c>
      <c r="L92" s="127">
        <f t="shared" ca="1" si="28"/>
        <v>44743</v>
      </c>
      <c r="M92" s="149" t="str">
        <f>IF('Budgeting Model'!M92="","",'Budgeting Model'!M92)</f>
        <v/>
      </c>
      <c r="N92" s="127">
        <f ca="1">IF(M92="",IFERROR(VLOOKUP($D92,'Employee Master'!$A:$F,6,FALSE)+365,""),M92)</f>
        <v>44922</v>
      </c>
      <c r="O92" s="149" t="str">
        <f>IF('Budgeting Model'!O92="","",'Budgeting Model'!O92)</f>
        <v/>
      </c>
      <c r="P92" s="127">
        <f t="shared" ca="1" si="39"/>
        <v>45107</v>
      </c>
      <c r="Q92" s="131">
        <f t="shared" ca="1" si="29"/>
        <v>127</v>
      </c>
      <c r="R92" s="131">
        <f t="shared" ca="1" si="30"/>
        <v>134</v>
      </c>
      <c r="S92" s="131">
        <f t="shared" ca="1" si="40"/>
        <v>261</v>
      </c>
      <c r="T92" s="158">
        <f t="shared" ca="1" si="41"/>
        <v>94339.72025672358</v>
      </c>
      <c r="U92" s="156">
        <f t="shared" ca="1" si="31"/>
        <v>94339.72025672358</v>
      </c>
      <c r="V92" s="130">
        <f t="shared" ca="1" si="32"/>
        <v>18049.0769795864</v>
      </c>
      <c r="W92" s="77"/>
      <c r="X92" s="149" t="str">
        <f>IF('Budgeting Model'!X92="","",'Budgeting Model'!X92)</f>
        <v/>
      </c>
      <c r="Y92" s="130">
        <f t="shared" ca="1" si="33"/>
        <v>96138.961054531654</v>
      </c>
      <c r="Z92" s="149" t="str">
        <f>IF('Budgeting Model'!Z92="","",'Budgeting Model'!Z92)</f>
        <v/>
      </c>
      <c r="AA92" s="127">
        <f t="shared" ca="1" si="34"/>
        <v>44743</v>
      </c>
      <c r="AB92" s="149" t="str">
        <f>IF('Budgeting Model'!AB92="","",'Budgeting Model'!AB92)</f>
        <v/>
      </c>
      <c r="AC92" s="127">
        <f ca="1">IF(AB92="",IFERROR(VLOOKUP($D92,'Employee Master'!$A:$F,6,FALSE)+365,""),AB92)</f>
        <v>44922</v>
      </c>
      <c r="AD92" s="149"/>
      <c r="AE92" s="127">
        <f t="shared" ca="1" si="42"/>
        <v>45107</v>
      </c>
      <c r="AF92" s="131">
        <f t="shared" ca="1" si="25"/>
        <v>127</v>
      </c>
      <c r="AG92" s="131">
        <f t="shared" ca="1" si="26"/>
        <v>134</v>
      </c>
      <c r="AH92" s="131">
        <f t="shared" ca="1" si="43"/>
        <v>261</v>
      </c>
      <c r="AI92" s="158">
        <f t="shared" ca="1" si="35"/>
        <v>94339.72025672358</v>
      </c>
      <c r="AJ92" s="156">
        <f t="shared" ca="1" si="36"/>
        <v>94339.72025672358</v>
      </c>
      <c r="AK92" s="130">
        <f t="shared" ca="1" si="45"/>
        <v>18049.0769795864</v>
      </c>
      <c r="AL92" s="78"/>
      <c r="AM92" s="130">
        <f t="shared" ca="1" si="37"/>
        <v>0</v>
      </c>
      <c r="AN92" s="130">
        <f t="shared" ca="1" si="44"/>
        <v>0</v>
      </c>
      <c r="AO92" s="130">
        <f t="shared" ca="1" si="38"/>
        <v>0</v>
      </c>
      <c r="AP92" s="130">
        <f t="shared" ca="1" si="38"/>
        <v>0</v>
      </c>
    </row>
    <row r="93" spans="1:42" ht="16.5" thickBot="1">
      <c r="A93" s="92" t="s">
        <v>151</v>
      </c>
      <c r="B93" s="124" t="str">
        <f>IFERROR(VLOOKUP($A93,'Position Master'!B:C,2,FALSE),"Missing")</f>
        <v>Dept 1</v>
      </c>
      <c r="C93" s="98" t="str">
        <f ca="1">IFERROR(VLOOKUP($D93,'Employee Master'!$A:$F,3,FALSE)&amp;", "&amp;VLOOKUP($D93,'Employee Master'!$A:$F,2,FALSE),"Vacant")</f>
        <v>Santos, Stefan</v>
      </c>
      <c r="D93" s="98">
        <f>IF(INDEX('Position Master'!$A$7:$A$97,MATCH(A93,'Position Master'!$B$7:$B$97,0))=0,"Vacant",INDEX('Position Master'!$A$7:$A$97,MATCH(A93,'Position Master'!$B$7:$B$97,0)))</f>
        <v>9599390</v>
      </c>
      <c r="E93" s="156">
        <f ca="1">IFERROR(VLOOKUP(D93,'Employee Master'!A:F,5,FALSE),"")</f>
        <v>42725.606051473347</v>
      </c>
      <c r="F93" s="157" t="str">
        <f ca="1">IF(C93="Vacant","No",IF(AND(VLOOKUP(D93,'Employee Master'!A:F,6,FALSE)+360&lt;B$4,VLOOKUP(D93,'Employee Master'!A:F,6,FALSE)+360&lt;B87),"Yes","No"))</f>
        <v>Yes</v>
      </c>
      <c r="G93" s="156">
        <f ca="1">IF(C93="Vacant",VLOOKUP(A93,'Position Master'!B:D,3,FALSE),E93)*(1+IF(F93="Yes",F$8,0))</f>
        <v>44007.374233017552</v>
      </c>
      <c r="H93" s="125"/>
      <c r="I93" s="182" t="str">
        <f>IF('Budgeting Model'!I93="","",'Budgeting Model'!I93)</f>
        <v/>
      </c>
      <c r="J93" s="130">
        <f t="shared" ca="1" si="27"/>
        <v>45767.669202338257</v>
      </c>
      <c r="K93" s="149" t="str">
        <f>IF('Budgeting Model'!K93="","",'Budgeting Model'!K93)</f>
        <v/>
      </c>
      <c r="L93" s="127">
        <f t="shared" ca="1" si="28"/>
        <v>44743</v>
      </c>
      <c r="M93" s="149" t="str">
        <f>IF('Budgeting Model'!M93="","",'Budgeting Model'!M93)</f>
        <v/>
      </c>
      <c r="N93" s="127">
        <f ca="1">IF(M93="",IFERROR(VLOOKUP($D93,'Employee Master'!$A:$F,6,FALSE)+365,""),M93)</f>
        <v>44883</v>
      </c>
      <c r="O93" s="149" t="str">
        <f>IF('Budgeting Model'!O93="","",'Budgeting Model'!O93)</f>
        <v/>
      </c>
      <c r="P93" s="127">
        <f t="shared" ca="1" si="39"/>
        <v>45107</v>
      </c>
      <c r="Q93" s="131">
        <f t="shared" ca="1" si="29"/>
        <v>100</v>
      </c>
      <c r="R93" s="131">
        <f t="shared" ca="1" si="30"/>
        <v>161</v>
      </c>
      <c r="S93" s="131">
        <f t="shared" ca="1" si="40"/>
        <v>261</v>
      </c>
      <c r="T93" s="158">
        <f t="shared" ca="1" si="41"/>
        <v>45093.226685357149</v>
      </c>
      <c r="U93" s="156">
        <f t="shared" ca="1" si="31"/>
        <v>45093.226685357149</v>
      </c>
      <c r="V93" s="130">
        <f t="shared" ca="1" si="32"/>
        <v>8592.397666339366</v>
      </c>
      <c r="W93" s="77"/>
      <c r="X93" s="149" t="str">
        <f>IF('Budgeting Model'!X93="","",'Budgeting Model'!X93)</f>
        <v/>
      </c>
      <c r="Y93" s="130">
        <f t="shared" ca="1" si="33"/>
        <v>45767.669202338257</v>
      </c>
      <c r="Z93" s="149">
        <f>IF('Budgeting Model'!Z93="","",'Budgeting Model'!Z93)</f>
        <v>44830</v>
      </c>
      <c r="AA93" s="127">
        <f t="shared" si="34"/>
        <v>44830</v>
      </c>
      <c r="AB93" s="149" t="str">
        <f>IF('Budgeting Model'!AB93="","",'Budgeting Model'!AB93)</f>
        <v/>
      </c>
      <c r="AC93" s="127">
        <f ca="1">IF(AB93="",IFERROR(VLOOKUP($D93,'Employee Master'!$A:$F,6,FALSE)+365,""),AB93)</f>
        <v>44883</v>
      </c>
      <c r="AD93" s="149"/>
      <c r="AE93" s="127">
        <f t="shared" ca="1" si="42"/>
        <v>45107</v>
      </c>
      <c r="AF93" s="131">
        <f t="shared" ca="1" si="25"/>
        <v>39</v>
      </c>
      <c r="AG93" s="131">
        <f t="shared" ca="1" si="26"/>
        <v>161</v>
      </c>
      <c r="AH93" s="131">
        <f t="shared" ca="1" si="43"/>
        <v>200</v>
      </c>
      <c r="AI93" s="158">
        <f t="shared" ca="1" si="35"/>
        <v>45424.411683320715</v>
      </c>
      <c r="AJ93" s="156">
        <f t="shared" ca="1" si="36"/>
        <v>34807.978301395189</v>
      </c>
      <c r="AK93" s="130">
        <f t="shared" ca="1" si="45"/>
        <v>8592.397666339366</v>
      </c>
      <c r="AL93" s="78"/>
      <c r="AM93" s="130">
        <f t="shared" ca="1" si="37"/>
        <v>331.18499796356627</v>
      </c>
      <c r="AN93" s="130">
        <f t="shared" ca="1" si="44"/>
        <v>-10616.433381925526</v>
      </c>
      <c r="AO93" s="130">
        <f t="shared" ca="1" si="38"/>
        <v>-10285.24838396196</v>
      </c>
      <c r="AP93" s="130">
        <f t="shared" ca="1" si="38"/>
        <v>0</v>
      </c>
    </row>
    <row r="94" spans="1:42" ht="16.5" thickBot="1">
      <c r="A94" s="92" t="s">
        <v>152</v>
      </c>
      <c r="B94" s="124" t="str">
        <f>IFERROR(VLOOKUP($A94,'Position Master'!B:C,2,FALSE),"Missing")</f>
        <v>Dept 10</v>
      </c>
      <c r="C94" s="98" t="str">
        <f ca="1">IFERROR(VLOOKUP($D94,'Employee Master'!$A:$F,3,FALSE)&amp;", "&amp;VLOOKUP($D94,'Employee Master'!$A:$F,2,FALSE),"Vacant")</f>
        <v>Vacant</v>
      </c>
      <c r="D94" s="98" t="str">
        <f>IF(INDEX('Position Master'!$A$7:$A$97,MATCH(A94,'Position Master'!$B$7:$B$97,0))=0,"Vacant",INDEX('Position Master'!$A$7:$A$97,MATCH(A94,'Position Master'!$B$7:$B$97,0)))</f>
        <v>Vacant</v>
      </c>
      <c r="E94" s="156" t="str">
        <f ca="1">IFERROR(VLOOKUP(D94,'Employee Master'!A:F,5,FALSE),"")</f>
        <v/>
      </c>
      <c r="F94" s="157" t="str">
        <f ca="1">IF(C94="Vacant","No",IF(AND(VLOOKUP(D94,'Employee Master'!A:F,6,FALSE)+360&lt;B$4,VLOOKUP(D94,'Employee Master'!A:F,6,FALSE)+360&lt;B88),"Yes","No"))</f>
        <v>No</v>
      </c>
      <c r="G94" s="156">
        <f ca="1">IF(C94="Vacant",VLOOKUP(A94,'Position Master'!B:D,3,FALSE),E94)*(1+IF(F94="Yes",F$8,0))</f>
        <v>53528.807740437755</v>
      </c>
      <c r="H94" s="125"/>
      <c r="I94" s="182" t="str">
        <f>IF('Budgeting Model'!I94="","",'Budgeting Model'!I94)</f>
        <v/>
      </c>
      <c r="J94" s="130">
        <f t="shared" ca="1" si="27"/>
        <v>55669.96005005527</v>
      </c>
      <c r="K94" s="149" t="str">
        <f>IF('Budgeting Model'!K94="","",'Budgeting Model'!K94)</f>
        <v/>
      </c>
      <c r="L94" s="127">
        <f t="shared" ca="1" si="28"/>
        <v>44833</v>
      </c>
      <c r="M94" s="149" t="str">
        <f>IF('Budgeting Model'!M94="","",'Budgeting Model'!M94)</f>
        <v/>
      </c>
      <c r="N94" s="127" t="str">
        <f ca="1">IF(M94="",IFERROR(VLOOKUP($D94,'Employee Master'!$A:$F,6,FALSE)+365,""),M94)</f>
        <v/>
      </c>
      <c r="O94" s="149" t="str">
        <f>IF('Budgeting Model'!O94="","",'Budgeting Model'!O94)</f>
        <v/>
      </c>
      <c r="P94" s="127">
        <f t="shared" ca="1" si="39"/>
        <v>45107</v>
      </c>
      <c r="Q94" s="131">
        <f t="shared" ca="1" si="29"/>
        <v>197</v>
      </c>
      <c r="R94" s="131">
        <f t="shared" ca="1" si="30"/>
        <v>0</v>
      </c>
      <c r="S94" s="131">
        <f t="shared" ca="1" si="40"/>
        <v>197</v>
      </c>
      <c r="T94" s="158">
        <f t="shared" ca="1" si="41"/>
        <v>53528.807740437755</v>
      </c>
      <c r="U94" s="156">
        <f t="shared" ca="1" si="31"/>
        <v>40402.969827073706</v>
      </c>
      <c r="V94" s="130">
        <f t="shared" ca="1" si="32"/>
        <v>40402.969827073706</v>
      </c>
      <c r="W94" s="77"/>
      <c r="X94" s="149" t="str">
        <f>IF('Budgeting Model'!X94="","",'Budgeting Model'!X94)</f>
        <v/>
      </c>
      <c r="Y94" s="130">
        <f t="shared" ca="1" si="33"/>
        <v>55669.96005005527</v>
      </c>
      <c r="Z94" s="149">
        <f>IF('Budgeting Model'!Z94="","",'Budgeting Model'!Z94)</f>
        <v>44830</v>
      </c>
      <c r="AA94" s="127">
        <f t="shared" si="34"/>
        <v>44830</v>
      </c>
      <c r="AB94" s="149" t="str">
        <f>IF('Budgeting Model'!AB94="","",'Budgeting Model'!AB94)</f>
        <v/>
      </c>
      <c r="AC94" s="127" t="str">
        <f ca="1">IF(AB94="",IFERROR(VLOOKUP($D94,'Employee Master'!$A:$F,6,FALSE)+365,""),AB94)</f>
        <v/>
      </c>
      <c r="AD94" s="149"/>
      <c r="AE94" s="127">
        <f t="shared" ca="1" si="42"/>
        <v>45107</v>
      </c>
      <c r="AF94" s="131">
        <f t="shared" ca="1" si="25"/>
        <v>200</v>
      </c>
      <c r="AG94" s="131">
        <f t="shared" ca="1" si="26"/>
        <v>0</v>
      </c>
      <c r="AH94" s="131">
        <f t="shared" ca="1" si="43"/>
        <v>200</v>
      </c>
      <c r="AI94" s="158">
        <f t="shared" ca="1" si="35"/>
        <v>53528.807740437755</v>
      </c>
      <c r="AJ94" s="156">
        <f t="shared" ca="1" si="36"/>
        <v>41018.243479262645</v>
      </c>
      <c r="AK94" s="130">
        <f t="shared" ca="1" si="45"/>
        <v>41018.243479262645</v>
      </c>
      <c r="AL94" s="78"/>
      <c r="AM94" s="130">
        <f t="shared" ca="1" si="37"/>
        <v>0</v>
      </c>
      <c r="AN94" s="130">
        <f t="shared" ca="1" si="44"/>
        <v>615.27365218893829</v>
      </c>
      <c r="AO94" s="130">
        <f t="shared" ca="1" si="38"/>
        <v>615.27365218893829</v>
      </c>
      <c r="AP94" s="130">
        <f t="shared" ca="1" si="38"/>
        <v>615.27365218893829</v>
      </c>
    </row>
    <row r="95" spans="1:42" ht="16.5" thickBot="1">
      <c r="A95" s="92" t="s">
        <v>153</v>
      </c>
      <c r="B95" s="124" t="str">
        <f>IFERROR(VLOOKUP($A95,'Position Master'!B:C,2,FALSE),"Missing")</f>
        <v>Dept 13</v>
      </c>
      <c r="C95" s="98" t="str">
        <f ca="1">IFERROR(VLOOKUP($D95,'Employee Master'!$A:$F,3,FALSE)&amp;", "&amp;VLOOKUP($D95,'Employee Master'!$A:$F,2,FALSE),"Vacant")</f>
        <v>Schwartz, Aminata</v>
      </c>
      <c r="D95" s="98">
        <f>IF(INDEX('Position Master'!$A$7:$A$97,MATCH(A95,'Position Master'!$B$7:$B$97,0))=0,"Vacant",INDEX('Position Master'!$A$7:$A$97,MATCH(A95,'Position Master'!$B$7:$B$97,0)))</f>
        <v>9785047</v>
      </c>
      <c r="E95" s="156">
        <f ca="1">IFERROR(VLOOKUP(D95,'Employee Master'!A:F,5,FALSE),"")</f>
        <v>67239.731874022589</v>
      </c>
      <c r="F95" s="157" t="str">
        <f ca="1">IF(C95="Vacant","No",IF(AND(VLOOKUP(D95,'Employee Master'!A:F,6,FALSE)+360&lt;B$4,VLOOKUP(D95,'Employee Master'!A:F,6,FALSE)+360&lt;B89),"Yes","No"))</f>
        <v>Yes</v>
      </c>
      <c r="G95" s="156">
        <f ca="1">IF(C95="Vacant",VLOOKUP(A95,'Position Master'!B:D,3,FALSE),E95)*(1+IF(F95="Yes",F$8,0))</f>
        <v>69256.923830243264</v>
      </c>
      <c r="H95" s="125"/>
      <c r="I95" s="182" t="str">
        <f>IF('Budgeting Model'!I95="","",'Budgeting Model'!I95)</f>
        <v/>
      </c>
      <c r="J95" s="130">
        <f t="shared" ca="1" si="27"/>
        <v>72027.200783452994</v>
      </c>
      <c r="K95" s="149" t="str">
        <f>IF('Budgeting Model'!K95="","",'Budgeting Model'!K95)</f>
        <v/>
      </c>
      <c r="L95" s="127">
        <f t="shared" ca="1" si="28"/>
        <v>44743</v>
      </c>
      <c r="M95" s="149" t="str">
        <f>IF('Budgeting Model'!M95="","",'Budgeting Model'!M95)</f>
        <v/>
      </c>
      <c r="N95" s="127">
        <f ca="1">IF(M95="",IFERROR(VLOOKUP($D95,'Employee Master'!$A:$F,6,FALSE)+365,""),M95)</f>
        <v>44951</v>
      </c>
      <c r="O95" s="149" t="str">
        <f>IF('Budgeting Model'!O95="","",'Budgeting Model'!O95)</f>
        <v/>
      </c>
      <c r="P95" s="127">
        <f t="shared" ca="1" si="39"/>
        <v>45107</v>
      </c>
      <c r="Q95" s="131">
        <f t="shared" ca="1" si="29"/>
        <v>148</v>
      </c>
      <c r="R95" s="131">
        <f t="shared" ca="1" si="30"/>
        <v>113</v>
      </c>
      <c r="S95" s="131">
        <f t="shared" ca="1" si="40"/>
        <v>261</v>
      </c>
      <c r="T95" s="158">
        <f t="shared" ca="1" si="41"/>
        <v>70456.315767839813</v>
      </c>
      <c r="U95" s="156">
        <f t="shared" ca="1" si="31"/>
        <v>70456.315767839813</v>
      </c>
      <c r="V95" s="130">
        <f t="shared" ca="1" si="32"/>
        <v>13522.348039805353</v>
      </c>
      <c r="W95" s="77"/>
      <c r="X95" s="149" t="str">
        <f>IF('Budgeting Model'!X95="","",'Budgeting Model'!X95)</f>
        <v/>
      </c>
      <c r="Y95" s="130">
        <f t="shared" ca="1" si="33"/>
        <v>72027.200783452994</v>
      </c>
      <c r="Z95" s="149" t="str">
        <f>IF('Budgeting Model'!Z95="","",'Budgeting Model'!Z95)</f>
        <v/>
      </c>
      <c r="AA95" s="127">
        <f t="shared" ca="1" si="34"/>
        <v>44743</v>
      </c>
      <c r="AB95" s="149" t="str">
        <f>IF('Budgeting Model'!AB95="","",'Budgeting Model'!AB95)</f>
        <v/>
      </c>
      <c r="AC95" s="127">
        <f ca="1">IF(AB95="",IFERROR(VLOOKUP($D95,'Employee Master'!$A:$F,6,FALSE)+365,""),AB95)</f>
        <v>44951</v>
      </c>
      <c r="AD95" s="149"/>
      <c r="AE95" s="127">
        <f t="shared" ca="1" si="42"/>
        <v>45107</v>
      </c>
      <c r="AF95" s="131">
        <f t="shared" ca="1" si="25"/>
        <v>148</v>
      </c>
      <c r="AG95" s="131">
        <f t="shared" ca="1" si="26"/>
        <v>113</v>
      </c>
      <c r="AH95" s="131">
        <f t="shared" ca="1" si="43"/>
        <v>261</v>
      </c>
      <c r="AI95" s="158">
        <f t="shared" ca="1" si="35"/>
        <v>70456.315767839813</v>
      </c>
      <c r="AJ95" s="156">
        <f t="shared" ca="1" si="36"/>
        <v>70456.315767839813</v>
      </c>
      <c r="AK95" s="130">
        <f t="shared" ca="1" si="45"/>
        <v>13522.348039805353</v>
      </c>
      <c r="AL95" s="78"/>
      <c r="AM95" s="130">
        <f t="shared" ca="1" si="37"/>
        <v>0</v>
      </c>
      <c r="AN95" s="130">
        <f t="shared" ca="1" si="44"/>
        <v>0</v>
      </c>
      <c r="AO95" s="130">
        <f t="shared" ca="1" si="38"/>
        <v>0</v>
      </c>
      <c r="AP95" s="130">
        <f t="shared" ca="1" si="38"/>
        <v>0</v>
      </c>
    </row>
    <row r="96" spans="1:42" ht="16.5" thickBot="1">
      <c r="A96" s="92" t="s">
        <v>154</v>
      </c>
      <c r="B96" s="124" t="str">
        <f>IFERROR(VLOOKUP($A96,'Position Master'!B:C,2,FALSE),"Missing")</f>
        <v>Dept 8</v>
      </c>
      <c r="C96" s="98" t="str">
        <f ca="1">IFERROR(VLOOKUP($D96,'Employee Master'!$A:$F,3,FALSE)&amp;", "&amp;VLOOKUP($D96,'Employee Master'!$A:$F,2,FALSE),"Vacant")</f>
        <v>Shankar, Hillary</v>
      </c>
      <c r="D96" s="98">
        <f>IF(INDEX('Position Master'!$A$7:$A$97,MATCH(A96,'Position Master'!$B$7:$B$97,0))=0,"Vacant",INDEX('Position Master'!$A$7:$A$97,MATCH(A96,'Position Master'!$B$7:$B$97,0)))</f>
        <v>9791948</v>
      </c>
      <c r="E96" s="156">
        <f ca="1">IFERROR(VLOOKUP(D96,'Employee Master'!A:F,5,FALSE),"")</f>
        <v>85186.043906849838</v>
      </c>
      <c r="F96" s="157" t="str">
        <f ca="1">IF(C96="Vacant","No",IF(AND(VLOOKUP(D96,'Employee Master'!A:F,6,FALSE)+360&lt;B$4,VLOOKUP(D96,'Employee Master'!A:F,6,FALSE)+360&lt;B90),"Yes","No"))</f>
        <v>Yes</v>
      </c>
      <c r="G96" s="156">
        <f ca="1">IF(C96="Vacant",VLOOKUP(A96,'Position Master'!B:D,3,FALSE),E96)*(1+IF(F96="Yes",F$8,0))</f>
        <v>87741.625224055329</v>
      </c>
      <c r="H96" s="125"/>
      <c r="I96" s="182" t="str">
        <f>IF('Budgeting Model'!I96="","",'Budgeting Model'!I96)</f>
        <v/>
      </c>
      <c r="J96" s="130">
        <f t="shared" ca="1" si="27"/>
        <v>91251.290233017542</v>
      </c>
      <c r="K96" s="149" t="str">
        <f>IF('Budgeting Model'!K96="","",'Budgeting Model'!K96)</f>
        <v/>
      </c>
      <c r="L96" s="127">
        <f t="shared" ca="1" si="28"/>
        <v>44743</v>
      </c>
      <c r="M96" s="149" t="str">
        <f>IF('Budgeting Model'!M96="","",'Budgeting Model'!M96)</f>
        <v/>
      </c>
      <c r="N96" s="127">
        <f ca="1">IF(M96="",IFERROR(VLOOKUP($D96,'Employee Master'!$A:$F,6,FALSE)+365,""),M96)</f>
        <v>44763</v>
      </c>
      <c r="O96" s="149" t="str">
        <f>IF('Budgeting Model'!O96="","",'Budgeting Model'!O96)</f>
        <v/>
      </c>
      <c r="P96" s="127">
        <f t="shared" ca="1" si="39"/>
        <v>45107</v>
      </c>
      <c r="Q96" s="131">
        <f t="shared" ca="1" si="29"/>
        <v>14</v>
      </c>
      <c r="R96" s="131">
        <f t="shared" ca="1" si="30"/>
        <v>247</v>
      </c>
      <c r="S96" s="131">
        <f t="shared" ca="1" si="40"/>
        <v>261</v>
      </c>
      <c r="T96" s="158">
        <f t="shared" ca="1" si="41"/>
        <v>91063.032339816506</v>
      </c>
      <c r="U96" s="156">
        <f t="shared" ca="1" si="31"/>
        <v>91063.032339816506</v>
      </c>
      <c r="V96" s="130">
        <f t="shared" ca="1" si="32"/>
        <v>17131.468281294481</v>
      </c>
      <c r="W96" s="77"/>
      <c r="X96" s="149" t="str">
        <f>IF('Budgeting Model'!X96="","",'Budgeting Model'!X96)</f>
        <v/>
      </c>
      <c r="Y96" s="130">
        <f t="shared" ca="1" si="33"/>
        <v>91251.290233017542</v>
      </c>
      <c r="Z96" s="149" t="str">
        <f>IF('Budgeting Model'!Z96="","",'Budgeting Model'!Z96)</f>
        <v/>
      </c>
      <c r="AA96" s="127">
        <f t="shared" ca="1" si="34"/>
        <v>44743</v>
      </c>
      <c r="AB96" s="149" t="str">
        <f>IF('Budgeting Model'!AB96="","",'Budgeting Model'!AB96)</f>
        <v/>
      </c>
      <c r="AC96" s="127">
        <f ca="1">IF(AB96="",IFERROR(VLOOKUP($D96,'Employee Master'!$A:$F,6,FALSE)+365,""),AB96)</f>
        <v>44763</v>
      </c>
      <c r="AD96" s="149"/>
      <c r="AE96" s="127">
        <f t="shared" ca="1" si="42"/>
        <v>45107</v>
      </c>
      <c r="AF96" s="131">
        <f t="shared" ca="1" si="25"/>
        <v>14</v>
      </c>
      <c r="AG96" s="131">
        <f t="shared" ca="1" si="26"/>
        <v>247</v>
      </c>
      <c r="AH96" s="131">
        <f t="shared" ca="1" si="43"/>
        <v>261</v>
      </c>
      <c r="AI96" s="158">
        <f t="shared" ca="1" si="35"/>
        <v>91063.032339816506</v>
      </c>
      <c r="AJ96" s="156">
        <f t="shared" ca="1" si="36"/>
        <v>91063.032339816506</v>
      </c>
      <c r="AK96" s="130">
        <f t="shared" ca="1" si="45"/>
        <v>17131.468281294481</v>
      </c>
      <c r="AL96" s="78"/>
      <c r="AM96" s="130">
        <f t="shared" ca="1" si="37"/>
        <v>0</v>
      </c>
      <c r="AN96" s="130">
        <f t="shared" ca="1" si="44"/>
        <v>0</v>
      </c>
      <c r="AO96" s="130">
        <f t="shared" ca="1" si="38"/>
        <v>0</v>
      </c>
      <c r="AP96" s="130">
        <f t="shared" ca="1" si="38"/>
        <v>0</v>
      </c>
    </row>
    <row r="97" spans="1:42" ht="16.5" thickBot="1">
      <c r="A97" s="92" t="s">
        <v>155</v>
      </c>
      <c r="B97" s="124" t="str">
        <f>IFERROR(VLOOKUP($A97,'Position Master'!B:C,2,FALSE),"Missing")</f>
        <v>Dept 14</v>
      </c>
      <c r="C97" s="98" t="str">
        <f ca="1">IFERROR(VLOOKUP($D97,'Employee Master'!$A:$F,3,FALSE)&amp;", "&amp;VLOOKUP($D97,'Employee Master'!$A:$F,2,FALSE),"Vacant")</f>
        <v>Vacant</v>
      </c>
      <c r="D97" s="98" t="str">
        <f>IF(INDEX('Position Master'!$A$7:$A$97,MATCH(A97,'Position Master'!$B$7:$B$97,0))=0,"Vacant",INDEX('Position Master'!$A$7:$A$97,MATCH(A97,'Position Master'!$B$7:$B$97,0)))</f>
        <v>Vacant</v>
      </c>
      <c r="E97" s="156" t="str">
        <f ca="1">IFERROR(VLOOKUP(D97,'Employee Master'!A:F,5,FALSE),"")</f>
        <v/>
      </c>
      <c r="F97" s="157" t="str">
        <f ca="1">IF(C97="Vacant","No",IF(AND(VLOOKUP(D97,'Employee Master'!A:F,6,FALSE)+360&lt;B$4,VLOOKUP(D97,'Employee Master'!A:F,6,FALSE)+360&lt;B91),"Yes","No"))</f>
        <v>No</v>
      </c>
      <c r="G97" s="156">
        <f ca="1">IF(C97="Vacant",VLOOKUP(A97,'Position Master'!B:D,3,FALSE),E97)*(1+IF(F97="Yes",F$8,0))</f>
        <v>48255.111311425921</v>
      </c>
      <c r="H97" s="125"/>
      <c r="I97" s="182" t="str">
        <f>IF('Budgeting Model'!I97="","",'Budgeting Model'!I97)</f>
        <v/>
      </c>
      <c r="J97" s="130">
        <f t="shared" ca="1" si="27"/>
        <v>50185.315763882958</v>
      </c>
      <c r="K97" s="149" t="str">
        <f>IF('Budgeting Model'!K97="","",'Budgeting Model'!K97)</f>
        <v/>
      </c>
      <c r="L97" s="127">
        <f t="shared" ca="1" si="28"/>
        <v>44833</v>
      </c>
      <c r="M97" s="149" t="str">
        <f>IF('Budgeting Model'!M97="","",'Budgeting Model'!M97)</f>
        <v/>
      </c>
      <c r="N97" s="127" t="str">
        <f ca="1">IF(M97="",IFERROR(VLOOKUP($D97,'Employee Master'!$A:$F,6,FALSE)+365,""),M97)</f>
        <v/>
      </c>
      <c r="O97" s="149" t="str">
        <f>IF('Budgeting Model'!O97="","",'Budgeting Model'!O97)</f>
        <v/>
      </c>
      <c r="P97" s="127">
        <f t="shared" ca="1" si="39"/>
        <v>45107</v>
      </c>
      <c r="Q97" s="131">
        <f t="shared" ca="1" si="29"/>
        <v>197</v>
      </c>
      <c r="R97" s="131">
        <f t="shared" ca="1" si="30"/>
        <v>0</v>
      </c>
      <c r="S97" s="131">
        <f t="shared" ca="1" si="40"/>
        <v>197</v>
      </c>
      <c r="T97" s="158">
        <f t="shared" ca="1" si="41"/>
        <v>48255.111311425921</v>
      </c>
      <c r="U97" s="156">
        <f t="shared" ca="1" si="31"/>
        <v>36422.440338509223</v>
      </c>
      <c r="V97" s="130">
        <f t="shared" ca="1" si="32"/>
        <v>36422.440338509223</v>
      </c>
      <c r="W97" s="77"/>
      <c r="X97" s="149" t="str">
        <f>IF('Budgeting Model'!X97="","",'Budgeting Model'!X97)</f>
        <v/>
      </c>
      <c r="Y97" s="130">
        <f t="shared" ca="1" si="33"/>
        <v>50185.315763882958</v>
      </c>
      <c r="Z97" s="149" t="str">
        <f>IF('Budgeting Model'!Z97="","",'Budgeting Model'!Z97)</f>
        <v/>
      </c>
      <c r="AA97" s="127">
        <f t="shared" ca="1" si="34"/>
        <v>44833</v>
      </c>
      <c r="AB97" s="149" t="str">
        <f>IF('Budgeting Model'!AB97="","",'Budgeting Model'!AB97)</f>
        <v/>
      </c>
      <c r="AC97" s="127" t="str">
        <f ca="1">IF(AB97="",IFERROR(VLOOKUP($D97,'Employee Master'!$A:$F,6,FALSE)+365,""),AB97)</f>
        <v/>
      </c>
      <c r="AD97" s="149"/>
      <c r="AE97" s="127">
        <f t="shared" ca="1" si="42"/>
        <v>45107</v>
      </c>
      <c r="AF97" s="131">
        <f t="shared" ca="1" si="25"/>
        <v>197</v>
      </c>
      <c r="AG97" s="131">
        <f t="shared" ca="1" si="26"/>
        <v>0</v>
      </c>
      <c r="AH97" s="131">
        <f t="shared" ca="1" si="43"/>
        <v>197</v>
      </c>
      <c r="AI97" s="158">
        <f t="shared" ca="1" si="35"/>
        <v>48255.111311425921</v>
      </c>
      <c r="AJ97" s="156">
        <f t="shared" ca="1" si="36"/>
        <v>36422.440338509223</v>
      </c>
      <c r="AK97" s="130">
        <f t="shared" ca="1" si="45"/>
        <v>36422.440338509223</v>
      </c>
      <c r="AL97" s="78"/>
      <c r="AM97" s="130">
        <f t="shared" ca="1" si="37"/>
        <v>0</v>
      </c>
      <c r="AN97" s="130">
        <f t="shared" ca="1" si="44"/>
        <v>0</v>
      </c>
      <c r="AO97" s="130">
        <f t="shared" ca="1" si="38"/>
        <v>0</v>
      </c>
      <c r="AP97" s="130">
        <f t="shared" ca="1" si="38"/>
        <v>0</v>
      </c>
    </row>
    <row r="98" spans="1:42" ht="16.5" thickBot="1">
      <c r="A98" s="92" t="s">
        <v>156</v>
      </c>
      <c r="B98" s="124" t="str">
        <f>IFERROR(VLOOKUP($A98,'Position Master'!B:C,2,FALSE),"Missing")</f>
        <v>Dept 5</v>
      </c>
      <c r="C98" s="98" t="str">
        <f ca="1">IFERROR(VLOOKUP($D98,'Employee Master'!$A:$F,3,FALSE)&amp;", "&amp;VLOOKUP($D98,'Employee Master'!$A:$F,2,FALSE),"Vacant")</f>
        <v>Shemesh, Kevin</v>
      </c>
      <c r="D98" s="98">
        <f>IF(INDEX('Position Master'!$A$7:$A$97,MATCH(A98,'Position Master'!$B$7:$B$97,0))=0,"Vacant",INDEX('Position Master'!$A$7:$A$97,MATCH(A98,'Position Master'!$B$7:$B$97,0)))</f>
        <v>9886381</v>
      </c>
      <c r="E98" s="156">
        <f ca="1">IFERROR(VLOOKUP(D98,'Employee Master'!A:F,5,FALSE),"")</f>
        <v>82187.051807376789</v>
      </c>
      <c r="F98" s="157" t="str">
        <f ca="1">IF(C98="Vacant","No",IF(AND(VLOOKUP(D98,'Employee Master'!A:F,6,FALSE)+360&lt;B$4,VLOOKUP(D98,'Employee Master'!A:F,6,FALSE)+360&lt;B92),"Yes","No"))</f>
        <v>Yes</v>
      </c>
      <c r="G98" s="156">
        <f ca="1">IF(C98="Vacant",VLOOKUP(A98,'Position Master'!B:D,3,FALSE),E98)*(1+IF(F98="Yes",F$8,0))</f>
        <v>84652.663361598097</v>
      </c>
      <c r="H98" s="125"/>
      <c r="I98" s="182" t="str">
        <f>IF('Budgeting Model'!I98="","",'Budgeting Model'!I98)</f>
        <v/>
      </c>
      <c r="J98" s="130">
        <f t="shared" ca="1" si="27"/>
        <v>88038.769896062018</v>
      </c>
      <c r="K98" s="149" t="str">
        <f>IF('Budgeting Model'!K98="","",'Budgeting Model'!K98)</f>
        <v/>
      </c>
      <c r="L98" s="127">
        <f t="shared" ca="1" si="28"/>
        <v>44743</v>
      </c>
      <c r="M98" s="149" t="str">
        <f>IF('Budgeting Model'!M98="","",'Budgeting Model'!M98)</f>
        <v/>
      </c>
      <c r="N98" s="127">
        <f ca="1">IF(M98="",IFERROR(VLOOKUP($D98,'Employee Master'!$A:$F,6,FALSE)+365,""),M98)</f>
        <v>44800</v>
      </c>
      <c r="O98" s="149" t="str">
        <f>IF('Budgeting Model'!O98="","",'Budgeting Model'!O98)</f>
        <v/>
      </c>
      <c r="P98" s="127">
        <f t="shared" ca="1" si="39"/>
        <v>45107</v>
      </c>
      <c r="Q98" s="131">
        <f t="shared" ca="1" si="29"/>
        <v>41</v>
      </c>
      <c r="R98" s="131">
        <f t="shared" ca="1" si="30"/>
        <v>220</v>
      </c>
      <c r="S98" s="131">
        <f t="shared" ca="1" si="40"/>
        <v>261</v>
      </c>
      <c r="T98" s="158">
        <f t="shared" ca="1" si="41"/>
        <v>87506.85277762133</v>
      </c>
      <c r="U98" s="156">
        <f t="shared" ca="1" si="31"/>
        <v>87506.85277762133</v>
      </c>
      <c r="V98" s="130">
        <f t="shared" ca="1" si="32"/>
        <v>16528.351436425437</v>
      </c>
      <c r="W98" s="77"/>
      <c r="X98" s="149" t="str">
        <f>IF('Budgeting Model'!X98="","",'Budgeting Model'!X98)</f>
        <v/>
      </c>
      <c r="Y98" s="130">
        <f t="shared" ca="1" si="33"/>
        <v>88038.769896062018</v>
      </c>
      <c r="Z98" s="149" t="str">
        <f>IF('Budgeting Model'!Z98="","",'Budgeting Model'!Z98)</f>
        <v/>
      </c>
      <c r="AA98" s="127">
        <f t="shared" ca="1" si="34"/>
        <v>44743</v>
      </c>
      <c r="AB98" s="149" t="str">
        <f>IF('Budgeting Model'!AB98="","",'Budgeting Model'!AB98)</f>
        <v/>
      </c>
      <c r="AC98" s="127">
        <f ca="1">IF(AB98="",IFERROR(VLOOKUP($D98,'Employee Master'!$A:$F,6,FALSE)+365,""),AB98)</f>
        <v>44800</v>
      </c>
      <c r="AD98" s="149"/>
      <c r="AE98" s="127">
        <f t="shared" ca="1" si="42"/>
        <v>45107</v>
      </c>
      <c r="AF98" s="131">
        <f t="shared" ca="1" si="25"/>
        <v>41</v>
      </c>
      <c r="AG98" s="131">
        <f t="shared" ca="1" si="26"/>
        <v>220</v>
      </c>
      <c r="AH98" s="131">
        <f t="shared" ca="1" si="43"/>
        <v>261</v>
      </c>
      <c r="AI98" s="158">
        <f t="shared" ca="1" si="35"/>
        <v>87506.85277762133</v>
      </c>
      <c r="AJ98" s="156">
        <f t="shared" ca="1" si="36"/>
        <v>87506.85277762133</v>
      </c>
      <c r="AK98" s="130">
        <f t="shared" ca="1" si="45"/>
        <v>16528.351436425437</v>
      </c>
      <c r="AL98" s="78"/>
      <c r="AM98" s="130">
        <f t="shared" ca="1" si="37"/>
        <v>0</v>
      </c>
      <c r="AN98" s="130">
        <f t="shared" ca="1" si="44"/>
        <v>0</v>
      </c>
      <c r="AO98" s="130">
        <f t="shared" ca="1" si="38"/>
        <v>0</v>
      </c>
      <c r="AP98" s="130">
        <f t="shared" ca="1" si="38"/>
        <v>0</v>
      </c>
    </row>
    <row r="99" spans="1:42" ht="16.5" thickBot="1">
      <c r="A99" s="92" t="s">
        <v>157</v>
      </c>
      <c r="B99" s="124" t="str">
        <f>IFERROR(VLOOKUP($A99,'Position Master'!B:C,2,FALSE),"Missing")</f>
        <v>Dept 12</v>
      </c>
      <c r="C99" s="98" t="str">
        <f ca="1">IFERROR(VLOOKUP($D99,'Employee Master'!$A:$F,3,FALSE)&amp;", "&amp;VLOOKUP($D99,'Employee Master'!$A:$F,2,FALSE),"Vacant")</f>
        <v>Vacant</v>
      </c>
      <c r="D99" s="98" t="str">
        <f>IF(INDEX('Position Master'!$A$7:$A$97,MATCH(A99,'Position Master'!$B$7:$B$97,0))=0,"Vacant",INDEX('Position Master'!$A$7:$A$97,MATCH(A99,'Position Master'!$B$7:$B$97,0)))</f>
        <v>Vacant</v>
      </c>
      <c r="E99" s="156" t="str">
        <f ca="1">IFERROR(VLOOKUP(D99,'Employee Master'!A:F,5,FALSE),"")</f>
        <v/>
      </c>
      <c r="F99" s="157" t="str">
        <f ca="1">IF(C99="Vacant","No",IF(AND(VLOOKUP(D99,'Employee Master'!A:F,6,FALSE)+360&lt;B$4,VLOOKUP(D99,'Employee Master'!A:F,6,FALSE)+360&lt;B93),"Yes","No"))</f>
        <v>No</v>
      </c>
      <c r="G99" s="156">
        <f ca="1">IF(C99="Vacant",VLOOKUP(A99,'Position Master'!B:D,3,FALSE),E99)*(1+IF(F99="Yes",F$8,0))</f>
        <v>99968.854654944385</v>
      </c>
      <c r="H99" s="125"/>
      <c r="I99" s="182" t="str">
        <f>IF('Budgeting Model'!I99="","",'Budgeting Model'!I99)</f>
        <v/>
      </c>
      <c r="J99" s="130">
        <f t="shared" ca="1" si="27"/>
        <v>103967.60884114217</v>
      </c>
      <c r="K99" s="149" t="str">
        <f>IF('Budgeting Model'!K99="","",'Budgeting Model'!K99)</f>
        <v/>
      </c>
      <c r="L99" s="127">
        <f t="shared" ca="1" si="28"/>
        <v>44833</v>
      </c>
      <c r="M99" s="149" t="str">
        <f>IF('Budgeting Model'!M99="","",'Budgeting Model'!M99)</f>
        <v/>
      </c>
      <c r="N99" s="127" t="str">
        <f ca="1">IF(M99="",IFERROR(VLOOKUP($D99,'Employee Master'!$A:$F,6,FALSE)+365,""),M99)</f>
        <v/>
      </c>
      <c r="O99" s="149" t="str">
        <f>IF('Budgeting Model'!O99="","",'Budgeting Model'!O99)</f>
        <v/>
      </c>
      <c r="P99" s="127">
        <f t="shared" ca="1" si="39"/>
        <v>45107</v>
      </c>
      <c r="Q99" s="131">
        <f t="shared" ca="1" si="29"/>
        <v>197</v>
      </c>
      <c r="R99" s="131">
        <f t="shared" ca="1" si="30"/>
        <v>0</v>
      </c>
      <c r="S99" s="131">
        <f t="shared" ca="1" si="40"/>
        <v>197</v>
      </c>
      <c r="T99" s="158">
        <f t="shared" ca="1" si="41"/>
        <v>99968.8546549444</v>
      </c>
      <c r="U99" s="156">
        <f t="shared" ca="1" si="31"/>
        <v>75455.419030743462</v>
      </c>
      <c r="V99" s="130">
        <f t="shared" ca="1" si="32"/>
        <v>75455.419030743462</v>
      </c>
      <c r="W99" s="77"/>
      <c r="X99" s="149" t="str">
        <f>IF('Budgeting Model'!X99="","",'Budgeting Model'!X99)</f>
        <v/>
      </c>
      <c r="Y99" s="130">
        <f t="shared" ca="1" si="33"/>
        <v>103967.60884114217</v>
      </c>
      <c r="Z99" s="149" t="str">
        <f>IF('Budgeting Model'!Z99="","",'Budgeting Model'!Z99)</f>
        <v/>
      </c>
      <c r="AA99" s="127">
        <f t="shared" ca="1" si="34"/>
        <v>44833</v>
      </c>
      <c r="AB99" s="149" t="str">
        <f>IF('Budgeting Model'!AB99="","",'Budgeting Model'!AB99)</f>
        <v/>
      </c>
      <c r="AC99" s="127" t="str">
        <f ca="1">IF(AB99="",IFERROR(VLOOKUP($D99,'Employee Master'!$A:$F,6,FALSE)+365,""),AB99)</f>
        <v/>
      </c>
      <c r="AD99" s="149"/>
      <c r="AE99" s="127">
        <f t="shared" ca="1" si="42"/>
        <v>45107</v>
      </c>
      <c r="AF99" s="131">
        <f t="shared" ca="1" si="25"/>
        <v>197</v>
      </c>
      <c r="AG99" s="131">
        <f t="shared" ca="1" si="26"/>
        <v>0</v>
      </c>
      <c r="AH99" s="131">
        <f t="shared" ca="1" si="43"/>
        <v>197</v>
      </c>
      <c r="AI99" s="158">
        <f t="shared" ca="1" si="35"/>
        <v>99968.8546549444</v>
      </c>
      <c r="AJ99" s="156">
        <f t="shared" ca="1" si="36"/>
        <v>75455.419030743462</v>
      </c>
      <c r="AK99" s="130">
        <f t="shared" ca="1" si="45"/>
        <v>75455.419030743462</v>
      </c>
      <c r="AL99" s="78"/>
      <c r="AM99" s="130">
        <f t="shared" ca="1" si="37"/>
        <v>0</v>
      </c>
      <c r="AN99" s="130">
        <f t="shared" ca="1" si="44"/>
        <v>0</v>
      </c>
      <c r="AO99" s="130">
        <f t="shared" ca="1" si="38"/>
        <v>0</v>
      </c>
      <c r="AP99" s="130">
        <f t="shared" ca="1" si="38"/>
        <v>0</v>
      </c>
    </row>
    <row r="100" spans="1:42" ht="16.5" thickBot="1">
      <c r="A100" s="92" t="s">
        <v>158</v>
      </c>
      <c r="B100" s="124" t="str">
        <f>IFERROR(VLOOKUP($A100,'Position Master'!B:C,2,FALSE),"Missing")</f>
        <v>Dept 4</v>
      </c>
      <c r="C100" s="98" t="str">
        <f ca="1">IFERROR(VLOOKUP($D100,'Employee Master'!$A:$F,3,FALSE)&amp;", "&amp;VLOOKUP($D100,'Employee Master'!$A:$F,2,FALSE),"Vacant")</f>
        <v>Vacant</v>
      </c>
      <c r="D100" s="98" t="str">
        <f>IF(INDEX('Position Master'!$A$7:$A$97,MATCH(A100,'Position Master'!$B$7:$B$97,0))=0,"Vacant",INDEX('Position Master'!$A$7:$A$97,MATCH(A100,'Position Master'!$B$7:$B$97,0)))</f>
        <v>Vacant</v>
      </c>
      <c r="E100" s="156" t="str">
        <f ca="1">IFERROR(VLOOKUP(D100,'Employee Master'!A:F,5,FALSE),"")</f>
        <v/>
      </c>
      <c r="F100" s="157" t="str">
        <f ca="1">IF(C100="Vacant","No",IF(AND(VLOOKUP(D100,'Employee Master'!A:F,6,FALSE)+360&lt;B$4,VLOOKUP(D100,'Employee Master'!A:F,6,FALSE)+360&lt;B94),"Yes","No"))</f>
        <v>No</v>
      </c>
      <c r="G100" s="156">
        <f ca="1">IF(C100="Vacant",VLOOKUP(A100,'Position Master'!B:D,3,FALSE),E100)*(1+IF(F100="Yes",F$8,0))</f>
        <v>45729.887822206925</v>
      </c>
      <c r="H100" s="125"/>
      <c r="I100" s="182" t="str">
        <f>IF('Budgeting Model'!I100="","",'Budgeting Model'!I100)</f>
        <v/>
      </c>
      <c r="J100" s="130">
        <f t="shared" ca="1" si="27"/>
        <v>47559.083335095202</v>
      </c>
      <c r="K100" s="149" t="str">
        <f>IF('Budgeting Model'!K100="","",'Budgeting Model'!K100)</f>
        <v/>
      </c>
      <c r="L100" s="127">
        <f t="shared" ca="1" si="28"/>
        <v>44833</v>
      </c>
      <c r="M100" s="149" t="str">
        <f>IF('Budgeting Model'!M100="","",'Budgeting Model'!M100)</f>
        <v/>
      </c>
      <c r="N100" s="127" t="str">
        <f ca="1">IF(M100="",IFERROR(VLOOKUP($D100,'Employee Master'!$A:$F,6,FALSE)+365,""),M100)</f>
        <v/>
      </c>
      <c r="O100" s="149" t="str">
        <f>IF('Budgeting Model'!O100="","",'Budgeting Model'!O100)</f>
        <v/>
      </c>
      <c r="P100" s="127">
        <f t="shared" ca="1" si="39"/>
        <v>45107</v>
      </c>
      <c r="Q100" s="131">
        <f t="shared" ca="1" si="29"/>
        <v>197</v>
      </c>
      <c r="R100" s="131">
        <f t="shared" ca="1" si="30"/>
        <v>0</v>
      </c>
      <c r="S100" s="131">
        <f t="shared" ca="1" si="40"/>
        <v>197</v>
      </c>
      <c r="T100" s="158">
        <f t="shared" ca="1" si="41"/>
        <v>45729.887822206925</v>
      </c>
      <c r="U100" s="156">
        <f t="shared" ca="1" si="31"/>
        <v>34516.428739366907</v>
      </c>
      <c r="V100" s="130">
        <f t="shared" ca="1" si="32"/>
        <v>34516.428739366907</v>
      </c>
      <c r="W100" s="77"/>
      <c r="X100" s="149" t="str">
        <f>IF('Budgeting Model'!X100="","",'Budgeting Model'!X100)</f>
        <v/>
      </c>
      <c r="Y100" s="130">
        <f t="shared" ca="1" si="33"/>
        <v>47559.083335095202</v>
      </c>
      <c r="Z100" s="149" t="str">
        <f>IF('Budgeting Model'!Z100="","",'Budgeting Model'!Z100)</f>
        <v/>
      </c>
      <c r="AA100" s="127">
        <f t="shared" ca="1" si="34"/>
        <v>44833</v>
      </c>
      <c r="AB100" s="149" t="str">
        <f>IF('Budgeting Model'!AB100="","",'Budgeting Model'!AB100)</f>
        <v/>
      </c>
      <c r="AC100" s="127" t="str">
        <f ca="1">IF(AB100="",IFERROR(VLOOKUP($D100,'Employee Master'!$A:$F,6,FALSE)+365,""),AB100)</f>
        <v/>
      </c>
      <c r="AD100" s="149"/>
      <c r="AE100" s="127">
        <f t="shared" ca="1" si="42"/>
        <v>45107</v>
      </c>
      <c r="AF100" s="131">
        <f t="shared" ca="1" si="25"/>
        <v>197</v>
      </c>
      <c r="AG100" s="131">
        <f t="shared" ca="1" si="26"/>
        <v>0</v>
      </c>
      <c r="AH100" s="131">
        <f t="shared" ca="1" si="43"/>
        <v>197</v>
      </c>
      <c r="AI100" s="158">
        <f t="shared" ca="1" si="35"/>
        <v>45729.887822206925</v>
      </c>
      <c r="AJ100" s="156">
        <f t="shared" ca="1" si="36"/>
        <v>34516.428739366907</v>
      </c>
      <c r="AK100" s="130">
        <f t="shared" ca="1" si="45"/>
        <v>34516.428739366907</v>
      </c>
      <c r="AL100" s="78"/>
      <c r="AM100" s="130">
        <f t="shared" ca="1" si="37"/>
        <v>0</v>
      </c>
      <c r="AN100" s="130">
        <f t="shared" ca="1" si="44"/>
        <v>0</v>
      </c>
      <c r="AO100" s="130">
        <f t="shared" ca="1" si="38"/>
        <v>0</v>
      </c>
      <c r="AP100" s="130">
        <f t="shared" ca="1" si="38"/>
        <v>0</v>
      </c>
    </row>
    <row r="101" spans="1:42">
      <c r="A101" s="92"/>
      <c r="B101" s="92"/>
      <c r="C101" s="92"/>
      <c r="D101" s="92"/>
      <c r="E101" s="74"/>
      <c r="F101" s="74"/>
      <c r="G101" s="74"/>
      <c r="H101" s="125"/>
      <c r="I101" s="128"/>
      <c r="J101" s="74"/>
      <c r="K101" s="73"/>
      <c r="L101" s="75"/>
      <c r="M101" s="73"/>
      <c r="N101" s="75"/>
      <c r="O101" s="73"/>
      <c r="P101" s="75"/>
      <c r="Q101" s="76"/>
      <c r="R101" s="76"/>
      <c r="S101" s="76"/>
      <c r="T101" s="74"/>
      <c r="U101" s="74"/>
      <c r="V101" s="74"/>
      <c r="W101" s="77"/>
      <c r="X101" s="128"/>
      <c r="Y101" s="128"/>
      <c r="Z101" s="73"/>
      <c r="AA101" s="75"/>
      <c r="AB101" s="73"/>
      <c r="AC101" s="75"/>
      <c r="AD101" s="79"/>
      <c r="AE101" s="75"/>
      <c r="AF101" s="76"/>
      <c r="AG101" s="76"/>
      <c r="AH101" s="76"/>
      <c r="AI101" s="74"/>
      <c r="AJ101" s="74"/>
      <c r="AK101" s="74"/>
      <c r="AL101" s="78"/>
      <c r="AM101" s="74"/>
      <c r="AN101" s="74"/>
      <c r="AO101" s="74"/>
    </row>
    <row r="102" spans="1:42">
      <c r="A102" s="92"/>
      <c r="B102" s="92"/>
      <c r="C102" s="92"/>
      <c r="D102" s="92"/>
      <c r="E102" s="74"/>
      <c r="F102" s="74"/>
      <c r="G102" s="74"/>
      <c r="H102" s="125"/>
      <c r="I102" s="128"/>
      <c r="J102" s="74"/>
      <c r="K102" s="79"/>
      <c r="L102" s="75"/>
      <c r="M102" s="73"/>
      <c r="N102" s="75"/>
      <c r="O102" s="73"/>
      <c r="P102" s="75"/>
      <c r="Q102" s="76"/>
      <c r="R102" s="76"/>
      <c r="S102" s="80"/>
      <c r="T102" s="81"/>
      <c r="U102" s="81"/>
      <c r="V102" s="74"/>
      <c r="W102" s="77"/>
      <c r="X102" s="128"/>
      <c r="Y102" s="128"/>
      <c r="Z102" s="79"/>
      <c r="AA102" s="75"/>
      <c r="AB102" s="73"/>
      <c r="AC102" s="75"/>
      <c r="AD102" s="73"/>
      <c r="AE102" s="75"/>
      <c r="AF102" s="76"/>
      <c r="AG102" s="76"/>
      <c r="AH102" s="80"/>
      <c r="AI102" s="81"/>
      <c r="AJ102" s="81"/>
      <c r="AK102" s="74"/>
      <c r="AL102" s="78"/>
      <c r="AM102" s="81"/>
      <c r="AN102" s="81"/>
      <c r="AO102" s="82"/>
    </row>
    <row r="103" spans="1:42" ht="16.5" thickBot="1">
      <c r="A103" s="90"/>
      <c r="B103" s="90"/>
      <c r="C103" s="90"/>
      <c r="D103" s="90"/>
      <c r="E103" s="84">
        <f ca="1">SUBTOTAL(9,E11:E102)</f>
        <v>4596206.2474526465</v>
      </c>
      <c r="F103" s="67"/>
      <c r="G103" s="84"/>
      <c r="H103" s="126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83" t="s">
        <v>65</v>
      </c>
      <c r="T103" s="84">
        <f ca="1">SUBTOTAL(9,T11:T102)</f>
        <v>6114036.331116965</v>
      </c>
      <c r="U103" s="84">
        <f ca="1">SUBTOTAL(9,U11:U102)</f>
        <v>5310558.7320106449</v>
      </c>
      <c r="V103" s="84">
        <f ca="1">SUBTOTAL(9,V11:V102)</f>
        <v>1670057.9028733049</v>
      </c>
      <c r="W103" s="72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85" t="s">
        <v>65</v>
      </c>
      <c r="AI103" s="86">
        <f ca="1">SUBTOTAL(9,AI11:AI102)</f>
        <v>6131010.8971912656</v>
      </c>
      <c r="AJ103" s="86">
        <f ca="1">SUBTOTAL(9,AJ11:AJ102)</f>
        <v>5775586.4177419012</v>
      </c>
      <c r="AK103" s="86">
        <f ca="1">SUBTOTAL(9,AK11:AK102)</f>
        <v>1870845.2680493896</v>
      </c>
      <c r="AL103" s="87"/>
      <c r="AM103" s="86">
        <f ca="1">SUBTOTAL(9,AM11:AM102)</f>
        <v>16974.566074298964</v>
      </c>
      <c r="AN103" s="86">
        <f ca="1">SUBTOTAL(9,AN11:AN102)</f>
        <v>448053.11965695699</v>
      </c>
      <c r="AO103" s="86">
        <f ca="1">SUBTOTAL(9,AO11:AO102)</f>
        <v>465027.68573125592</v>
      </c>
      <c r="AP103" s="86">
        <f ca="1">SUBTOTAL(9,AP11:AP102)</f>
        <v>200787.36517608512</v>
      </c>
    </row>
    <row r="104" spans="1:42" ht="16.5" thickBot="1"/>
    <row r="105" spans="1:42" ht="16.5" thickBot="1">
      <c r="C105" s="130">
        <f ca="1">SUM('Budgeting Model'!U11:U100)</f>
        <v>5310558.7320106449</v>
      </c>
      <c r="D105" s="130">
        <f ca="1">SUM('Budgeting Model'!AJ11:AJ100)</f>
        <v>5775586.4177419012</v>
      </c>
      <c r="E105" s="130">
        <f ca="1">SUM('Budgeting Model'!AO11:AO100)</f>
        <v>465027.68573125592</v>
      </c>
      <c r="F105" s="171">
        <f ca="1">E105/C105</f>
        <v>8.7566621366635469E-2</v>
      </c>
      <c r="G105" s="130">
        <f ca="1">SUM('Budgeting Model'!AM11:AM100)</f>
        <v>16974.566074298957</v>
      </c>
      <c r="H105" s="130">
        <f ca="1">SUM('Budgeting Model'!AN11:AN100)</f>
        <v>448053.11965695699</v>
      </c>
      <c r="K105">
        <f ca="1">IF(C105='Summary Report'!C8,1,0)</f>
        <v>1</v>
      </c>
      <c r="L105">
        <f ca="1">IF(D105='Summary Report'!D8,1,0)</f>
        <v>1</v>
      </c>
      <c r="M105">
        <f ca="1">IF(E105='Summary Report'!E8,1,0)</f>
        <v>1</v>
      </c>
      <c r="N105">
        <f ca="1">IF(F105='Summary Report'!F8,1,0)</f>
        <v>1</v>
      </c>
      <c r="O105">
        <f ca="1">IF(G105='Summary Report'!G8,1,0)</f>
        <v>1</v>
      </c>
      <c r="P105">
        <f ca="1">IF(H105='Summary Report'!H8,1,0)</f>
        <v>1</v>
      </c>
    </row>
    <row r="106" spans="1:42" ht="16.5" thickBot="1">
      <c r="C106" s="130">
        <f ca="1">C105-C107</f>
        <v>4385868.7967131361</v>
      </c>
      <c r="D106" s="130">
        <f ca="1">D105-D107</f>
        <v>4776112.4880263722</v>
      </c>
      <c r="E106" s="130">
        <f ca="1">E105-E107</f>
        <v>390243.69131323614</v>
      </c>
      <c r="F106" s="171">
        <f ca="1">E106/C106</f>
        <v>8.8977511503694109E-2</v>
      </c>
      <c r="G106" s="130">
        <f ca="1">G105-G107</f>
        <v>14782.917625527625</v>
      </c>
      <c r="H106" s="130">
        <f ca="1">H105-H107</f>
        <v>375460.77368770854</v>
      </c>
      <c r="K106">
        <f ca="1">IF(C106='Summary Report'!C9,1,0)</f>
        <v>1</v>
      </c>
      <c r="L106">
        <f ca="1">IF(D106='Summary Report'!D9,1,0)</f>
        <v>1</v>
      </c>
      <c r="M106">
        <f ca="1">IF(E106='Summary Report'!E9,1,0)</f>
        <v>1</v>
      </c>
      <c r="N106">
        <f ca="1">IF(F106='Summary Report'!F9,1,0)</f>
        <v>1</v>
      </c>
      <c r="O106">
        <f ca="1">IF(G106='Summary Report'!G9,1,0)</f>
        <v>1</v>
      </c>
      <c r="P106">
        <f ca="1">IF(H106='Summary Report'!H9,1,0)</f>
        <v>1</v>
      </c>
    </row>
    <row r="107" spans="1:42" ht="16.5" thickBot="1">
      <c r="C107" s="130">
        <f ca="1">SUMIF('Budgeting Model'!$C$11:$C$100,"Vacant",'Budgeting Model'!$U$11:$U$100)</f>
        <v>924689.93529750907</v>
      </c>
      <c r="D107" s="130">
        <f ca="1">SUMIF('Budgeting Model'!$C$11:$C$100,"Vacant",'Budgeting Model'!$AJ$11:$AJ$100)</f>
        <v>999473.92971552885</v>
      </c>
      <c r="E107" s="130">
        <f ca="1">SUMIF('Budgeting Model'!$C$11:$C$100,"Vacant",'Budgeting Model'!$AO$11:$AO$100)</f>
        <v>74783.994418019778</v>
      </c>
      <c r="F107" s="171">
        <f ca="1">E107/C107</f>
        <v>8.0874671133906992E-2</v>
      </c>
      <c r="G107" s="130">
        <f ca="1">SUMIF('Budgeting Model'!$C$11:$C$100,"Vacant",'Budgeting Model'!$AM$11:$AM$100)</f>
        <v>2191.6484487713315</v>
      </c>
      <c r="H107" s="130">
        <f ca="1">SUMIF('Budgeting Model'!$C$11:$C$100,"Vacant",'Budgeting Model'!$AN$11:$AN$100)</f>
        <v>72592.345969248447</v>
      </c>
      <c r="K107">
        <f ca="1">IF(C107='Summary Report'!C10,1,0)</f>
        <v>1</v>
      </c>
      <c r="L107">
        <f ca="1">IF(D107='Summary Report'!D10,1,0)</f>
        <v>1</v>
      </c>
      <c r="M107">
        <f ca="1">IF(E107='Summary Report'!E10,1,0)</f>
        <v>1</v>
      </c>
      <c r="N107">
        <f ca="1">IF(F107='Summary Report'!F10,1,0)</f>
        <v>1</v>
      </c>
      <c r="O107">
        <f ca="1">IF(G107='Summary Report'!G10,1,0)</f>
        <v>1</v>
      </c>
      <c r="P107">
        <f ca="1">IF(H107='Summary Report'!H10,1,0)</f>
        <v>1</v>
      </c>
    </row>
    <row r="109" spans="1:42" ht="16.5" thickBot="1">
      <c r="G109" s="170"/>
    </row>
    <row r="110" spans="1:42" ht="16.5" thickBot="1">
      <c r="C110" s="130">
        <f ca="1">SUM('Budgeting Model'!V11:V100)</f>
        <v>1670057.9028733049</v>
      </c>
      <c r="D110" s="130">
        <f ca="1">SUM('Budgeting Model'!AK11:AK100)</f>
        <v>1870845.2680493896</v>
      </c>
      <c r="E110" s="130">
        <f ca="1">SUM('Budgeting Model'!AP11:AP100)</f>
        <v>200787.36517608512</v>
      </c>
      <c r="F110" s="171">
        <f ca="1">E110/C110</f>
        <v>0.12022778661184982</v>
      </c>
      <c r="G110" s="170"/>
      <c r="K110">
        <f ca="1">IF(C110='Summary Report'!C13,1,0)</f>
        <v>1</v>
      </c>
      <c r="L110">
        <f ca="1">IF(D110='Summary Report'!D13,1,0)</f>
        <v>1</v>
      </c>
      <c r="M110">
        <f ca="1">IF(E110='Summary Report'!E13,1,0)</f>
        <v>1</v>
      </c>
      <c r="N110">
        <f ca="1">IF(F110='Summary Report'!F13,1,0)</f>
        <v>1</v>
      </c>
    </row>
    <row r="111" spans="1:42" ht="16.5" thickBot="1">
      <c r="C111" s="130">
        <f ca="1">C110-C112</f>
        <v>756735.09832876024</v>
      </c>
      <c r="D111" s="130">
        <f ca="1">D110-D112</f>
        <v>919046.7138247051</v>
      </c>
      <c r="E111" s="130">
        <f ca="1">E110-E112</f>
        <v>162311.61549594527</v>
      </c>
      <c r="F111" s="171">
        <f ca="1">E111/C111</f>
        <v>0.21448934489018467</v>
      </c>
      <c r="G111" s="170"/>
      <c r="K111">
        <f ca="1">IF(C111='Summary Report'!C14,1,0)</f>
        <v>1</v>
      </c>
      <c r="L111">
        <f ca="1">IF(D111='Summary Report'!D14,1,0)</f>
        <v>1</v>
      </c>
      <c r="M111">
        <f ca="1">IF(E111='Summary Report'!E14,1,0)</f>
        <v>1</v>
      </c>
      <c r="N111">
        <f ca="1">IF(F111='Summary Report'!F14,1,0)</f>
        <v>1</v>
      </c>
    </row>
    <row r="112" spans="1:42" ht="16.5" thickBot="1">
      <c r="C112" s="130">
        <f ca="1">SUMIF('Budgeting Model'!$C$11:$C$100,"Vacant",'Budgeting Model'!$V$11:$V$100)</f>
        <v>913322.80454454466</v>
      </c>
      <c r="D112" s="130">
        <f ca="1">SUMIF('Budgeting Model'!$C$11:$C$100,"Vacant",'Budgeting Model'!$AK$11:$AK$100)</f>
        <v>951798.55422468449</v>
      </c>
      <c r="E112" s="130">
        <f ca="1">SUMIF('Budgeting Model'!$C$11:$C$100,"Vacant",'Budgeting Model'!$AP$11:$AP$100)</f>
        <v>38475.749680139845</v>
      </c>
      <c r="F112" s="171">
        <f ca="1">E112/C112</f>
        <v>4.2127218863572458E-2</v>
      </c>
      <c r="K112">
        <f ca="1">IF(C112='Summary Report'!C15,1,0)</f>
        <v>1</v>
      </c>
      <c r="L112">
        <f ca="1">IF(D112='Summary Report'!D15,1,0)</f>
        <v>1</v>
      </c>
      <c r="M112">
        <f ca="1">IF(E112='Summary Report'!E15,1,0)</f>
        <v>1</v>
      </c>
      <c r="N112">
        <f ca="1">IF(F112='Summary Report'!F15,1,0)</f>
        <v>1</v>
      </c>
    </row>
    <row r="115" spans="3:6" ht="63.75" thickBot="1">
      <c r="D115" s="120" t="s">
        <v>480</v>
      </c>
      <c r="E115" s="120" t="s">
        <v>540</v>
      </c>
      <c r="F115" s="120" t="s">
        <v>541</v>
      </c>
    </row>
    <row r="116" spans="3:6" ht="16.5" thickBot="1">
      <c r="C116" s="124" t="s">
        <v>318</v>
      </c>
      <c r="D116" s="136">
        <f ca="1">SUMIF('Budgeting Model'!$B$11:$B$100,C116,'Budgeting Model'!$AK$11:$AK$100)</f>
        <v>92089.50947867491</v>
      </c>
      <c r="E116" s="136">
        <f ca="1">SUMIF('Budgeting Model'!$B$11:$B$100,C116,'Budgeting Model'!$AO$11:$AO$100)</f>
        <v>13702.274258854573</v>
      </c>
      <c r="F116" s="177">
        <f ca="1">SUMIF('Budgeting Model'!$B$11:$B$100,$C116,'Budgeting Model'!$BN$11:$BN$100)/D116</f>
        <v>0.39570005747086723</v>
      </c>
    </row>
    <row r="117" spans="3:6" ht="16.5" thickBot="1">
      <c r="C117" s="124" t="s">
        <v>317</v>
      </c>
      <c r="D117" s="136">
        <f ca="1">SUMIF('Budgeting Model'!$B$11:$B$100,C117,'Budgeting Model'!$AK$11:$AK$100)</f>
        <v>80040.177366533972</v>
      </c>
      <c r="E117" s="136">
        <f ca="1">SUMIF('Budgeting Model'!$B$11:$B$100,C117,'Budgeting Model'!$AO$11:$AO$100)</f>
        <v>2048.1103797320247</v>
      </c>
      <c r="F117" s="177">
        <f ca="1">SUMIF('Budgeting Model'!$B$11:$B$100,$C117,'Budgeting Model'!$BN$11:$BN$100)/D117</f>
        <v>0</v>
      </c>
    </row>
    <row r="118" spans="3:6" ht="16.5" thickBot="1">
      <c r="C118" s="124" t="s">
        <v>313</v>
      </c>
      <c r="D118" s="136">
        <f ca="1">SUMIF('Budgeting Model'!$B$11:$B$100,C118,'Budgeting Model'!$AK$11:$AK$100)</f>
        <v>80297.723265440552</v>
      </c>
      <c r="E118" s="136">
        <f ca="1">SUMIF('Budgeting Model'!$B$11:$B$100,C118,'Budgeting Model'!$AO$11:$AO$100)</f>
        <v>53496.794566599361</v>
      </c>
      <c r="F118" s="177">
        <f ca="1">SUMIF('Budgeting Model'!$B$11:$B$100,$C118,'Budgeting Model'!$BN$11:$BN$100)/D118</f>
        <v>0</v>
      </c>
    </row>
    <row r="119" spans="3:6" ht="16.5" thickBot="1">
      <c r="C119" s="124" t="s">
        <v>311</v>
      </c>
      <c r="D119" s="136">
        <f ca="1">SUMIF('Budgeting Model'!$B$11:$B$100,C119,'Budgeting Model'!$AK$11:$AK$100)</f>
        <v>115884.3270099315</v>
      </c>
      <c r="E119" s="136">
        <f ca="1">SUMIF('Budgeting Model'!$B$11:$B$100,C119,'Budgeting Model'!$AO$11:$AO$100)</f>
        <v>96692.253061276468</v>
      </c>
      <c r="F119" s="177">
        <f ca="1">SUMIF('Budgeting Model'!$B$11:$B$100,$C119,'Budgeting Model'!$BN$11:$BN$100)/D119</f>
        <v>0.29785243293865604</v>
      </c>
    </row>
    <row r="120" spans="3:6" ht="16.5" thickBot="1">
      <c r="C120" s="124" t="s">
        <v>309</v>
      </c>
      <c r="D120" s="136">
        <f ca="1">SUMIF('Budgeting Model'!$B$11:$B$100,C120,'Budgeting Model'!$AK$11:$AK$100)</f>
        <v>211104.33338909203</v>
      </c>
      <c r="E120" s="136">
        <f ca="1">SUMIF('Budgeting Model'!$B$11:$B$100,C120,'Budgeting Model'!$AO$11:$AO$100)</f>
        <v>236.65179566865118</v>
      </c>
      <c r="F120" s="177">
        <f ca="1">SUMIF('Budgeting Model'!$B$11:$B$100,$C120,'Budgeting Model'!$BN$11:$BN$100)/D120</f>
        <v>0.64798110398050457</v>
      </c>
    </row>
    <row r="121" spans="3:6" ht="16.5" thickBot="1">
      <c r="C121" s="124" t="s">
        <v>315</v>
      </c>
      <c r="D121" s="136">
        <f ca="1">SUMIF('Budgeting Model'!$B$11:$B$100,C121,'Budgeting Model'!$AK$11:$AK$100)</f>
        <v>170679.5011189199</v>
      </c>
      <c r="E121" s="136">
        <f ca="1">SUMIF('Budgeting Model'!$B$11:$B$100,C121,'Budgeting Model'!$AO$11:$AO$100)</f>
        <v>8560.1404532999222</v>
      </c>
      <c r="F121" s="177">
        <f ca="1">SUMIF('Budgeting Model'!$B$11:$B$100,$C121,'Budgeting Model'!$BN$11:$BN$100)/D121</f>
        <v>0.76569809723622073</v>
      </c>
    </row>
    <row r="122" spans="3:6" ht="16.5" thickBot="1">
      <c r="C122" s="124" t="s">
        <v>312</v>
      </c>
      <c r="D122" s="136">
        <f ca="1">SUMIF('Budgeting Model'!$B$11:$B$100,C122,'Budgeting Model'!$AK$11:$AK$100)</f>
        <v>134975.00588470785</v>
      </c>
      <c r="E122" s="136">
        <f ca="1">SUMIF('Budgeting Model'!$B$11:$B$100,C122,'Budgeting Model'!$AO$11:$AO$100)</f>
        <v>43266.583612526898</v>
      </c>
      <c r="F122" s="177">
        <f ca="1">SUMIF('Budgeting Model'!$B$11:$B$100,$C122,'Budgeting Model'!$BN$11:$BN$100)/D122</f>
        <v>0.48304591953000625</v>
      </c>
    </row>
    <row r="123" spans="3:6" ht="16.5" thickBot="1">
      <c r="C123" s="124" t="s">
        <v>307</v>
      </c>
      <c r="D123" s="136">
        <f ca="1">SUMIF('Budgeting Model'!$B$11:$B$100,C123,'Budgeting Model'!$AK$11:$AK$100)</f>
        <v>146822.56860514841</v>
      </c>
      <c r="E123" s="136">
        <f ca="1">SUMIF('Budgeting Model'!$B$11:$B$100,C123,'Budgeting Model'!$AO$11:$AO$100)</f>
        <v>44719.397003026323</v>
      </c>
      <c r="F123" s="177">
        <f ca="1">SUMIF('Budgeting Model'!$B$11:$B$100,$C123,'Budgeting Model'!$BN$11:$BN$100)/D123</f>
        <v>0.51883808995172642</v>
      </c>
    </row>
    <row r="124" spans="3:6" ht="16.5" thickBot="1">
      <c r="C124" s="124" t="s">
        <v>316</v>
      </c>
      <c r="D124" s="136">
        <f ca="1">SUMIF('Budgeting Model'!$B$11:$B$100,C124,'Budgeting Model'!$AK$11:$AK$100)</f>
        <v>153992.45968365081</v>
      </c>
      <c r="E124" s="136">
        <f ca="1">SUMIF('Budgeting Model'!$B$11:$B$100,C124,'Budgeting Model'!$AO$11:$AO$100)</f>
        <v>47363.69323652707</v>
      </c>
      <c r="F124" s="177">
        <f ca="1">SUMIF('Budgeting Model'!$B$11:$B$100,$C124,'Budgeting Model'!$BN$11:$BN$100)/D124</f>
        <v>0.62751410843934929</v>
      </c>
    </row>
    <row r="125" spans="3:6" ht="16.5" thickBot="1">
      <c r="C125" s="124" t="s">
        <v>319</v>
      </c>
      <c r="D125" s="136">
        <f ca="1">SUMIF('Budgeting Model'!$B$11:$B$100,C125,'Budgeting Model'!$AK$11:$AK$100)</f>
        <v>111235.31895023731</v>
      </c>
      <c r="E125" s="136">
        <f ca="1">SUMIF('Budgeting Model'!$B$11:$B$100,C125,'Budgeting Model'!$AO$11:$AO$100)</f>
        <v>23902.53674808806</v>
      </c>
      <c r="F125" s="177">
        <f ca="1">SUMIF('Budgeting Model'!$B$11:$B$100,$C125,'Budgeting Model'!$BN$11:$BN$100)/D125</f>
        <v>0.36875197434020696</v>
      </c>
    </row>
    <row r="126" spans="3:6" ht="16.5" thickBot="1">
      <c r="C126" s="124" t="s">
        <v>314</v>
      </c>
      <c r="D126" s="136">
        <f ca="1">SUMIF('Budgeting Model'!$B$11:$B$100,C126,'Budgeting Model'!$AK$11:$AK$100)</f>
        <v>78024.022258711426</v>
      </c>
      <c r="E126" s="136">
        <f ca="1">SUMIF('Budgeting Model'!$B$11:$B$100,C126,'Budgeting Model'!$AO$11:$AO$100)</f>
        <v>22343.576288182208</v>
      </c>
      <c r="F126" s="177">
        <f ca="1">SUMIF('Budgeting Model'!$B$11:$B$100,$C126,'Budgeting Model'!$BN$11:$BN$100)/D126</f>
        <v>0</v>
      </c>
    </row>
    <row r="127" spans="3:6" ht="16.5" thickBot="1">
      <c r="C127" s="124" t="s">
        <v>310</v>
      </c>
      <c r="D127" s="136">
        <f ca="1">SUMIF('Budgeting Model'!$B$11:$B$100,C127,'Budgeting Model'!$AK$11:$AK$100)</f>
        <v>288167.01718828222</v>
      </c>
      <c r="E127" s="136">
        <f ca="1">SUMIF('Budgeting Model'!$B$11:$B$100,C127,'Budgeting Model'!$AO$11:$AO$100)</f>
        <v>385.97787052761123</v>
      </c>
      <c r="F127" s="177">
        <f ca="1">SUMIF('Budgeting Model'!$B$11:$B$100,$C127,'Budgeting Model'!$BN$11:$BN$100)/D127</f>
        <v>0.89473066087160402</v>
      </c>
    </row>
    <row r="128" spans="3:6" ht="16.5" thickBot="1">
      <c r="C128" s="124" t="s">
        <v>306</v>
      </c>
      <c r="D128" s="136">
        <f ca="1">SUMIF('Budgeting Model'!$B$11:$B$100,C128,'Budgeting Model'!$AK$11:$AK$100)</f>
        <v>97168.655729387203</v>
      </c>
      <c r="E128" s="136">
        <f ca="1">SUMIF('Budgeting Model'!$B$11:$B$100,C128,'Budgeting Model'!$AO$11:$AO$100)</f>
        <v>74667.567850642256</v>
      </c>
      <c r="F128" s="177">
        <f ca="1">SUMIF('Budgeting Model'!$B$11:$B$100,$C128,'Budgeting Model'!$BN$11:$BN$100)/D128</f>
        <v>0.41248338017960484</v>
      </c>
    </row>
    <row r="129" spans="3:6" ht="16.5" thickBot="1">
      <c r="C129" s="124" t="s">
        <v>308</v>
      </c>
      <c r="D129" s="136">
        <f ca="1">SUMIF('Budgeting Model'!$B$11:$B$100,C129,'Budgeting Model'!$AK$11:$AK$100)</f>
        <v>110364.64812067142</v>
      </c>
      <c r="E129" s="136">
        <f ca="1">SUMIF('Budgeting Model'!$B$11:$B$100,C129,'Budgeting Model'!$AO$11:$AO$100)</f>
        <v>33642.128606304454</v>
      </c>
      <c r="F129" s="177">
        <f ca="1">SUMIF('Budgeting Model'!$B$11:$B$100,$C129,'Budgeting Model'!$BN$11:$BN$100)/D129</f>
        <v>0.33001908635349747</v>
      </c>
    </row>
    <row r="131" spans="3:6">
      <c r="D131" s="176">
        <f ca="1">MIN(D116:D129)</f>
        <v>78024.022258711426</v>
      </c>
      <c r="E131" s="176">
        <f ca="1">MIN(E116:E129)</f>
        <v>236.65179566865118</v>
      </c>
      <c r="F131" s="178">
        <f ca="1">MAX(F116:F129)</f>
        <v>0.89473066087160402</v>
      </c>
    </row>
    <row r="132" spans="3:6">
      <c r="D132">
        <f ca="1">MATCH(D131,D116:D129,0)</f>
        <v>11</v>
      </c>
      <c r="E132">
        <f ca="1">MATCH(E131,E116:E129,0)</f>
        <v>5</v>
      </c>
      <c r="F132">
        <f ca="1">MATCH(F131,F116:F129,0)</f>
        <v>12</v>
      </c>
    </row>
  </sheetData>
  <sortState xmlns:xlrd2="http://schemas.microsoft.com/office/spreadsheetml/2017/richdata2" ref="C115:C204">
    <sortCondition ref="C115:C204"/>
  </sortState>
  <mergeCells count="4">
    <mergeCell ref="F6:G6"/>
    <mergeCell ref="I6:J7"/>
    <mergeCell ref="X6:Y7"/>
    <mergeCell ref="AM6:AN7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D736-E42B-FF43-B2F4-46957683A2AA}">
  <dimension ref="A1:EC194"/>
  <sheetViews>
    <sheetView topLeftCell="A28" zoomScaleNormal="100" workbookViewId="0">
      <selection activeCell="E55" sqref="E55"/>
    </sheetView>
  </sheetViews>
  <sheetFormatPr defaultColWidth="10.875" defaultRowHeight="12.75"/>
  <cols>
    <col min="1" max="1" width="11.125" style="13" customWidth="1"/>
    <col min="2" max="2" width="10.375" style="13" customWidth="1"/>
    <col min="3" max="3" width="13.125" style="13" customWidth="1"/>
    <col min="4" max="4" width="10" style="13" customWidth="1"/>
    <col min="5" max="6" width="9.5" style="13"/>
    <col min="7" max="7" width="10.625" style="13" customWidth="1"/>
    <col min="8" max="8" width="10.875" style="13"/>
    <col min="9" max="81" width="10.875" style="16"/>
    <col min="82" max="82" width="10.625" style="16" customWidth="1"/>
    <col min="83" max="16384" width="10.875" style="16"/>
  </cols>
  <sheetData>
    <row r="1" spans="1:133" s="50" customFormat="1" ht="15.75">
      <c r="A1" s="13"/>
      <c r="B1" s="13"/>
      <c r="C1" s="48"/>
      <c r="D1" s="32"/>
      <c r="E1" s="13"/>
      <c r="F1" s="13"/>
      <c r="G1" s="13"/>
      <c r="H1" s="13"/>
      <c r="CA1" s="50">
        <v>5</v>
      </c>
      <c r="CB1" s="50">
        <f>'ENTER SFAM ID'!C8</f>
        <v>23472093</v>
      </c>
      <c r="CC1" s="50" t="b">
        <f ca="1">TODAY()&gt;45077</f>
        <v>0</v>
      </c>
      <c r="CD1" s="50">
        <v>2</v>
      </c>
      <c r="CE1" s="50">
        <v>3</v>
      </c>
      <c r="CF1" s="50">
        <v>4</v>
      </c>
      <c r="CG1" s="50">
        <v>5</v>
      </c>
      <c r="CH1" s="50">
        <v>6</v>
      </c>
      <c r="CI1" s="50">
        <v>7</v>
      </c>
      <c r="CJ1" s="50">
        <v>8</v>
      </c>
      <c r="CK1" s="50">
        <v>9</v>
      </c>
      <c r="CL1" s="50">
        <v>10</v>
      </c>
      <c r="CM1" s="50">
        <v>11</v>
      </c>
      <c r="CN1" s="50">
        <v>12</v>
      </c>
      <c r="CO1" s="50">
        <v>13</v>
      </c>
      <c r="CP1" s="49">
        <v>14</v>
      </c>
      <c r="CW1" s="63">
        <v>1</v>
      </c>
      <c r="CX1" s="63" t="s">
        <v>48</v>
      </c>
      <c r="CY1" s="13"/>
      <c r="DD1" s="51">
        <v>1</v>
      </c>
      <c r="DE1" s="51">
        <v>2</v>
      </c>
      <c r="DF1" s="51">
        <v>3</v>
      </c>
      <c r="DG1" s="51">
        <v>4</v>
      </c>
      <c r="DH1" s="51">
        <v>5</v>
      </c>
      <c r="DI1" s="51">
        <v>6</v>
      </c>
      <c r="DJ1" s="51">
        <v>7</v>
      </c>
      <c r="DK1" s="51">
        <v>8</v>
      </c>
      <c r="DL1" s="51">
        <v>9</v>
      </c>
      <c r="DM1" s="51">
        <v>10</v>
      </c>
      <c r="DN1" s="51">
        <v>11</v>
      </c>
      <c r="DO1" s="51">
        <v>12</v>
      </c>
      <c r="DP1" s="51">
        <v>13</v>
      </c>
      <c r="DQ1" s="51">
        <v>14</v>
      </c>
      <c r="DR1" s="51">
        <v>15</v>
      </c>
      <c r="DS1" s="51">
        <v>16</v>
      </c>
      <c r="DT1" s="51">
        <v>17</v>
      </c>
      <c r="DU1" s="51">
        <v>18</v>
      </c>
      <c r="DV1" s="51">
        <v>19</v>
      </c>
      <c r="DW1" s="51">
        <v>20</v>
      </c>
      <c r="DX1" s="51">
        <v>21</v>
      </c>
      <c r="DY1" s="51">
        <v>22</v>
      </c>
      <c r="DZ1" s="51">
        <v>23</v>
      </c>
      <c r="EA1" s="51">
        <v>24</v>
      </c>
      <c r="EB1" s="51">
        <v>25</v>
      </c>
      <c r="EC1" s="51">
        <v>26</v>
      </c>
    </row>
    <row r="2" spans="1:133" s="5" customFormat="1">
      <c r="CA2" s="18">
        <v>16</v>
      </c>
      <c r="CB2" s="19">
        <f>MOD($CB$1,CA2)+1</f>
        <v>14</v>
      </c>
      <c r="CC2" s="14">
        <f>CB2</f>
        <v>14</v>
      </c>
      <c r="CD2" s="5">
        <f>RANK($CC2,$CC$2:$CC$3)</f>
        <v>1</v>
      </c>
      <c r="CE2" s="5">
        <f>RANK($CC2,$CC$2:$CC$4)</f>
        <v>1</v>
      </c>
      <c r="CF2" s="5">
        <f>RANK($CC2,$CC$2:$CC$5)</f>
        <v>2</v>
      </c>
      <c r="CG2" s="5">
        <f>RANK($CC2,$CC$2:$CC$6)</f>
        <v>3</v>
      </c>
      <c r="CH2" s="5">
        <f>RANK($CC2,$CC$2:$CC$7)</f>
        <v>4</v>
      </c>
      <c r="CI2" s="5">
        <f>RANK($CC2,$CC$2:$CC$8)</f>
        <v>4</v>
      </c>
      <c r="CJ2" s="5">
        <f>RANK($CC2,$CC$2:$CC$9)</f>
        <v>5</v>
      </c>
      <c r="CK2" s="5">
        <f>RANK($CC2,$CC$2:$CC$10)</f>
        <v>6</v>
      </c>
      <c r="CL2" s="5">
        <f>RANK($CC2,$CC$2:$CC$11)</f>
        <v>7</v>
      </c>
      <c r="CM2" s="5">
        <f>RANK($CC2,$CC$2:$CC$12)</f>
        <v>8</v>
      </c>
      <c r="CN2" s="5">
        <f>RANK($CC2,$CC$2:$CC$13)</f>
        <v>9</v>
      </c>
      <c r="CO2" s="5">
        <f t="shared" ref="CO2:CO14" si="0">RANK($CC2,$CC$2:$CC$14)</f>
        <v>9</v>
      </c>
      <c r="CP2" s="42">
        <f t="shared" ref="CP2:CP15" si="1">RANK($CC2,$CC$2:$CC$15)</f>
        <v>10</v>
      </c>
      <c r="CT2" s="15"/>
      <c r="CW2" s="63">
        <v>2</v>
      </c>
      <c r="CX2" s="63" t="s">
        <v>20</v>
      </c>
      <c r="CY2" s="13"/>
      <c r="DD2" s="52" t="s">
        <v>1</v>
      </c>
      <c r="DE2" s="53" t="s">
        <v>26</v>
      </c>
      <c r="DF2" s="52" t="s">
        <v>27</v>
      </c>
      <c r="DG2" s="53" t="s">
        <v>2</v>
      </c>
      <c r="DH2" s="61" t="s">
        <v>47</v>
      </c>
      <c r="DI2" s="53" t="s">
        <v>0</v>
      </c>
      <c r="DJ2" s="52" t="s">
        <v>28</v>
      </c>
      <c r="DK2" s="53" t="s">
        <v>29</v>
      </c>
      <c r="DL2" s="53" t="s">
        <v>30</v>
      </c>
      <c r="DM2" s="53" t="s">
        <v>31</v>
      </c>
      <c r="DN2" s="53" t="s">
        <v>3</v>
      </c>
      <c r="DO2" s="53" t="s">
        <v>32</v>
      </c>
      <c r="DP2" s="53" t="s">
        <v>4</v>
      </c>
      <c r="DQ2" s="53" t="s">
        <v>33</v>
      </c>
      <c r="DR2" s="53" t="s">
        <v>34</v>
      </c>
      <c r="DS2" s="53" t="s">
        <v>35</v>
      </c>
      <c r="DT2" s="53" t="s">
        <v>36</v>
      </c>
      <c r="DU2" s="53" t="s">
        <v>37</v>
      </c>
      <c r="DV2" s="53" t="s">
        <v>38</v>
      </c>
      <c r="DW2" s="53" t="s">
        <v>5</v>
      </c>
      <c r="DX2" s="53" t="s">
        <v>39</v>
      </c>
      <c r="DY2" s="53" t="s">
        <v>6</v>
      </c>
      <c r="DZ2" s="53" t="s">
        <v>40</v>
      </c>
      <c r="EA2" s="53" t="s">
        <v>9</v>
      </c>
      <c r="EB2" s="53" t="s">
        <v>41</v>
      </c>
      <c r="EC2" s="53" t="s">
        <v>42</v>
      </c>
    </row>
    <row r="3" spans="1:133">
      <c r="CA3" s="18">
        <v>17</v>
      </c>
      <c r="CB3" s="19">
        <f t="shared" ref="CB3:CB15" si="2">MOD($CB$1,CA3)+1</f>
        <v>7</v>
      </c>
      <c r="CC3" s="14">
        <f>IF(COUNTIF(CC$2:CC2,CB3)&gt;0,CB3+0.1*COUNTIF(CB$2:CB2,CB3),CB3)</f>
        <v>7</v>
      </c>
      <c r="CD3" s="16">
        <f>RANK(CC3,CC$2:CC$3)</f>
        <v>2</v>
      </c>
      <c r="CE3" s="16">
        <f t="shared" ref="CE3:CE4" si="3">RANK($CC3,$CC$2:$CC$4)</f>
        <v>3</v>
      </c>
      <c r="CF3" s="16">
        <f t="shared" ref="CF3:CF5" si="4">RANK($CC3,$CC$2:$CC$5)</f>
        <v>4</v>
      </c>
      <c r="CG3" s="16">
        <f t="shared" ref="CG3:CG6" si="5">RANK($CC3,$CC$2:$CC$6)</f>
        <v>5</v>
      </c>
      <c r="CH3" s="16">
        <f t="shared" ref="CH3:CH7" si="6">RANK($CC3,$CC$2:$CC$7)</f>
        <v>6</v>
      </c>
      <c r="CI3" s="16">
        <f t="shared" ref="CI3:CI8" si="7">RANK($CC3,$CC$2:$CC$8)</f>
        <v>7</v>
      </c>
      <c r="CJ3" s="16">
        <f t="shared" ref="CJ3:CJ9" si="8">RANK($CC3,$CC$2:$CC$9)</f>
        <v>8</v>
      </c>
      <c r="CK3" s="16">
        <f t="shared" ref="CK3:CK10" si="9">RANK($CC3,$CC$2:$CC$10)</f>
        <v>9</v>
      </c>
      <c r="CL3" s="16">
        <f t="shared" ref="CL3:CL11" si="10">RANK($CC3,$CC$2:$CC$11)</f>
        <v>10</v>
      </c>
      <c r="CM3" s="5">
        <f t="shared" ref="CM3:CM12" si="11">RANK($CC3,$CC$2:$CC$12)</f>
        <v>11</v>
      </c>
      <c r="CN3" s="5">
        <f t="shared" ref="CN3:CN13" si="12">RANK($CC3,$CC$2:$CC$13)</f>
        <v>12</v>
      </c>
      <c r="CO3" s="5">
        <f t="shared" si="0"/>
        <v>12</v>
      </c>
      <c r="CP3" s="42">
        <f t="shared" si="1"/>
        <v>13</v>
      </c>
      <c r="CT3" s="15"/>
      <c r="CW3" s="63">
        <v>3</v>
      </c>
      <c r="CX3" s="63" t="s">
        <v>11</v>
      </c>
      <c r="CY3" s="13"/>
    </row>
    <row r="4" spans="1:133">
      <c r="C4" s="47"/>
      <c r="D4" s="32"/>
      <c r="E4" s="17"/>
      <c r="F4" s="17"/>
      <c r="G4" s="17"/>
      <c r="H4" s="17"/>
      <c r="CA4" s="18">
        <v>19</v>
      </c>
      <c r="CB4" s="19">
        <f t="shared" si="2"/>
        <v>7</v>
      </c>
      <c r="CC4" s="14">
        <f>IF(COUNTIF(CC$2:CC3,CB4)&gt;0,CB4+0.1*COUNTIF(CB$2:CB3,CB4),CB4)</f>
        <v>7.1</v>
      </c>
      <c r="CE4" s="16">
        <f t="shared" si="3"/>
        <v>2</v>
      </c>
      <c r="CF4" s="16">
        <f t="shared" si="4"/>
        <v>3</v>
      </c>
      <c r="CG4" s="16">
        <f t="shared" si="5"/>
        <v>4</v>
      </c>
      <c r="CH4" s="16">
        <f t="shared" si="6"/>
        <v>5</v>
      </c>
      <c r="CI4" s="16">
        <f t="shared" si="7"/>
        <v>6</v>
      </c>
      <c r="CJ4" s="16">
        <f t="shared" si="8"/>
        <v>7</v>
      </c>
      <c r="CK4" s="16">
        <f t="shared" si="9"/>
        <v>8</v>
      </c>
      <c r="CL4" s="16">
        <f t="shared" si="10"/>
        <v>9</v>
      </c>
      <c r="CM4" s="5">
        <f t="shared" si="11"/>
        <v>10</v>
      </c>
      <c r="CN4" s="5">
        <f t="shared" si="12"/>
        <v>11</v>
      </c>
      <c r="CO4" s="5">
        <f t="shared" si="0"/>
        <v>11</v>
      </c>
      <c r="CP4" s="42">
        <f t="shared" si="1"/>
        <v>12</v>
      </c>
      <c r="CT4" s="15"/>
      <c r="CW4" s="63">
        <v>4</v>
      </c>
      <c r="CX4" s="63" t="s">
        <v>14</v>
      </c>
      <c r="CY4" s="13"/>
    </row>
    <row r="5" spans="1:133">
      <c r="BY5" s="14"/>
      <c r="CA5" s="18">
        <v>23</v>
      </c>
      <c r="CB5" s="19">
        <f t="shared" si="2"/>
        <v>19</v>
      </c>
      <c r="CC5" s="14">
        <f>IF(COUNTIF(CC$2:CC4,CB5)&gt;0,CB5+0.1*COUNTIF(CB$2:CB4,CB5),CB5)</f>
        <v>19</v>
      </c>
      <c r="CF5" s="16">
        <f t="shared" si="4"/>
        <v>1</v>
      </c>
      <c r="CG5" s="16">
        <f t="shared" si="5"/>
        <v>1</v>
      </c>
      <c r="CH5" s="16">
        <f t="shared" si="6"/>
        <v>1</v>
      </c>
      <c r="CI5" s="16">
        <f t="shared" si="7"/>
        <v>1</v>
      </c>
      <c r="CJ5" s="16">
        <f t="shared" si="8"/>
        <v>2</v>
      </c>
      <c r="CK5" s="16">
        <f t="shared" si="9"/>
        <v>3</v>
      </c>
      <c r="CL5" s="16">
        <f t="shared" si="10"/>
        <v>4</v>
      </c>
      <c r="CM5" s="5">
        <f t="shared" si="11"/>
        <v>5</v>
      </c>
      <c r="CN5" s="5">
        <f t="shared" si="12"/>
        <v>6</v>
      </c>
      <c r="CO5" s="5">
        <f t="shared" si="0"/>
        <v>6</v>
      </c>
      <c r="CP5" s="42">
        <f t="shared" si="1"/>
        <v>6</v>
      </c>
      <c r="CT5" s="15"/>
      <c r="CW5" s="63">
        <v>5</v>
      </c>
      <c r="CX5" s="63" t="s">
        <v>13</v>
      </c>
      <c r="CY5" s="13"/>
    </row>
    <row r="6" spans="1:133">
      <c r="B6" s="36"/>
      <c r="CA6" s="18">
        <v>20</v>
      </c>
      <c r="CB6" s="19">
        <f t="shared" si="2"/>
        <v>14</v>
      </c>
      <c r="CC6" s="14">
        <f>IF(COUNTIF(CC$2:CC5,CB6)&gt;0,CB6+0.1*COUNTIF(CB$2:CB5,CB6),CB6)</f>
        <v>14.1</v>
      </c>
      <c r="CG6" s="16">
        <f t="shared" si="5"/>
        <v>2</v>
      </c>
      <c r="CH6" s="16">
        <f t="shared" si="6"/>
        <v>3</v>
      </c>
      <c r="CI6" s="16">
        <f t="shared" si="7"/>
        <v>3</v>
      </c>
      <c r="CJ6" s="16">
        <f t="shared" si="8"/>
        <v>4</v>
      </c>
      <c r="CK6" s="16">
        <f t="shared" si="9"/>
        <v>5</v>
      </c>
      <c r="CL6" s="16">
        <f t="shared" si="10"/>
        <v>6</v>
      </c>
      <c r="CM6" s="5">
        <f t="shared" si="11"/>
        <v>7</v>
      </c>
      <c r="CN6" s="5">
        <f t="shared" si="12"/>
        <v>8</v>
      </c>
      <c r="CO6" s="5">
        <f t="shared" si="0"/>
        <v>8</v>
      </c>
      <c r="CP6" s="42">
        <f t="shared" si="1"/>
        <v>9</v>
      </c>
      <c r="CT6" s="15"/>
      <c r="CW6" s="63">
        <v>6</v>
      </c>
      <c r="CX6" s="64" t="s">
        <v>12</v>
      </c>
      <c r="CY6" s="17"/>
    </row>
    <row r="7" spans="1:133">
      <c r="B7" s="37"/>
      <c r="C7" s="20"/>
      <c r="D7" s="38"/>
      <c r="E7" s="20"/>
      <c r="F7" s="39"/>
      <c r="CA7" s="18">
        <v>21</v>
      </c>
      <c r="CB7" s="19">
        <f t="shared" si="2"/>
        <v>16</v>
      </c>
      <c r="CC7" s="14">
        <f>IF(COUNTIF(CC$2:CC6,CB7)&gt;0,CB7+0.1*COUNTIF(CB$2:CB6,CB7),CB7)</f>
        <v>16</v>
      </c>
      <c r="CH7" s="16">
        <f t="shared" si="6"/>
        <v>2</v>
      </c>
      <c r="CI7" s="16">
        <f t="shared" si="7"/>
        <v>2</v>
      </c>
      <c r="CJ7" s="16">
        <f t="shared" si="8"/>
        <v>3</v>
      </c>
      <c r="CK7" s="16">
        <f t="shared" si="9"/>
        <v>4</v>
      </c>
      <c r="CL7" s="16">
        <f t="shared" si="10"/>
        <v>5</v>
      </c>
      <c r="CM7" s="5">
        <f t="shared" si="11"/>
        <v>6</v>
      </c>
      <c r="CN7" s="5">
        <f t="shared" si="12"/>
        <v>7</v>
      </c>
      <c r="CO7" s="5">
        <f t="shared" si="0"/>
        <v>7</v>
      </c>
      <c r="CP7" s="42">
        <f t="shared" si="1"/>
        <v>8</v>
      </c>
      <c r="CT7" s="15"/>
      <c r="CW7" s="63">
        <v>7</v>
      </c>
      <c r="CX7" s="64" t="s">
        <v>17</v>
      </c>
      <c r="CY7" s="17"/>
    </row>
    <row r="8" spans="1:133">
      <c r="CA8" s="18">
        <v>22</v>
      </c>
      <c r="CB8" s="19">
        <f t="shared" si="2"/>
        <v>8</v>
      </c>
      <c r="CC8" s="14">
        <f>IF(COUNTIF(CC$2:CC7,CB8)&gt;0,CB8+0.1*COUNTIF(CB$2:CB7,CB8),CB8)</f>
        <v>8</v>
      </c>
      <c r="CI8" s="16">
        <f t="shared" si="7"/>
        <v>5</v>
      </c>
      <c r="CJ8" s="16">
        <f t="shared" si="8"/>
        <v>6</v>
      </c>
      <c r="CK8" s="16">
        <f t="shared" si="9"/>
        <v>7</v>
      </c>
      <c r="CL8" s="16">
        <f t="shared" si="10"/>
        <v>8</v>
      </c>
      <c r="CM8" s="5">
        <f t="shared" si="11"/>
        <v>9</v>
      </c>
      <c r="CN8" s="5">
        <f t="shared" si="12"/>
        <v>10</v>
      </c>
      <c r="CO8" s="5">
        <f t="shared" si="0"/>
        <v>10</v>
      </c>
      <c r="CP8" s="42">
        <f t="shared" si="1"/>
        <v>11</v>
      </c>
      <c r="CT8" s="15"/>
      <c r="CW8" s="63">
        <v>8</v>
      </c>
      <c r="CX8" s="64" t="s">
        <v>49</v>
      </c>
      <c r="CY8" s="17"/>
    </row>
    <row r="9" spans="1:133">
      <c r="B9" s="17"/>
      <c r="CA9" s="18">
        <v>23</v>
      </c>
      <c r="CB9" s="19">
        <f t="shared" si="2"/>
        <v>19</v>
      </c>
      <c r="CC9" s="14">
        <f>IF(COUNTIF(CC$2:CC8,CB9)&gt;0,CB9+0.1*COUNTIF(CB$2:CB8,CB9),CB9)</f>
        <v>19.100000000000001</v>
      </c>
      <c r="CJ9" s="16">
        <f t="shared" si="8"/>
        <v>1</v>
      </c>
      <c r="CK9" s="16">
        <f t="shared" si="9"/>
        <v>2</v>
      </c>
      <c r="CL9" s="16">
        <f t="shared" si="10"/>
        <v>3</v>
      </c>
      <c r="CM9" s="5">
        <f t="shared" si="11"/>
        <v>4</v>
      </c>
      <c r="CN9" s="5">
        <f t="shared" si="12"/>
        <v>5</v>
      </c>
      <c r="CO9" s="5">
        <f t="shared" si="0"/>
        <v>5</v>
      </c>
      <c r="CP9" s="42">
        <f t="shared" si="1"/>
        <v>5</v>
      </c>
      <c r="CT9" s="15"/>
      <c r="CW9" s="63">
        <v>9</v>
      </c>
      <c r="CX9" s="64" t="s">
        <v>18</v>
      </c>
      <c r="CY9" s="17"/>
    </row>
    <row r="10" spans="1:133">
      <c r="A10" s="17"/>
      <c r="B10" s="17"/>
      <c r="C10" s="17"/>
      <c r="D10" s="17"/>
      <c r="E10" s="17"/>
      <c r="F10" s="17"/>
      <c r="G10" s="17"/>
      <c r="H10" s="17"/>
      <c r="CA10" s="18">
        <v>24</v>
      </c>
      <c r="CB10" s="19">
        <f t="shared" si="2"/>
        <v>22</v>
      </c>
      <c r="CC10" s="14">
        <f>IF(COUNTIF(CC$2:CC9,CB10)&gt;0,CB10+0.1*COUNTIF(CB$2:CB9,CB10),CB10)</f>
        <v>22</v>
      </c>
      <c r="CK10" s="16">
        <f t="shared" si="9"/>
        <v>1</v>
      </c>
      <c r="CL10" s="16">
        <f t="shared" si="10"/>
        <v>1</v>
      </c>
      <c r="CM10" s="5">
        <f t="shared" si="11"/>
        <v>2</v>
      </c>
      <c r="CN10" s="5">
        <f t="shared" si="12"/>
        <v>3</v>
      </c>
      <c r="CO10" s="5">
        <f t="shared" si="0"/>
        <v>3</v>
      </c>
      <c r="CP10" s="42">
        <f t="shared" si="1"/>
        <v>3</v>
      </c>
      <c r="CT10" s="15"/>
      <c r="CW10" s="63">
        <v>10</v>
      </c>
      <c r="CX10" s="64" t="s">
        <v>19</v>
      </c>
      <c r="CY10" s="17"/>
    </row>
    <row r="11" spans="1:133">
      <c r="A11" s="17"/>
      <c r="B11" s="17"/>
      <c r="C11" s="17"/>
      <c r="D11" s="17"/>
      <c r="E11" s="17"/>
      <c r="F11" s="17"/>
      <c r="G11" s="17"/>
      <c r="H11" s="17"/>
      <c r="CA11" s="18">
        <v>25</v>
      </c>
      <c r="CB11" s="19">
        <f t="shared" si="2"/>
        <v>19</v>
      </c>
      <c r="CC11" s="14">
        <f>IF(COUNTIF(CC$2:CC10,CB11)&gt;0,CB11+0.1*COUNTIF(CB$2:CB10,CB11),CB11)</f>
        <v>19.2</v>
      </c>
      <c r="CL11" s="16">
        <f t="shared" si="10"/>
        <v>2</v>
      </c>
      <c r="CM11" s="5">
        <f t="shared" si="11"/>
        <v>3</v>
      </c>
      <c r="CN11" s="5">
        <f t="shared" si="12"/>
        <v>4</v>
      </c>
      <c r="CO11" s="5">
        <f t="shared" si="0"/>
        <v>4</v>
      </c>
      <c r="CP11" s="42">
        <f t="shared" si="1"/>
        <v>4</v>
      </c>
      <c r="CT11" s="15"/>
      <c r="CW11" s="63">
        <v>11</v>
      </c>
      <c r="CX11" s="64" t="s">
        <v>50</v>
      </c>
      <c r="CY11" s="17"/>
    </row>
    <row r="12" spans="1:133">
      <c r="A12" s="17"/>
      <c r="B12" s="17"/>
      <c r="C12" s="17"/>
      <c r="D12" s="17"/>
      <c r="E12" s="17"/>
      <c r="F12" s="17"/>
      <c r="G12" s="17"/>
      <c r="H12" s="17"/>
      <c r="CA12" s="18">
        <v>26</v>
      </c>
      <c r="CB12" s="19">
        <f t="shared" si="2"/>
        <v>22</v>
      </c>
      <c r="CC12" s="14">
        <f>IF(COUNTIF(CC$2:CC11,CB12)&gt;0,CB12+0.1*COUNTIF(CB$2:CB11,CB12),CB12)</f>
        <v>22.1</v>
      </c>
      <c r="CM12" s="5">
        <f t="shared" si="11"/>
        <v>1</v>
      </c>
      <c r="CN12" s="5">
        <f t="shared" si="12"/>
        <v>2</v>
      </c>
      <c r="CO12" s="5">
        <f t="shared" si="0"/>
        <v>2</v>
      </c>
      <c r="CP12" s="42">
        <f t="shared" si="1"/>
        <v>2</v>
      </c>
      <c r="CT12" s="15"/>
      <c r="CW12" s="63">
        <v>12</v>
      </c>
      <c r="CX12" s="64" t="s">
        <v>51</v>
      </c>
      <c r="CY12" s="17"/>
    </row>
    <row r="13" spans="1:133">
      <c r="A13" s="45" t="s">
        <v>7</v>
      </c>
      <c r="B13" s="35" t="str">
        <f>TEXT(B15,"0000000")&amp;TEXT(B14,"00")</f>
        <v>2347209305</v>
      </c>
      <c r="C13" s="17"/>
      <c r="D13" s="17"/>
      <c r="E13" s="17"/>
      <c r="F13" s="17"/>
      <c r="G13" s="17"/>
      <c r="H13" s="17"/>
      <c r="CA13" s="18">
        <v>27</v>
      </c>
      <c r="CB13" s="19">
        <f t="shared" si="2"/>
        <v>22</v>
      </c>
      <c r="CC13" s="14">
        <f>IF(COUNTIF(CC$2:CC12,CB13)&gt;0,CB13+0.1*COUNTIF(CB$2:CB12,CB13),CB13)</f>
        <v>22.2</v>
      </c>
      <c r="CN13" s="5">
        <f t="shared" si="12"/>
        <v>1</v>
      </c>
      <c r="CO13" s="5">
        <f t="shared" si="0"/>
        <v>1</v>
      </c>
      <c r="CP13" s="42">
        <f t="shared" si="1"/>
        <v>1</v>
      </c>
      <c r="CT13" s="15"/>
      <c r="CW13" s="63">
        <v>13</v>
      </c>
      <c r="CX13" s="64" t="s">
        <v>52</v>
      </c>
      <c r="CY13" s="17"/>
    </row>
    <row r="14" spans="1:133">
      <c r="A14" s="13" t="s">
        <v>8</v>
      </c>
      <c r="B14" s="17">
        <f>CA1</f>
        <v>5</v>
      </c>
      <c r="C14" s="17"/>
      <c r="D14" s="17"/>
      <c r="E14" s="17"/>
      <c r="F14" s="17"/>
      <c r="G14" s="17"/>
      <c r="H14" s="17"/>
      <c r="CA14" s="18">
        <v>28</v>
      </c>
      <c r="CB14" s="19">
        <f t="shared" si="2"/>
        <v>2</v>
      </c>
      <c r="CC14" s="14">
        <f>IF(COUNTIF(CC$2:CC13,CB14)&gt;0,CB14+0.1*COUNTIF(CB$2:CB13,CB14),CB14)</f>
        <v>2</v>
      </c>
      <c r="CO14" s="5">
        <f t="shared" si="0"/>
        <v>13</v>
      </c>
      <c r="CP14" s="42">
        <f t="shared" si="1"/>
        <v>14</v>
      </c>
      <c r="CT14" s="15"/>
      <c r="CW14" s="63">
        <v>14</v>
      </c>
      <c r="CX14" s="64" t="s">
        <v>53</v>
      </c>
      <c r="CY14" s="17"/>
    </row>
    <row r="15" spans="1:133">
      <c r="A15" s="46" t="s">
        <v>25</v>
      </c>
      <c r="B15" s="17">
        <f>CB1</f>
        <v>23472093</v>
      </c>
      <c r="C15" s="17"/>
      <c r="D15" s="17"/>
      <c r="E15" s="17"/>
      <c r="F15" s="17"/>
      <c r="G15" s="17"/>
      <c r="H15" s="17"/>
      <c r="CA15" s="42">
        <v>29</v>
      </c>
      <c r="CB15" s="43">
        <f t="shared" si="2"/>
        <v>16</v>
      </c>
      <c r="CC15" s="44">
        <f>IF(COUNTIF(CC$2:CC14,CB15)&gt;0,CB15+0.1*COUNTIF(CB$2:CB14,CB15),CB15)</f>
        <v>16.100000000000001</v>
      </c>
      <c r="CO15" s="5"/>
      <c r="CP15" s="42">
        <f t="shared" si="1"/>
        <v>7</v>
      </c>
      <c r="CW15" s="63">
        <v>15</v>
      </c>
      <c r="CX15" s="63" t="s">
        <v>54</v>
      </c>
      <c r="CY15" s="13"/>
    </row>
    <row r="16" spans="1:133">
      <c r="A16" s="32" t="s">
        <v>10</v>
      </c>
      <c r="B16" s="17">
        <v>2</v>
      </c>
      <c r="C16" s="17"/>
      <c r="D16" s="17"/>
      <c r="E16" s="17"/>
      <c r="F16" s="17"/>
      <c r="G16" s="17"/>
      <c r="H16" s="17"/>
      <c r="CB16" s="18"/>
      <c r="CW16" s="63">
        <v>16</v>
      </c>
      <c r="CX16" s="63"/>
      <c r="CY16" s="13"/>
    </row>
    <row r="17" spans="1:103">
      <c r="A17" s="45" t="s">
        <v>21</v>
      </c>
      <c r="B17" s="17">
        <f ca="1">SUM(E23:E134)</f>
        <v>118.24000000000007</v>
      </c>
      <c r="C17" s="17"/>
      <c r="D17" s="17"/>
      <c r="E17" s="17"/>
      <c r="F17" s="17"/>
      <c r="G17" s="17"/>
      <c r="H17" s="17"/>
      <c r="CB17" s="18"/>
      <c r="CW17" s="63"/>
      <c r="CX17" s="63"/>
      <c r="CY17" s="13"/>
    </row>
    <row r="18" spans="1:103">
      <c r="A18" s="45" t="s">
        <v>22</v>
      </c>
      <c r="B18" s="17">
        <f>SUM(F23:F134)</f>
        <v>120.24000000000008</v>
      </c>
      <c r="C18" s="17"/>
      <c r="D18" s="17"/>
      <c r="E18" s="17"/>
      <c r="F18" s="17"/>
      <c r="G18" s="17"/>
      <c r="H18" s="17"/>
      <c r="CB18" s="18"/>
      <c r="CW18" s="63"/>
      <c r="CX18" s="63"/>
      <c r="CY18" s="13"/>
    </row>
    <row r="19" spans="1:103">
      <c r="A19" s="46" t="s">
        <v>23</v>
      </c>
      <c r="B19" s="17">
        <f>SUM(G23:G134)</f>
        <v>0</v>
      </c>
      <c r="E19" s="17"/>
      <c r="F19" s="17"/>
      <c r="G19" s="17"/>
      <c r="H19" s="17"/>
      <c r="CB19" s="18"/>
      <c r="CW19" s="63"/>
      <c r="CX19" s="63"/>
      <c r="CY19" s="13"/>
    </row>
    <row r="20" spans="1:103">
      <c r="A20" s="46" t="s">
        <v>24</v>
      </c>
      <c r="B20" s="17">
        <f>SUM(H23:H134)</f>
        <v>0</v>
      </c>
      <c r="E20" s="16"/>
      <c r="F20" s="16"/>
      <c r="G20" s="16"/>
      <c r="H20" s="16"/>
      <c r="CB20" s="18"/>
      <c r="CW20" s="63"/>
      <c r="CX20" s="63"/>
      <c r="CY20" s="13"/>
    </row>
    <row r="21" spans="1:103">
      <c r="A21" s="60"/>
      <c r="B21" s="17"/>
      <c r="E21" s="17"/>
      <c r="F21" s="17"/>
      <c r="G21" s="17"/>
      <c r="H21" s="17"/>
      <c r="CB21" s="18"/>
      <c r="CW21" s="63"/>
      <c r="CX21" s="63"/>
      <c r="CY21" s="13"/>
    </row>
    <row r="22" spans="1:103">
      <c r="A22" s="60" t="s">
        <v>46</v>
      </c>
      <c r="B22" s="17"/>
      <c r="E22" s="17"/>
      <c r="F22" s="17"/>
      <c r="G22" s="17"/>
      <c r="H22" s="17"/>
      <c r="CB22" s="18"/>
      <c r="CW22" s="63"/>
      <c r="CX22" s="63"/>
      <c r="CY22" s="13"/>
    </row>
    <row r="23" spans="1:103">
      <c r="A23" s="13">
        <v>1</v>
      </c>
      <c r="B23" s="5" t="b">
        <f ca="1">IF(E23+G23=F23+H23,TRUE,FALSE)</f>
        <v>1</v>
      </c>
      <c r="C23" s="70" t="s">
        <v>507</v>
      </c>
      <c r="D23" s="16" t="s">
        <v>539</v>
      </c>
      <c r="E23" s="1">
        <f ca="1">SUM(CA78:CA83)</f>
        <v>6</v>
      </c>
      <c r="F23" s="21">
        <v>6</v>
      </c>
      <c r="CB23" s="18"/>
      <c r="CW23" s="63"/>
      <c r="CX23" s="63"/>
      <c r="CY23" s="13"/>
    </row>
    <row r="24" spans="1:103">
      <c r="A24" s="13">
        <v>3</v>
      </c>
      <c r="B24" s="5" t="b">
        <f ca="1">IF(E24+G24=F24+H24,TRUE,FALSE)</f>
        <v>0</v>
      </c>
      <c r="C24" s="70" t="s">
        <v>507</v>
      </c>
      <c r="D24" s="16" t="s">
        <v>549</v>
      </c>
      <c r="E24" s="1">
        <f ca="1">SUM(CD84:CF84)</f>
        <v>1</v>
      </c>
      <c r="F24" s="21">
        <v>3</v>
      </c>
      <c r="I24" s="184" t="s">
        <v>551</v>
      </c>
      <c r="J24" s="69"/>
      <c r="CB24" s="18"/>
      <c r="CW24" s="63"/>
      <c r="CX24" s="63"/>
      <c r="CY24" s="13"/>
    </row>
    <row r="25" spans="1:103">
      <c r="A25" s="13">
        <v>4</v>
      </c>
      <c r="B25" s="5" t="b">
        <f t="shared" ref="B25:B67" si="13">IF(E25+G25=F25+H25,TRUE,FALSE)</f>
        <v>1</v>
      </c>
      <c r="C25" s="70" t="s">
        <v>507</v>
      </c>
      <c r="D25" s="16" t="s">
        <v>508</v>
      </c>
      <c r="E25" s="1">
        <f>SUM(CA$85:CA$174)</f>
        <v>1.8000000000000012</v>
      </c>
      <c r="F25" s="21">
        <v>1.8000000000000012</v>
      </c>
      <c r="CB25" s="18"/>
      <c r="CW25" s="63"/>
      <c r="CX25" s="63"/>
      <c r="CY25" s="13"/>
    </row>
    <row r="26" spans="1:103">
      <c r="A26" s="13">
        <v>5</v>
      </c>
      <c r="B26" s="5" t="b">
        <f ca="1">IF(E26+G26=F26+H26,TRUE,FALSE)</f>
        <v>1</v>
      </c>
      <c r="C26" s="70" t="s">
        <v>507</v>
      </c>
      <c r="D26" s="16" t="s">
        <v>509</v>
      </c>
      <c r="E26" s="1">
        <f ca="1">SUM(CB$85:CB$174)</f>
        <v>1.8000000000000012</v>
      </c>
      <c r="F26" s="21">
        <v>1.8000000000000012</v>
      </c>
      <c r="CB26" s="18"/>
      <c r="CW26" s="63"/>
      <c r="CX26" s="63"/>
      <c r="CY26" s="13"/>
    </row>
    <row r="27" spans="1:103">
      <c r="A27" s="13">
        <v>6</v>
      </c>
      <c r="B27" s="5" t="b">
        <f t="shared" si="13"/>
        <v>1</v>
      </c>
      <c r="C27" s="70" t="s">
        <v>507</v>
      </c>
      <c r="D27" s="16" t="s">
        <v>510</v>
      </c>
      <c r="E27" s="1">
        <f>SUM(CC$85:CC$174)</f>
        <v>1.8000000000000012</v>
      </c>
      <c r="F27" s="21">
        <v>1.8000000000000012</v>
      </c>
      <c r="CB27" s="18"/>
      <c r="CW27" s="63"/>
      <c r="CX27" s="63"/>
      <c r="CY27" s="13"/>
    </row>
    <row r="28" spans="1:103">
      <c r="A28" s="13">
        <v>7</v>
      </c>
      <c r="B28" s="5" t="b">
        <f t="shared" ref="B28:B64" ca="1" si="14">IF(E28+G28=F28+H28,TRUE,FALSE)</f>
        <v>1</v>
      </c>
      <c r="C28" s="70" t="s">
        <v>507</v>
      </c>
      <c r="D28" s="16" t="s">
        <v>511</v>
      </c>
      <c r="E28" s="1">
        <f ca="1">SUM(CD$85:CD$174)</f>
        <v>1.8000000000000012</v>
      </c>
      <c r="F28" s="21">
        <v>1.8000000000000012</v>
      </c>
      <c r="CB28" s="18"/>
      <c r="CW28" s="63"/>
      <c r="CX28" s="63"/>
      <c r="CY28" s="13"/>
    </row>
    <row r="29" spans="1:103">
      <c r="A29" s="13">
        <v>8</v>
      </c>
      <c r="B29" s="5" t="b">
        <f t="shared" ca="1" si="14"/>
        <v>1</v>
      </c>
      <c r="C29" s="70" t="s">
        <v>507</v>
      </c>
      <c r="D29" s="16" t="s">
        <v>512</v>
      </c>
      <c r="E29" s="1">
        <f ca="1">SUM(CE$85:CE$174)</f>
        <v>1.8000000000000012</v>
      </c>
      <c r="F29" s="21">
        <v>1.8000000000000012</v>
      </c>
      <c r="CB29" s="18"/>
      <c r="CW29" s="63"/>
      <c r="CX29" s="63"/>
      <c r="CY29" s="13"/>
    </row>
    <row r="30" spans="1:103">
      <c r="A30" s="13">
        <v>9</v>
      </c>
      <c r="B30" s="5" t="b">
        <f t="shared" ca="1" si="14"/>
        <v>1</v>
      </c>
      <c r="C30" s="70" t="s">
        <v>507</v>
      </c>
      <c r="D30" s="16" t="s">
        <v>513</v>
      </c>
      <c r="E30" s="1">
        <f ca="1">SUM(CF$85:CF$174)</f>
        <v>1.8000000000000012</v>
      </c>
      <c r="F30" s="21">
        <v>1.8000000000000012</v>
      </c>
      <c r="CB30" s="18"/>
      <c r="CW30" s="63"/>
      <c r="CX30" s="63"/>
      <c r="CY30" s="13"/>
    </row>
    <row r="31" spans="1:103">
      <c r="A31" s="13">
        <v>10</v>
      </c>
      <c r="B31" s="5" t="b">
        <f t="shared" ca="1" si="14"/>
        <v>1</v>
      </c>
      <c r="C31" s="70" t="s">
        <v>507</v>
      </c>
      <c r="D31" s="16" t="s">
        <v>514</v>
      </c>
      <c r="E31" s="1">
        <f ca="1">SUM(CI$85:CI$174)</f>
        <v>1.8000000000000012</v>
      </c>
      <c r="F31" s="21">
        <v>1.8000000000000012</v>
      </c>
      <c r="CB31" s="18"/>
      <c r="CW31" s="63"/>
      <c r="CX31" s="63"/>
      <c r="CY31" s="13"/>
    </row>
    <row r="32" spans="1:103">
      <c r="A32" s="13">
        <v>11</v>
      </c>
      <c r="B32" s="5" t="b">
        <f t="shared" ca="1" si="14"/>
        <v>1</v>
      </c>
      <c r="C32" s="70" t="s">
        <v>507</v>
      </c>
      <c r="D32" s="16" t="s">
        <v>515</v>
      </c>
      <c r="E32" s="1">
        <f ca="1">SUM(CK$85:CK$174)</f>
        <v>1.8000000000000012</v>
      </c>
      <c r="F32" s="21">
        <v>1.8000000000000012</v>
      </c>
      <c r="CB32" s="18"/>
      <c r="CW32" s="63"/>
      <c r="CX32" s="63"/>
      <c r="CY32" s="13"/>
    </row>
    <row r="33" spans="1:103">
      <c r="A33" s="13">
        <v>12</v>
      </c>
      <c r="B33" s="5" t="b">
        <f t="shared" ca="1" si="14"/>
        <v>1</v>
      </c>
      <c r="C33" s="70" t="s">
        <v>507</v>
      </c>
      <c r="D33" s="16" t="s">
        <v>516</v>
      </c>
      <c r="E33" s="1">
        <f ca="1">SUM(CM$85:CM$174)-19/50</f>
        <v>1.4200000000000013</v>
      </c>
      <c r="F33" s="21">
        <v>1.4200000000000013</v>
      </c>
      <c r="CB33" s="18"/>
      <c r="CW33" s="63"/>
      <c r="CX33" s="63"/>
      <c r="CY33" s="13"/>
    </row>
    <row r="34" spans="1:103">
      <c r="A34" s="13">
        <v>13</v>
      </c>
      <c r="B34" s="5" t="b">
        <f t="shared" ca="1" si="14"/>
        <v>1</v>
      </c>
      <c r="C34" s="70" t="s">
        <v>507</v>
      </c>
      <c r="D34" s="16" t="s">
        <v>517</v>
      </c>
      <c r="E34" s="1">
        <f ca="1">SUM(CO$85:CO$174)</f>
        <v>1.8000000000000012</v>
      </c>
      <c r="F34" s="21">
        <v>1.8000000000000012</v>
      </c>
      <c r="CB34" s="18"/>
      <c r="CW34" s="63"/>
      <c r="CX34" s="63"/>
      <c r="CY34" s="13"/>
    </row>
    <row r="35" spans="1:103" ht="15" customHeight="1">
      <c r="A35" s="13">
        <v>14</v>
      </c>
      <c r="B35" s="5" t="b">
        <f t="shared" ca="1" si="14"/>
        <v>1</v>
      </c>
      <c r="C35" s="70" t="s">
        <v>507</v>
      </c>
      <c r="D35" s="16" t="s">
        <v>518</v>
      </c>
      <c r="E35" s="1">
        <f ca="1">SUM(CP$85:CP$174)</f>
        <v>1.8000000000000012</v>
      </c>
      <c r="F35" s="21">
        <v>1.8000000000000012</v>
      </c>
      <c r="CB35" s="18"/>
      <c r="CW35" s="63"/>
      <c r="CX35" s="63"/>
      <c r="CY35" s="13"/>
    </row>
    <row r="36" spans="1:103">
      <c r="A36" s="13">
        <v>15</v>
      </c>
      <c r="B36" s="5" t="b">
        <f t="shared" ca="1" si="14"/>
        <v>1</v>
      </c>
      <c r="C36" s="70" t="s">
        <v>507</v>
      </c>
      <c r="D36" s="16" t="s">
        <v>519</v>
      </c>
      <c r="E36" s="1">
        <f ca="1">SUM(CQ$85:CQ$174)</f>
        <v>1.8000000000000012</v>
      </c>
      <c r="F36" s="21">
        <v>1.8000000000000012</v>
      </c>
      <c r="CB36" s="18"/>
      <c r="CW36" s="63"/>
      <c r="CX36" s="63"/>
      <c r="CY36" s="13"/>
    </row>
    <row r="37" spans="1:103">
      <c r="A37" s="13">
        <v>16</v>
      </c>
      <c r="B37" s="5" t="b">
        <f t="shared" ca="1" si="14"/>
        <v>1</v>
      </c>
      <c r="C37" s="70" t="s">
        <v>507</v>
      </c>
      <c r="D37" s="16" t="s">
        <v>520</v>
      </c>
      <c r="E37" s="1">
        <f ca="1">SUM(CR$85:CR$174)</f>
        <v>1.8000000000000012</v>
      </c>
      <c r="F37" s="21">
        <v>1.8000000000000012</v>
      </c>
      <c r="G37" s="69"/>
      <c r="I37" s="69"/>
      <c r="CB37" s="18"/>
      <c r="CW37" s="63"/>
      <c r="CX37" s="63"/>
      <c r="CY37" s="13"/>
    </row>
    <row r="38" spans="1:103">
      <c r="A38" s="13">
        <v>17</v>
      </c>
      <c r="B38" s="5" t="b">
        <f t="shared" ca="1" si="14"/>
        <v>1</v>
      </c>
      <c r="C38" s="70" t="s">
        <v>507</v>
      </c>
      <c r="D38" s="16" t="s">
        <v>521</v>
      </c>
      <c r="E38" s="1">
        <f ca="1">SUM(CS$85:CS$174)</f>
        <v>1.8000000000000012</v>
      </c>
      <c r="F38" s="21">
        <v>1.8000000000000012</v>
      </c>
      <c r="G38" s="69"/>
      <c r="I38" s="69"/>
      <c r="CB38" s="18"/>
      <c r="CW38" s="63"/>
      <c r="CX38" s="63"/>
      <c r="CY38" s="13"/>
    </row>
    <row r="39" spans="1:103">
      <c r="A39" s="13">
        <v>18</v>
      </c>
      <c r="B39" s="5" t="b">
        <f t="shared" ca="1" si="14"/>
        <v>1</v>
      </c>
      <c r="C39" s="70" t="s">
        <v>507</v>
      </c>
      <c r="D39" s="16" t="s">
        <v>522</v>
      </c>
      <c r="E39" s="1">
        <f ca="1">SUM(CT$85:CT$174)</f>
        <v>1.8000000000000012</v>
      </c>
      <c r="F39" s="21">
        <v>1.8000000000000012</v>
      </c>
      <c r="I39" s="13"/>
      <c r="CB39" s="18"/>
      <c r="CW39" s="63"/>
      <c r="CX39" s="63"/>
      <c r="CY39" s="13"/>
    </row>
    <row r="40" spans="1:103">
      <c r="A40" s="13">
        <v>19</v>
      </c>
      <c r="B40" s="5" t="b">
        <f t="shared" ca="1" si="14"/>
        <v>1</v>
      </c>
      <c r="C40" s="70" t="s">
        <v>507</v>
      </c>
      <c r="D40" s="16" t="s">
        <v>523</v>
      </c>
      <c r="E40" s="1">
        <f ca="1">SUM(CU$85:CU$174)</f>
        <v>1.8000000000000012</v>
      </c>
      <c r="F40" s="21">
        <v>1.8000000000000012</v>
      </c>
      <c r="I40" s="13"/>
      <c r="CB40" s="18"/>
      <c r="CW40" s="63"/>
      <c r="CX40" s="63"/>
      <c r="CY40" s="13"/>
    </row>
    <row r="41" spans="1:103">
      <c r="A41" s="13">
        <v>20</v>
      </c>
      <c r="B41" s="5" t="b">
        <f t="shared" ca="1" si="14"/>
        <v>1</v>
      </c>
      <c r="C41" s="70" t="s">
        <v>507</v>
      </c>
      <c r="D41" s="16" t="s">
        <v>524</v>
      </c>
      <c r="E41" s="1">
        <f ca="1">SUM(CX$85:CX$174)</f>
        <v>1.8000000000000012</v>
      </c>
      <c r="F41" s="21">
        <v>1.8000000000000012</v>
      </c>
      <c r="I41" s="13"/>
      <c r="CB41" s="18"/>
      <c r="CW41" s="63"/>
      <c r="CX41" s="63"/>
      <c r="CY41" s="13"/>
    </row>
    <row r="42" spans="1:103">
      <c r="A42" s="13">
        <v>21</v>
      </c>
      <c r="B42" s="5" t="b">
        <f t="shared" ca="1" si="14"/>
        <v>1</v>
      </c>
      <c r="C42" s="70" t="s">
        <v>507</v>
      </c>
      <c r="D42" s="16" t="s">
        <v>525</v>
      </c>
      <c r="E42" s="1">
        <f ca="1">SUM(CZ$85:CZ$174)</f>
        <v>1.8000000000000012</v>
      </c>
      <c r="F42" s="21">
        <v>1.8000000000000012</v>
      </c>
      <c r="I42" s="13"/>
      <c r="CB42" s="18"/>
      <c r="CW42" s="63"/>
      <c r="CX42" s="63"/>
      <c r="CY42" s="13"/>
    </row>
    <row r="43" spans="1:103">
      <c r="A43" s="13">
        <v>22</v>
      </c>
      <c r="B43" s="5" t="b">
        <f t="shared" ca="1" si="14"/>
        <v>1</v>
      </c>
      <c r="C43" s="70" t="s">
        <v>507</v>
      </c>
      <c r="D43" s="16" t="s">
        <v>526</v>
      </c>
      <c r="E43" s="1">
        <f ca="1">SUM(DB$85:DB$174)-19/50</f>
        <v>1.4200000000000013</v>
      </c>
      <c r="F43" s="21">
        <v>1.4200000000000013</v>
      </c>
      <c r="I43" s="13"/>
      <c r="CB43" s="18"/>
      <c r="CW43" s="63"/>
      <c r="CX43" s="63"/>
      <c r="CY43" s="13"/>
    </row>
    <row r="44" spans="1:103">
      <c r="A44" s="13">
        <v>23</v>
      </c>
      <c r="B44" s="5" t="b">
        <f t="shared" ca="1" si="14"/>
        <v>1</v>
      </c>
      <c r="C44" s="70" t="s">
        <v>507</v>
      </c>
      <c r="D44" s="16" t="s">
        <v>527</v>
      </c>
      <c r="E44" s="1">
        <f ca="1">SUM(DD$85:DD$174)</f>
        <v>1.8000000000000012</v>
      </c>
      <c r="F44" s="21">
        <v>1.8000000000000012</v>
      </c>
      <c r="I44" s="13"/>
      <c r="CB44" s="18"/>
      <c r="CW44" s="63"/>
      <c r="CX44" s="63"/>
      <c r="CY44" s="13"/>
    </row>
    <row r="45" spans="1:103">
      <c r="A45" s="13">
        <v>24</v>
      </c>
      <c r="B45" s="5" t="b">
        <f t="shared" ca="1" si="14"/>
        <v>1</v>
      </c>
      <c r="C45" s="70" t="s">
        <v>507</v>
      </c>
      <c r="D45" s="16" t="s">
        <v>528</v>
      </c>
      <c r="E45" s="1">
        <f ca="1">SUM(DE$85:DE$174)</f>
        <v>1.8000000000000012</v>
      </c>
      <c r="F45" s="21">
        <v>1.8000000000000012</v>
      </c>
      <c r="I45" s="13"/>
      <c r="CB45" s="18"/>
      <c r="CW45" s="63"/>
      <c r="CX45" s="63"/>
      <c r="CY45" s="13"/>
    </row>
    <row r="46" spans="1:103">
      <c r="A46" s="13">
        <v>25</v>
      </c>
      <c r="B46" s="5" t="b">
        <f t="shared" ca="1" si="14"/>
        <v>1</v>
      </c>
      <c r="C46" s="70" t="s">
        <v>507</v>
      </c>
      <c r="D46" s="16" t="s">
        <v>529</v>
      </c>
      <c r="E46" s="1">
        <f ca="1">SUM(DF$85:DF$174)</f>
        <v>1.8000000000000012</v>
      </c>
      <c r="F46" s="21">
        <v>1.8000000000000012</v>
      </c>
      <c r="G46" s="69"/>
      <c r="I46" s="69"/>
      <c r="CB46" s="18"/>
      <c r="CW46" s="63"/>
      <c r="CX46" s="63"/>
      <c r="CY46" s="13"/>
    </row>
    <row r="47" spans="1:103">
      <c r="A47" s="13">
        <v>26</v>
      </c>
      <c r="B47" s="5" t="b">
        <f t="shared" ca="1" si="14"/>
        <v>1</v>
      </c>
      <c r="C47" s="70" t="s">
        <v>507</v>
      </c>
      <c r="D47" s="16" t="s">
        <v>530</v>
      </c>
      <c r="E47" s="1">
        <f ca="1">SUM(DG$85:DG$174)</f>
        <v>1.8000000000000012</v>
      </c>
      <c r="F47" s="21">
        <v>1.8000000000000012</v>
      </c>
      <c r="G47" s="69"/>
      <c r="I47" s="69"/>
      <c r="CB47" s="18"/>
      <c r="CW47" s="63"/>
      <c r="CX47" s="63"/>
      <c r="CY47" s="13"/>
    </row>
    <row r="48" spans="1:103">
      <c r="A48" s="13">
        <v>27</v>
      </c>
      <c r="B48" s="5" t="b">
        <f t="shared" ca="1" si="14"/>
        <v>1</v>
      </c>
      <c r="C48" s="70" t="s">
        <v>507</v>
      </c>
      <c r="D48" s="16" t="s">
        <v>531</v>
      </c>
      <c r="E48" s="1">
        <f ca="1">SUM(DH$85:DH$174)</f>
        <v>1.8000000000000012</v>
      </c>
      <c r="F48" s="21">
        <v>1.8000000000000012</v>
      </c>
      <c r="CB48" s="18"/>
      <c r="CW48" s="63"/>
      <c r="CX48" s="63"/>
      <c r="CY48" s="13"/>
    </row>
    <row r="49" spans="1:103">
      <c r="A49" s="13">
        <v>28</v>
      </c>
      <c r="B49" s="5" t="b">
        <f t="shared" ca="1" si="14"/>
        <v>1</v>
      </c>
      <c r="C49" s="70" t="s">
        <v>507</v>
      </c>
      <c r="D49" s="16" t="s">
        <v>532</v>
      </c>
      <c r="E49" s="1">
        <f ca="1">SUM(DI$85:DI$174)</f>
        <v>1.8000000000000012</v>
      </c>
      <c r="F49" s="21">
        <v>1.8000000000000012</v>
      </c>
      <c r="CB49" s="18"/>
      <c r="CW49" s="63"/>
      <c r="CX49" s="63"/>
      <c r="CY49" s="13"/>
    </row>
    <row r="50" spans="1:103">
      <c r="A50" s="13">
        <v>29</v>
      </c>
      <c r="B50" s="5" t="b">
        <f t="shared" ca="1" si="14"/>
        <v>1</v>
      </c>
      <c r="C50" s="70" t="s">
        <v>507</v>
      </c>
      <c r="D50" s="16" t="s">
        <v>533</v>
      </c>
      <c r="E50" s="1">
        <f ca="1">SUM(DJ$85:DJ$174)</f>
        <v>1.8000000000000012</v>
      </c>
      <c r="F50" s="21">
        <v>1.8000000000000012</v>
      </c>
      <c r="CB50" s="18"/>
      <c r="CW50" s="63"/>
      <c r="CX50" s="63"/>
      <c r="CY50" s="13"/>
    </row>
    <row r="51" spans="1:103">
      <c r="A51" s="13">
        <v>30</v>
      </c>
      <c r="B51" s="5" t="b">
        <f t="shared" ca="1" si="14"/>
        <v>1</v>
      </c>
      <c r="C51" s="70" t="s">
        <v>507</v>
      </c>
      <c r="D51" s="16" t="s">
        <v>534</v>
      </c>
      <c r="E51" s="1">
        <f ca="1">SUM(DL$85:DL$174)</f>
        <v>1.8000000000000012</v>
      </c>
      <c r="F51" s="21">
        <v>1.8000000000000012</v>
      </c>
      <c r="CB51" s="18"/>
      <c r="CW51" s="63"/>
      <c r="CX51" s="63"/>
      <c r="CY51" s="13"/>
    </row>
    <row r="52" spans="1:103" ht="14.25">
      <c r="A52" s="13">
        <v>31</v>
      </c>
      <c r="B52" s="5" t="b">
        <f t="shared" ca="1" si="14"/>
        <v>1</v>
      </c>
      <c r="C52" s="70" t="s">
        <v>507</v>
      </c>
      <c r="D52" s="16" t="s">
        <v>535</v>
      </c>
      <c r="E52" s="1">
        <f ca="1">SUM(DM$85:DM$174)</f>
        <v>1.8000000000000012</v>
      </c>
      <c r="F52" s="1">
        <v>1.8000000000000012</v>
      </c>
      <c r="G52" s="1"/>
      <c r="H52" s="1"/>
      <c r="L52" s="1"/>
      <c r="CB52" s="18"/>
      <c r="CI52" s="138"/>
      <c r="CW52" s="63"/>
      <c r="CX52" s="63"/>
      <c r="CY52" s="13"/>
    </row>
    <row r="53" spans="1:103" ht="14.25">
      <c r="A53" s="13">
        <v>32</v>
      </c>
      <c r="B53" s="5" t="b">
        <f t="shared" ca="1" si="14"/>
        <v>1</v>
      </c>
      <c r="C53" s="70" t="s">
        <v>507</v>
      </c>
      <c r="D53" s="16" t="s">
        <v>536</v>
      </c>
      <c r="E53" s="1">
        <f ca="1">SUM(DN$85:DN$174)</f>
        <v>1.8000000000000012</v>
      </c>
      <c r="F53" s="1">
        <v>1.8000000000000012</v>
      </c>
      <c r="G53" s="1"/>
      <c r="H53" s="1"/>
      <c r="L53" s="1"/>
      <c r="CB53" s="18"/>
      <c r="CI53" s="138"/>
      <c r="CW53" s="63"/>
      <c r="CX53" s="63"/>
      <c r="CY53" s="13"/>
    </row>
    <row r="54" spans="1:103">
      <c r="A54" s="13">
        <v>33</v>
      </c>
      <c r="B54" s="5" t="b">
        <f t="shared" ca="1" si="14"/>
        <v>1</v>
      </c>
      <c r="C54" s="70" t="s">
        <v>507</v>
      </c>
      <c r="D54" s="16" t="s">
        <v>537</v>
      </c>
      <c r="E54" s="1">
        <f ca="1">SUM(DO$85:DO$174)</f>
        <v>1.8000000000000012</v>
      </c>
      <c r="F54" s="1">
        <v>1.8000000000000012</v>
      </c>
      <c r="G54" s="1"/>
      <c r="H54" s="1"/>
      <c r="L54" s="1"/>
      <c r="CB54" s="18"/>
      <c r="CW54" s="63"/>
      <c r="CX54" s="63"/>
      <c r="CY54" s="13"/>
    </row>
    <row r="55" spans="1:103" ht="14.25">
      <c r="A55" s="13">
        <v>34</v>
      </c>
      <c r="B55" s="5" t="b">
        <f t="shared" ca="1" si="14"/>
        <v>1</v>
      </c>
      <c r="C55" s="70" t="s">
        <v>478</v>
      </c>
      <c r="D55" s="16">
        <f>ROW('Summary Report'!B8)</f>
        <v>8</v>
      </c>
      <c r="E55" s="13">
        <f ca="1">IFERROR(SUM('Scratch Sheet'!K105:P105),0)</f>
        <v>6</v>
      </c>
      <c r="F55" s="1">
        <v>6</v>
      </c>
      <c r="G55" s="1"/>
      <c r="H55" s="1"/>
      <c r="L55" s="1"/>
      <c r="CB55" s="18"/>
      <c r="CI55" s="138"/>
      <c r="CW55" s="63"/>
      <c r="CX55" s="63"/>
      <c r="CY55" s="13"/>
    </row>
    <row r="56" spans="1:103" ht="14.25">
      <c r="A56" s="13">
        <v>35</v>
      </c>
      <c r="B56" s="5" t="b">
        <f t="shared" ca="1" si="14"/>
        <v>1</v>
      </c>
      <c r="C56" s="70" t="s">
        <v>478</v>
      </c>
      <c r="D56" s="16">
        <f>ROW('Summary Report'!B9)</f>
        <v>9</v>
      </c>
      <c r="E56" s="13">
        <f ca="1">IFERROR(SUM('Scratch Sheet'!K106:P106),0)</f>
        <v>6</v>
      </c>
      <c r="F56" s="1">
        <v>6</v>
      </c>
      <c r="G56" s="1"/>
      <c r="H56" s="1"/>
      <c r="L56" s="59"/>
      <c r="CB56" s="18"/>
      <c r="CI56" s="138"/>
      <c r="CW56" s="63"/>
      <c r="CX56" s="63"/>
      <c r="CY56" s="13"/>
    </row>
    <row r="57" spans="1:103" ht="14.25">
      <c r="A57" s="13">
        <v>36</v>
      </c>
      <c r="B57" s="5" t="b">
        <f t="shared" ca="1" si="14"/>
        <v>1</v>
      </c>
      <c r="C57" s="70" t="s">
        <v>478</v>
      </c>
      <c r="D57" s="16">
        <f>ROW('Summary Report'!B10)</f>
        <v>10</v>
      </c>
      <c r="E57" s="13">
        <f ca="1">IFERROR(SUM('Scratch Sheet'!K107:P107),0)</f>
        <v>6</v>
      </c>
      <c r="F57" s="1">
        <v>6</v>
      </c>
      <c r="G57" s="1"/>
      <c r="H57" s="1"/>
      <c r="L57" s="59"/>
      <c r="CB57" s="18"/>
      <c r="CI57" s="138"/>
      <c r="CW57" s="63"/>
      <c r="CX57" s="63"/>
      <c r="CY57" s="13"/>
    </row>
    <row r="58" spans="1:103" ht="14.25">
      <c r="A58" s="13">
        <v>37</v>
      </c>
      <c r="B58" s="5" t="b">
        <f t="shared" ca="1" si="14"/>
        <v>1</v>
      </c>
      <c r="C58" s="70" t="s">
        <v>478</v>
      </c>
      <c r="D58" s="16">
        <f>ROW('Summary Report'!B13)</f>
        <v>13</v>
      </c>
      <c r="E58" s="13">
        <f ca="1">IFERROR(SUM('Scratch Sheet'!K110:P110),0)</f>
        <v>4</v>
      </c>
      <c r="F58" s="1">
        <v>4</v>
      </c>
      <c r="G58" s="1"/>
      <c r="H58" s="1"/>
      <c r="L58" s="59"/>
      <c r="CB58" s="18"/>
      <c r="CI58" s="138"/>
      <c r="CW58" s="63"/>
      <c r="CX58" s="63"/>
      <c r="CY58" s="13"/>
    </row>
    <row r="59" spans="1:103" ht="14.25">
      <c r="A59" s="13">
        <v>38</v>
      </c>
      <c r="B59" s="5" t="b">
        <f t="shared" ca="1" si="14"/>
        <v>1</v>
      </c>
      <c r="C59" s="70" t="s">
        <v>478</v>
      </c>
      <c r="D59" s="16">
        <f>ROW('Summary Report'!B14)</f>
        <v>14</v>
      </c>
      <c r="E59" s="13">
        <f ca="1">IFERROR(SUM('Scratch Sheet'!K111:P111),0)</f>
        <v>4</v>
      </c>
      <c r="F59" s="1">
        <v>4</v>
      </c>
      <c r="G59" s="1"/>
      <c r="H59" s="1"/>
      <c r="L59" s="59"/>
      <c r="CB59" s="18"/>
      <c r="CI59" s="138"/>
      <c r="CW59" s="63"/>
      <c r="CX59" s="63"/>
      <c r="CY59" s="13"/>
    </row>
    <row r="60" spans="1:103">
      <c r="A60" s="13">
        <v>39</v>
      </c>
      <c r="B60" s="5" t="b">
        <f t="shared" ca="1" si="14"/>
        <v>1</v>
      </c>
      <c r="C60" s="70" t="s">
        <v>478</v>
      </c>
      <c r="D60" s="16">
        <f>ROW('Summary Report'!B15)</f>
        <v>15</v>
      </c>
      <c r="E60" s="13">
        <f ca="1">IFERROR(SUM('Scratch Sheet'!K112:P112),0)</f>
        <v>4</v>
      </c>
      <c r="F60" s="1">
        <v>4</v>
      </c>
      <c r="G60" s="1"/>
      <c r="H60" s="1"/>
      <c r="L60" s="59"/>
      <c r="CB60" s="18"/>
      <c r="CW60" s="63"/>
      <c r="CX60" s="63"/>
      <c r="CY60" s="13"/>
    </row>
    <row r="61" spans="1:103" ht="14.25">
      <c r="A61" s="13">
        <v>40</v>
      </c>
      <c r="B61" s="5" t="b">
        <f t="shared" ca="1" si="14"/>
        <v>1</v>
      </c>
      <c r="C61" s="70" t="s">
        <v>538</v>
      </c>
      <c r="D61" s="13">
        <f>ROW('Developing Model'!A159)</f>
        <v>159</v>
      </c>
      <c r="E61" s="1">
        <f ca="1">IFERROR(IF(CD61=CH61,F61,0),0)</f>
        <v>4</v>
      </c>
      <c r="F61" s="1">
        <v>4</v>
      </c>
      <c r="G61" s="1"/>
      <c r="H61" s="1"/>
      <c r="L61" s="59"/>
      <c r="CB61" s="18"/>
      <c r="CD61" s="187">
        <f ca="1">'Developing Model'!B159</f>
        <v>19</v>
      </c>
      <c r="CH61" s="138">
        <f ca="1">COUNTIF('Budgeting Model'!BN11:BN100,"&gt;0")</f>
        <v>19</v>
      </c>
      <c r="CI61" s="138"/>
      <c r="CW61" s="63"/>
      <c r="CX61" s="63"/>
      <c r="CY61" s="13"/>
    </row>
    <row r="62" spans="1:103" ht="14.25">
      <c r="A62" s="13">
        <v>41</v>
      </c>
      <c r="B62" s="5" t="b">
        <f t="shared" ca="1" si="14"/>
        <v>1</v>
      </c>
      <c r="C62" s="70" t="s">
        <v>538</v>
      </c>
      <c r="D62" s="13">
        <f>ROW('Developing Model'!A162)</f>
        <v>162</v>
      </c>
      <c r="E62" s="1">
        <f t="shared" ref="E62:E67" ca="1" si="15">IFERROR(IF(CD62=CH62,F62,0),0)</f>
        <v>4</v>
      </c>
      <c r="F62" s="1">
        <v>4</v>
      </c>
      <c r="G62" s="1"/>
      <c r="H62" s="1"/>
      <c r="L62" s="59"/>
      <c r="CB62" s="18"/>
      <c r="CD62" s="187">
        <f ca="1">'Developing Model'!B162</f>
        <v>13</v>
      </c>
      <c r="CH62" s="138">
        <f ca="1">COUNTIF('Budgeting Model'!E10:E98,"&gt;80000")</f>
        <v>13</v>
      </c>
      <c r="CI62" s="138"/>
      <c r="CW62" s="63"/>
      <c r="CX62" s="63"/>
      <c r="CY62" s="13"/>
    </row>
    <row r="63" spans="1:103">
      <c r="A63" s="13">
        <v>42</v>
      </c>
      <c r="B63" s="5" t="b">
        <f t="shared" ca="1" si="14"/>
        <v>1</v>
      </c>
      <c r="C63" s="70" t="s">
        <v>538</v>
      </c>
      <c r="D63" s="13">
        <f>ROW('Developing Model'!A165)</f>
        <v>165</v>
      </c>
      <c r="E63" s="1">
        <f t="shared" ca="1" si="15"/>
        <v>4</v>
      </c>
      <c r="F63" s="1">
        <v>4</v>
      </c>
      <c r="G63" s="1"/>
      <c r="H63" s="1"/>
      <c r="L63" s="59"/>
      <c r="CB63" s="18"/>
      <c r="CD63" s="187" t="str">
        <f>'Developing Model'!B165</f>
        <v>Dept 11</v>
      </c>
      <c r="CH63" s="16" t="str">
        <f ca="1">"Dept "&amp;'Scratch Sheet'!$D$132</f>
        <v>Dept 11</v>
      </c>
      <c r="CW63" s="63"/>
      <c r="CX63" s="63"/>
      <c r="CY63" s="13"/>
    </row>
    <row r="64" spans="1:103" ht="14.25">
      <c r="A64" s="13">
        <v>43</v>
      </c>
      <c r="B64" s="5" t="b">
        <f t="shared" ca="1" si="14"/>
        <v>1</v>
      </c>
      <c r="C64" s="70" t="s">
        <v>538</v>
      </c>
      <c r="D64" s="13">
        <f>ROW('Developing Model'!A168)</f>
        <v>168</v>
      </c>
      <c r="E64" s="1">
        <f t="shared" ca="1" si="15"/>
        <v>4</v>
      </c>
      <c r="F64" s="1">
        <v>4</v>
      </c>
      <c r="G64" s="1"/>
      <c r="H64" s="1"/>
      <c r="L64" s="102"/>
      <c r="CB64" s="18"/>
      <c r="CD64" s="187">
        <f ca="1">'Developing Model'!B168</f>
        <v>2</v>
      </c>
      <c r="CH64" s="138">
        <f ca="1">COUNTIF('Budgeting Model'!BO:BO,3)</f>
        <v>2</v>
      </c>
      <c r="CI64" s="138"/>
      <c r="CW64" s="63"/>
      <c r="CX64" s="63"/>
      <c r="CY64" s="13"/>
    </row>
    <row r="65" spans="1:119" ht="14.25">
      <c r="A65" s="13">
        <v>44</v>
      </c>
      <c r="B65" s="5" t="b">
        <f t="shared" ca="1" si="13"/>
        <v>1</v>
      </c>
      <c r="C65" s="70" t="s">
        <v>538</v>
      </c>
      <c r="D65" s="13">
        <f>ROW('Developing Model'!A174)</f>
        <v>174</v>
      </c>
      <c r="E65" s="1">
        <f t="shared" ca="1" si="15"/>
        <v>4</v>
      </c>
      <c r="F65" s="1">
        <v>4</v>
      </c>
      <c r="G65" s="1"/>
      <c r="H65" s="1"/>
      <c r="L65" s="103"/>
      <c r="CB65" s="18"/>
      <c r="CD65" s="187" t="str">
        <f>'Developing Model'!B174</f>
        <v>Dept 5</v>
      </c>
      <c r="CH65" s="16" t="str">
        <f ca="1">"Dept "&amp;'Scratch Sheet'!$E$132</f>
        <v>Dept 5</v>
      </c>
      <c r="CI65" s="138"/>
      <c r="CW65" s="63"/>
      <c r="CX65" s="63"/>
      <c r="CY65" s="13"/>
    </row>
    <row r="66" spans="1:119" ht="15">
      <c r="A66" s="13">
        <v>46</v>
      </c>
      <c r="B66" s="5" t="b">
        <f t="shared" ca="1" si="13"/>
        <v>1</v>
      </c>
      <c r="C66" s="70" t="s">
        <v>538</v>
      </c>
      <c r="D66" s="13">
        <f>ROW('Developing Model'!A177)</f>
        <v>177</v>
      </c>
      <c r="E66" s="1">
        <f ca="1">IFERROR(IF(ABS(CD66-CH66)&lt;2%,F66,0),0)</f>
        <v>4</v>
      </c>
      <c r="F66" s="1">
        <v>4</v>
      </c>
      <c r="G66" s="1"/>
      <c r="H66" s="1"/>
      <c r="L66" s="103"/>
      <c r="CB66" s="18"/>
      <c r="CD66" s="187">
        <f ca="1">'Developing Model'!B177</f>
        <v>66781.733745662161</v>
      </c>
      <c r="CH66" s="193">
        <f ca="1">AVERAGE('Budgeting Model'!BP:BP)</f>
        <v>66781.733745662161</v>
      </c>
      <c r="CW66" s="63"/>
      <c r="CX66" s="63"/>
      <c r="CY66" s="13"/>
    </row>
    <row r="67" spans="1:119">
      <c r="A67" s="13">
        <v>47</v>
      </c>
      <c r="B67" s="5" t="b">
        <f t="shared" ca="1" si="13"/>
        <v>1</v>
      </c>
      <c r="C67" s="70" t="s">
        <v>538</v>
      </c>
      <c r="D67" s="13">
        <f>ROW('Developing Model'!A180)</f>
        <v>180</v>
      </c>
      <c r="E67" s="1">
        <f t="shared" ca="1" si="15"/>
        <v>4</v>
      </c>
      <c r="F67" s="1">
        <v>4</v>
      </c>
      <c r="G67" s="1"/>
      <c r="H67" s="1"/>
      <c r="L67" s="103"/>
      <c r="CB67" s="18"/>
      <c r="CD67" s="187" t="str">
        <f>'Developing Model'!B180</f>
        <v>Dept 12</v>
      </c>
      <c r="CH67" s="16" t="str">
        <f ca="1">"Dept "&amp;'Scratch Sheet'!$F$132</f>
        <v>Dept 12</v>
      </c>
      <c r="CW67" s="63"/>
      <c r="CX67" s="63"/>
      <c r="CY67" s="13"/>
    </row>
    <row r="68" spans="1:119">
      <c r="B68" s="5"/>
      <c r="C68" s="70"/>
      <c r="D68" s="16"/>
      <c r="E68" s="1"/>
      <c r="F68" s="1"/>
      <c r="G68" s="1"/>
      <c r="H68" s="1"/>
      <c r="L68" s="102"/>
      <c r="CB68" s="18"/>
      <c r="CD68" s="187"/>
      <c r="CW68" s="63"/>
      <c r="CX68" s="63"/>
      <c r="CY68" s="13"/>
    </row>
    <row r="69" spans="1:119">
      <c r="B69" s="5"/>
      <c r="C69" s="70"/>
      <c r="D69" s="16"/>
      <c r="E69" s="1"/>
      <c r="F69" s="1"/>
      <c r="G69" s="1"/>
      <c r="H69" s="1"/>
      <c r="L69" s="104"/>
      <c r="CB69" s="18"/>
      <c r="CW69" s="63"/>
      <c r="CX69" s="63"/>
      <c r="CY69" s="13"/>
    </row>
    <row r="70" spans="1:119">
      <c r="B70" s="5"/>
      <c r="C70" s="70"/>
      <c r="D70" s="16"/>
      <c r="E70" s="40"/>
      <c r="F70" s="40"/>
      <c r="G70" s="26"/>
      <c r="H70" s="41"/>
      <c r="L70" s="24"/>
      <c r="M70" s="25"/>
      <c r="N70" s="25"/>
      <c r="O70" s="25"/>
      <c r="P70" s="25"/>
      <c r="Q70" s="25"/>
      <c r="R70" s="21"/>
      <c r="S70" s="21"/>
      <c r="T70" s="21"/>
      <c r="U70" s="21"/>
      <c r="V70" s="21"/>
      <c r="W70" s="21"/>
      <c r="X70" s="21"/>
      <c r="CB70" s="18"/>
      <c r="CW70" s="63"/>
      <c r="CX70" s="63"/>
      <c r="CY70" s="13"/>
    </row>
    <row r="71" spans="1:119">
      <c r="B71" s="5"/>
      <c r="C71" s="70"/>
      <c r="D71" s="16"/>
      <c r="E71" s="40"/>
      <c r="F71" s="40"/>
      <c r="G71" s="26"/>
      <c r="H71" s="26"/>
      <c r="L71" s="24"/>
      <c r="M71" s="25"/>
      <c r="N71" s="25"/>
      <c r="O71" s="25"/>
      <c r="P71" s="25"/>
      <c r="Q71" s="25"/>
      <c r="R71" s="21"/>
      <c r="S71" s="21"/>
      <c r="T71" s="21"/>
      <c r="U71" s="21"/>
      <c r="V71" s="21"/>
      <c r="W71" s="21"/>
      <c r="X71" s="21"/>
      <c r="CB71" s="18"/>
      <c r="CW71" s="63"/>
      <c r="CX71" s="63"/>
      <c r="CY71" s="13"/>
    </row>
    <row r="72" spans="1:119">
      <c r="B72" s="5"/>
      <c r="C72" s="70"/>
      <c r="D72" s="16"/>
      <c r="E72" s="40"/>
      <c r="F72" s="40"/>
      <c r="G72" s="26"/>
      <c r="H72" s="26"/>
      <c r="L72" s="57"/>
      <c r="M72" s="25"/>
      <c r="N72" s="23"/>
      <c r="O72" s="23"/>
      <c r="P72" s="23"/>
      <c r="Q72" s="23"/>
      <c r="R72" s="21"/>
      <c r="S72" s="21"/>
      <c r="T72" s="21"/>
      <c r="U72" s="21"/>
      <c r="V72" s="21"/>
      <c r="W72" s="21"/>
      <c r="X72" s="21"/>
      <c r="CB72" s="18"/>
      <c r="CG72" s="16">
        <v>0.02</v>
      </c>
      <c r="CW72" s="63">
        <v>17</v>
      </c>
      <c r="CX72" s="63"/>
      <c r="CY72" s="13"/>
    </row>
    <row r="73" spans="1:119">
      <c r="B73" s="5"/>
      <c r="C73" s="70"/>
      <c r="D73" s="16"/>
      <c r="E73" s="40"/>
      <c r="F73" s="40"/>
      <c r="G73" s="1"/>
      <c r="H73" s="1"/>
      <c r="L73" s="24"/>
      <c r="M73" s="25"/>
      <c r="N73" s="25"/>
      <c r="O73" s="25"/>
      <c r="P73" s="25"/>
      <c r="Q73" s="25"/>
      <c r="R73" s="21"/>
      <c r="S73" s="21"/>
      <c r="T73" s="21"/>
      <c r="U73" s="21"/>
      <c r="V73" s="21"/>
      <c r="W73" s="21"/>
      <c r="X73" s="21"/>
      <c r="CW73" s="63">
        <v>18</v>
      </c>
      <c r="CX73" s="64" t="s">
        <v>15</v>
      </c>
      <c r="CY73" s="13"/>
    </row>
    <row r="74" spans="1:119" ht="13.5" thickBot="1">
      <c r="B74" s="5"/>
      <c r="C74" s="70"/>
      <c r="D74" s="16"/>
      <c r="E74" s="40"/>
      <c r="F74" s="40"/>
      <c r="G74" s="1"/>
      <c r="H74" s="1"/>
      <c r="L74" s="26"/>
      <c r="M74" s="58"/>
      <c r="N74" s="58"/>
      <c r="O74" s="58"/>
      <c r="P74" s="58"/>
      <c r="Q74" s="58"/>
      <c r="R74" s="21"/>
      <c r="S74" s="21"/>
      <c r="T74" s="21"/>
      <c r="U74" s="21"/>
      <c r="V74" s="21"/>
      <c r="W74" s="21"/>
      <c r="X74" s="21"/>
      <c r="CW74" s="63">
        <v>19</v>
      </c>
      <c r="CX74" s="63" t="s">
        <v>16</v>
      </c>
      <c r="CY74" s="13"/>
    </row>
    <row r="75" spans="1:119" ht="15.75" thickBot="1">
      <c r="B75" s="5"/>
      <c r="C75" s="70"/>
      <c r="D75" s="16"/>
      <c r="E75" s="40"/>
      <c r="F75" s="40"/>
      <c r="G75" s="1"/>
      <c r="H75" s="1"/>
      <c r="L75" s="26"/>
      <c r="M75" s="58"/>
      <c r="N75" s="58"/>
      <c r="O75" s="58"/>
      <c r="P75" s="58"/>
      <c r="Q75" s="58"/>
      <c r="R75" s="21"/>
      <c r="S75" s="21"/>
      <c r="T75" s="21"/>
      <c r="U75" s="21"/>
      <c r="V75" s="21"/>
      <c r="W75" s="21"/>
      <c r="X75" s="21"/>
      <c r="CA75" s="124" t="s">
        <v>307</v>
      </c>
      <c r="CB75" s="98" t="s">
        <v>548</v>
      </c>
      <c r="CC75" s="98" t="s">
        <v>548</v>
      </c>
      <c r="CD75" s="156" t="s">
        <v>506</v>
      </c>
      <c r="CE75" s="157" t="s">
        <v>56</v>
      </c>
      <c r="CF75" s="156">
        <v>56644.13241433927</v>
      </c>
      <c r="CG75" s="125"/>
      <c r="CH75" s="128">
        <v>0.1</v>
      </c>
      <c r="CI75" s="130">
        <v>62308.545655773203</v>
      </c>
      <c r="CJ75" s="149"/>
      <c r="CK75" s="127">
        <v>44833</v>
      </c>
      <c r="CL75" s="150"/>
      <c r="CM75" s="127" t="s">
        <v>506</v>
      </c>
      <c r="CN75" s="73"/>
      <c r="CO75" s="127">
        <v>45107</v>
      </c>
      <c r="CP75" s="131">
        <v>197</v>
      </c>
      <c r="CQ75" s="131">
        <v>0</v>
      </c>
      <c r="CR75" s="131">
        <v>197</v>
      </c>
      <c r="CS75" s="158">
        <v>56644.13241433927</v>
      </c>
      <c r="CT75" s="156">
        <v>42754.383469826957</v>
      </c>
      <c r="CU75" s="130">
        <v>42754.383469826957</v>
      </c>
      <c r="CV75" s="180"/>
      <c r="CW75" s="181"/>
      <c r="CX75" s="156">
        <v>58909.897710912846</v>
      </c>
      <c r="CY75" s="73"/>
      <c r="CZ75" s="127">
        <v>44833</v>
      </c>
      <c r="DA75" s="73"/>
      <c r="DB75" s="127" t="s">
        <v>506</v>
      </c>
      <c r="DC75" s="149"/>
      <c r="DD75" s="127">
        <v>45107</v>
      </c>
      <c r="DE75" s="131">
        <v>197</v>
      </c>
      <c r="DF75" s="131">
        <v>0</v>
      </c>
      <c r="DG75" s="131">
        <v>197</v>
      </c>
      <c r="DH75" s="158">
        <v>56644.13241433927</v>
      </c>
      <c r="DI75" s="156">
        <v>42754.383469826957</v>
      </c>
      <c r="DJ75" s="130">
        <v>42754.383469826957</v>
      </c>
      <c r="DK75" s="78"/>
      <c r="DL75" s="130">
        <v>0</v>
      </c>
      <c r="DM75" s="130">
        <v>0</v>
      </c>
      <c r="DN75" s="130">
        <v>0</v>
      </c>
      <c r="DO75" s="130">
        <v>0</v>
      </c>
    </row>
    <row r="76" spans="1:119">
      <c r="B76" s="5"/>
      <c r="C76" s="70"/>
      <c r="D76" s="16"/>
      <c r="E76" s="40"/>
      <c r="F76" s="40"/>
      <c r="G76" s="1"/>
      <c r="H76" s="1"/>
      <c r="L76" s="26"/>
      <c r="M76" s="58"/>
      <c r="N76" s="58"/>
      <c r="O76" s="58"/>
      <c r="P76" s="58"/>
      <c r="Q76" s="58"/>
      <c r="R76" s="21"/>
      <c r="S76" s="21"/>
      <c r="T76" s="21"/>
      <c r="U76" s="21"/>
      <c r="V76" s="21"/>
      <c r="W76" s="21"/>
      <c r="X76" s="21"/>
      <c r="CW76" s="13"/>
      <c r="CY76" s="13"/>
    </row>
    <row r="77" spans="1:119">
      <c r="B77" s="5"/>
      <c r="C77" s="17"/>
      <c r="D77" s="16"/>
      <c r="E77" s="40"/>
      <c r="F77" s="40"/>
      <c r="G77" s="1"/>
      <c r="H77" s="1"/>
      <c r="L77" s="26"/>
      <c r="M77" s="58"/>
      <c r="N77" s="58"/>
      <c r="O77" s="58"/>
      <c r="P77" s="58"/>
      <c r="Q77" s="58"/>
      <c r="R77" s="21"/>
      <c r="S77" s="21"/>
      <c r="T77" s="21"/>
      <c r="U77" s="21"/>
      <c r="V77" s="21"/>
      <c r="W77" s="21"/>
      <c r="X77" s="21"/>
      <c r="CW77" s="13"/>
      <c r="CX77" s="13"/>
      <c r="CY77" s="13"/>
    </row>
    <row r="78" spans="1:119">
      <c r="B78" s="5"/>
      <c r="C78" s="17"/>
      <c r="D78" s="16"/>
      <c r="E78" s="40"/>
      <c r="F78" s="40"/>
      <c r="G78" s="1"/>
      <c r="H78" s="1"/>
      <c r="L78" s="26"/>
      <c r="M78" s="58"/>
      <c r="N78" s="58"/>
      <c r="O78" s="58"/>
      <c r="P78" s="58"/>
      <c r="Q78" s="58"/>
      <c r="R78" s="21"/>
      <c r="S78" s="21"/>
      <c r="T78" s="21"/>
      <c r="U78" s="21"/>
      <c r="V78" s="21"/>
      <c r="W78" s="21"/>
      <c r="X78" s="21"/>
      <c r="CA78" s="5">
        <f ca="1">IF(AND('Budgeting Model'!B4&lt;&gt;"",'Budgeting Model'!B4='Scratch Sheet'!B4),1,0)</f>
        <v>1</v>
      </c>
      <c r="CB78" s="5"/>
      <c r="CC78" s="5"/>
      <c r="CD78" s="5"/>
      <c r="CE78" s="5"/>
      <c r="CF78" s="5"/>
      <c r="CH78" s="21"/>
      <c r="CI78" s="21"/>
      <c r="CJ78" s="21"/>
      <c r="CK78" s="21"/>
      <c r="CL78" s="21"/>
    </row>
    <row r="79" spans="1:119">
      <c r="B79" s="5"/>
      <c r="C79" s="17"/>
      <c r="D79" s="16"/>
      <c r="E79" s="1"/>
      <c r="F79" s="1"/>
      <c r="G79" s="1"/>
      <c r="H79" s="1"/>
      <c r="L79" s="1"/>
      <c r="CA79" s="5">
        <f ca="1">IF(AND('Budgeting Model'!B5&lt;&gt;"",'Budgeting Model'!B5='Scratch Sheet'!B5),1,0)</f>
        <v>1</v>
      </c>
      <c r="CB79" s="5"/>
      <c r="CC79" s="5"/>
      <c r="CD79" s="5"/>
      <c r="CE79" s="5"/>
      <c r="CF79" s="5"/>
      <c r="CH79" s="21"/>
      <c r="CI79" s="21"/>
      <c r="CJ79" s="21"/>
      <c r="CK79" s="21"/>
      <c r="CL79" s="21"/>
    </row>
    <row r="80" spans="1:119">
      <c r="B80" s="5"/>
      <c r="C80" s="17"/>
      <c r="D80" s="16"/>
      <c r="E80" s="1"/>
      <c r="F80" s="1"/>
      <c r="G80" s="1"/>
      <c r="H80" s="1"/>
      <c r="L80" s="1"/>
      <c r="CA80" s="5">
        <f ca="1">IF(AND('Budgeting Model'!B6&lt;&gt;"",'Budgeting Model'!B6='Scratch Sheet'!B6),1,0)</f>
        <v>1</v>
      </c>
      <c r="CB80" s="5"/>
      <c r="CC80" s="5"/>
      <c r="CD80" s="5"/>
      <c r="CE80" s="5"/>
      <c r="CF80" s="5"/>
      <c r="CH80" s="22"/>
      <c r="CI80" s="22"/>
      <c r="CJ80" s="22"/>
      <c r="CK80" s="110"/>
      <c r="CL80" s="110"/>
    </row>
    <row r="81" spans="2:119">
      <c r="B81" s="5"/>
      <c r="C81" s="17"/>
      <c r="D81" s="16"/>
      <c r="E81" s="1"/>
      <c r="F81" s="1"/>
      <c r="G81" s="1"/>
      <c r="H81" s="1"/>
      <c r="L81" s="1"/>
      <c r="CA81" s="5">
        <f ca="1">IF(AND('Budgeting Model'!B7&lt;&gt;"",'Budgeting Model'!B7='Scratch Sheet'!B7),1,0)</f>
        <v>1</v>
      </c>
      <c r="CB81" s="5"/>
      <c r="CC81" s="5"/>
      <c r="CD81" s="5"/>
      <c r="CE81" s="5"/>
      <c r="CF81" s="5"/>
      <c r="CH81" s="22"/>
      <c r="CI81" s="22"/>
      <c r="CJ81" s="22"/>
      <c r="CK81" s="111"/>
      <c r="CL81" s="111"/>
    </row>
    <row r="82" spans="2:119">
      <c r="B82" s="5"/>
      <c r="C82" s="17"/>
      <c r="D82" s="16"/>
      <c r="E82" s="1"/>
      <c r="F82" s="1"/>
      <c r="G82" s="1"/>
      <c r="H82" s="1"/>
      <c r="L82" s="1"/>
      <c r="CA82" s="5">
        <f ca="1">IF(AND('Budgeting Model'!B8&lt;&gt;"",'Budgeting Model'!B8='Scratch Sheet'!B8),1,0)</f>
        <v>1</v>
      </c>
      <c r="CB82" s="5"/>
      <c r="CC82" s="5"/>
      <c r="CD82" s="5"/>
      <c r="CE82" s="5"/>
      <c r="CF82" s="5"/>
      <c r="CH82" s="22"/>
      <c r="CI82" s="22"/>
      <c r="CJ82" s="22"/>
      <c r="CK82" s="111"/>
      <c r="CL82" s="111"/>
    </row>
    <row r="83" spans="2:119">
      <c r="B83" s="5"/>
      <c r="C83" s="17"/>
      <c r="D83" s="16"/>
      <c r="E83" s="1"/>
      <c r="F83" s="1"/>
      <c r="G83" s="1"/>
      <c r="H83" s="1"/>
      <c r="L83" s="1"/>
      <c r="CA83" s="5">
        <f ca="1">IF(AND('Budgeting Model'!B9&lt;&gt;"",'Budgeting Model'!B9='Scratch Sheet'!B9),1,0)</f>
        <v>1</v>
      </c>
      <c r="CB83" s="5"/>
      <c r="CC83" s="5"/>
      <c r="CD83" s="5"/>
      <c r="CE83" s="5"/>
      <c r="CF83" s="5"/>
      <c r="CH83" s="22"/>
      <c r="CI83" s="22"/>
      <c r="CJ83" s="22"/>
      <c r="CK83" s="111"/>
      <c r="CL83" s="111"/>
    </row>
    <row r="84" spans="2:119">
      <c r="B84" s="5"/>
      <c r="C84" s="17"/>
      <c r="D84" s="16"/>
      <c r="E84" s="1"/>
      <c r="F84" s="1"/>
      <c r="G84" s="1"/>
      <c r="H84" s="1"/>
      <c r="L84" s="27"/>
      <c r="M84" s="28"/>
      <c r="N84" s="28"/>
      <c r="O84" s="28"/>
      <c r="P84" s="105"/>
      <c r="Q84" s="21"/>
      <c r="R84" s="21"/>
      <c r="S84" s="21"/>
      <c r="T84" s="21"/>
      <c r="U84" s="21"/>
      <c r="V84" s="21"/>
      <c r="CA84" s="5"/>
      <c r="CB84" s="5"/>
      <c r="CC84" s="5"/>
      <c r="CD84" s="5">
        <f ca="1">IF(AND('Budgeting Model'!E10&lt;&gt;"",TRIM('Budgeting Model'!E10)=TRIM('Scratch Sheet'!E10)),1,0)</f>
        <v>1</v>
      </c>
      <c r="CE84" s="5">
        <f ca="1">IF(AND('Budgeting Model'!F10&lt;&gt;"",TRIM('Budgeting Model'!F10)=TRIM('Scratch Sheet'!F10)),1,0)</f>
        <v>0</v>
      </c>
      <c r="CF84" s="5">
        <f ca="1">IF(AND('Budgeting Model'!G10&lt;&gt;"",'Budgeting Model'!G10='Scratch Sheet'!G10),1,0)</f>
        <v>0</v>
      </c>
      <c r="CH84" s="22"/>
      <c r="CI84" s="22"/>
      <c r="CJ84" s="22"/>
      <c r="CK84" s="111"/>
      <c r="CL84" s="111"/>
    </row>
    <row r="85" spans="2:119">
      <c r="B85" s="5"/>
      <c r="C85" s="17"/>
      <c r="D85" s="16"/>
      <c r="E85" s="1"/>
      <c r="F85" s="1"/>
      <c r="G85" s="1"/>
      <c r="H85" s="1"/>
      <c r="L85" s="27"/>
      <c r="M85" s="28"/>
      <c r="N85" s="28"/>
      <c r="O85" s="28"/>
      <c r="P85" s="105"/>
      <c r="Q85" s="21"/>
      <c r="R85" s="21"/>
      <c r="S85" s="21"/>
      <c r="T85" s="21"/>
      <c r="U85" s="21"/>
      <c r="V85" s="21"/>
      <c r="CA85" s="5">
        <f>IF(AND('Budgeting Model'!B11&lt;&gt;"",'Budgeting Model'!B11='Scratch Sheet'!B11),$CG$72,0)</f>
        <v>0.02</v>
      </c>
      <c r="CB85" s="5">
        <f ca="1">IF(AND('Budgeting Model'!C11&lt;&gt;"",'Budgeting Model'!C11='Scratch Sheet'!C11),$CG$72,0)</f>
        <v>0.02</v>
      </c>
      <c r="CC85" s="5">
        <f>IF(AND('Budgeting Model'!D11&lt;&gt;"",'Budgeting Model'!D11='Scratch Sheet'!D11),$CG$72,0)</f>
        <v>0.02</v>
      </c>
      <c r="CD85" s="5">
        <f ca="1">IF(OR(AND('Budgeting Model'!E11="",'Budgeting Model'!D11&lt;&gt;"Vacant"),'Budgeting Model'!E11&lt;&gt;'Scratch Sheet'!E11),0,$CG$72)</f>
        <v>0.02</v>
      </c>
      <c r="CE85" s="5">
        <f ca="1">IF(AND('Budgeting Model'!F11&lt;&gt;"",'Budgeting Model'!F11='Scratch Sheet'!F11),$CG$72,0)</f>
        <v>0.02</v>
      </c>
      <c r="CF85" s="5">
        <f ca="1">IF(AND('Budgeting Model'!G11&lt;&gt;"",ABS('Budgeting Model'!G11-'Scratch Sheet'!G11)&lt;0.01),$CG$72,0)</f>
        <v>0.02</v>
      </c>
      <c r="CG85" s="5" t="s">
        <v>550</v>
      </c>
      <c r="CH85" s="5" t="s">
        <v>550</v>
      </c>
      <c r="CI85" s="5">
        <f ca="1">IF(AND('Budgeting Model'!J11&lt;&gt;"",ABS('Budgeting Model'!J11-'Scratch Sheet'!J11)&lt;0.01),$CG$72,0)</f>
        <v>0.02</v>
      </c>
      <c r="CJ85" s="5" t="s">
        <v>550</v>
      </c>
      <c r="CK85" s="5">
        <f ca="1">IF(AND('Budgeting Model'!L11&lt;&gt;"",ABS('Budgeting Model'!L11-'Scratch Sheet'!L11)&lt;0.01),$CG$72,0)</f>
        <v>0.02</v>
      </c>
      <c r="CL85" s="5" t="s">
        <v>550</v>
      </c>
      <c r="CM85" s="5">
        <f ca="1">IF(AND('Budgeting Model'!N11="",'Budgeting Model'!N11&lt;&gt;'Scratch Sheet'!N11),0,$CG$72)</f>
        <v>0.02</v>
      </c>
      <c r="CN85" s="5" t="s">
        <v>550</v>
      </c>
      <c r="CO85" s="5">
        <f ca="1">IF(AND('Budgeting Model'!P11&lt;&gt;"",ABS('Budgeting Model'!P11-'Scratch Sheet'!P11)&lt;0.01),$CG$72,0)</f>
        <v>0.02</v>
      </c>
      <c r="CP85" s="5">
        <f ca="1">IF(AND('Budgeting Model'!Q11&lt;&gt;"",ABS('Budgeting Model'!Q11-'Scratch Sheet'!Q11)&lt;0.01),$CG$72,0)</f>
        <v>0.02</v>
      </c>
      <c r="CQ85" s="5">
        <f ca="1">IF(AND('Budgeting Model'!R11&lt;&gt;"",ABS('Budgeting Model'!R11-'Scratch Sheet'!R11)&lt;0.01),$CG$72,0)</f>
        <v>0.02</v>
      </c>
      <c r="CR85" s="5">
        <f ca="1">IF(AND('Budgeting Model'!S11&lt;&gt;"",ABS('Budgeting Model'!S11-'Scratch Sheet'!S11)&lt;0.01),$CG$72,0)</f>
        <v>0.02</v>
      </c>
      <c r="CS85" s="5">
        <f ca="1">IF(AND('Budgeting Model'!T11&lt;&gt;"",ABS('Budgeting Model'!T11-'Scratch Sheet'!T11)&lt;0.01),$CG$72,0)</f>
        <v>0.02</v>
      </c>
      <c r="CT85" s="5">
        <f ca="1">IF(AND('Budgeting Model'!U11&lt;&gt;"",ABS('Budgeting Model'!U11-'Scratch Sheet'!U11)&lt;0.01),$CG$72,0)</f>
        <v>0.02</v>
      </c>
      <c r="CU85" s="5">
        <f ca="1">IF(AND('Budgeting Model'!V11&lt;&gt;"",ABS('Budgeting Model'!V11-'Scratch Sheet'!V11)&lt;0.01),$CG$72,0)</f>
        <v>0.02</v>
      </c>
      <c r="CV85" s="5" t="s">
        <v>550</v>
      </c>
      <c r="CW85" s="5" t="s">
        <v>550</v>
      </c>
      <c r="CX85" s="5">
        <f ca="1">IF(AND('Budgeting Model'!Y11&lt;&gt;"",ABS('Budgeting Model'!Y11-'Scratch Sheet'!Y11)&lt;0.01),$CG$72,0)</f>
        <v>0.02</v>
      </c>
      <c r="CY85" s="5" t="s">
        <v>550</v>
      </c>
      <c r="CZ85" s="5">
        <f ca="1">IF(AND('Budgeting Model'!AA11&lt;&gt;"",ABS('Budgeting Model'!AA11-'Scratch Sheet'!AA11)&lt;0.01),$CG$72,0)</f>
        <v>0.02</v>
      </c>
      <c r="DA85" s="5" t="s">
        <v>550</v>
      </c>
      <c r="DB85" s="5">
        <f ca="1">IF(AND('Budgeting Model'!AC11="",'Budgeting Model'!AC11&lt;&gt;'Scratch Sheet'!AC11),0,$CG$72)</f>
        <v>0.02</v>
      </c>
      <c r="DC85" s="5" t="s">
        <v>550</v>
      </c>
      <c r="DD85" s="5">
        <f ca="1">IF(AND('Budgeting Model'!AE11&lt;&gt;"",ABS('Budgeting Model'!AE11-'Scratch Sheet'!AE11)&lt;0.01),$CG$72,0)</f>
        <v>0.02</v>
      </c>
      <c r="DE85" s="5">
        <f ca="1">IF(AND('Budgeting Model'!AF11&lt;&gt;"",ABS('Budgeting Model'!AF11-'Scratch Sheet'!AF11)&lt;0.01),$CG$72,0)</f>
        <v>0.02</v>
      </c>
      <c r="DF85" s="5">
        <f ca="1">IF(AND('Budgeting Model'!AG11&lt;&gt;"",ABS('Budgeting Model'!AG11-'Scratch Sheet'!AG11)&lt;0.01),$CG$72,0)</f>
        <v>0.02</v>
      </c>
      <c r="DG85" s="5">
        <f ca="1">IF(AND('Budgeting Model'!AH11&lt;&gt;"",ABS('Budgeting Model'!AH11-'Scratch Sheet'!AH11)&lt;0.01),$CG$72,0)</f>
        <v>0.02</v>
      </c>
      <c r="DH85" s="5">
        <f ca="1">IF(AND('Budgeting Model'!AI11&lt;&gt;"",ABS('Budgeting Model'!AI11-'Scratch Sheet'!AI11)&lt;0.01),$CG$72,0)</f>
        <v>0.02</v>
      </c>
      <c r="DI85" s="5">
        <f ca="1">IF(AND('Budgeting Model'!AJ11&lt;&gt;"",ABS('Budgeting Model'!AJ11-'Scratch Sheet'!AJ11)&lt;0.01),$CG$72,0)</f>
        <v>0.02</v>
      </c>
      <c r="DJ85" s="5">
        <f ca="1">IF(AND('Budgeting Model'!AK11&lt;&gt;"",ABS('Budgeting Model'!AK11-'Scratch Sheet'!AK11)&lt;0.01),$CG$72,0)</f>
        <v>0.02</v>
      </c>
      <c r="DK85" s="5" t="s">
        <v>550</v>
      </c>
      <c r="DL85" s="5">
        <f ca="1">IF(AND('Budgeting Model'!AM11&lt;&gt;"",ABS('Budgeting Model'!AM11-'Scratch Sheet'!AM11)&lt;0.01),$CG$72,0)</f>
        <v>0.02</v>
      </c>
      <c r="DM85" s="5">
        <f ca="1">IF(AND('Budgeting Model'!AN11&lt;&gt;"",ABS('Budgeting Model'!AN11-'Scratch Sheet'!AN11)&lt;0.01),$CG$72,0)</f>
        <v>0.02</v>
      </c>
      <c r="DN85" s="5">
        <f ca="1">IF(AND('Budgeting Model'!AO11&lt;&gt;"",ABS('Budgeting Model'!AO11-'Scratch Sheet'!AO11)&lt;0.01),$CG$72,0)</f>
        <v>0.02</v>
      </c>
      <c r="DO85" s="5">
        <f ca="1">IF(AND('Budgeting Model'!AP11&lt;&gt;"",ABS('Budgeting Model'!AP11-'Scratch Sheet'!AP11)&lt;0.01),$CG$72,0)</f>
        <v>0.02</v>
      </c>
    </row>
    <row r="86" spans="2:119">
      <c r="B86" s="5"/>
      <c r="C86" s="17"/>
      <c r="D86" s="16"/>
      <c r="E86" s="1"/>
      <c r="F86" s="1"/>
      <c r="G86" s="1"/>
      <c r="H86" s="1"/>
      <c r="L86" s="27"/>
      <c r="M86" s="28"/>
      <c r="N86" s="28"/>
      <c r="O86" s="28"/>
      <c r="P86" s="105"/>
      <c r="Q86" s="21"/>
      <c r="R86" s="21"/>
      <c r="S86" s="21"/>
      <c r="T86" s="21"/>
      <c r="U86" s="21"/>
      <c r="V86" s="21"/>
      <c r="CA86" s="5">
        <f>IF(AND('Budgeting Model'!B12&lt;&gt;"",'Budgeting Model'!B12='Scratch Sheet'!B12),$CG$72,0)</f>
        <v>0.02</v>
      </c>
      <c r="CB86" s="5">
        <f ca="1">IF(AND('Budgeting Model'!C12&lt;&gt;"",'Budgeting Model'!C12='Scratch Sheet'!C12),$CG$72,0)</f>
        <v>0.02</v>
      </c>
      <c r="CC86" s="5">
        <f>IF(AND('Budgeting Model'!D12&lt;&gt;"",'Budgeting Model'!D12='Scratch Sheet'!D12),$CG$72,0)</f>
        <v>0.02</v>
      </c>
      <c r="CD86" s="5">
        <f ca="1">IF(OR(AND('Budgeting Model'!E12="",'Budgeting Model'!D12&lt;&gt;"Vacant"),'Budgeting Model'!E12&lt;&gt;'Scratch Sheet'!E12),0,$CG$72)</f>
        <v>0.02</v>
      </c>
      <c r="CE86" s="5">
        <f ca="1">IF(AND('Budgeting Model'!F12&lt;&gt;"",'Budgeting Model'!F12='Scratch Sheet'!F12),$CG$72,0)</f>
        <v>0.02</v>
      </c>
      <c r="CF86" s="5">
        <f ca="1">IF(AND('Budgeting Model'!G12&lt;&gt;"",ABS('Budgeting Model'!G12-'Scratch Sheet'!G12)&lt;0.01),$CG$72,0)</f>
        <v>0.02</v>
      </c>
      <c r="CG86" s="5" t="s">
        <v>550</v>
      </c>
      <c r="CH86" s="5" t="s">
        <v>550</v>
      </c>
      <c r="CI86" s="5">
        <f ca="1">IF(AND('Budgeting Model'!J12&lt;&gt;"",ABS('Budgeting Model'!J12-'Scratch Sheet'!J12)&lt;0.01),$CG$72,0)</f>
        <v>0.02</v>
      </c>
      <c r="CJ86" s="5" t="s">
        <v>550</v>
      </c>
      <c r="CK86" s="5">
        <f ca="1">IF(AND('Budgeting Model'!L12&lt;&gt;"",ABS('Budgeting Model'!L12-'Scratch Sheet'!L12)&lt;0.01),$CG$72,0)</f>
        <v>0.02</v>
      </c>
      <c r="CL86" s="5" t="s">
        <v>550</v>
      </c>
      <c r="CM86" s="5">
        <f ca="1">IF(AND('Budgeting Model'!N12="",'Budgeting Model'!N12&lt;&gt;'Scratch Sheet'!N12),0,$CG$72)</f>
        <v>0.02</v>
      </c>
      <c r="CN86" s="5" t="s">
        <v>550</v>
      </c>
      <c r="CO86" s="5">
        <f ca="1">IF(AND('Budgeting Model'!P12&lt;&gt;"",ABS('Budgeting Model'!P12-'Scratch Sheet'!P12)&lt;0.01),$CG$72,0)</f>
        <v>0.02</v>
      </c>
      <c r="CP86" s="5">
        <f ca="1">IF(AND('Budgeting Model'!Q12&lt;&gt;"",ABS('Budgeting Model'!Q12-'Scratch Sheet'!Q12)&lt;0.01),$CG$72,0)</f>
        <v>0.02</v>
      </c>
      <c r="CQ86" s="5">
        <f ca="1">IF(AND('Budgeting Model'!R12&lt;&gt;"",ABS('Budgeting Model'!R12-'Scratch Sheet'!R12)&lt;0.01),$CG$72,0)</f>
        <v>0.02</v>
      </c>
      <c r="CR86" s="5">
        <f ca="1">IF(AND('Budgeting Model'!S12&lt;&gt;"",ABS('Budgeting Model'!S12-'Scratch Sheet'!S12)&lt;0.01),$CG$72,0)</f>
        <v>0.02</v>
      </c>
      <c r="CS86" s="5">
        <f ca="1">IF(AND('Budgeting Model'!T12&lt;&gt;"",ABS('Budgeting Model'!T12-'Scratch Sheet'!T12)&lt;0.01),$CG$72,0)</f>
        <v>0.02</v>
      </c>
      <c r="CT86" s="5">
        <f ca="1">IF(AND('Budgeting Model'!U12&lt;&gt;"",ABS('Budgeting Model'!U12-'Scratch Sheet'!U12)&lt;0.01),$CG$72,0)</f>
        <v>0.02</v>
      </c>
      <c r="CU86" s="5">
        <f ca="1">IF(AND('Budgeting Model'!V12&lt;&gt;"",ABS('Budgeting Model'!V12-'Scratch Sheet'!V12)&lt;0.01),$CG$72,0)</f>
        <v>0.02</v>
      </c>
      <c r="CV86" s="5" t="s">
        <v>550</v>
      </c>
      <c r="CW86" s="5" t="s">
        <v>550</v>
      </c>
      <c r="CX86" s="5">
        <f ca="1">IF(AND('Budgeting Model'!Y12&lt;&gt;"",ABS('Budgeting Model'!Y12-'Scratch Sheet'!Y12)&lt;0.01),$CG$72,0)</f>
        <v>0.02</v>
      </c>
      <c r="CY86" s="5" t="s">
        <v>550</v>
      </c>
      <c r="CZ86" s="5">
        <f ca="1">IF(AND('Budgeting Model'!AA12&lt;&gt;"",ABS('Budgeting Model'!AA12-'Scratch Sheet'!AA12)&lt;0.01),$CG$72,0)</f>
        <v>0.02</v>
      </c>
      <c r="DA86" s="5" t="s">
        <v>550</v>
      </c>
      <c r="DB86" s="5">
        <f ca="1">IF(AND('Budgeting Model'!AC12="",'Budgeting Model'!AC12&lt;&gt;'Scratch Sheet'!AC12),0,$CG$72)</f>
        <v>0.02</v>
      </c>
      <c r="DC86" s="5" t="s">
        <v>550</v>
      </c>
      <c r="DD86" s="5">
        <f ca="1">IF(AND('Budgeting Model'!AE12&lt;&gt;"",ABS('Budgeting Model'!AE12-'Scratch Sheet'!AE12)&lt;0.01),$CG$72,0)</f>
        <v>0.02</v>
      </c>
      <c r="DE86" s="5">
        <f ca="1">IF(AND('Budgeting Model'!AF12&lt;&gt;"",ABS('Budgeting Model'!AF12-'Scratch Sheet'!AF12)&lt;0.01),$CG$72,0)</f>
        <v>0.02</v>
      </c>
      <c r="DF86" s="5">
        <f ca="1">IF(AND('Budgeting Model'!AG12&lt;&gt;"",ABS('Budgeting Model'!AG12-'Scratch Sheet'!AG12)&lt;0.01),$CG$72,0)</f>
        <v>0.02</v>
      </c>
      <c r="DG86" s="5">
        <f ca="1">IF(AND('Budgeting Model'!AH12&lt;&gt;"",ABS('Budgeting Model'!AH12-'Scratch Sheet'!AH12)&lt;0.01),$CG$72,0)</f>
        <v>0.02</v>
      </c>
      <c r="DH86" s="5">
        <f ca="1">IF(AND('Budgeting Model'!AI12&lt;&gt;"",ABS('Budgeting Model'!AI12-'Scratch Sheet'!AI12)&lt;0.01),$CG$72,0)</f>
        <v>0.02</v>
      </c>
      <c r="DI86" s="5">
        <f ca="1">IF(AND('Budgeting Model'!AJ12&lt;&gt;"",ABS('Budgeting Model'!AJ12-'Scratch Sheet'!AJ12)&lt;0.01),$CG$72,0)</f>
        <v>0.02</v>
      </c>
      <c r="DJ86" s="5">
        <f ca="1">IF(AND('Budgeting Model'!AK12&lt;&gt;"",ABS('Budgeting Model'!AK12-'Scratch Sheet'!AK12)&lt;0.01),$CG$72,0)</f>
        <v>0.02</v>
      </c>
      <c r="DK86" s="5" t="s">
        <v>550</v>
      </c>
      <c r="DL86" s="5">
        <f ca="1">IF(AND('Budgeting Model'!AM12&lt;&gt;"",ABS('Budgeting Model'!AM12-'Scratch Sheet'!AM12)&lt;0.01),$CG$72,0)</f>
        <v>0.02</v>
      </c>
      <c r="DM86" s="5">
        <f ca="1">IF(AND('Budgeting Model'!AN12&lt;&gt;"",ABS('Budgeting Model'!AN12-'Scratch Sheet'!AN12)&lt;0.01),$CG$72,0)</f>
        <v>0.02</v>
      </c>
      <c r="DN86" s="5">
        <f ca="1">IF(AND('Budgeting Model'!AO12&lt;&gt;"",ABS('Budgeting Model'!AO12-'Scratch Sheet'!AO12)&lt;0.01),$CG$72,0)</f>
        <v>0.02</v>
      </c>
      <c r="DO86" s="5">
        <f ca="1">IF(AND('Budgeting Model'!AP12&lt;&gt;"",ABS('Budgeting Model'!AP12-'Scratch Sheet'!AP12)&lt;0.01),$CG$72,0)</f>
        <v>0.02</v>
      </c>
    </row>
    <row r="87" spans="2:119">
      <c r="B87" s="5"/>
      <c r="C87" s="17"/>
      <c r="D87" s="16"/>
      <c r="E87" s="1"/>
      <c r="F87" s="1"/>
      <c r="G87" s="1"/>
      <c r="H87" s="1"/>
      <c r="L87" s="29"/>
      <c r="M87" s="30"/>
      <c r="N87" s="30"/>
      <c r="O87" s="30"/>
      <c r="P87" s="105"/>
      <c r="Q87" s="21"/>
      <c r="R87" s="21"/>
      <c r="S87" s="21"/>
      <c r="T87" s="21"/>
      <c r="U87" s="21"/>
      <c r="V87" s="21"/>
      <c r="CA87" s="5">
        <f>IF(AND('Budgeting Model'!B13&lt;&gt;"",'Budgeting Model'!B13='Scratch Sheet'!B13),$CG$72,0)</f>
        <v>0.02</v>
      </c>
      <c r="CB87" s="5">
        <f ca="1">IF(AND('Budgeting Model'!C13&lt;&gt;"",'Budgeting Model'!C13='Scratch Sheet'!C13),$CG$72,0)</f>
        <v>0.02</v>
      </c>
      <c r="CC87" s="5">
        <f>IF(AND('Budgeting Model'!D13&lt;&gt;"",'Budgeting Model'!D13='Scratch Sheet'!D13),$CG$72,0)</f>
        <v>0.02</v>
      </c>
      <c r="CD87" s="5">
        <f ca="1">IF(OR(AND('Budgeting Model'!E13="",'Budgeting Model'!D13&lt;&gt;"Vacant"),'Budgeting Model'!E13&lt;&gt;'Scratch Sheet'!E13),0,$CG$72)</f>
        <v>0.02</v>
      </c>
      <c r="CE87" s="5">
        <f ca="1">IF(AND('Budgeting Model'!F13&lt;&gt;"",'Budgeting Model'!F13='Scratch Sheet'!F13),$CG$72,0)</f>
        <v>0.02</v>
      </c>
      <c r="CF87" s="5">
        <f ca="1">IF(AND('Budgeting Model'!G13&lt;&gt;"",ABS('Budgeting Model'!G13-'Scratch Sheet'!G13)&lt;0.01),$CG$72,0)</f>
        <v>0.02</v>
      </c>
      <c r="CG87" s="5" t="s">
        <v>550</v>
      </c>
      <c r="CH87" s="5" t="s">
        <v>550</v>
      </c>
      <c r="CI87" s="5">
        <f ca="1">IF(AND('Budgeting Model'!J13&lt;&gt;"",ABS('Budgeting Model'!J13-'Scratch Sheet'!J13)&lt;0.01),$CG$72,0)</f>
        <v>0.02</v>
      </c>
      <c r="CJ87" s="5" t="s">
        <v>550</v>
      </c>
      <c r="CK87" s="5">
        <f ca="1">IF(AND('Budgeting Model'!L13&lt;&gt;"",ABS('Budgeting Model'!L13-'Scratch Sheet'!L13)&lt;0.01),$CG$72,0)</f>
        <v>0.02</v>
      </c>
      <c r="CL87" s="5" t="s">
        <v>550</v>
      </c>
      <c r="CM87" s="5">
        <f ca="1">IF(AND('Budgeting Model'!N13="",'Budgeting Model'!N13&lt;&gt;'Scratch Sheet'!N13),0,$CG$72)</f>
        <v>0.02</v>
      </c>
      <c r="CN87" s="5" t="s">
        <v>550</v>
      </c>
      <c r="CO87" s="5">
        <f ca="1">IF(AND('Budgeting Model'!P13&lt;&gt;"",ABS('Budgeting Model'!P13-'Scratch Sheet'!P13)&lt;0.01),$CG$72,0)</f>
        <v>0.02</v>
      </c>
      <c r="CP87" s="5">
        <f ca="1">IF(AND('Budgeting Model'!Q13&lt;&gt;"",ABS('Budgeting Model'!Q13-'Scratch Sheet'!Q13)&lt;0.01),$CG$72,0)</f>
        <v>0.02</v>
      </c>
      <c r="CQ87" s="5">
        <f ca="1">IF(AND('Budgeting Model'!R13&lt;&gt;"",ABS('Budgeting Model'!R13-'Scratch Sheet'!R13)&lt;0.01),$CG$72,0)</f>
        <v>0.02</v>
      </c>
      <c r="CR87" s="5">
        <f ca="1">IF(AND('Budgeting Model'!S13&lt;&gt;"",ABS('Budgeting Model'!S13-'Scratch Sheet'!S13)&lt;0.01),$CG$72,0)</f>
        <v>0.02</v>
      </c>
      <c r="CS87" s="5">
        <f ca="1">IF(AND('Budgeting Model'!T13&lt;&gt;"",ABS('Budgeting Model'!T13-'Scratch Sheet'!T13)&lt;0.01),$CG$72,0)</f>
        <v>0.02</v>
      </c>
      <c r="CT87" s="5">
        <f ca="1">IF(AND('Budgeting Model'!U13&lt;&gt;"",ABS('Budgeting Model'!U13-'Scratch Sheet'!U13)&lt;0.01),$CG$72,0)</f>
        <v>0.02</v>
      </c>
      <c r="CU87" s="5">
        <f ca="1">IF(AND('Budgeting Model'!V13&lt;&gt;"",ABS('Budgeting Model'!V13-'Scratch Sheet'!V13)&lt;0.01),$CG$72,0)</f>
        <v>0.02</v>
      </c>
      <c r="CV87" s="5" t="s">
        <v>550</v>
      </c>
      <c r="CW87" s="5" t="s">
        <v>550</v>
      </c>
      <c r="CX87" s="5">
        <f ca="1">IF(AND('Budgeting Model'!Y13&lt;&gt;"",ABS('Budgeting Model'!Y13-'Scratch Sheet'!Y13)&lt;0.01),$CG$72,0)</f>
        <v>0.02</v>
      </c>
      <c r="CY87" s="5" t="s">
        <v>550</v>
      </c>
      <c r="CZ87" s="5">
        <f ca="1">IF(AND('Budgeting Model'!AA13&lt;&gt;"",ABS('Budgeting Model'!AA13-'Scratch Sheet'!AA13)&lt;0.01),$CG$72,0)</f>
        <v>0.02</v>
      </c>
      <c r="DA87" s="5" t="s">
        <v>550</v>
      </c>
      <c r="DB87" s="5">
        <f ca="1">IF(AND('Budgeting Model'!AC13="",'Budgeting Model'!AC13&lt;&gt;'Scratch Sheet'!AC13),0,$CG$72)</f>
        <v>0.02</v>
      </c>
      <c r="DC87" s="5" t="s">
        <v>550</v>
      </c>
      <c r="DD87" s="5">
        <f ca="1">IF(AND('Budgeting Model'!AE13&lt;&gt;"",ABS('Budgeting Model'!AE13-'Scratch Sheet'!AE13)&lt;0.01),$CG$72,0)</f>
        <v>0.02</v>
      </c>
      <c r="DE87" s="5">
        <f ca="1">IF(AND('Budgeting Model'!AF13&lt;&gt;"",ABS('Budgeting Model'!AF13-'Scratch Sheet'!AF13)&lt;0.01),$CG$72,0)</f>
        <v>0.02</v>
      </c>
      <c r="DF87" s="5">
        <f ca="1">IF(AND('Budgeting Model'!AG13&lt;&gt;"",ABS('Budgeting Model'!AG13-'Scratch Sheet'!AG13)&lt;0.01),$CG$72,0)</f>
        <v>0.02</v>
      </c>
      <c r="DG87" s="5">
        <f ca="1">IF(AND('Budgeting Model'!AH13&lt;&gt;"",ABS('Budgeting Model'!AH13-'Scratch Sheet'!AH13)&lt;0.01),$CG$72,0)</f>
        <v>0.02</v>
      </c>
      <c r="DH87" s="5">
        <f ca="1">IF(AND('Budgeting Model'!AI13&lt;&gt;"",ABS('Budgeting Model'!AI13-'Scratch Sheet'!AI13)&lt;0.01),$CG$72,0)</f>
        <v>0.02</v>
      </c>
      <c r="DI87" s="5">
        <f ca="1">IF(AND('Budgeting Model'!AJ13&lt;&gt;"",ABS('Budgeting Model'!AJ13-'Scratch Sheet'!AJ13)&lt;0.01),$CG$72,0)</f>
        <v>0.02</v>
      </c>
      <c r="DJ87" s="5">
        <f ca="1">IF(AND('Budgeting Model'!AK13&lt;&gt;"",ABS('Budgeting Model'!AK13-'Scratch Sheet'!AK13)&lt;0.01),$CG$72,0)</f>
        <v>0.02</v>
      </c>
      <c r="DK87" s="5" t="s">
        <v>550</v>
      </c>
      <c r="DL87" s="5">
        <f ca="1">IF(AND('Budgeting Model'!AM13&lt;&gt;"",ABS('Budgeting Model'!AM13-'Scratch Sheet'!AM13)&lt;0.01),$CG$72,0)</f>
        <v>0.02</v>
      </c>
      <c r="DM87" s="5">
        <f ca="1">IF(AND('Budgeting Model'!AN13&lt;&gt;"",ABS('Budgeting Model'!AN13-'Scratch Sheet'!AN13)&lt;0.01),$CG$72,0)</f>
        <v>0.02</v>
      </c>
      <c r="DN87" s="5">
        <f ca="1">IF(AND('Budgeting Model'!AO13&lt;&gt;"",ABS('Budgeting Model'!AO13-'Scratch Sheet'!AO13)&lt;0.01),$CG$72,0)</f>
        <v>0.02</v>
      </c>
      <c r="DO87" s="5">
        <f ca="1">IF(AND('Budgeting Model'!AP13&lt;&gt;"",ABS('Budgeting Model'!AP13-'Scratch Sheet'!AP13)&lt;0.01),$CG$72,0)</f>
        <v>0.02</v>
      </c>
    </row>
    <row r="88" spans="2:119">
      <c r="B88" s="5"/>
      <c r="C88" s="17"/>
      <c r="D88" s="16"/>
      <c r="E88" s="1"/>
      <c r="F88" s="1"/>
      <c r="G88" s="1"/>
      <c r="H88" s="1"/>
      <c r="L88" s="24"/>
      <c r="M88" s="25"/>
      <c r="N88" s="25"/>
      <c r="O88" s="25"/>
      <c r="P88" s="21"/>
      <c r="Q88" s="21"/>
      <c r="R88" s="21"/>
      <c r="S88" s="21"/>
      <c r="T88" s="21"/>
      <c r="U88" s="21"/>
      <c r="V88" s="21"/>
      <c r="CA88" s="5">
        <f>IF(AND('Budgeting Model'!B14&lt;&gt;"",'Budgeting Model'!B14='Scratch Sheet'!B14),$CG$72,0)</f>
        <v>0.02</v>
      </c>
      <c r="CB88" s="5">
        <f ca="1">IF(AND('Budgeting Model'!C14&lt;&gt;"",'Budgeting Model'!C14='Scratch Sheet'!C14),$CG$72,0)</f>
        <v>0.02</v>
      </c>
      <c r="CC88" s="5">
        <f>IF(AND('Budgeting Model'!D14&lt;&gt;"",'Budgeting Model'!D14='Scratch Sheet'!D14),$CG$72,0)</f>
        <v>0.02</v>
      </c>
      <c r="CD88" s="5">
        <f ca="1">IF(OR(AND('Budgeting Model'!E14="",'Budgeting Model'!D14&lt;&gt;"Vacant"),'Budgeting Model'!E14&lt;&gt;'Scratch Sheet'!E14),0,$CG$72)</f>
        <v>0.02</v>
      </c>
      <c r="CE88" s="5">
        <f ca="1">IF(AND('Budgeting Model'!F14&lt;&gt;"",'Budgeting Model'!F14='Scratch Sheet'!F14),$CG$72,0)</f>
        <v>0.02</v>
      </c>
      <c r="CF88" s="5">
        <f ca="1">IF(AND('Budgeting Model'!G14&lt;&gt;"",ABS('Budgeting Model'!G14-'Scratch Sheet'!G14)&lt;0.01),$CG$72,0)</f>
        <v>0.02</v>
      </c>
      <c r="CG88" s="5" t="s">
        <v>550</v>
      </c>
      <c r="CH88" s="5" t="s">
        <v>550</v>
      </c>
      <c r="CI88" s="5">
        <f ca="1">IF(AND('Budgeting Model'!J14&lt;&gt;"",ABS('Budgeting Model'!J14-'Scratch Sheet'!J14)&lt;0.01),$CG$72,0)</f>
        <v>0.02</v>
      </c>
      <c r="CJ88" s="5" t="s">
        <v>550</v>
      </c>
      <c r="CK88" s="5">
        <f ca="1">IF(AND('Budgeting Model'!L14&lt;&gt;"",ABS('Budgeting Model'!L14-'Scratch Sheet'!L14)&lt;0.01),$CG$72,0)</f>
        <v>0.02</v>
      </c>
      <c r="CL88" s="5" t="s">
        <v>550</v>
      </c>
      <c r="CM88" s="5">
        <f ca="1">IF(AND('Budgeting Model'!N14="",'Budgeting Model'!N14&lt;&gt;'Scratch Sheet'!N14),0,$CG$72)</f>
        <v>0.02</v>
      </c>
      <c r="CN88" s="5" t="s">
        <v>550</v>
      </c>
      <c r="CO88" s="5">
        <f ca="1">IF(AND('Budgeting Model'!P14&lt;&gt;"",ABS('Budgeting Model'!P14-'Scratch Sheet'!P14)&lt;0.01),$CG$72,0)</f>
        <v>0.02</v>
      </c>
      <c r="CP88" s="5">
        <f ca="1">IF(AND('Budgeting Model'!Q14&lt;&gt;"",ABS('Budgeting Model'!Q14-'Scratch Sheet'!Q14)&lt;0.01),$CG$72,0)</f>
        <v>0.02</v>
      </c>
      <c r="CQ88" s="5">
        <f ca="1">IF(AND('Budgeting Model'!R14&lt;&gt;"",ABS('Budgeting Model'!R14-'Scratch Sheet'!R14)&lt;0.01),$CG$72,0)</f>
        <v>0.02</v>
      </c>
      <c r="CR88" s="5">
        <f ca="1">IF(AND('Budgeting Model'!S14&lt;&gt;"",ABS('Budgeting Model'!S14-'Scratch Sheet'!S14)&lt;0.01),$CG$72,0)</f>
        <v>0.02</v>
      </c>
      <c r="CS88" s="5">
        <f ca="1">IF(AND('Budgeting Model'!T14&lt;&gt;"",ABS('Budgeting Model'!T14-'Scratch Sheet'!T14)&lt;0.01),$CG$72,0)</f>
        <v>0.02</v>
      </c>
      <c r="CT88" s="5">
        <f ca="1">IF(AND('Budgeting Model'!U14&lt;&gt;"",ABS('Budgeting Model'!U14-'Scratch Sheet'!U14)&lt;0.01),$CG$72,0)</f>
        <v>0.02</v>
      </c>
      <c r="CU88" s="5">
        <f ca="1">IF(AND('Budgeting Model'!V14&lt;&gt;"",ABS('Budgeting Model'!V14-'Scratch Sheet'!V14)&lt;0.01),$CG$72,0)</f>
        <v>0.02</v>
      </c>
      <c r="CV88" s="5" t="s">
        <v>550</v>
      </c>
      <c r="CW88" s="5" t="s">
        <v>550</v>
      </c>
      <c r="CX88" s="5">
        <f ca="1">IF(AND('Budgeting Model'!Y14&lt;&gt;"",ABS('Budgeting Model'!Y14-'Scratch Sheet'!Y14)&lt;0.01),$CG$72,0)</f>
        <v>0.02</v>
      </c>
      <c r="CY88" s="5" t="s">
        <v>550</v>
      </c>
      <c r="CZ88" s="5">
        <f ca="1">IF(AND('Budgeting Model'!AA14&lt;&gt;"",ABS('Budgeting Model'!AA14-'Scratch Sheet'!AA14)&lt;0.01),$CG$72,0)</f>
        <v>0.02</v>
      </c>
      <c r="DA88" s="5" t="s">
        <v>550</v>
      </c>
      <c r="DB88" s="5">
        <f ca="1">IF(AND('Budgeting Model'!AC14="",'Budgeting Model'!AC14&lt;&gt;'Scratch Sheet'!AC14),0,$CG$72)</f>
        <v>0.02</v>
      </c>
      <c r="DC88" s="5" t="s">
        <v>550</v>
      </c>
      <c r="DD88" s="5">
        <f ca="1">IF(AND('Budgeting Model'!AE14&lt;&gt;"",ABS('Budgeting Model'!AE14-'Scratch Sheet'!AE14)&lt;0.01),$CG$72,0)</f>
        <v>0.02</v>
      </c>
      <c r="DE88" s="5">
        <f ca="1">IF(AND('Budgeting Model'!AF14&lt;&gt;"",ABS('Budgeting Model'!AF14-'Scratch Sheet'!AF14)&lt;0.01),$CG$72,0)</f>
        <v>0.02</v>
      </c>
      <c r="DF88" s="5">
        <f ca="1">IF(AND('Budgeting Model'!AG14&lt;&gt;"",ABS('Budgeting Model'!AG14-'Scratch Sheet'!AG14)&lt;0.01),$CG$72,0)</f>
        <v>0.02</v>
      </c>
      <c r="DG88" s="5">
        <f ca="1">IF(AND('Budgeting Model'!AH14&lt;&gt;"",ABS('Budgeting Model'!AH14-'Scratch Sheet'!AH14)&lt;0.01),$CG$72,0)</f>
        <v>0.02</v>
      </c>
      <c r="DH88" s="5">
        <f ca="1">IF(AND('Budgeting Model'!AI14&lt;&gt;"",ABS('Budgeting Model'!AI14-'Scratch Sheet'!AI14)&lt;0.01),$CG$72,0)</f>
        <v>0.02</v>
      </c>
      <c r="DI88" s="5">
        <f ca="1">IF(AND('Budgeting Model'!AJ14&lt;&gt;"",ABS('Budgeting Model'!AJ14-'Scratch Sheet'!AJ14)&lt;0.01),$CG$72,0)</f>
        <v>0.02</v>
      </c>
      <c r="DJ88" s="5">
        <f ca="1">IF(AND('Budgeting Model'!AK14&lt;&gt;"",ABS('Budgeting Model'!AK14-'Scratch Sheet'!AK14)&lt;0.01),$CG$72,0)</f>
        <v>0.02</v>
      </c>
      <c r="DK88" s="5" t="s">
        <v>550</v>
      </c>
      <c r="DL88" s="5">
        <f ca="1">IF(AND('Budgeting Model'!AM14&lt;&gt;"",ABS('Budgeting Model'!AM14-'Scratch Sheet'!AM14)&lt;0.01),$CG$72,0)</f>
        <v>0.02</v>
      </c>
      <c r="DM88" s="5">
        <f ca="1">IF(AND('Budgeting Model'!AN14&lt;&gt;"",ABS('Budgeting Model'!AN14-'Scratch Sheet'!AN14)&lt;0.01),$CG$72,0)</f>
        <v>0.02</v>
      </c>
      <c r="DN88" s="5">
        <f ca="1">IF(AND('Budgeting Model'!AO14&lt;&gt;"",ABS('Budgeting Model'!AO14-'Scratch Sheet'!AO14)&lt;0.01),$CG$72,0)</f>
        <v>0.02</v>
      </c>
      <c r="DO88" s="5">
        <f ca="1">IF(AND('Budgeting Model'!AP14&lt;&gt;"",ABS('Budgeting Model'!AP14-'Scratch Sheet'!AP14)&lt;0.01),$CG$72,0)</f>
        <v>0.02</v>
      </c>
    </row>
    <row r="89" spans="2:119">
      <c r="B89" s="5"/>
      <c r="C89" s="17"/>
      <c r="D89" s="16"/>
      <c r="E89" s="1"/>
      <c r="F89" s="1"/>
      <c r="G89" s="1"/>
      <c r="H89" s="1"/>
      <c r="L89" s="1"/>
      <c r="CA89" s="5">
        <f>IF(AND('Budgeting Model'!B15&lt;&gt;"",'Budgeting Model'!B15='Scratch Sheet'!B15),$CG$72,0)</f>
        <v>0.02</v>
      </c>
      <c r="CB89" s="5">
        <f ca="1">IF(AND('Budgeting Model'!C15&lt;&gt;"",'Budgeting Model'!C15='Scratch Sheet'!C15),$CG$72,0)</f>
        <v>0.02</v>
      </c>
      <c r="CC89" s="5">
        <f>IF(AND('Budgeting Model'!D15&lt;&gt;"",'Budgeting Model'!D15='Scratch Sheet'!D15),$CG$72,0)</f>
        <v>0.02</v>
      </c>
      <c r="CD89" s="5">
        <f ca="1">IF(OR(AND('Budgeting Model'!E15="",'Budgeting Model'!D15&lt;&gt;"Vacant"),'Budgeting Model'!E15&lt;&gt;'Scratch Sheet'!E15),0,$CG$72)</f>
        <v>0.02</v>
      </c>
      <c r="CE89" s="5">
        <f ca="1">IF(AND('Budgeting Model'!F15&lt;&gt;"",'Budgeting Model'!F15='Scratch Sheet'!F15),$CG$72,0)</f>
        <v>0.02</v>
      </c>
      <c r="CF89" s="5">
        <f ca="1">IF(AND('Budgeting Model'!G15&lt;&gt;"",ABS('Budgeting Model'!G15-'Scratch Sheet'!G15)&lt;0.01),$CG$72,0)</f>
        <v>0.02</v>
      </c>
      <c r="CG89" s="5" t="s">
        <v>550</v>
      </c>
      <c r="CH89" s="5" t="s">
        <v>550</v>
      </c>
      <c r="CI89" s="5">
        <f ca="1">IF(AND('Budgeting Model'!J15&lt;&gt;"",ABS('Budgeting Model'!J15-'Scratch Sheet'!J15)&lt;0.01),$CG$72,0)</f>
        <v>0.02</v>
      </c>
      <c r="CJ89" s="5" t="s">
        <v>550</v>
      </c>
      <c r="CK89" s="5">
        <f ca="1">IF(AND('Budgeting Model'!L15&lt;&gt;"",ABS('Budgeting Model'!L15-'Scratch Sheet'!L15)&lt;0.01),$CG$72,0)</f>
        <v>0.02</v>
      </c>
      <c r="CL89" s="5" t="s">
        <v>550</v>
      </c>
      <c r="CM89" s="5">
        <f ca="1">IF(AND('Budgeting Model'!N15="",'Budgeting Model'!N15&lt;&gt;'Scratch Sheet'!N15),0,$CG$72)</f>
        <v>0.02</v>
      </c>
      <c r="CN89" s="5" t="s">
        <v>550</v>
      </c>
      <c r="CO89" s="5">
        <f ca="1">IF(AND('Budgeting Model'!P15&lt;&gt;"",ABS('Budgeting Model'!P15-'Scratch Sheet'!P15)&lt;0.01),$CG$72,0)</f>
        <v>0.02</v>
      </c>
      <c r="CP89" s="5">
        <f ca="1">IF(AND('Budgeting Model'!Q15&lt;&gt;"",ABS('Budgeting Model'!Q15-'Scratch Sheet'!Q15)&lt;0.01),$CG$72,0)</f>
        <v>0.02</v>
      </c>
      <c r="CQ89" s="5">
        <f ca="1">IF(AND('Budgeting Model'!R15&lt;&gt;"",ABS('Budgeting Model'!R15-'Scratch Sheet'!R15)&lt;0.01),$CG$72,0)</f>
        <v>0.02</v>
      </c>
      <c r="CR89" s="5">
        <f ca="1">IF(AND('Budgeting Model'!S15&lt;&gt;"",ABS('Budgeting Model'!S15-'Scratch Sheet'!S15)&lt;0.01),$CG$72,0)</f>
        <v>0.02</v>
      </c>
      <c r="CS89" s="5">
        <f ca="1">IF(AND('Budgeting Model'!T15&lt;&gt;"",ABS('Budgeting Model'!T15-'Scratch Sheet'!T15)&lt;0.01),$CG$72,0)</f>
        <v>0.02</v>
      </c>
      <c r="CT89" s="5">
        <f ca="1">IF(AND('Budgeting Model'!U15&lt;&gt;"",ABS('Budgeting Model'!U15-'Scratch Sheet'!U15)&lt;0.01),$CG$72,0)</f>
        <v>0.02</v>
      </c>
      <c r="CU89" s="5">
        <f ca="1">IF(AND('Budgeting Model'!V15&lt;&gt;"",ABS('Budgeting Model'!V15-'Scratch Sheet'!V15)&lt;0.01),$CG$72,0)</f>
        <v>0.02</v>
      </c>
      <c r="CV89" s="5" t="s">
        <v>550</v>
      </c>
      <c r="CW89" s="5" t="s">
        <v>550</v>
      </c>
      <c r="CX89" s="5">
        <f ca="1">IF(AND('Budgeting Model'!Y15&lt;&gt;"",ABS('Budgeting Model'!Y15-'Scratch Sheet'!Y15)&lt;0.01),$CG$72,0)</f>
        <v>0.02</v>
      </c>
      <c r="CY89" s="5" t="s">
        <v>550</v>
      </c>
      <c r="CZ89" s="5">
        <f ca="1">IF(AND('Budgeting Model'!AA15&lt;&gt;"",ABS('Budgeting Model'!AA15-'Scratch Sheet'!AA15)&lt;0.01),$CG$72,0)</f>
        <v>0.02</v>
      </c>
      <c r="DA89" s="5" t="s">
        <v>550</v>
      </c>
      <c r="DB89" s="5">
        <f ca="1">IF(AND('Budgeting Model'!AC15="",'Budgeting Model'!AC15&lt;&gt;'Scratch Sheet'!AC15),0,$CG$72)</f>
        <v>0.02</v>
      </c>
      <c r="DC89" s="5" t="s">
        <v>550</v>
      </c>
      <c r="DD89" s="5">
        <f ca="1">IF(AND('Budgeting Model'!AE15&lt;&gt;"",ABS('Budgeting Model'!AE15-'Scratch Sheet'!AE15)&lt;0.01),$CG$72,0)</f>
        <v>0.02</v>
      </c>
      <c r="DE89" s="5">
        <f ca="1">IF(AND('Budgeting Model'!AF15&lt;&gt;"",ABS('Budgeting Model'!AF15-'Scratch Sheet'!AF15)&lt;0.01),$CG$72,0)</f>
        <v>0.02</v>
      </c>
      <c r="DF89" s="5">
        <f ca="1">IF(AND('Budgeting Model'!AG15&lt;&gt;"",ABS('Budgeting Model'!AG15-'Scratch Sheet'!AG15)&lt;0.01),$CG$72,0)</f>
        <v>0.02</v>
      </c>
      <c r="DG89" s="5">
        <f ca="1">IF(AND('Budgeting Model'!AH15&lt;&gt;"",ABS('Budgeting Model'!AH15-'Scratch Sheet'!AH15)&lt;0.01),$CG$72,0)</f>
        <v>0.02</v>
      </c>
      <c r="DH89" s="5">
        <f ca="1">IF(AND('Budgeting Model'!AI15&lt;&gt;"",ABS('Budgeting Model'!AI15-'Scratch Sheet'!AI15)&lt;0.01),$CG$72,0)</f>
        <v>0.02</v>
      </c>
      <c r="DI89" s="5">
        <f ca="1">IF(AND('Budgeting Model'!AJ15&lt;&gt;"",ABS('Budgeting Model'!AJ15-'Scratch Sheet'!AJ15)&lt;0.01),$CG$72,0)</f>
        <v>0.02</v>
      </c>
      <c r="DJ89" s="5">
        <f ca="1">IF(AND('Budgeting Model'!AK15&lt;&gt;"",ABS('Budgeting Model'!AK15-'Scratch Sheet'!AK15)&lt;0.01),$CG$72,0)</f>
        <v>0.02</v>
      </c>
      <c r="DK89" s="5" t="s">
        <v>550</v>
      </c>
      <c r="DL89" s="5">
        <f ca="1">IF(AND('Budgeting Model'!AM15&lt;&gt;"",ABS('Budgeting Model'!AM15-'Scratch Sheet'!AM15)&lt;0.01),$CG$72,0)</f>
        <v>0.02</v>
      </c>
      <c r="DM89" s="5">
        <f ca="1">IF(AND('Budgeting Model'!AN15&lt;&gt;"",ABS('Budgeting Model'!AN15-'Scratch Sheet'!AN15)&lt;0.01),$CG$72,0)</f>
        <v>0.02</v>
      </c>
      <c r="DN89" s="5">
        <f ca="1">IF(AND('Budgeting Model'!AO15&lt;&gt;"",ABS('Budgeting Model'!AO15-'Scratch Sheet'!AO15)&lt;0.01),$CG$72,0)</f>
        <v>0.02</v>
      </c>
      <c r="DO89" s="5">
        <f ca="1">IF(AND('Budgeting Model'!AP15&lt;&gt;"",ABS('Budgeting Model'!AP15-'Scratch Sheet'!AP15)&lt;0.01),$CG$72,0)</f>
        <v>0.02</v>
      </c>
    </row>
    <row r="90" spans="2:119">
      <c r="B90" s="5"/>
      <c r="C90" s="17"/>
      <c r="D90" s="16"/>
      <c r="E90" s="1"/>
      <c r="F90" s="1"/>
      <c r="G90" s="1"/>
      <c r="H90" s="1"/>
      <c r="L90" s="1"/>
      <c r="CA90" s="5">
        <f>IF(AND('Budgeting Model'!B16&lt;&gt;"",'Budgeting Model'!B16='Scratch Sheet'!B16),$CG$72,0)</f>
        <v>0.02</v>
      </c>
      <c r="CB90" s="5">
        <f ca="1">IF(AND('Budgeting Model'!C16&lt;&gt;"",'Budgeting Model'!C16='Scratch Sheet'!C16),$CG$72,0)</f>
        <v>0.02</v>
      </c>
      <c r="CC90" s="5">
        <f>IF(AND('Budgeting Model'!D16&lt;&gt;"",'Budgeting Model'!D16='Scratch Sheet'!D16),$CG$72,0)</f>
        <v>0.02</v>
      </c>
      <c r="CD90" s="5">
        <f ca="1">IF(OR(AND('Budgeting Model'!E16="",'Budgeting Model'!D16&lt;&gt;"Vacant"),'Budgeting Model'!E16&lt;&gt;'Scratch Sheet'!E16),0,$CG$72)</f>
        <v>0.02</v>
      </c>
      <c r="CE90" s="5">
        <f ca="1">IF(AND('Budgeting Model'!F16&lt;&gt;"",'Budgeting Model'!F16='Scratch Sheet'!F16),$CG$72,0)</f>
        <v>0.02</v>
      </c>
      <c r="CF90" s="5">
        <f ca="1">IF(AND('Budgeting Model'!G16&lt;&gt;"",ABS('Budgeting Model'!G16-'Scratch Sheet'!G16)&lt;0.01),$CG$72,0)</f>
        <v>0.02</v>
      </c>
      <c r="CG90" s="5" t="s">
        <v>550</v>
      </c>
      <c r="CH90" s="5" t="s">
        <v>550</v>
      </c>
      <c r="CI90" s="5">
        <f ca="1">IF(AND('Budgeting Model'!J16&lt;&gt;"",ABS('Budgeting Model'!J16-'Scratch Sheet'!J16)&lt;0.01),$CG$72,0)</f>
        <v>0.02</v>
      </c>
      <c r="CJ90" s="5" t="s">
        <v>550</v>
      </c>
      <c r="CK90" s="5">
        <f>IF(AND('Budgeting Model'!L16&lt;&gt;"",ABS('Budgeting Model'!L16-'Scratch Sheet'!L16)&lt;0.01),$CG$72,0)</f>
        <v>0.02</v>
      </c>
      <c r="CL90" s="5" t="s">
        <v>550</v>
      </c>
      <c r="CM90" s="5">
        <f>IF(AND('Budgeting Model'!N16="",'Budgeting Model'!N16&lt;&gt;'Scratch Sheet'!N16),0,$CG$72)</f>
        <v>0.02</v>
      </c>
      <c r="CN90" s="5" t="s">
        <v>550</v>
      </c>
      <c r="CO90" s="5">
        <f ca="1">IF(AND('Budgeting Model'!P16&lt;&gt;"",ABS('Budgeting Model'!P16-'Scratch Sheet'!P16)&lt;0.01),$CG$72,0)</f>
        <v>0.02</v>
      </c>
      <c r="CP90" s="5">
        <f>IF(AND('Budgeting Model'!Q16&lt;&gt;"",ABS('Budgeting Model'!Q16-'Scratch Sheet'!Q16)&lt;0.01),$CG$72,0)</f>
        <v>0.02</v>
      </c>
      <c r="CQ90" s="5">
        <f ca="1">IF(AND('Budgeting Model'!R16&lt;&gt;"",ABS('Budgeting Model'!R16-'Scratch Sheet'!R16)&lt;0.01),$CG$72,0)</f>
        <v>0.02</v>
      </c>
      <c r="CR90" s="5">
        <f ca="1">IF(AND('Budgeting Model'!S16&lt;&gt;"",ABS('Budgeting Model'!S16-'Scratch Sheet'!S16)&lt;0.01),$CG$72,0)</f>
        <v>0.02</v>
      </c>
      <c r="CS90" s="5">
        <f ca="1">IF(AND('Budgeting Model'!T16&lt;&gt;"",ABS('Budgeting Model'!T16-'Scratch Sheet'!T16)&lt;0.01),$CG$72,0)</f>
        <v>0.02</v>
      </c>
      <c r="CT90" s="5">
        <f ca="1">IF(AND('Budgeting Model'!U16&lt;&gt;"",ABS('Budgeting Model'!U16-'Scratch Sheet'!U16)&lt;0.01),$CG$72,0)</f>
        <v>0.02</v>
      </c>
      <c r="CU90" s="5">
        <f ca="1">IF(AND('Budgeting Model'!V16&lt;&gt;"",ABS('Budgeting Model'!V16-'Scratch Sheet'!V16)&lt;0.01),$CG$72,0)</f>
        <v>0.02</v>
      </c>
      <c r="CV90" s="5" t="s">
        <v>550</v>
      </c>
      <c r="CW90" s="5" t="s">
        <v>550</v>
      </c>
      <c r="CX90" s="5">
        <f ca="1">IF(AND('Budgeting Model'!Y16&lt;&gt;"",ABS('Budgeting Model'!Y16-'Scratch Sheet'!Y16)&lt;0.01),$CG$72,0)</f>
        <v>0.02</v>
      </c>
      <c r="CY90" s="5" t="s">
        <v>550</v>
      </c>
      <c r="CZ90" s="5">
        <f ca="1">IF(AND('Budgeting Model'!AA16&lt;&gt;"",ABS('Budgeting Model'!AA16-'Scratch Sheet'!AA16)&lt;0.01),$CG$72,0)</f>
        <v>0.02</v>
      </c>
      <c r="DA90" s="5" t="s">
        <v>550</v>
      </c>
      <c r="DB90" s="5">
        <f ca="1">IF(AND('Budgeting Model'!AC16="",'Budgeting Model'!AC16&lt;&gt;'Scratch Sheet'!AC16),0,$CG$72)</f>
        <v>0.02</v>
      </c>
      <c r="DC90" s="5" t="s">
        <v>550</v>
      </c>
      <c r="DD90" s="5">
        <f ca="1">IF(AND('Budgeting Model'!AE16&lt;&gt;"",ABS('Budgeting Model'!AE16-'Scratch Sheet'!AE16)&lt;0.01),$CG$72,0)</f>
        <v>0.02</v>
      </c>
      <c r="DE90" s="5">
        <f ca="1">IF(AND('Budgeting Model'!AF16&lt;&gt;"",ABS('Budgeting Model'!AF16-'Scratch Sheet'!AF16)&lt;0.01),$CG$72,0)</f>
        <v>0.02</v>
      </c>
      <c r="DF90" s="5">
        <f ca="1">IF(AND('Budgeting Model'!AG16&lt;&gt;"",ABS('Budgeting Model'!AG16-'Scratch Sheet'!AG16)&lt;0.01),$CG$72,0)</f>
        <v>0.02</v>
      </c>
      <c r="DG90" s="5">
        <f ca="1">IF(AND('Budgeting Model'!AH16&lt;&gt;"",ABS('Budgeting Model'!AH16-'Scratch Sheet'!AH16)&lt;0.01),$CG$72,0)</f>
        <v>0.02</v>
      </c>
      <c r="DH90" s="5">
        <f ca="1">IF(AND('Budgeting Model'!AI16&lt;&gt;"",ABS('Budgeting Model'!AI16-'Scratch Sheet'!AI16)&lt;0.01),$CG$72,0)</f>
        <v>0.02</v>
      </c>
      <c r="DI90" s="5">
        <f ca="1">IF(AND('Budgeting Model'!AJ16&lt;&gt;"",ABS('Budgeting Model'!AJ16-'Scratch Sheet'!AJ16)&lt;0.01),$CG$72,0)</f>
        <v>0.02</v>
      </c>
      <c r="DJ90" s="5">
        <f ca="1">IF(AND('Budgeting Model'!AK16&lt;&gt;"",ABS('Budgeting Model'!AK16-'Scratch Sheet'!AK16)&lt;0.01),$CG$72,0)</f>
        <v>0.02</v>
      </c>
      <c r="DK90" s="5" t="s">
        <v>550</v>
      </c>
      <c r="DL90" s="5">
        <f ca="1">IF(AND('Budgeting Model'!AM16&lt;&gt;"",ABS('Budgeting Model'!AM16-'Scratch Sheet'!AM16)&lt;0.01),$CG$72,0)</f>
        <v>0.02</v>
      </c>
      <c r="DM90" s="5">
        <f ca="1">IF(AND('Budgeting Model'!AN16&lt;&gt;"",ABS('Budgeting Model'!AN16-'Scratch Sheet'!AN16)&lt;0.01),$CG$72,0)</f>
        <v>0.02</v>
      </c>
      <c r="DN90" s="5">
        <f ca="1">IF(AND('Budgeting Model'!AO16&lt;&gt;"",ABS('Budgeting Model'!AO16-'Scratch Sheet'!AO16)&lt;0.01),$CG$72,0)</f>
        <v>0.02</v>
      </c>
      <c r="DO90" s="5">
        <f ca="1">IF(AND('Budgeting Model'!AP16&lt;&gt;"",ABS('Budgeting Model'!AP16-'Scratch Sheet'!AP16)&lt;0.01),$CG$72,0)</f>
        <v>0.02</v>
      </c>
    </row>
    <row r="91" spans="2:119">
      <c r="B91" s="5"/>
      <c r="C91" s="17"/>
      <c r="D91" s="16"/>
      <c r="E91" s="1"/>
      <c r="F91" s="1"/>
      <c r="G91" s="1"/>
      <c r="H91" s="1"/>
      <c r="L91" s="1"/>
      <c r="CA91" s="5">
        <f>IF(AND('Budgeting Model'!B17&lt;&gt;"",'Budgeting Model'!B17='Scratch Sheet'!B17),$CG$72,0)</f>
        <v>0.02</v>
      </c>
      <c r="CB91" s="5">
        <f ca="1">IF(AND('Budgeting Model'!C17&lt;&gt;"",'Budgeting Model'!C17='Scratch Sheet'!C17),$CG$72,0)</f>
        <v>0.02</v>
      </c>
      <c r="CC91" s="5">
        <f>IF(AND('Budgeting Model'!D17&lt;&gt;"",'Budgeting Model'!D17='Scratch Sheet'!D17),$CG$72,0)</f>
        <v>0.02</v>
      </c>
      <c r="CD91" s="5">
        <f ca="1">IF(OR(AND('Budgeting Model'!E17="",'Budgeting Model'!D17&lt;&gt;"Vacant"),'Budgeting Model'!E17&lt;&gt;'Scratch Sheet'!E17),0,$CG$72)</f>
        <v>0.02</v>
      </c>
      <c r="CE91" s="5">
        <f ca="1">IF(AND('Budgeting Model'!F17&lt;&gt;"",'Budgeting Model'!F17='Scratch Sheet'!F17),$CG$72,0)</f>
        <v>0.02</v>
      </c>
      <c r="CF91" s="5">
        <f ca="1">IF(AND('Budgeting Model'!G17&lt;&gt;"",ABS('Budgeting Model'!G17-'Scratch Sheet'!G17)&lt;0.01),$CG$72,0)</f>
        <v>0.02</v>
      </c>
      <c r="CG91" s="5" t="s">
        <v>550</v>
      </c>
      <c r="CH91" s="5" t="s">
        <v>550</v>
      </c>
      <c r="CI91" s="5">
        <f ca="1">IF(AND('Budgeting Model'!J17&lt;&gt;"",ABS('Budgeting Model'!J17-'Scratch Sheet'!J17)&lt;0.01),$CG$72,0)</f>
        <v>0.02</v>
      </c>
      <c r="CJ91" s="5" t="s">
        <v>550</v>
      </c>
      <c r="CK91" s="5">
        <f ca="1">IF(AND('Budgeting Model'!L17&lt;&gt;"",ABS('Budgeting Model'!L17-'Scratch Sheet'!L17)&lt;0.01),$CG$72,0)</f>
        <v>0.02</v>
      </c>
      <c r="CL91" s="5" t="s">
        <v>550</v>
      </c>
      <c r="CM91" s="5">
        <f ca="1">IF(AND('Budgeting Model'!N17="",'Budgeting Model'!N17&lt;&gt;'Scratch Sheet'!N17),0,$CG$72)</f>
        <v>0.02</v>
      </c>
      <c r="CN91" s="5" t="s">
        <v>550</v>
      </c>
      <c r="CO91" s="5">
        <f>IF(AND('Budgeting Model'!P17&lt;&gt;"",ABS('Budgeting Model'!P17-'Scratch Sheet'!P17)&lt;0.01),$CG$72,0)</f>
        <v>0.02</v>
      </c>
      <c r="CP91" s="5">
        <f ca="1">IF(AND('Budgeting Model'!Q17&lt;&gt;"",ABS('Budgeting Model'!Q17-'Scratch Sheet'!Q17)&lt;0.01),$CG$72,0)</f>
        <v>0.02</v>
      </c>
      <c r="CQ91" s="5">
        <f ca="1">IF(AND('Budgeting Model'!R17&lt;&gt;"",ABS('Budgeting Model'!R17-'Scratch Sheet'!R17)&lt;0.01),$CG$72,0)</f>
        <v>0.02</v>
      </c>
      <c r="CR91" s="5">
        <f ca="1">IF(AND('Budgeting Model'!S17&lt;&gt;"",ABS('Budgeting Model'!S17-'Scratch Sheet'!S17)&lt;0.01),$CG$72,0)</f>
        <v>0.02</v>
      </c>
      <c r="CS91" s="5">
        <f ca="1">IF(AND('Budgeting Model'!T17&lt;&gt;"",ABS('Budgeting Model'!T17-'Scratch Sheet'!T17)&lt;0.01),$CG$72,0)</f>
        <v>0.02</v>
      </c>
      <c r="CT91" s="5">
        <f ca="1">IF(AND('Budgeting Model'!U17&lt;&gt;"",ABS('Budgeting Model'!U17-'Scratch Sheet'!U17)&lt;0.01),$CG$72,0)</f>
        <v>0.02</v>
      </c>
      <c r="CU91" s="5">
        <f ca="1">IF(AND('Budgeting Model'!V17&lt;&gt;"",ABS('Budgeting Model'!V17-'Scratch Sheet'!V17)&lt;0.01),$CG$72,0)</f>
        <v>0.02</v>
      </c>
      <c r="CV91" s="5" t="s">
        <v>550</v>
      </c>
      <c r="CW91" s="5" t="s">
        <v>550</v>
      </c>
      <c r="CX91" s="5">
        <f ca="1">IF(AND('Budgeting Model'!Y17&lt;&gt;"",ABS('Budgeting Model'!Y17-'Scratch Sheet'!Y17)&lt;0.01),$CG$72,0)</f>
        <v>0.02</v>
      </c>
      <c r="CY91" s="5" t="s">
        <v>550</v>
      </c>
      <c r="CZ91" s="5">
        <f ca="1">IF(AND('Budgeting Model'!AA17&lt;&gt;"",ABS('Budgeting Model'!AA17-'Scratch Sheet'!AA17)&lt;0.01),$CG$72,0)</f>
        <v>0.02</v>
      </c>
      <c r="DA91" s="5" t="s">
        <v>550</v>
      </c>
      <c r="DB91" s="5">
        <f ca="1">IF(AND('Budgeting Model'!AC17="",'Budgeting Model'!AC17&lt;&gt;'Scratch Sheet'!AC17),0,$CG$72)</f>
        <v>0.02</v>
      </c>
      <c r="DC91" s="5" t="s">
        <v>550</v>
      </c>
      <c r="DD91" s="5">
        <f ca="1">IF(AND('Budgeting Model'!AE17&lt;&gt;"",ABS('Budgeting Model'!AE17-'Scratch Sheet'!AE17)&lt;0.01),$CG$72,0)</f>
        <v>0.02</v>
      </c>
      <c r="DE91" s="5">
        <f ca="1">IF(AND('Budgeting Model'!AF17&lt;&gt;"",ABS('Budgeting Model'!AF17-'Scratch Sheet'!AF17)&lt;0.01),$CG$72,0)</f>
        <v>0.02</v>
      </c>
      <c r="DF91" s="5">
        <f ca="1">IF(AND('Budgeting Model'!AG17&lt;&gt;"",ABS('Budgeting Model'!AG17-'Scratch Sheet'!AG17)&lt;0.01),$CG$72,0)</f>
        <v>0.02</v>
      </c>
      <c r="DG91" s="5">
        <f ca="1">IF(AND('Budgeting Model'!AH17&lt;&gt;"",ABS('Budgeting Model'!AH17-'Scratch Sheet'!AH17)&lt;0.01),$CG$72,0)</f>
        <v>0.02</v>
      </c>
      <c r="DH91" s="5">
        <f ca="1">IF(AND('Budgeting Model'!AI17&lt;&gt;"",ABS('Budgeting Model'!AI17-'Scratch Sheet'!AI17)&lt;0.01),$CG$72,0)</f>
        <v>0.02</v>
      </c>
      <c r="DI91" s="5">
        <f ca="1">IF(AND('Budgeting Model'!AJ17&lt;&gt;"",ABS('Budgeting Model'!AJ17-'Scratch Sheet'!AJ17)&lt;0.01),$CG$72,0)</f>
        <v>0.02</v>
      </c>
      <c r="DJ91" s="5">
        <f ca="1">IF(AND('Budgeting Model'!AK17&lt;&gt;"",ABS('Budgeting Model'!AK17-'Scratch Sheet'!AK17)&lt;0.01),$CG$72,0)</f>
        <v>0.02</v>
      </c>
      <c r="DK91" s="5" t="s">
        <v>550</v>
      </c>
      <c r="DL91" s="5">
        <f ca="1">IF(AND('Budgeting Model'!AM17&lt;&gt;"",ABS('Budgeting Model'!AM17-'Scratch Sheet'!AM17)&lt;0.01),$CG$72,0)</f>
        <v>0.02</v>
      </c>
      <c r="DM91" s="5">
        <f ca="1">IF(AND('Budgeting Model'!AN17&lt;&gt;"",ABS('Budgeting Model'!AN17-'Scratch Sheet'!AN17)&lt;0.01),$CG$72,0)</f>
        <v>0.02</v>
      </c>
      <c r="DN91" s="5">
        <f ca="1">IF(AND('Budgeting Model'!AO17&lt;&gt;"",ABS('Budgeting Model'!AO17-'Scratch Sheet'!AO17)&lt;0.01),$CG$72,0)</f>
        <v>0.02</v>
      </c>
      <c r="DO91" s="5">
        <f ca="1">IF(AND('Budgeting Model'!AP17&lt;&gt;"",ABS('Budgeting Model'!AP17-'Scratch Sheet'!AP17)&lt;0.01),$CG$72,0)</f>
        <v>0.02</v>
      </c>
    </row>
    <row r="92" spans="2:119">
      <c r="B92" s="5"/>
      <c r="C92" s="17"/>
      <c r="D92" s="16"/>
      <c r="E92" s="1"/>
      <c r="F92" s="1"/>
      <c r="G92" s="1"/>
      <c r="H92" s="1"/>
      <c r="L92" s="106"/>
      <c r="CA92" s="5">
        <f>IF(AND('Budgeting Model'!B18&lt;&gt;"",'Budgeting Model'!B18='Scratch Sheet'!B18),$CG$72,0)</f>
        <v>0.02</v>
      </c>
      <c r="CB92" s="5">
        <f ca="1">IF(AND('Budgeting Model'!C18&lt;&gt;"",'Budgeting Model'!C18='Scratch Sheet'!C18),$CG$72,0)</f>
        <v>0.02</v>
      </c>
      <c r="CC92" s="5">
        <f>IF(AND('Budgeting Model'!D18&lt;&gt;"",'Budgeting Model'!D18='Scratch Sheet'!D18),$CG$72,0)</f>
        <v>0.02</v>
      </c>
      <c r="CD92" s="5">
        <f ca="1">IF(OR(AND('Budgeting Model'!E18="",'Budgeting Model'!D18&lt;&gt;"Vacant"),'Budgeting Model'!E18&lt;&gt;'Scratch Sheet'!E18),0,$CG$72)</f>
        <v>0.02</v>
      </c>
      <c r="CE92" s="5">
        <f ca="1">IF(AND('Budgeting Model'!F18&lt;&gt;"",'Budgeting Model'!F18='Scratch Sheet'!F18),$CG$72,0)</f>
        <v>0.02</v>
      </c>
      <c r="CF92" s="5">
        <f ca="1">IF(AND('Budgeting Model'!G18&lt;&gt;"",ABS('Budgeting Model'!G18-'Scratch Sheet'!G18)&lt;0.01),$CG$72,0)</f>
        <v>0.02</v>
      </c>
      <c r="CG92" s="5" t="s">
        <v>550</v>
      </c>
      <c r="CH92" s="5" t="s">
        <v>550</v>
      </c>
      <c r="CI92" s="5">
        <f ca="1">IF(AND('Budgeting Model'!J18&lt;&gt;"",ABS('Budgeting Model'!J18-'Scratch Sheet'!J18)&lt;0.01),$CG$72,0)</f>
        <v>0.02</v>
      </c>
      <c r="CJ92" s="5" t="s">
        <v>550</v>
      </c>
      <c r="CK92" s="5">
        <f ca="1">IF(AND('Budgeting Model'!L18&lt;&gt;"",ABS('Budgeting Model'!L18-'Scratch Sheet'!L18)&lt;0.01),$CG$72,0)</f>
        <v>0.02</v>
      </c>
      <c r="CL92" s="5" t="s">
        <v>550</v>
      </c>
      <c r="CM92" s="5">
        <f>IF(AND('Budgeting Model'!N18="",'Budgeting Model'!N18&lt;&gt;'Scratch Sheet'!N18),0,$CG$72)</f>
        <v>0.02</v>
      </c>
      <c r="CN92" s="5" t="s">
        <v>550</v>
      </c>
      <c r="CO92" s="5">
        <f>IF(AND('Budgeting Model'!P18&lt;&gt;"",ABS('Budgeting Model'!P18-'Scratch Sheet'!P18)&lt;0.01),$CG$72,0)</f>
        <v>0.02</v>
      </c>
      <c r="CP92" s="5">
        <f ca="1">IF(AND('Budgeting Model'!Q18&lt;&gt;"",ABS('Budgeting Model'!Q18-'Scratch Sheet'!Q18)&lt;0.01),$CG$72,0)</f>
        <v>0.02</v>
      </c>
      <c r="CQ92" s="5">
        <f>IF(AND('Budgeting Model'!R18&lt;&gt;"",ABS('Budgeting Model'!R18-'Scratch Sheet'!R18)&lt;0.01),$CG$72,0)</f>
        <v>0.02</v>
      </c>
      <c r="CR92" s="5">
        <f ca="1">IF(AND('Budgeting Model'!S18&lt;&gt;"",ABS('Budgeting Model'!S18-'Scratch Sheet'!S18)&lt;0.01),$CG$72,0)</f>
        <v>0.02</v>
      </c>
      <c r="CS92" s="5">
        <f ca="1">IF(AND('Budgeting Model'!T18&lt;&gt;"",ABS('Budgeting Model'!T18-'Scratch Sheet'!T18)&lt;0.01),$CG$72,0)</f>
        <v>0.02</v>
      </c>
      <c r="CT92" s="5">
        <f ca="1">IF(AND('Budgeting Model'!U18&lt;&gt;"",ABS('Budgeting Model'!U18-'Scratch Sheet'!U18)&lt;0.01),$CG$72,0)</f>
        <v>0.02</v>
      </c>
      <c r="CU92" s="5">
        <f ca="1">IF(AND('Budgeting Model'!V18&lt;&gt;"",ABS('Budgeting Model'!V18-'Scratch Sheet'!V18)&lt;0.01),$CG$72,0)</f>
        <v>0.02</v>
      </c>
      <c r="CV92" s="5" t="s">
        <v>550</v>
      </c>
      <c r="CW92" s="5" t="s">
        <v>550</v>
      </c>
      <c r="CX92" s="5">
        <f ca="1">IF(AND('Budgeting Model'!Y18&lt;&gt;"",ABS('Budgeting Model'!Y18-'Scratch Sheet'!Y18)&lt;0.01),$CG$72,0)</f>
        <v>0.02</v>
      </c>
      <c r="CY92" s="5" t="s">
        <v>550</v>
      </c>
      <c r="CZ92" s="5">
        <f ca="1">IF(AND('Budgeting Model'!AA18&lt;&gt;"",ABS('Budgeting Model'!AA18-'Scratch Sheet'!AA18)&lt;0.01),$CG$72,0)</f>
        <v>0.02</v>
      </c>
      <c r="DA92" s="5" t="s">
        <v>550</v>
      </c>
      <c r="DB92" s="5">
        <f ca="1">IF(AND('Budgeting Model'!AC18="",'Budgeting Model'!AC18&lt;&gt;'Scratch Sheet'!AC18),0,$CG$72)</f>
        <v>0.02</v>
      </c>
      <c r="DC92" s="5" t="s">
        <v>550</v>
      </c>
      <c r="DD92" s="5">
        <f ca="1">IF(AND('Budgeting Model'!AE18&lt;&gt;"",ABS('Budgeting Model'!AE18-'Scratch Sheet'!AE18)&lt;0.01),$CG$72,0)</f>
        <v>0.02</v>
      </c>
      <c r="DE92" s="5">
        <f ca="1">IF(AND('Budgeting Model'!AF18&lt;&gt;"",ABS('Budgeting Model'!AF18-'Scratch Sheet'!AF18)&lt;0.01),$CG$72,0)</f>
        <v>0.02</v>
      </c>
      <c r="DF92" s="5">
        <f ca="1">IF(AND('Budgeting Model'!AG18&lt;&gt;"",ABS('Budgeting Model'!AG18-'Scratch Sheet'!AG18)&lt;0.01),$CG$72,0)</f>
        <v>0.02</v>
      </c>
      <c r="DG92" s="5">
        <f ca="1">IF(AND('Budgeting Model'!AH18&lt;&gt;"",ABS('Budgeting Model'!AH18-'Scratch Sheet'!AH18)&lt;0.01),$CG$72,0)</f>
        <v>0.02</v>
      </c>
      <c r="DH92" s="5">
        <f ca="1">IF(AND('Budgeting Model'!AI18&lt;&gt;"",ABS('Budgeting Model'!AI18-'Scratch Sheet'!AI18)&lt;0.01),$CG$72,0)</f>
        <v>0.02</v>
      </c>
      <c r="DI92" s="5">
        <f ca="1">IF(AND('Budgeting Model'!AJ18&lt;&gt;"",ABS('Budgeting Model'!AJ18-'Scratch Sheet'!AJ18)&lt;0.01),$CG$72,0)</f>
        <v>0.02</v>
      </c>
      <c r="DJ92" s="5">
        <f ca="1">IF(AND('Budgeting Model'!AK18&lt;&gt;"",ABS('Budgeting Model'!AK18-'Scratch Sheet'!AK18)&lt;0.01),$CG$72,0)</f>
        <v>0.02</v>
      </c>
      <c r="DK92" s="5" t="s">
        <v>550</v>
      </c>
      <c r="DL92" s="5">
        <f ca="1">IF(AND('Budgeting Model'!AM18&lt;&gt;"",ABS('Budgeting Model'!AM18-'Scratch Sheet'!AM18)&lt;0.01),$CG$72,0)</f>
        <v>0.02</v>
      </c>
      <c r="DM92" s="5">
        <f ca="1">IF(AND('Budgeting Model'!AN18&lt;&gt;"",ABS('Budgeting Model'!AN18-'Scratch Sheet'!AN18)&lt;0.01),$CG$72,0)</f>
        <v>0.02</v>
      </c>
      <c r="DN92" s="5">
        <f ca="1">IF(AND('Budgeting Model'!AO18&lt;&gt;"",ABS('Budgeting Model'!AO18-'Scratch Sheet'!AO18)&lt;0.01),$CG$72,0)</f>
        <v>0.02</v>
      </c>
      <c r="DO92" s="5">
        <f ca="1">IF(AND('Budgeting Model'!AP18&lt;&gt;"",ABS('Budgeting Model'!AP18-'Scratch Sheet'!AP18)&lt;0.01),$CG$72,0)</f>
        <v>0.02</v>
      </c>
    </row>
    <row r="93" spans="2:119">
      <c r="B93" s="5"/>
      <c r="C93" s="17"/>
      <c r="D93" s="16"/>
      <c r="E93" s="1"/>
      <c r="F93" s="1"/>
      <c r="G93" s="1"/>
      <c r="H93" s="1"/>
      <c r="L93" s="106"/>
      <c r="CA93" s="5">
        <f>IF(AND('Budgeting Model'!B19&lt;&gt;"",'Budgeting Model'!B19='Scratch Sheet'!B19),$CG$72,0)</f>
        <v>0.02</v>
      </c>
      <c r="CB93" s="5">
        <f ca="1">IF(AND('Budgeting Model'!C19&lt;&gt;"",'Budgeting Model'!C19='Scratch Sheet'!C19),$CG$72,0)</f>
        <v>0.02</v>
      </c>
      <c r="CC93" s="5">
        <f>IF(AND('Budgeting Model'!D19&lt;&gt;"",'Budgeting Model'!D19='Scratch Sheet'!D19),$CG$72,0)</f>
        <v>0.02</v>
      </c>
      <c r="CD93" s="5">
        <f ca="1">IF(OR(AND('Budgeting Model'!E19="",'Budgeting Model'!D19&lt;&gt;"Vacant"),'Budgeting Model'!E19&lt;&gt;'Scratch Sheet'!E19),0,$CG$72)</f>
        <v>0.02</v>
      </c>
      <c r="CE93" s="5">
        <f ca="1">IF(AND('Budgeting Model'!F19&lt;&gt;"",'Budgeting Model'!F19='Scratch Sheet'!F19),$CG$72,0)</f>
        <v>0.02</v>
      </c>
      <c r="CF93" s="5">
        <f ca="1">IF(AND('Budgeting Model'!G19&lt;&gt;"",ABS('Budgeting Model'!G19-'Scratch Sheet'!G19)&lt;0.01),$CG$72,0)</f>
        <v>0.02</v>
      </c>
      <c r="CG93" s="5" t="s">
        <v>550</v>
      </c>
      <c r="CH93" s="5" t="s">
        <v>550</v>
      </c>
      <c r="CI93" s="5">
        <f ca="1">IF(AND('Budgeting Model'!J19&lt;&gt;"",ABS('Budgeting Model'!J19-'Scratch Sheet'!J19)&lt;0.01),$CG$72,0)</f>
        <v>0.02</v>
      </c>
      <c r="CJ93" s="5" t="s">
        <v>550</v>
      </c>
      <c r="CK93" s="5">
        <f ca="1">IF(AND('Budgeting Model'!L19&lt;&gt;"",ABS('Budgeting Model'!L19-'Scratch Sheet'!L19)&lt;0.01),$CG$72,0)</f>
        <v>0.02</v>
      </c>
      <c r="CL93" s="5" t="s">
        <v>550</v>
      </c>
      <c r="CM93" s="5">
        <f ca="1">IF(AND('Budgeting Model'!N19="",'Budgeting Model'!N19&lt;&gt;'Scratch Sheet'!N19),0,$CG$72)</f>
        <v>0.02</v>
      </c>
      <c r="CN93" s="5" t="s">
        <v>550</v>
      </c>
      <c r="CO93" s="5">
        <f ca="1">IF(AND('Budgeting Model'!P19&lt;&gt;"",ABS('Budgeting Model'!P19-'Scratch Sheet'!P19)&lt;0.01),$CG$72,0)</f>
        <v>0.02</v>
      </c>
      <c r="CP93" s="5">
        <f ca="1">IF(AND('Budgeting Model'!Q19&lt;&gt;"",ABS('Budgeting Model'!Q19-'Scratch Sheet'!Q19)&lt;0.01),$CG$72,0)</f>
        <v>0.02</v>
      </c>
      <c r="CQ93" s="5">
        <f ca="1">IF(AND('Budgeting Model'!R19&lt;&gt;"",ABS('Budgeting Model'!R19-'Scratch Sheet'!R19)&lt;0.01),$CG$72,0)</f>
        <v>0.02</v>
      </c>
      <c r="CR93" s="5">
        <f ca="1">IF(AND('Budgeting Model'!S19&lt;&gt;"",ABS('Budgeting Model'!S19-'Scratch Sheet'!S19)&lt;0.01),$CG$72,0)</f>
        <v>0.02</v>
      </c>
      <c r="CS93" s="5">
        <f ca="1">IF(AND('Budgeting Model'!T19&lt;&gt;"",ABS('Budgeting Model'!T19-'Scratch Sheet'!T19)&lt;0.01),$CG$72,0)</f>
        <v>0.02</v>
      </c>
      <c r="CT93" s="5">
        <f ca="1">IF(AND('Budgeting Model'!U19&lt;&gt;"",ABS('Budgeting Model'!U19-'Scratch Sheet'!U19)&lt;0.01),$CG$72,0)</f>
        <v>0.02</v>
      </c>
      <c r="CU93" s="5">
        <f ca="1">IF(AND('Budgeting Model'!V19&lt;&gt;"",ABS('Budgeting Model'!V19-'Scratch Sheet'!V19)&lt;0.01),$CG$72,0)</f>
        <v>0.02</v>
      </c>
      <c r="CV93" s="5" t="s">
        <v>550</v>
      </c>
      <c r="CW93" s="5" t="s">
        <v>550</v>
      </c>
      <c r="CX93" s="5">
        <f ca="1">IF(AND('Budgeting Model'!Y19&lt;&gt;"",ABS('Budgeting Model'!Y19-'Scratch Sheet'!Y19)&lt;0.01),$CG$72,0)</f>
        <v>0.02</v>
      </c>
      <c r="CY93" s="5" t="s">
        <v>550</v>
      </c>
      <c r="CZ93" s="5">
        <f ca="1">IF(AND('Budgeting Model'!AA19&lt;&gt;"",ABS('Budgeting Model'!AA19-'Scratch Sheet'!AA19)&lt;0.01),$CG$72,0)</f>
        <v>0.02</v>
      </c>
      <c r="DA93" s="5" t="s">
        <v>550</v>
      </c>
      <c r="DB93" s="5">
        <f ca="1">IF(AND('Budgeting Model'!AC19="",'Budgeting Model'!AC19&lt;&gt;'Scratch Sheet'!AC19),0,$CG$72)</f>
        <v>0.02</v>
      </c>
      <c r="DC93" s="5" t="s">
        <v>550</v>
      </c>
      <c r="DD93" s="5">
        <f ca="1">IF(AND('Budgeting Model'!AE19&lt;&gt;"",ABS('Budgeting Model'!AE19-'Scratch Sheet'!AE19)&lt;0.01),$CG$72,0)</f>
        <v>0.02</v>
      </c>
      <c r="DE93" s="5">
        <f ca="1">IF(AND('Budgeting Model'!AF19&lt;&gt;"",ABS('Budgeting Model'!AF19-'Scratch Sheet'!AF19)&lt;0.01),$CG$72,0)</f>
        <v>0.02</v>
      </c>
      <c r="DF93" s="5">
        <f ca="1">IF(AND('Budgeting Model'!AG19&lt;&gt;"",ABS('Budgeting Model'!AG19-'Scratch Sheet'!AG19)&lt;0.01),$CG$72,0)</f>
        <v>0.02</v>
      </c>
      <c r="DG93" s="5">
        <f ca="1">IF(AND('Budgeting Model'!AH19&lt;&gt;"",ABS('Budgeting Model'!AH19-'Scratch Sheet'!AH19)&lt;0.01),$CG$72,0)</f>
        <v>0.02</v>
      </c>
      <c r="DH93" s="5">
        <f ca="1">IF(AND('Budgeting Model'!AI19&lt;&gt;"",ABS('Budgeting Model'!AI19-'Scratch Sheet'!AI19)&lt;0.01),$CG$72,0)</f>
        <v>0.02</v>
      </c>
      <c r="DI93" s="5">
        <f ca="1">IF(AND('Budgeting Model'!AJ19&lt;&gt;"",ABS('Budgeting Model'!AJ19-'Scratch Sheet'!AJ19)&lt;0.01),$CG$72,0)</f>
        <v>0.02</v>
      </c>
      <c r="DJ93" s="5">
        <f ca="1">IF(AND('Budgeting Model'!AK19&lt;&gt;"",ABS('Budgeting Model'!AK19-'Scratch Sheet'!AK19)&lt;0.01),$CG$72,0)</f>
        <v>0.02</v>
      </c>
      <c r="DK93" s="5" t="s">
        <v>550</v>
      </c>
      <c r="DL93" s="5">
        <f ca="1">IF(AND('Budgeting Model'!AM19&lt;&gt;"",ABS('Budgeting Model'!AM19-'Scratch Sheet'!AM19)&lt;0.01),$CG$72,0)</f>
        <v>0.02</v>
      </c>
      <c r="DM93" s="5">
        <f ca="1">IF(AND('Budgeting Model'!AN19&lt;&gt;"",ABS('Budgeting Model'!AN19-'Scratch Sheet'!AN19)&lt;0.01),$CG$72,0)</f>
        <v>0.02</v>
      </c>
      <c r="DN93" s="5">
        <f ca="1">IF(AND('Budgeting Model'!AO19&lt;&gt;"",ABS('Budgeting Model'!AO19-'Scratch Sheet'!AO19)&lt;0.01),$CG$72,0)</f>
        <v>0.02</v>
      </c>
      <c r="DO93" s="5">
        <f ca="1">IF(AND('Budgeting Model'!AP19&lt;&gt;"",ABS('Budgeting Model'!AP19-'Scratch Sheet'!AP19)&lt;0.01),$CG$72,0)</f>
        <v>0.02</v>
      </c>
    </row>
    <row r="94" spans="2:119">
      <c r="B94" s="5"/>
      <c r="C94" s="17"/>
      <c r="D94" s="16"/>
      <c r="E94" s="1"/>
      <c r="F94" s="1"/>
      <c r="G94" s="1"/>
      <c r="H94" s="1"/>
      <c r="L94" s="106"/>
      <c r="CA94" s="5">
        <f>IF(AND('Budgeting Model'!B20&lt;&gt;"",'Budgeting Model'!B20='Scratch Sheet'!B20),$CG$72,0)</f>
        <v>0.02</v>
      </c>
      <c r="CB94" s="5">
        <f ca="1">IF(AND('Budgeting Model'!C20&lt;&gt;"",'Budgeting Model'!C20='Scratch Sheet'!C20),$CG$72,0)</f>
        <v>0.02</v>
      </c>
      <c r="CC94" s="5">
        <f>IF(AND('Budgeting Model'!D20&lt;&gt;"",'Budgeting Model'!D20='Scratch Sheet'!D20),$CG$72,0)</f>
        <v>0.02</v>
      </c>
      <c r="CD94" s="5">
        <f ca="1">IF(OR(AND('Budgeting Model'!E20="",'Budgeting Model'!D20&lt;&gt;"Vacant"),'Budgeting Model'!E20&lt;&gt;'Scratch Sheet'!E20),0,$CG$72)</f>
        <v>0.02</v>
      </c>
      <c r="CE94" s="5">
        <f ca="1">IF(AND('Budgeting Model'!F20&lt;&gt;"",'Budgeting Model'!F20='Scratch Sheet'!F20),$CG$72,0)</f>
        <v>0.02</v>
      </c>
      <c r="CF94" s="5">
        <f ca="1">IF(AND('Budgeting Model'!G20&lt;&gt;"",ABS('Budgeting Model'!G20-'Scratch Sheet'!G20)&lt;0.01),$CG$72,0)</f>
        <v>0.02</v>
      </c>
      <c r="CG94" s="5" t="s">
        <v>550</v>
      </c>
      <c r="CH94" s="5" t="s">
        <v>550</v>
      </c>
      <c r="CI94" s="5">
        <f ca="1">IF(AND('Budgeting Model'!J20&lt;&gt;"",ABS('Budgeting Model'!J20-'Scratch Sheet'!J20)&lt;0.01),$CG$72,0)</f>
        <v>0.02</v>
      </c>
      <c r="CJ94" s="5" t="s">
        <v>550</v>
      </c>
      <c r="CK94" s="5">
        <f ca="1">IF(AND('Budgeting Model'!L20&lt;&gt;"",ABS('Budgeting Model'!L20-'Scratch Sheet'!L20)&lt;0.01),$CG$72,0)</f>
        <v>0.02</v>
      </c>
      <c r="CL94" s="5" t="s">
        <v>550</v>
      </c>
      <c r="CM94" s="5">
        <f ca="1">IF(AND('Budgeting Model'!N20="",'Budgeting Model'!N20&lt;&gt;'Scratch Sheet'!N20),0,$CG$72)</f>
        <v>0.02</v>
      </c>
      <c r="CN94" s="5" t="s">
        <v>550</v>
      </c>
      <c r="CO94" s="5">
        <f ca="1">IF(AND('Budgeting Model'!P20&lt;&gt;"",ABS('Budgeting Model'!P20-'Scratch Sheet'!P20)&lt;0.01),$CG$72,0)</f>
        <v>0.02</v>
      </c>
      <c r="CP94" s="5">
        <f ca="1">IF(AND('Budgeting Model'!Q20&lt;&gt;"",ABS('Budgeting Model'!Q20-'Scratch Sheet'!Q20)&lt;0.01),$CG$72,0)</f>
        <v>0.02</v>
      </c>
      <c r="CQ94" s="5">
        <f ca="1">IF(AND('Budgeting Model'!R20&lt;&gt;"",ABS('Budgeting Model'!R20-'Scratch Sheet'!R20)&lt;0.01),$CG$72,0)</f>
        <v>0.02</v>
      </c>
      <c r="CR94" s="5">
        <f ca="1">IF(AND('Budgeting Model'!S20&lt;&gt;"",ABS('Budgeting Model'!S20-'Scratch Sheet'!S20)&lt;0.01),$CG$72,0)</f>
        <v>0.02</v>
      </c>
      <c r="CS94" s="5">
        <f ca="1">IF(AND('Budgeting Model'!T20&lt;&gt;"",ABS('Budgeting Model'!T20-'Scratch Sheet'!T20)&lt;0.01),$CG$72,0)</f>
        <v>0.02</v>
      </c>
      <c r="CT94" s="5">
        <f ca="1">IF(AND('Budgeting Model'!U20&lt;&gt;"",ABS('Budgeting Model'!U20-'Scratch Sheet'!U20)&lt;0.01),$CG$72,0)</f>
        <v>0.02</v>
      </c>
      <c r="CU94" s="5">
        <f ca="1">IF(AND('Budgeting Model'!V20&lt;&gt;"",ABS('Budgeting Model'!V20-'Scratch Sheet'!V20)&lt;0.01),$CG$72,0)</f>
        <v>0.02</v>
      </c>
      <c r="CV94" s="5" t="s">
        <v>550</v>
      </c>
      <c r="CW94" s="5" t="s">
        <v>550</v>
      </c>
      <c r="CX94" s="5">
        <f ca="1">IF(AND('Budgeting Model'!Y20&lt;&gt;"",ABS('Budgeting Model'!Y20-'Scratch Sheet'!Y20)&lt;0.01),$CG$72,0)</f>
        <v>0.02</v>
      </c>
      <c r="CY94" s="5" t="s">
        <v>550</v>
      </c>
      <c r="CZ94" s="5">
        <f ca="1">IF(AND('Budgeting Model'!AA20&lt;&gt;"",ABS('Budgeting Model'!AA20-'Scratch Sheet'!AA20)&lt;0.01),$CG$72,0)</f>
        <v>0.02</v>
      </c>
      <c r="DA94" s="5" t="s">
        <v>550</v>
      </c>
      <c r="DB94" s="5">
        <f ca="1">IF(AND('Budgeting Model'!AC20="",'Budgeting Model'!AC20&lt;&gt;'Scratch Sheet'!AC20),0,$CG$72)</f>
        <v>0.02</v>
      </c>
      <c r="DC94" s="5" t="s">
        <v>550</v>
      </c>
      <c r="DD94" s="5">
        <f ca="1">IF(AND('Budgeting Model'!AE20&lt;&gt;"",ABS('Budgeting Model'!AE20-'Scratch Sheet'!AE20)&lt;0.01),$CG$72,0)</f>
        <v>0.02</v>
      </c>
      <c r="DE94" s="5">
        <f ca="1">IF(AND('Budgeting Model'!AF20&lt;&gt;"",ABS('Budgeting Model'!AF20-'Scratch Sheet'!AF20)&lt;0.01),$CG$72,0)</f>
        <v>0.02</v>
      </c>
      <c r="DF94" s="5">
        <f ca="1">IF(AND('Budgeting Model'!AG20&lt;&gt;"",ABS('Budgeting Model'!AG20-'Scratch Sheet'!AG20)&lt;0.01),$CG$72,0)</f>
        <v>0.02</v>
      </c>
      <c r="DG94" s="5">
        <f ca="1">IF(AND('Budgeting Model'!AH20&lt;&gt;"",ABS('Budgeting Model'!AH20-'Scratch Sheet'!AH20)&lt;0.01),$CG$72,0)</f>
        <v>0.02</v>
      </c>
      <c r="DH94" s="5">
        <f ca="1">IF(AND('Budgeting Model'!AI20&lt;&gt;"",ABS('Budgeting Model'!AI20-'Scratch Sheet'!AI20)&lt;0.01),$CG$72,0)</f>
        <v>0.02</v>
      </c>
      <c r="DI94" s="5">
        <f ca="1">IF(AND('Budgeting Model'!AJ20&lt;&gt;"",ABS('Budgeting Model'!AJ20-'Scratch Sheet'!AJ20)&lt;0.01),$CG$72,0)</f>
        <v>0.02</v>
      </c>
      <c r="DJ94" s="5">
        <f ca="1">IF(AND('Budgeting Model'!AK20&lt;&gt;"",ABS('Budgeting Model'!AK20-'Scratch Sheet'!AK20)&lt;0.01),$CG$72,0)</f>
        <v>0.02</v>
      </c>
      <c r="DK94" s="5" t="s">
        <v>550</v>
      </c>
      <c r="DL94" s="5">
        <f ca="1">IF(AND('Budgeting Model'!AM20&lt;&gt;"",ABS('Budgeting Model'!AM20-'Scratch Sheet'!AM20)&lt;0.01),$CG$72,0)</f>
        <v>0.02</v>
      </c>
      <c r="DM94" s="5">
        <f ca="1">IF(AND('Budgeting Model'!AN20&lt;&gt;"",ABS('Budgeting Model'!AN20-'Scratch Sheet'!AN20)&lt;0.01),$CG$72,0)</f>
        <v>0.02</v>
      </c>
      <c r="DN94" s="5">
        <f ca="1">IF(AND('Budgeting Model'!AO20&lt;&gt;"",ABS('Budgeting Model'!AO20-'Scratch Sheet'!AO20)&lt;0.01),$CG$72,0)</f>
        <v>0.02</v>
      </c>
      <c r="DO94" s="5">
        <f ca="1">IF(AND('Budgeting Model'!AP20&lt;&gt;"",ABS('Budgeting Model'!AP20-'Scratch Sheet'!AP20)&lt;0.01),$CG$72,0)</f>
        <v>0.02</v>
      </c>
    </row>
    <row r="95" spans="2:119">
      <c r="B95" s="5"/>
      <c r="C95" s="17"/>
      <c r="D95" s="16"/>
      <c r="E95" s="22"/>
      <c r="F95" s="22"/>
      <c r="CA95" s="5">
        <f>IF(AND('Budgeting Model'!B21&lt;&gt;"",'Budgeting Model'!B21='Scratch Sheet'!B21),$CG$72,0)</f>
        <v>0.02</v>
      </c>
      <c r="CB95" s="5">
        <f ca="1">IF(AND('Budgeting Model'!C21&lt;&gt;"",'Budgeting Model'!C21='Scratch Sheet'!C21),$CG$72,0)</f>
        <v>0.02</v>
      </c>
      <c r="CC95" s="5">
        <f>IF(AND('Budgeting Model'!D21&lt;&gt;"",'Budgeting Model'!D21='Scratch Sheet'!D21),$CG$72,0)</f>
        <v>0.02</v>
      </c>
      <c r="CD95" s="5">
        <f ca="1">IF(OR(AND('Budgeting Model'!E21="",'Budgeting Model'!D21&lt;&gt;"Vacant"),'Budgeting Model'!E21&lt;&gt;'Scratch Sheet'!E21),0,$CG$72)</f>
        <v>0.02</v>
      </c>
      <c r="CE95" s="5">
        <f ca="1">IF(AND('Budgeting Model'!F21&lt;&gt;"",'Budgeting Model'!F21='Scratch Sheet'!F21),$CG$72,0)</f>
        <v>0.02</v>
      </c>
      <c r="CF95" s="5">
        <f ca="1">IF(AND('Budgeting Model'!G21&lt;&gt;"",ABS('Budgeting Model'!G21-'Scratch Sheet'!G21)&lt;0.01),$CG$72,0)</f>
        <v>0.02</v>
      </c>
      <c r="CG95" s="5" t="s">
        <v>550</v>
      </c>
      <c r="CH95" s="5" t="s">
        <v>550</v>
      </c>
      <c r="CI95" s="5">
        <f ca="1">IF(AND('Budgeting Model'!J21&lt;&gt;"",ABS('Budgeting Model'!J21-'Scratch Sheet'!J21)&lt;0.01),$CG$72,0)</f>
        <v>0.02</v>
      </c>
      <c r="CJ95" s="5" t="s">
        <v>550</v>
      </c>
      <c r="CK95" s="5">
        <f>IF(AND('Budgeting Model'!L21&lt;&gt;"",ABS('Budgeting Model'!L21-'Scratch Sheet'!L21)&lt;0.01),$CG$72,0)</f>
        <v>0.02</v>
      </c>
      <c r="CL95" s="5" t="s">
        <v>550</v>
      </c>
      <c r="CM95" s="5">
        <f ca="1">IF(AND('Budgeting Model'!N21="",'Budgeting Model'!N21&lt;&gt;'Scratch Sheet'!N21),0,$CG$72)</f>
        <v>0.02</v>
      </c>
      <c r="CN95" s="5" t="s">
        <v>550</v>
      </c>
      <c r="CO95" s="5">
        <f ca="1">IF(AND('Budgeting Model'!P21&lt;&gt;"",ABS('Budgeting Model'!P21-'Scratch Sheet'!P21)&lt;0.01),$CG$72,0)</f>
        <v>0.02</v>
      </c>
      <c r="CP95" s="5">
        <f ca="1">IF(AND('Budgeting Model'!Q21&lt;&gt;"",ABS('Budgeting Model'!Q21-'Scratch Sheet'!Q21)&lt;0.01),$CG$72,0)</f>
        <v>0.02</v>
      </c>
      <c r="CQ95" s="5">
        <f ca="1">IF(AND('Budgeting Model'!R21&lt;&gt;"",ABS('Budgeting Model'!R21-'Scratch Sheet'!R21)&lt;0.01),$CG$72,0)</f>
        <v>0.02</v>
      </c>
      <c r="CR95" s="5">
        <f ca="1">IF(AND('Budgeting Model'!S21&lt;&gt;"",ABS('Budgeting Model'!S21-'Scratch Sheet'!S21)&lt;0.01),$CG$72,0)</f>
        <v>0.02</v>
      </c>
      <c r="CS95" s="5">
        <f ca="1">IF(AND('Budgeting Model'!T21&lt;&gt;"",ABS('Budgeting Model'!T21-'Scratch Sheet'!T21)&lt;0.01),$CG$72,0)</f>
        <v>0.02</v>
      </c>
      <c r="CT95" s="5">
        <f ca="1">IF(AND('Budgeting Model'!U21&lt;&gt;"",ABS('Budgeting Model'!U21-'Scratch Sheet'!U21)&lt;0.01),$CG$72,0)</f>
        <v>0.02</v>
      </c>
      <c r="CU95" s="5">
        <f ca="1">IF(AND('Budgeting Model'!V21&lt;&gt;"",ABS('Budgeting Model'!V21-'Scratch Sheet'!V21)&lt;0.01),$CG$72,0)</f>
        <v>0.02</v>
      </c>
      <c r="CV95" s="5" t="s">
        <v>550</v>
      </c>
      <c r="CW95" s="5" t="s">
        <v>550</v>
      </c>
      <c r="CX95" s="5">
        <f ca="1">IF(AND('Budgeting Model'!Y21&lt;&gt;"",ABS('Budgeting Model'!Y21-'Scratch Sheet'!Y21)&lt;0.01),$CG$72,0)</f>
        <v>0.02</v>
      </c>
      <c r="CY95" s="5" t="s">
        <v>550</v>
      </c>
      <c r="CZ95" s="5">
        <f>IF(AND('Budgeting Model'!AA21&lt;&gt;"",ABS('Budgeting Model'!AA21-'Scratch Sheet'!AA21)&lt;0.01),$CG$72,0)</f>
        <v>0.02</v>
      </c>
      <c r="DA95" s="5" t="s">
        <v>550</v>
      </c>
      <c r="DB95" s="5">
        <f ca="1">IF(AND('Budgeting Model'!AC21="",'Budgeting Model'!AC21&lt;&gt;'Scratch Sheet'!AC21),0,$CG$72)</f>
        <v>0.02</v>
      </c>
      <c r="DC95" s="5" t="s">
        <v>550</v>
      </c>
      <c r="DD95" s="5">
        <f ca="1">IF(AND('Budgeting Model'!AE21&lt;&gt;"",ABS('Budgeting Model'!AE21-'Scratch Sheet'!AE21)&lt;0.01),$CG$72,0)</f>
        <v>0.02</v>
      </c>
      <c r="DE95" s="5">
        <f ca="1">IF(AND('Budgeting Model'!AF21&lt;&gt;"",ABS('Budgeting Model'!AF21-'Scratch Sheet'!AF21)&lt;0.01),$CG$72,0)</f>
        <v>0.02</v>
      </c>
      <c r="DF95" s="5">
        <f ca="1">IF(AND('Budgeting Model'!AG21&lt;&gt;"",ABS('Budgeting Model'!AG21-'Scratch Sheet'!AG21)&lt;0.01),$CG$72,0)</f>
        <v>0.02</v>
      </c>
      <c r="DG95" s="5">
        <f ca="1">IF(AND('Budgeting Model'!AH21&lt;&gt;"",ABS('Budgeting Model'!AH21-'Scratch Sheet'!AH21)&lt;0.01),$CG$72,0)</f>
        <v>0.02</v>
      </c>
      <c r="DH95" s="5">
        <f ca="1">IF(AND('Budgeting Model'!AI21&lt;&gt;"",ABS('Budgeting Model'!AI21-'Scratch Sheet'!AI21)&lt;0.01),$CG$72,0)</f>
        <v>0.02</v>
      </c>
      <c r="DI95" s="5">
        <f ca="1">IF(AND('Budgeting Model'!AJ21&lt;&gt;"",ABS('Budgeting Model'!AJ21-'Scratch Sheet'!AJ21)&lt;0.01),$CG$72,0)</f>
        <v>0.02</v>
      </c>
      <c r="DJ95" s="5">
        <f ca="1">IF(AND('Budgeting Model'!AK21&lt;&gt;"",ABS('Budgeting Model'!AK21-'Scratch Sheet'!AK21)&lt;0.01),$CG$72,0)</f>
        <v>0.02</v>
      </c>
      <c r="DK95" s="5" t="s">
        <v>550</v>
      </c>
      <c r="DL95" s="5">
        <f ca="1">IF(AND('Budgeting Model'!AM21&lt;&gt;"",ABS('Budgeting Model'!AM21-'Scratch Sheet'!AM21)&lt;0.01),$CG$72,0)</f>
        <v>0.02</v>
      </c>
      <c r="DM95" s="5">
        <f ca="1">IF(AND('Budgeting Model'!AN21&lt;&gt;"",ABS('Budgeting Model'!AN21-'Scratch Sheet'!AN21)&lt;0.01),$CG$72,0)</f>
        <v>0.02</v>
      </c>
      <c r="DN95" s="5">
        <f ca="1">IF(AND('Budgeting Model'!AO21&lt;&gt;"",ABS('Budgeting Model'!AO21-'Scratch Sheet'!AO21)&lt;0.01),$CG$72,0)</f>
        <v>0.02</v>
      </c>
      <c r="DO95" s="5">
        <f ca="1">IF(AND('Budgeting Model'!AP21&lt;&gt;"",ABS('Budgeting Model'!AP21-'Scratch Sheet'!AP21)&lt;0.01),$CG$72,0)</f>
        <v>0.02</v>
      </c>
    </row>
    <row r="96" spans="2:119">
      <c r="B96" s="5"/>
      <c r="C96" s="17"/>
      <c r="D96" s="16"/>
      <c r="E96" s="22"/>
      <c r="F96" s="22"/>
      <c r="CA96" s="5">
        <f>IF(AND('Budgeting Model'!B22&lt;&gt;"",'Budgeting Model'!B22='Scratch Sheet'!B22),$CG$72,0)</f>
        <v>0.02</v>
      </c>
      <c r="CB96" s="5">
        <f ca="1">IF(AND('Budgeting Model'!C22&lt;&gt;"",'Budgeting Model'!C22='Scratch Sheet'!C22),$CG$72,0)</f>
        <v>0.02</v>
      </c>
      <c r="CC96" s="5">
        <f>IF(AND('Budgeting Model'!D22&lt;&gt;"",'Budgeting Model'!D22='Scratch Sheet'!D22),$CG$72,0)</f>
        <v>0.02</v>
      </c>
      <c r="CD96" s="5">
        <f ca="1">IF(OR(AND('Budgeting Model'!E22="",'Budgeting Model'!D22&lt;&gt;"Vacant"),'Budgeting Model'!E22&lt;&gt;'Scratch Sheet'!E22),0,$CG$72)</f>
        <v>0.02</v>
      </c>
      <c r="CE96" s="5">
        <f ca="1">IF(AND('Budgeting Model'!F22&lt;&gt;"",'Budgeting Model'!F22='Scratch Sheet'!F22),$CG$72,0)</f>
        <v>0.02</v>
      </c>
      <c r="CF96" s="5">
        <f ca="1">IF(AND('Budgeting Model'!G22&lt;&gt;"",ABS('Budgeting Model'!G22-'Scratch Sheet'!G22)&lt;0.01),$CG$72,0)</f>
        <v>0.02</v>
      </c>
      <c r="CG96" s="5" t="s">
        <v>550</v>
      </c>
      <c r="CH96" s="5" t="s">
        <v>550</v>
      </c>
      <c r="CI96" s="5">
        <f ca="1">IF(AND('Budgeting Model'!J22&lt;&gt;"",ABS('Budgeting Model'!J22-'Scratch Sheet'!J22)&lt;0.01),$CG$72,0)</f>
        <v>0.02</v>
      </c>
      <c r="CJ96" s="5" t="s">
        <v>550</v>
      </c>
      <c r="CK96" s="5">
        <f ca="1">IF(AND('Budgeting Model'!L22&lt;&gt;"",ABS('Budgeting Model'!L22-'Scratch Sheet'!L22)&lt;0.01),$CG$72,0)</f>
        <v>0.02</v>
      </c>
      <c r="CL96" s="5" t="s">
        <v>550</v>
      </c>
      <c r="CM96" s="5">
        <f ca="1">IF(AND('Budgeting Model'!N22="",'Budgeting Model'!N22&lt;&gt;'Scratch Sheet'!N22),0,$CG$72)</f>
        <v>0.02</v>
      </c>
      <c r="CN96" s="5" t="s">
        <v>550</v>
      </c>
      <c r="CO96" s="5">
        <f ca="1">IF(AND('Budgeting Model'!P22&lt;&gt;"",ABS('Budgeting Model'!P22-'Scratch Sheet'!P22)&lt;0.01),$CG$72,0)</f>
        <v>0.02</v>
      </c>
      <c r="CP96" s="5">
        <f ca="1">IF(AND('Budgeting Model'!Q22&lt;&gt;"",ABS('Budgeting Model'!Q22-'Scratch Sheet'!Q22)&lt;0.01),$CG$72,0)</f>
        <v>0.02</v>
      </c>
      <c r="CQ96" s="5">
        <f ca="1">IF(AND('Budgeting Model'!R22&lt;&gt;"",ABS('Budgeting Model'!R22-'Scratch Sheet'!R22)&lt;0.01),$CG$72,0)</f>
        <v>0.02</v>
      </c>
      <c r="CR96" s="5">
        <f ca="1">IF(AND('Budgeting Model'!S22&lt;&gt;"",ABS('Budgeting Model'!S22-'Scratch Sheet'!S22)&lt;0.01),$CG$72,0)</f>
        <v>0.02</v>
      </c>
      <c r="CS96" s="5">
        <f ca="1">IF(AND('Budgeting Model'!T22&lt;&gt;"",ABS('Budgeting Model'!T22-'Scratch Sheet'!T22)&lt;0.01),$CG$72,0)</f>
        <v>0.02</v>
      </c>
      <c r="CT96" s="5">
        <f ca="1">IF(AND('Budgeting Model'!U22&lt;&gt;"",ABS('Budgeting Model'!U22-'Scratch Sheet'!U22)&lt;0.01),$CG$72,0)</f>
        <v>0.02</v>
      </c>
      <c r="CU96" s="5">
        <f ca="1">IF(AND('Budgeting Model'!V22&lt;&gt;"",ABS('Budgeting Model'!V22-'Scratch Sheet'!V22)&lt;0.01),$CG$72,0)</f>
        <v>0.02</v>
      </c>
      <c r="CV96" s="5" t="s">
        <v>550</v>
      </c>
      <c r="CW96" s="5" t="s">
        <v>550</v>
      </c>
      <c r="CX96" s="5">
        <f ca="1">IF(AND('Budgeting Model'!Y22&lt;&gt;"",ABS('Budgeting Model'!Y22-'Scratch Sheet'!Y22)&lt;0.01),$CG$72,0)</f>
        <v>0.02</v>
      </c>
      <c r="CY96" s="5" t="s">
        <v>550</v>
      </c>
      <c r="CZ96" s="5">
        <f ca="1">IF(AND('Budgeting Model'!AA22&lt;&gt;"",ABS('Budgeting Model'!AA22-'Scratch Sheet'!AA22)&lt;0.01),$CG$72,0)</f>
        <v>0.02</v>
      </c>
      <c r="DA96" s="5" t="s">
        <v>550</v>
      </c>
      <c r="DB96" s="5">
        <f ca="1">IF(AND('Budgeting Model'!AC22="",'Budgeting Model'!AC22&lt;&gt;'Scratch Sheet'!AC22),0,$CG$72)</f>
        <v>0.02</v>
      </c>
      <c r="DC96" s="5" t="s">
        <v>550</v>
      </c>
      <c r="DD96" s="5">
        <f ca="1">IF(AND('Budgeting Model'!AE22&lt;&gt;"",ABS('Budgeting Model'!AE22-'Scratch Sheet'!AE22)&lt;0.01),$CG$72,0)</f>
        <v>0.02</v>
      </c>
      <c r="DE96" s="5">
        <f ca="1">IF(AND('Budgeting Model'!AF22&lt;&gt;"",ABS('Budgeting Model'!AF22-'Scratch Sheet'!AF22)&lt;0.01),$CG$72,0)</f>
        <v>0.02</v>
      </c>
      <c r="DF96" s="5">
        <f ca="1">IF(AND('Budgeting Model'!AG22&lt;&gt;"",ABS('Budgeting Model'!AG22-'Scratch Sheet'!AG22)&lt;0.01),$CG$72,0)</f>
        <v>0.02</v>
      </c>
      <c r="DG96" s="5">
        <f ca="1">IF(AND('Budgeting Model'!AH22&lt;&gt;"",ABS('Budgeting Model'!AH22-'Scratch Sheet'!AH22)&lt;0.01),$CG$72,0)</f>
        <v>0.02</v>
      </c>
      <c r="DH96" s="5">
        <f ca="1">IF(AND('Budgeting Model'!AI22&lt;&gt;"",ABS('Budgeting Model'!AI22-'Scratch Sheet'!AI22)&lt;0.01),$CG$72,0)</f>
        <v>0.02</v>
      </c>
      <c r="DI96" s="5">
        <f ca="1">IF(AND('Budgeting Model'!AJ22&lt;&gt;"",ABS('Budgeting Model'!AJ22-'Scratch Sheet'!AJ22)&lt;0.01),$CG$72,0)</f>
        <v>0.02</v>
      </c>
      <c r="DJ96" s="5">
        <f ca="1">IF(AND('Budgeting Model'!AK22&lt;&gt;"",ABS('Budgeting Model'!AK22-'Scratch Sheet'!AK22)&lt;0.01),$CG$72,0)</f>
        <v>0.02</v>
      </c>
      <c r="DK96" s="5" t="s">
        <v>550</v>
      </c>
      <c r="DL96" s="5">
        <f ca="1">IF(AND('Budgeting Model'!AM22&lt;&gt;"",ABS('Budgeting Model'!AM22-'Scratch Sheet'!AM22)&lt;0.01),$CG$72,0)</f>
        <v>0.02</v>
      </c>
      <c r="DM96" s="5">
        <f ca="1">IF(AND('Budgeting Model'!AN22&lt;&gt;"",ABS('Budgeting Model'!AN22-'Scratch Sheet'!AN22)&lt;0.01),$CG$72,0)</f>
        <v>0.02</v>
      </c>
      <c r="DN96" s="5">
        <f ca="1">IF(AND('Budgeting Model'!AO22&lt;&gt;"",ABS('Budgeting Model'!AO22-'Scratch Sheet'!AO22)&lt;0.01),$CG$72,0)</f>
        <v>0.02</v>
      </c>
      <c r="DO96" s="5">
        <f ca="1">IF(AND('Budgeting Model'!AP22&lt;&gt;"",ABS('Budgeting Model'!AP22-'Scratch Sheet'!AP22)&lt;0.01),$CG$72,0)</f>
        <v>0.02</v>
      </c>
    </row>
    <row r="97" spans="2:119">
      <c r="B97" s="5"/>
      <c r="C97" s="17"/>
      <c r="D97" s="16"/>
      <c r="E97" s="22"/>
      <c r="F97" s="22"/>
      <c r="CA97" s="5">
        <f>IF(AND('Budgeting Model'!B23&lt;&gt;"",'Budgeting Model'!B23='Scratch Sheet'!B23),$CG$72,0)</f>
        <v>0.02</v>
      </c>
      <c r="CB97" s="5">
        <f ca="1">IF(AND('Budgeting Model'!C23&lt;&gt;"",'Budgeting Model'!C23='Scratch Sheet'!C23),$CG$72,0)</f>
        <v>0.02</v>
      </c>
      <c r="CC97" s="5">
        <f>IF(AND('Budgeting Model'!D23&lt;&gt;"",'Budgeting Model'!D23='Scratch Sheet'!D23),$CG$72,0)</f>
        <v>0.02</v>
      </c>
      <c r="CD97" s="5">
        <f ca="1">IF(OR(AND('Budgeting Model'!E23="",'Budgeting Model'!D23&lt;&gt;"Vacant"),'Budgeting Model'!E23&lt;&gt;'Scratch Sheet'!E23),0,$CG$72)</f>
        <v>0.02</v>
      </c>
      <c r="CE97" s="5">
        <f ca="1">IF(AND('Budgeting Model'!F23&lt;&gt;"",'Budgeting Model'!F23='Scratch Sheet'!F23),$CG$72,0)</f>
        <v>0.02</v>
      </c>
      <c r="CF97" s="5">
        <f ca="1">IF(AND('Budgeting Model'!G23&lt;&gt;"",ABS('Budgeting Model'!G23-'Scratch Sheet'!G23)&lt;0.01),$CG$72,0)</f>
        <v>0.02</v>
      </c>
      <c r="CG97" s="5" t="s">
        <v>550</v>
      </c>
      <c r="CH97" s="5" t="s">
        <v>550</v>
      </c>
      <c r="CI97" s="5">
        <f ca="1">IF(AND('Budgeting Model'!J23&lt;&gt;"",ABS('Budgeting Model'!J23-'Scratch Sheet'!J23)&lt;0.01),$CG$72,0)</f>
        <v>0.02</v>
      </c>
      <c r="CJ97" s="5" t="s">
        <v>550</v>
      </c>
      <c r="CK97" s="5">
        <f ca="1">IF(AND('Budgeting Model'!L23&lt;&gt;"",ABS('Budgeting Model'!L23-'Scratch Sheet'!L23)&lt;0.01),$CG$72,0)</f>
        <v>0.02</v>
      </c>
      <c r="CL97" s="5" t="s">
        <v>550</v>
      </c>
      <c r="CM97" s="5">
        <f ca="1">IF(AND('Budgeting Model'!N23="",'Budgeting Model'!N23&lt;&gt;'Scratch Sheet'!N23),0,$CG$72)</f>
        <v>0.02</v>
      </c>
      <c r="CN97" s="5" t="s">
        <v>550</v>
      </c>
      <c r="CO97" s="5">
        <f>IF(AND('Budgeting Model'!P23&lt;&gt;"",ABS('Budgeting Model'!P23-'Scratch Sheet'!P23)&lt;0.01),$CG$72,0)</f>
        <v>0.02</v>
      </c>
      <c r="CP97" s="5">
        <f ca="1">IF(AND('Budgeting Model'!Q23&lt;&gt;"",ABS('Budgeting Model'!Q23-'Scratch Sheet'!Q23)&lt;0.01),$CG$72,0)</f>
        <v>0.02</v>
      </c>
      <c r="CQ97" s="5">
        <f ca="1">IF(AND('Budgeting Model'!R23&lt;&gt;"",ABS('Budgeting Model'!R23-'Scratch Sheet'!R23)&lt;0.01),$CG$72,0)</f>
        <v>0.02</v>
      </c>
      <c r="CR97" s="5">
        <f ca="1">IF(AND('Budgeting Model'!S23&lt;&gt;"",ABS('Budgeting Model'!S23-'Scratch Sheet'!S23)&lt;0.01),$CG$72,0)</f>
        <v>0.02</v>
      </c>
      <c r="CS97" s="5">
        <f ca="1">IF(AND('Budgeting Model'!T23&lt;&gt;"",ABS('Budgeting Model'!T23-'Scratch Sheet'!T23)&lt;0.01),$CG$72,0)</f>
        <v>0.02</v>
      </c>
      <c r="CT97" s="5">
        <f ca="1">IF(AND('Budgeting Model'!U23&lt;&gt;"",ABS('Budgeting Model'!U23-'Scratch Sheet'!U23)&lt;0.01),$CG$72,0)</f>
        <v>0.02</v>
      </c>
      <c r="CU97" s="5">
        <f ca="1">IF(AND('Budgeting Model'!V23&lt;&gt;"",ABS('Budgeting Model'!V23-'Scratch Sheet'!V23)&lt;0.01),$CG$72,0)</f>
        <v>0.02</v>
      </c>
      <c r="CV97" s="5" t="s">
        <v>550</v>
      </c>
      <c r="CW97" s="5" t="s">
        <v>550</v>
      </c>
      <c r="CX97" s="5">
        <f ca="1">IF(AND('Budgeting Model'!Y23&lt;&gt;"",ABS('Budgeting Model'!Y23-'Scratch Sheet'!Y23)&lt;0.01),$CG$72,0)</f>
        <v>0.02</v>
      </c>
      <c r="CY97" s="5" t="s">
        <v>550</v>
      </c>
      <c r="CZ97" s="5">
        <f ca="1">IF(AND('Budgeting Model'!AA23&lt;&gt;"",ABS('Budgeting Model'!AA23-'Scratch Sheet'!AA23)&lt;0.01),$CG$72,0)</f>
        <v>0.02</v>
      </c>
      <c r="DA97" s="5" t="s">
        <v>550</v>
      </c>
      <c r="DB97" s="5">
        <f ca="1">IF(AND('Budgeting Model'!AC23="",'Budgeting Model'!AC23&lt;&gt;'Scratch Sheet'!AC23),0,$CG$72)</f>
        <v>0.02</v>
      </c>
      <c r="DC97" s="5" t="s">
        <v>550</v>
      </c>
      <c r="DD97" s="5">
        <f ca="1">IF(AND('Budgeting Model'!AE23&lt;&gt;"",ABS('Budgeting Model'!AE23-'Scratch Sheet'!AE23)&lt;0.01),$CG$72,0)</f>
        <v>0.02</v>
      </c>
      <c r="DE97" s="5">
        <f ca="1">IF(AND('Budgeting Model'!AF23&lt;&gt;"",ABS('Budgeting Model'!AF23-'Scratch Sheet'!AF23)&lt;0.01),$CG$72,0)</f>
        <v>0.02</v>
      </c>
      <c r="DF97" s="5">
        <f ca="1">IF(AND('Budgeting Model'!AG23&lt;&gt;"",ABS('Budgeting Model'!AG23-'Scratch Sheet'!AG23)&lt;0.01),$CG$72,0)</f>
        <v>0.02</v>
      </c>
      <c r="DG97" s="5">
        <f ca="1">IF(AND('Budgeting Model'!AH23&lt;&gt;"",ABS('Budgeting Model'!AH23-'Scratch Sheet'!AH23)&lt;0.01),$CG$72,0)</f>
        <v>0.02</v>
      </c>
      <c r="DH97" s="5">
        <f ca="1">IF(AND('Budgeting Model'!AI23&lt;&gt;"",ABS('Budgeting Model'!AI23-'Scratch Sheet'!AI23)&lt;0.01),$CG$72,0)</f>
        <v>0.02</v>
      </c>
      <c r="DI97" s="5">
        <f ca="1">IF(AND('Budgeting Model'!AJ23&lt;&gt;"",ABS('Budgeting Model'!AJ23-'Scratch Sheet'!AJ23)&lt;0.01),$CG$72,0)</f>
        <v>0.02</v>
      </c>
      <c r="DJ97" s="5">
        <f ca="1">IF(AND('Budgeting Model'!AK23&lt;&gt;"",ABS('Budgeting Model'!AK23-'Scratch Sheet'!AK23)&lt;0.01),$CG$72,0)</f>
        <v>0.02</v>
      </c>
      <c r="DK97" s="5" t="s">
        <v>550</v>
      </c>
      <c r="DL97" s="5">
        <f ca="1">IF(AND('Budgeting Model'!AM23&lt;&gt;"",ABS('Budgeting Model'!AM23-'Scratch Sheet'!AM23)&lt;0.01),$CG$72,0)</f>
        <v>0.02</v>
      </c>
      <c r="DM97" s="5">
        <f ca="1">IF(AND('Budgeting Model'!AN23&lt;&gt;"",ABS('Budgeting Model'!AN23-'Scratch Sheet'!AN23)&lt;0.01),$CG$72,0)</f>
        <v>0.02</v>
      </c>
      <c r="DN97" s="5">
        <f ca="1">IF(AND('Budgeting Model'!AO23&lt;&gt;"",ABS('Budgeting Model'!AO23-'Scratch Sheet'!AO23)&lt;0.01),$CG$72,0)</f>
        <v>0.02</v>
      </c>
      <c r="DO97" s="5">
        <f ca="1">IF(AND('Budgeting Model'!AP23&lt;&gt;"",ABS('Budgeting Model'!AP23-'Scratch Sheet'!AP23)&lt;0.01),$CG$72,0)</f>
        <v>0.02</v>
      </c>
    </row>
    <row r="98" spans="2:119">
      <c r="B98" s="5"/>
      <c r="C98" s="17"/>
      <c r="D98" s="16"/>
      <c r="E98" s="22"/>
      <c r="F98" s="22"/>
      <c r="CA98" s="5">
        <f>IF(AND('Budgeting Model'!B24&lt;&gt;"",'Budgeting Model'!B24='Scratch Sheet'!B24),$CG$72,0)</f>
        <v>0.02</v>
      </c>
      <c r="CB98" s="5">
        <f ca="1">IF(AND('Budgeting Model'!C24&lt;&gt;"",'Budgeting Model'!C24='Scratch Sheet'!C24),$CG$72,0)</f>
        <v>0.02</v>
      </c>
      <c r="CC98" s="5">
        <f>IF(AND('Budgeting Model'!D24&lt;&gt;"",'Budgeting Model'!D24='Scratch Sheet'!D24),$CG$72,0)</f>
        <v>0.02</v>
      </c>
      <c r="CD98" s="5">
        <f ca="1">IF(OR(AND('Budgeting Model'!E24="",'Budgeting Model'!D24&lt;&gt;"Vacant"),'Budgeting Model'!E24&lt;&gt;'Scratch Sheet'!E24),0,$CG$72)</f>
        <v>0.02</v>
      </c>
      <c r="CE98" s="5">
        <f ca="1">IF(AND('Budgeting Model'!F24&lt;&gt;"",'Budgeting Model'!F24='Scratch Sheet'!F24),$CG$72,0)</f>
        <v>0.02</v>
      </c>
      <c r="CF98" s="5">
        <f ca="1">IF(AND('Budgeting Model'!G24&lt;&gt;"",ABS('Budgeting Model'!G24-'Scratch Sheet'!G24)&lt;0.01),$CG$72,0)</f>
        <v>0.02</v>
      </c>
      <c r="CG98" s="5" t="s">
        <v>550</v>
      </c>
      <c r="CH98" s="5" t="s">
        <v>550</v>
      </c>
      <c r="CI98" s="5">
        <f ca="1">IF(AND('Budgeting Model'!J24&lt;&gt;"",ABS('Budgeting Model'!J24-'Scratch Sheet'!J24)&lt;0.01),$CG$72,0)</f>
        <v>0.02</v>
      </c>
      <c r="CJ98" s="5" t="s">
        <v>550</v>
      </c>
      <c r="CK98" s="5">
        <f ca="1">IF(AND('Budgeting Model'!L24&lt;&gt;"",ABS('Budgeting Model'!L24-'Scratch Sheet'!L24)&lt;0.01),$CG$72,0)</f>
        <v>0.02</v>
      </c>
      <c r="CL98" s="5" t="s">
        <v>550</v>
      </c>
      <c r="CM98" s="5">
        <f ca="1">IF(AND('Budgeting Model'!N24="",'Budgeting Model'!N24&lt;&gt;'Scratch Sheet'!N24),0,$CG$72)</f>
        <v>0.02</v>
      </c>
      <c r="CN98" s="5" t="s">
        <v>550</v>
      </c>
      <c r="CO98" s="5">
        <f>IF(AND('Budgeting Model'!P24&lt;&gt;"",ABS('Budgeting Model'!P24-'Scratch Sheet'!P24)&lt;0.01),$CG$72,0)</f>
        <v>0.02</v>
      </c>
      <c r="CP98" s="5">
        <f ca="1">IF(AND('Budgeting Model'!Q24&lt;&gt;"",ABS('Budgeting Model'!Q24-'Scratch Sheet'!Q24)&lt;0.01),$CG$72,0)</f>
        <v>0.02</v>
      </c>
      <c r="CQ98" s="5">
        <f ca="1">IF(AND('Budgeting Model'!R24&lt;&gt;"",ABS('Budgeting Model'!R24-'Scratch Sheet'!R24)&lt;0.01),$CG$72,0)</f>
        <v>0.02</v>
      </c>
      <c r="CR98" s="5">
        <f ca="1">IF(AND('Budgeting Model'!S24&lt;&gt;"",ABS('Budgeting Model'!S24-'Scratch Sheet'!S24)&lt;0.01),$CG$72,0)</f>
        <v>0.02</v>
      </c>
      <c r="CS98" s="5">
        <f ca="1">IF(AND('Budgeting Model'!T24&lt;&gt;"",ABS('Budgeting Model'!T24-'Scratch Sheet'!T24)&lt;0.01),$CG$72,0)</f>
        <v>0.02</v>
      </c>
      <c r="CT98" s="5">
        <f ca="1">IF(AND('Budgeting Model'!U24&lt;&gt;"",ABS('Budgeting Model'!U24-'Scratch Sheet'!U24)&lt;0.01),$CG$72,0)</f>
        <v>0.02</v>
      </c>
      <c r="CU98" s="5">
        <f ca="1">IF(AND('Budgeting Model'!V24&lt;&gt;"",ABS('Budgeting Model'!V24-'Scratch Sheet'!V24)&lt;0.01),$CG$72,0)</f>
        <v>0.02</v>
      </c>
      <c r="CV98" s="5" t="s">
        <v>550</v>
      </c>
      <c r="CW98" s="5" t="s">
        <v>550</v>
      </c>
      <c r="CX98" s="5">
        <f ca="1">IF(AND('Budgeting Model'!Y24&lt;&gt;"",ABS('Budgeting Model'!Y24-'Scratch Sheet'!Y24)&lt;0.01),$CG$72,0)</f>
        <v>0.02</v>
      </c>
      <c r="CY98" s="5" t="s">
        <v>550</v>
      </c>
      <c r="CZ98" s="5">
        <f ca="1">IF(AND('Budgeting Model'!AA24&lt;&gt;"",ABS('Budgeting Model'!AA24-'Scratch Sheet'!AA24)&lt;0.01),$CG$72,0)</f>
        <v>0.02</v>
      </c>
      <c r="DA98" s="5" t="s">
        <v>550</v>
      </c>
      <c r="DB98" s="5">
        <f ca="1">IF(AND('Budgeting Model'!AC24="",'Budgeting Model'!AC24&lt;&gt;'Scratch Sheet'!AC24),0,$CG$72)</f>
        <v>0.02</v>
      </c>
      <c r="DC98" s="5" t="s">
        <v>550</v>
      </c>
      <c r="DD98" s="5">
        <f ca="1">IF(AND('Budgeting Model'!AE24&lt;&gt;"",ABS('Budgeting Model'!AE24-'Scratch Sheet'!AE24)&lt;0.01),$CG$72,0)</f>
        <v>0.02</v>
      </c>
      <c r="DE98" s="5">
        <f ca="1">IF(AND('Budgeting Model'!AF24&lt;&gt;"",ABS('Budgeting Model'!AF24-'Scratch Sheet'!AF24)&lt;0.01),$CG$72,0)</f>
        <v>0.02</v>
      </c>
      <c r="DF98" s="5">
        <f ca="1">IF(AND('Budgeting Model'!AG24&lt;&gt;"",ABS('Budgeting Model'!AG24-'Scratch Sheet'!AG24)&lt;0.01),$CG$72,0)</f>
        <v>0.02</v>
      </c>
      <c r="DG98" s="5">
        <f ca="1">IF(AND('Budgeting Model'!AH24&lt;&gt;"",ABS('Budgeting Model'!AH24-'Scratch Sheet'!AH24)&lt;0.01),$CG$72,0)</f>
        <v>0.02</v>
      </c>
      <c r="DH98" s="5">
        <f ca="1">IF(AND('Budgeting Model'!AI24&lt;&gt;"",ABS('Budgeting Model'!AI24-'Scratch Sheet'!AI24)&lt;0.01),$CG$72,0)</f>
        <v>0.02</v>
      </c>
      <c r="DI98" s="5">
        <f ca="1">IF(AND('Budgeting Model'!AJ24&lt;&gt;"",ABS('Budgeting Model'!AJ24-'Scratch Sheet'!AJ24)&lt;0.01),$CG$72,0)</f>
        <v>0.02</v>
      </c>
      <c r="DJ98" s="5">
        <f ca="1">IF(AND('Budgeting Model'!AK24&lt;&gt;"",ABS('Budgeting Model'!AK24-'Scratch Sheet'!AK24)&lt;0.01),$CG$72,0)</f>
        <v>0.02</v>
      </c>
      <c r="DK98" s="5" t="s">
        <v>550</v>
      </c>
      <c r="DL98" s="5">
        <f ca="1">IF(AND('Budgeting Model'!AM24&lt;&gt;"",ABS('Budgeting Model'!AM24-'Scratch Sheet'!AM24)&lt;0.01),$CG$72,0)</f>
        <v>0.02</v>
      </c>
      <c r="DM98" s="5">
        <f ca="1">IF(AND('Budgeting Model'!AN24&lt;&gt;"",ABS('Budgeting Model'!AN24-'Scratch Sheet'!AN24)&lt;0.01),$CG$72,0)</f>
        <v>0.02</v>
      </c>
      <c r="DN98" s="5">
        <f ca="1">IF(AND('Budgeting Model'!AO24&lt;&gt;"",ABS('Budgeting Model'!AO24-'Scratch Sheet'!AO24)&lt;0.01),$CG$72,0)</f>
        <v>0.02</v>
      </c>
      <c r="DO98" s="5">
        <f ca="1">IF(AND('Budgeting Model'!AP24&lt;&gt;"",ABS('Budgeting Model'!AP24-'Scratch Sheet'!AP24)&lt;0.01),$CG$72,0)</f>
        <v>0.02</v>
      </c>
    </row>
    <row r="99" spans="2:119">
      <c r="B99" s="5"/>
      <c r="C99" s="17"/>
      <c r="D99" s="16"/>
      <c r="E99" s="22"/>
      <c r="F99" s="22"/>
      <c r="CA99" s="5">
        <f>IF(AND('Budgeting Model'!B25&lt;&gt;"",'Budgeting Model'!B25='Scratch Sheet'!B25),$CG$72,0)</f>
        <v>0.02</v>
      </c>
      <c r="CB99" s="5">
        <f ca="1">IF(AND('Budgeting Model'!C25&lt;&gt;"",'Budgeting Model'!C25='Scratch Sheet'!C25),$CG$72,0)</f>
        <v>0.02</v>
      </c>
      <c r="CC99" s="5">
        <f>IF(AND('Budgeting Model'!D25&lt;&gt;"",'Budgeting Model'!D25='Scratch Sheet'!D25),$CG$72,0)</f>
        <v>0.02</v>
      </c>
      <c r="CD99" s="5">
        <f ca="1">IF(OR(AND('Budgeting Model'!E25="",'Budgeting Model'!D25&lt;&gt;"Vacant"),'Budgeting Model'!E25&lt;&gt;'Scratch Sheet'!E25),0,$CG$72)</f>
        <v>0.02</v>
      </c>
      <c r="CE99" s="5">
        <f ca="1">IF(AND('Budgeting Model'!F25&lt;&gt;"",'Budgeting Model'!F25='Scratch Sheet'!F25),$CG$72,0)</f>
        <v>0.02</v>
      </c>
      <c r="CF99" s="5">
        <f ca="1">IF(AND('Budgeting Model'!G25&lt;&gt;"",ABS('Budgeting Model'!G25-'Scratch Sheet'!G25)&lt;0.01),$CG$72,0)</f>
        <v>0.02</v>
      </c>
      <c r="CG99" s="5" t="s">
        <v>550</v>
      </c>
      <c r="CH99" s="5" t="s">
        <v>550</v>
      </c>
      <c r="CI99" s="5">
        <f ca="1">IF(AND('Budgeting Model'!J25&lt;&gt;"",ABS('Budgeting Model'!J25-'Scratch Sheet'!J25)&lt;0.01),$CG$72,0)</f>
        <v>0.02</v>
      </c>
      <c r="CJ99" s="5" t="s">
        <v>550</v>
      </c>
      <c r="CK99" s="5">
        <f ca="1">IF(AND('Budgeting Model'!L25&lt;&gt;"",ABS('Budgeting Model'!L25-'Scratch Sheet'!L25)&lt;0.01),$CG$72,0)</f>
        <v>0.02</v>
      </c>
      <c r="CL99" s="5" t="s">
        <v>550</v>
      </c>
      <c r="CM99" s="5">
        <f ca="1">IF(AND('Budgeting Model'!N25="",'Budgeting Model'!N25&lt;&gt;'Scratch Sheet'!N25),0,$CG$72)</f>
        <v>0.02</v>
      </c>
      <c r="CN99" s="5" t="s">
        <v>550</v>
      </c>
      <c r="CO99" s="5">
        <f>IF(AND('Budgeting Model'!P25&lt;&gt;"",ABS('Budgeting Model'!P25-'Scratch Sheet'!P25)&lt;0.01),$CG$72,0)</f>
        <v>0.02</v>
      </c>
      <c r="CP99" s="5">
        <f ca="1">IF(AND('Budgeting Model'!Q25&lt;&gt;"",ABS('Budgeting Model'!Q25-'Scratch Sheet'!Q25)&lt;0.01),$CG$72,0)</f>
        <v>0.02</v>
      </c>
      <c r="CQ99" s="5">
        <f ca="1">IF(AND('Budgeting Model'!R25&lt;&gt;"",ABS('Budgeting Model'!R25-'Scratch Sheet'!R25)&lt;0.01),$CG$72,0)</f>
        <v>0.02</v>
      </c>
      <c r="CR99" s="5">
        <f ca="1">IF(AND('Budgeting Model'!S25&lt;&gt;"",ABS('Budgeting Model'!S25-'Scratch Sheet'!S25)&lt;0.01),$CG$72,0)</f>
        <v>0.02</v>
      </c>
      <c r="CS99" s="5">
        <f ca="1">IF(AND('Budgeting Model'!T25&lt;&gt;"",ABS('Budgeting Model'!T25-'Scratch Sheet'!T25)&lt;0.01),$CG$72,0)</f>
        <v>0.02</v>
      </c>
      <c r="CT99" s="5">
        <f ca="1">IF(AND('Budgeting Model'!U25&lt;&gt;"",ABS('Budgeting Model'!U25-'Scratch Sheet'!U25)&lt;0.01),$CG$72,0)</f>
        <v>0.02</v>
      </c>
      <c r="CU99" s="5">
        <f ca="1">IF(AND('Budgeting Model'!V25&lt;&gt;"",ABS('Budgeting Model'!V25-'Scratch Sheet'!V25)&lt;0.01),$CG$72,0)</f>
        <v>0.02</v>
      </c>
      <c r="CV99" s="5" t="s">
        <v>550</v>
      </c>
      <c r="CW99" s="5" t="s">
        <v>550</v>
      </c>
      <c r="CX99" s="5">
        <f ca="1">IF(AND('Budgeting Model'!Y25&lt;&gt;"",ABS('Budgeting Model'!Y25-'Scratch Sheet'!Y25)&lt;0.01),$CG$72,0)</f>
        <v>0.02</v>
      </c>
      <c r="CY99" s="5" t="s">
        <v>550</v>
      </c>
      <c r="CZ99" s="5">
        <f ca="1">IF(AND('Budgeting Model'!AA25&lt;&gt;"",ABS('Budgeting Model'!AA25-'Scratch Sheet'!AA25)&lt;0.01),$CG$72,0)</f>
        <v>0.02</v>
      </c>
      <c r="DA99" s="5" t="s">
        <v>550</v>
      </c>
      <c r="DB99" s="5">
        <f ca="1">IF(AND('Budgeting Model'!AC25="",'Budgeting Model'!AC25&lt;&gt;'Scratch Sheet'!AC25),0,$CG$72)</f>
        <v>0.02</v>
      </c>
      <c r="DC99" s="5" t="s">
        <v>550</v>
      </c>
      <c r="DD99" s="5">
        <f ca="1">IF(AND('Budgeting Model'!AE25&lt;&gt;"",ABS('Budgeting Model'!AE25-'Scratch Sheet'!AE25)&lt;0.01),$CG$72,0)</f>
        <v>0.02</v>
      </c>
      <c r="DE99" s="5">
        <f ca="1">IF(AND('Budgeting Model'!AF25&lt;&gt;"",ABS('Budgeting Model'!AF25-'Scratch Sheet'!AF25)&lt;0.01),$CG$72,0)</f>
        <v>0.02</v>
      </c>
      <c r="DF99" s="5">
        <f ca="1">IF(AND('Budgeting Model'!AG25&lt;&gt;"",ABS('Budgeting Model'!AG25-'Scratch Sheet'!AG25)&lt;0.01),$CG$72,0)</f>
        <v>0.02</v>
      </c>
      <c r="DG99" s="5">
        <f ca="1">IF(AND('Budgeting Model'!AH25&lt;&gt;"",ABS('Budgeting Model'!AH25-'Scratch Sheet'!AH25)&lt;0.01),$CG$72,0)</f>
        <v>0.02</v>
      </c>
      <c r="DH99" s="5">
        <f ca="1">IF(AND('Budgeting Model'!AI25&lt;&gt;"",ABS('Budgeting Model'!AI25-'Scratch Sheet'!AI25)&lt;0.01),$CG$72,0)</f>
        <v>0.02</v>
      </c>
      <c r="DI99" s="5">
        <f ca="1">IF(AND('Budgeting Model'!AJ25&lt;&gt;"",ABS('Budgeting Model'!AJ25-'Scratch Sheet'!AJ25)&lt;0.01),$CG$72,0)</f>
        <v>0.02</v>
      </c>
      <c r="DJ99" s="5">
        <f ca="1">IF(AND('Budgeting Model'!AK25&lt;&gt;"",ABS('Budgeting Model'!AK25-'Scratch Sheet'!AK25)&lt;0.01),$CG$72,0)</f>
        <v>0.02</v>
      </c>
      <c r="DK99" s="5" t="s">
        <v>550</v>
      </c>
      <c r="DL99" s="5">
        <f ca="1">IF(AND('Budgeting Model'!AM25&lt;&gt;"",ABS('Budgeting Model'!AM25-'Scratch Sheet'!AM25)&lt;0.01),$CG$72,0)</f>
        <v>0.02</v>
      </c>
      <c r="DM99" s="5">
        <f ca="1">IF(AND('Budgeting Model'!AN25&lt;&gt;"",ABS('Budgeting Model'!AN25-'Scratch Sheet'!AN25)&lt;0.01),$CG$72,0)</f>
        <v>0.02</v>
      </c>
      <c r="DN99" s="5">
        <f ca="1">IF(AND('Budgeting Model'!AO25&lt;&gt;"",ABS('Budgeting Model'!AO25-'Scratch Sheet'!AO25)&lt;0.01),$CG$72,0)</f>
        <v>0.02</v>
      </c>
      <c r="DO99" s="5">
        <f ca="1">IF(AND('Budgeting Model'!AP25&lt;&gt;"",ABS('Budgeting Model'!AP25-'Scratch Sheet'!AP25)&lt;0.01),$CG$72,0)</f>
        <v>0.02</v>
      </c>
    </row>
    <row r="100" spans="2:119">
      <c r="B100" s="5"/>
      <c r="C100" s="17"/>
      <c r="D100" s="16"/>
      <c r="E100" s="22"/>
      <c r="F100" s="22"/>
      <c r="CA100" s="5">
        <f>IF(AND('Budgeting Model'!B26&lt;&gt;"",'Budgeting Model'!B26='Scratch Sheet'!B26),$CG$72,0)</f>
        <v>0.02</v>
      </c>
      <c r="CB100" s="5">
        <f ca="1">IF(AND('Budgeting Model'!C26&lt;&gt;"",'Budgeting Model'!C26='Scratch Sheet'!C26),$CG$72,0)</f>
        <v>0.02</v>
      </c>
      <c r="CC100" s="5">
        <f>IF(AND('Budgeting Model'!D26&lt;&gt;"",'Budgeting Model'!D26='Scratch Sheet'!D26),$CG$72,0)</f>
        <v>0.02</v>
      </c>
      <c r="CD100" s="5">
        <f ca="1">IF(OR(AND('Budgeting Model'!E26="",'Budgeting Model'!D26&lt;&gt;"Vacant"),'Budgeting Model'!E26&lt;&gt;'Scratch Sheet'!E26),0,$CG$72)</f>
        <v>0.02</v>
      </c>
      <c r="CE100" s="5">
        <f ca="1">IF(AND('Budgeting Model'!F26&lt;&gt;"",'Budgeting Model'!F26='Scratch Sheet'!F26),$CG$72,0)</f>
        <v>0.02</v>
      </c>
      <c r="CF100" s="5">
        <f ca="1">IF(AND('Budgeting Model'!G26&lt;&gt;"",ABS('Budgeting Model'!G26-'Scratch Sheet'!G26)&lt;0.01),$CG$72,0)</f>
        <v>0.02</v>
      </c>
      <c r="CG100" s="5" t="s">
        <v>550</v>
      </c>
      <c r="CH100" s="5" t="s">
        <v>550</v>
      </c>
      <c r="CI100" s="5">
        <f ca="1">IF(AND('Budgeting Model'!J26&lt;&gt;"",ABS('Budgeting Model'!J26-'Scratch Sheet'!J26)&lt;0.01),$CG$72,0)</f>
        <v>0.02</v>
      </c>
      <c r="CJ100" s="5" t="s">
        <v>550</v>
      </c>
      <c r="CK100" s="5">
        <f ca="1">IF(AND('Budgeting Model'!L26&lt;&gt;"",ABS('Budgeting Model'!L26-'Scratch Sheet'!L26)&lt;0.01),$CG$72,0)</f>
        <v>0.02</v>
      </c>
      <c r="CL100" s="5" t="s">
        <v>550</v>
      </c>
      <c r="CM100" s="5">
        <f ca="1">IF(AND('Budgeting Model'!N26="",'Budgeting Model'!N26&lt;&gt;'Scratch Sheet'!N26),0,$CG$72)</f>
        <v>0.02</v>
      </c>
      <c r="CN100" s="5" t="s">
        <v>550</v>
      </c>
      <c r="CO100" s="5">
        <f ca="1">IF(AND('Budgeting Model'!P26&lt;&gt;"",ABS('Budgeting Model'!P26-'Scratch Sheet'!P26)&lt;0.01),$CG$72,0)</f>
        <v>0.02</v>
      </c>
      <c r="CP100" s="5">
        <f ca="1">IF(AND('Budgeting Model'!Q26&lt;&gt;"",ABS('Budgeting Model'!Q26-'Scratch Sheet'!Q26)&lt;0.01),$CG$72,0)</f>
        <v>0.02</v>
      </c>
      <c r="CQ100" s="5">
        <f ca="1">IF(AND('Budgeting Model'!R26&lt;&gt;"",ABS('Budgeting Model'!R26-'Scratch Sheet'!R26)&lt;0.01),$CG$72,0)</f>
        <v>0.02</v>
      </c>
      <c r="CR100" s="5">
        <f ca="1">IF(AND('Budgeting Model'!S26&lt;&gt;"",ABS('Budgeting Model'!S26-'Scratch Sheet'!S26)&lt;0.01),$CG$72,0)</f>
        <v>0.02</v>
      </c>
      <c r="CS100" s="5">
        <f ca="1">IF(AND('Budgeting Model'!T26&lt;&gt;"",ABS('Budgeting Model'!T26-'Scratch Sheet'!T26)&lt;0.01),$CG$72,0)</f>
        <v>0.02</v>
      </c>
      <c r="CT100" s="5">
        <f ca="1">IF(AND('Budgeting Model'!U26&lt;&gt;"",ABS('Budgeting Model'!U26-'Scratch Sheet'!U26)&lt;0.01),$CG$72,0)</f>
        <v>0.02</v>
      </c>
      <c r="CU100" s="5">
        <f ca="1">IF(AND('Budgeting Model'!V26&lt;&gt;"",ABS('Budgeting Model'!V26-'Scratch Sheet'!V26)&lt;0.01),$CG$72,0)</f>
        <v>0.02</v>
      </c>
      <c r="CV100" s="5" t="s">
        <v>550</v>
      </c>
      <c r="CW100" s="5" t="s">
        <v>550</v>
      </c>
      <c r="CX100" s="5">
        <f ca="1">IF(AND('Budgeting Model'!Y26&lt;&gt;"",ABS('Budgeting Model'!Y26-'Scratch Sheet'!Y26)&lt;0.01),$CG$72,0)</f>
        <v>0.02</v>
      </c>
      <c r="CY100" s="5" t="s">
        <v>550</v>
      </c>
      <c r="CZ100" s="5">
        <f ca="1">IF(AND('Budgeting Model'!AA26&lt;&gt;"",ABS('Budgeting Model'!AA26-'Scratch Sheet'!AA26)&lt;0.01),$CG$72,0)</f>
        <v>0.02</v>
      </c>
      <c r="DA100" s="5" t="s">
        <v>550</v>
      </c>
      <c r="DB100" s="5">
        <f ca="1">IF(AND('Budgeting Model'!AC26="",'Budgeting Model'!AC26&lt;&gt;'Scratch Sheet'!AC26),0,$CG$72)</f>
        <v>0.02</v>
      </c>
      <c r="DC100" s="5" t="s">
        <v>550</v>
      </c>
      <c r="DD100" s="5">
        <f ca="1">IF(AND('Budgeting Model'!AE26&lt;&gt;"",ABS('Budgeting Model'!AE26-'Scratch Sheet'!AE26)&lt;0.01),$CG$72,0)</f>
        <v>0.02</v>
      </c>
      <c r="DE100" s="5">
        <f ca="1">IF(AND('Budgeting Model'!AF26&lt;&gt;"",ABS('Budgeting Model'!AF26-'Scratch Sheet'!AF26)&lt;0.01),$CG$72,0)</f>
        <v>0.02</v>
      </c>
      <c r="DF100" s="5">
        <f ca="1">IF(AND('Budgeting Model'!AG26&lt;&gt;"",ABS('Budgeting Model'!AG26-'Scratch Sheet'!AG26)&lt;0.01),$CG$72,0)</f>
        <v>0.02</v>
      </c>
      <c r="DG100" s="5">
        <f ca="1">IF(AND('Budgeting Model'!AH26&lt;&gt;"",ABS('Budgeting Model'!AH26-'Scratch Sheet'!AH26)&lt;0.01),$CG$72,0)</f>
        <v>0.02</v>
      </c>
      <c r="DH100" s="5">
        <f ca="1">IF(AND('Budgeting Model'!AI26&lt;&gt;"",ABS('Budgeting Model'!AI26-'Scratch Sheet'!AI26)&lt;0.01),$CG$72,0)</f>
        <v>0.02</v>
      </c>
      <c r="DI100" s="5">
        <f ca="1">IF(AND('Budgeting Model'!AJ26&lt;&gt;"",ABS('Budgeting Model'!AJ26-'Scratch Sheet'!AJ26)&lt;0.01),$CG$72,0)</f>
        <v>0.02</v>
      </c>
      <c r="DJ100" s="5">
        <f ca="1">IF(AND('Budgeting Model'!AK26&lt;&gt;"",ABS('Budgeting Model'!AK26-'Scratch Sheet'!AK26)&lt;0.01),$CG$72,0)</f>
        <v>0.02</v>
      </c>
      <c r="DK100" s="5" t="s">
        <v>550</v>
      </c>
      <c r="DL100" s="5">
        <f ca="1">IF(AND('Budgeting Model'!AM26&lt;&gt;"",ABS('Budgeting Model'!AM26-'Scratch Sheet'!AM26)&lt;0.01),$CG$72,0)</f>
        <v>0.02</v>
      </c>
      <c r="DM100" s="5">
        <f ca="1">IF(AND('Budgeting Model'!AN26&lt;&gt;"",ABS('Budgeting Model'!AN26-'Scratch Sheet'!AN26)&lt;0.01),$CG$72,0)</f>
        <v>0.02</v>
      </c>
      <c r="DN100" s="5">
        <f ca="1">IF(AND('Budgeting Model'!AO26&lt;&gt;"",ABS('Budgeting Model'!AO26-'Scratch Sheet'!AO26)&lt;0.01),$CG$72,0)</f>
        <v>0.02</v>
      </c>
      <c r="DO100" s="5">
        <f ca="1">IF(AND('Budgeting Model'!AP26&lt;&gt;"",ABS('Budgeting Model'!AP26-'Scratch Sheet'!AP26)&lt;0.01),$CG$72,0)</f>
        <v>0.02</v>
      </c>
    </row>
    <row r="101" spans="2:119">
      <c r="B101" s="5"/>
      <c r="C101" s="17"/>
      <c r="D101" s="16"/>
      <c r="E101" s="22"/>
      <c r="F101" s="22"/>
      <c r="CA101" s="5">
        <f>IF(AND('Budgeting Model'!B27&lt;&gt;"",'Budgeting Model'!B27='Scratch Sheet'!B27),$CG$72,0)</f>
        <v>0.02</v>
      </c>
      <c r="CB101" s="5">
        <f ca="1">IF(AND('Budgeting Model'!C27&lt;&gt;"",'Budgeting Model'!C27='Scratch Sheet'!C27),$CG$72,0)</f>
        <v>0.02</v>
      </c>
      <c r="CC101" s="5">
        <f>IF(AND('Budgeting Model'!D27&lt;&gt;"",'Budgeting Model'!D27='Scratch Sheet'!D27),$CG$72,0)</f>
        <v>0.02</v>
      </c>
      <c r="CD101" s="5">
        <f ca="1">IF(OR(AND('Budgeting Model'!E27="",'Budgeting Model'!D27&lt;&gt;"Vacant"),'Budgeting Model'!E27&lt;&gt;'Scratch Sheet'!E27),0,$CG$72)</f>
        <v>0.02</v>
      </c>
      <c r="CE101" s="5">
        <f ca="1">IF(AND('Budgeting Model'!F27&lt;&gt;"",'Budgeting Model'!F27='Scratch Sheet'!F27),$CG$72,0)</f>
        <v>0.02</v>
      </c>
      <c r="CF101" s="5">
        <f ca="1">IF(AND('Budgeting Model'!G27&lt;&gt;"",ABS('Budgeting Model'!G27-'Scratch Sheet'!G27)&lt;0.01),$CG$72,0)</f>
        <v>0.02</v>
      </c>
      <c r="CG101" s="5" t="s">
        <v>550</v>
      </c>
      <c r="CH101" s="5" t="s">
        <v>550</v>
      </c>
      <c r="CI101" s="5">
        <f ca="1">IF(AND('Budgeting Model'!J27&lt;&gt;"",ABS('Budgeting Model'!J27-'Scratch Sheet'!J27)&lt;0.01),$CG$72,0)</f>
        <v>0.02</v>
      </c>
      <c r="CJ101" s="5" t="s">
        <v>550</v>
      </c>
      <c r="CK101" s="5">
        <f ca="1">IF(AND('Budgeting Model'!L27&lt;&gt;"",ABS('Budgeting Model'!L27-'Scratch Sheet'!L27)&lt;0.01),$CG$72,0)</f>
        <v>0.02</v>
      </c>
      <c r="CL101" s="5" t="s">
        <v>550</v>
      </c>
      <c r="CM101" s="5">
        <f ca="1">IF(AND('Budgeting Model'!N27="",'Budgeting Model'!N27&lt;&gt;'Scratch Sheet'!N27),0,$CG$72)</f>
        <v>0.02</v>
      </c>
      <c r="CN101" s="5" t="s">
        <v>550</v>
      </c>
      <c r="CO101" s="5">
        <f ca="1">IF(AND('Budgeting Model'!P27&lt;&gt;"",ABS('Budgeting Model'!P27-'Scratch Sheet'!P27)&lt;0.01),$CG$72,0)</f>
        <v>0.02</v>
      </c>
      <c r="CP101" s="5">
        <f ca="1">IF(AND('Budgeting Model'!Q27&lt;&gt;"",ABS('Budgeting Model'!Q27-'Scratch Sheet'!Q27)&lt;0.01),$CG$72,0)</f>
        <v>0.02</v>
      </c>
      <c r="CQ101" s="5">
        <f ca="1">IF(AND('Budgeting Model'!R27&lt;&gt;"",ABS('Budgeting Model'!R27-'Scratch Sheet'!R27)&lt;0.01),$CG$72,0)</f>
        <v>0.02</v>
      </c>
      <c r="CR101" s="5">
        <f ca="1">IF(AND('Budgeting Model'!S27&lt;&gt;"",ABS('Budgeting Model'!S27-'Scratch Sheet'!S27)&lt;0.01),$CG$72,0)</f>
        <v>0.02</v>
      </c>
      <c r="CS101" s="5">
        <f ca="1">IF(AND('Budgeting Model'!T27&lt;&gt;"",ABS('Budgeting Model'!T27-'Scratch Sheet'!T27)&lt;0.01),$CG$72,0)</f>
        <v>0.02</v>
      </c>
      <c r="CT101" s="5">
        <f ca="1">IF(AND('Budgeting Model'!U27&lt;&gt;"",ABS('Budgeting Model'!U27-'Scratch Sheet'!U27)&lt;0.01),$CG$72,0)</f>
        <v>0.02</v>
      </c>
      <c r="CU101" s="5">
        <f ca="1">IF(AND('Budgeting Model'!V27&lt;&gt;"",ABS('Budgeting Model'!V27-'Scratch Sheet'!V27)&lt;0.01),$CG$72,0)</f>
        <v>0.02</v>
      </c>
      <c r="CV101" s="5" t="s">
        <v>550</v>
      </c>
      <c r="CW101" s="5" t="s">
        <v>550</v>
      </c>
      <c r="CX101" s="5">
        <f ca="1">IF(AND('Budgeting Model'!Y27&lt;&gt;"",ABS('Budgeting Model'!Y27-'Scratch Sheet'!Y27)&lt;0.01),$CG$72,0)</f>
        <v>0.02</v>
      </c>
      <c r="CY101" s="5" t="s">
        <v>550</v>
      </c>
      <c r="CZ101" s="5">
        <f ca="1">IF(AND('Budgeting Model'!AA27&lt;&gt;"",ABS('Budgeting Model'!AA27-'Scratch Sheet'!AA27)&lt;0.01),$CG$72,0)</f>
        <v>0.02</v>
      </c>
      <c r="DA101" s="5" t="s">
        <v>550</v>
      </c>
      <c r="DB101" s="5">
        <f ca="1">IF(AND('Budgeting Model'!AC27="",'Budgeting Model'!AC27&lt;&gt;'Scratch Sheet'!AC27),0,$CG$72)</f>
        <v>0.02</v>
      </c>
      <c r="DC101" s="5" t="s">
        <v>550</v>
      </c>
      <c r="DD101" s="5">
        <f ca="1">IF(AND('Budgeting Model'!AE27&lt;&gt;"",ABS('Budgeting Model'!AE27-'Scratch Sheet'!AE27)&lt;0.01),$CG$72,0)</f>
        <v>0.02</v>
      </c>
      <c r="DE101" s="5">
        <f ca="1">IF(AND('Budgeting Model'!AF27&lt;&gt;"",ABS('Budgeting Model'!AF27-'Scratch Sheet'!AF27)&lt;0.01),$CG$72,0)</f>
        <v>0.02</v>
      </c>
      <c r="DF101" s="5">
        <f ca="1">IF(AND('Budgeting Model'!AG27&lt;&gt;"",ABS('Budgeting Model'!AG27-'Scratch Sheet'!AG27)&lt;0.01),$CG$72,0)</f>
        <v>0.02</v>
      </c>
      <c r="DG101" s="5">
        <f ca="1">IF(AND('Budgeting Model'!AH27&lt;&gt;"",ABS('Budgeting Model'!AH27-'Scratch Sheet'!AH27)&lt;0.01),$CG$72,0)</f>
        <v>0.02</v>
      </c>
      <c r="DH101" s="5">
        <f ca="1">IF(AND('Budgeting Model'!AI27&lt;&gt;"",ABS('Budgeting Model'!AI27-'Scratch Sheet'!AI27)&lt;0.01),$CG$72,0)</f>
        <v>0.02</v>
      </c>
      <c r="DI101" s="5">
        <f ca="1">IF(AND('Budgeting Model'!AJ27&lt;&gt;"",ABS('Budgeting Model'!AJ27-'Scratch Sheet'!AJ27)&lt;0.01),$CG$72,0)</f>
        <v>0.02</v>
      </c>
      <c r="DJ101" s="5">
        <f ca="1">IF(AND('Budgeting Model'!AK27&lt;&gt;"",ABS('Budgeting Model'!AK27-'Scratch Sheet'!AK27)&lt;0.01),$CG$72,0)</f>
        <v>0.02</v>
      </c>
      <c r="DK101" s="5" t="s">
        <v>550</v>
      </c>
      <c r="DL101" s="5">
        <f ca="1">IF(AND('Budgeting Model'!AM27&lt;&gt;"",ABS('Budgeting Model'!AM27-'Scratch Sheet'!AM27)&lt;0.01),$CG$72,0)</f>
        <v>0.02</v>
      </c>
      <c r="DM101" s="5">
        <f ca="1">IF(AND('Budgeting Model'!AN27&lt;&gt;"",ABS('Budgeting Model'!AN27-'Scratch Sheet'!AN27)&lt;0.01),$CG$72,0)</f>
        <v>0.02</v>
      </c>
      <c r="DN101" s="5">
        <f ca="1">IF(AND('Budgeting Model'!AO27&lt;&gt;"",ABS('Budgeting Model'!AO27-'Scratch Sheet'!AO27)&lt;0.01),$CG$72,0)</f>
        <v>0.02</v>
      </c>
      <c r="DO101" s="5">
        <f ca="1">IF(AND('Budgeting Model'!AP27&lt;&gt;"",ABS('Budgeting Model'!AP27-'Scratch Sheet'!AP27)&lt;0.01),$CG$72,0)</f>
        <v>0.02</v>
      </c>
    </row>
    <row r="102" spans="2:119">
      <c r="B102" s="5"/>
      <c r="C102" s="17"/>
      <c r="D102" s="16"/>
      <c r="E102" s="22"/>
      <c r="F102" s="22"/>
      <c r="L102" s="68"/>
      <c r="M102" s="68"/>
      <c r="N102" s="68"/>
      <c r="O102" s="68"/>
      <c r="P102" s="22"/>
      <c r="R102" s="21"/>
      <c r="S102" s="21"/>
      <c r="T102" s="21"/>
      <c r="U102" s="21"/>
      <c r="CA102" s="5">
        <f>IF(AND('Budgeting Model'!B28&lt;&gt;"",'Budgeting Model'!B28='Scratch Sheet'!B28),$CG$72,0)</f>
        <v>0.02</v>
      </c>
      <c r="CB102" s="5">
        <f ca="1">IF(AND('Budgeting Model'!C28&lt;&gt;"",'Budgeting Model'!C28='Scratch Sheet'!C28),$CG$72,0)</f>
        <v>0.02</v>
      </c>
      <c r="CC102" s="5">
        <f>IF(AND('Budgeting Model'!D28&lt;&gt;"",'Budgeting Model'!D28='Scratch Sheet'!D28),$CG$72,0)</f>
        <v>0.02</v>
      </c>
      <c r="CD102" s="5">
        <f ca="1">IF(OR(AND('Budgeting Model'!E28="",'Budgeting Model'!D28&lt;&gt;"Vacant"),'Budgeting Model'!E28&lt;&gt;'Scratch Sheet'!E28),0,$CG$72)</f>
        <v>0.02</v>
      </c>
      <c r="CE102" s="5">
        <f ca="1">IF(AND('Budgeting Model'!F28&lt;&gt;"",'Budgeting Model'!F28='Scratch Sheet'!F28),$CG$72,0)</f>
        <v>0.02</v>
      </c>
      <c r="CF102" s="5">
        <f ca="1">IF(AND('Budgeting Model'!G28&lt;&gt;"",ABS('Budgeting Model'!G28-'Scratch Sheet'!G28)&lt;0.01),$CG$72,0)</f>
        <v>0.02</v>
      </c>
      <c r="CG102" s="5" t="s">
        <v>550</v>
      </c>
      <c r="CH102" s="5" t="s">
        <v>550</v>
      </c>
      <c r="CI102" s="5">
        <f ca="1">IF(AND('Budgeting Model'!J28&lt;&gt;"",ABS('Budgeting Model'!J28-'Scratch Sheet'!J28)&lt;0.01),$CG$72,0)</f>
        <v>0.02</v>
      </c>
      <c r="CJ102" s="5" t="s">
        <v>550</v>
      </c>
      <c r="CK102" s="5">
        <f ca="1">IF(AND('Budgeting Model'!L28&lt;&gt;"",ABS('Budgeting Model'!L28-'Scratch Sheet'!L28)&lt;0.01),$CG$72,0)</f>
        <v>0.02</v>
      </c>
      <c r="CL102" s="5" t="s">
        <v>550</v>
      </c>
      <c r="CM102" s="5">
        <f ca="1">IF(AND('Budgeting Model'!N28="",'Budgeting Model'!N28&lt;&gt;'Scratch Sheet'!N28),0,$CG$72)</f>
        <v>0.02</v>
      </c>
      <c r="CN102" s="5" t="s">
        <v>550</v>
      </c>
      <c r="CO102" s="5">
        <f ca="1">IF(AND('Budgeting Model'!P28&lt;&gt;"",ABS('Budgeting Model'!P28-'Scratch Sheet'!P28)&lt;0.01),$CG$72,0)</f>
        <v>0.02</v>
      </c>
      <c r="CP102" s="5">
        <f ca="1">IF(AND('Budgeting Model'!Q28&lt;&gt;"",ABS('Budgeting Model'!Q28-'Scratch Sheet'!Q28)&lt;0.01),$CG$72,0)</f>
        <v>0.02</v>
      </c>
      <c r="CQ102" s="5">
        <f ca="1">IF(AND('Budgeting Model'!R28&lt;&gt;"",ABS('Budgeting Model'!R28-'Scratch Sheet'!R28)&lt;0.01),$CG$72,0)</f>
        <v>0.02</v>
      </c>
      <c r="CR102" s="5">
        <f ca="1">IF(AND('Budgeting Model'!S28&lt;&gt;"",ABS('Budgeting Model'!S28-'Scratch Sheet'!S28)&lt;0.01),$CG$72,0)</f>
        <v>0.02</v>
      </c>
      <c r="CS102" s="5">
        <f ca="1">IF(AND('Budgeting Model'!T28&lt;&gt;"",ABS('Budgeting Model'!T28-'Scratch Sheet'!T28)&lt;0.01),$CG$72,0)</f>
        <v>0.02</v>
      </c>
      <c r="CT102" s="5">
        <f ca="1">IF(AND('Budgeting Model'!U28&lt;&gt;"",ABS('Budgeting Model'!U28-'Scratch Sheet'!U28)&lt;0.01),$CG$72,0)</f>
        <v>0.02</v>
      </c>
      <c r="CU102" s="5">
        <f ca="1">IF(AND('Budgeting Model'!V28&lt;&gt;"",ABS('Budgeting Model'!V28-'Scratch Sheet'!V28)&lt;0.01),$CG$72,0)</f>
        <v>0.02</v>
      </c>
      <c r="CV102" s="5" t="s">
        <v>550</v>
      </c>
      <c r="CW102" s="5" t="s">
        <v>550</v>
      </c>
      <c r="CX102" s="5">
        <f ca="1">IF(AND('Budgeting Model'!Y28&lt;&gt;"",ABS('Budgeting Model'!Y28-'Scratch Sheet'!Y28)&lt;0.01),$CG$72,0)</f>
        <v>0.02</v>
      </c>
      <c r="CY102" s="5" t="s">
        <v>550</v>
      </c>
      <c r="CZ102" s="5">
        <f ca="1">IF(AND('Budgeting Model'!AA28&lt;&gt;"",ABS('Budgeting Model'!AA28-'Scratch Sheet'!AA28)&lt;0.01),$CG$72,0)</f>
        <v>0.02</v>
      </c>
      <c r="DA102" s="5" t="s">
        <v>550</v>
      </c>
      <c r="DB102" s="5">
        <f ca="1">IF(AND('Budgeting Model'!AC28="",'Budgeting Model'!AC28&lt;&gt;'Scratch Sheet'!AC28),0,$CG$72)</f>
        <v>0.02</v>
      </c>
      <c r="DC102" s="5" t="s">
        <v>550</v>
      </c>
      <c r="DD102" s="5">
        <f ca="1">IF(AND('Budgeting Model'!AE28&lt;&gt;"",ABS('Budgeting Model'!AE28-'Scratch Sheet'!AE28)&lt;0.01),$CG$72,0)</f>
        <v>0.02</v>
      </c>
      <c r="DE102" s="5">
        <f ca="1">IF(AND('Budgeting Model'!AF28&lt;&gt;"",ABS('Budgeting Model'!AF28-'Scratch Sheet'!AF28)&lt;0.01),$CG$72,0)</f>
        <v>0.02</v>
      </c>
      <c r="DF102" s="5">
        <f ca="1">IF(AND('Budgeting Model'!AG28&lt;&gt;"",ABS('Budgeting Model'!AG28-'Scratch Sheet'!AG28)&lt;0.01),$CG$72,0)</f>
        <v>0.02</v>
      </c>
      <c r="DG102" s="5">
        <f ca="1">IF(AND('Budgeting Model'!AH28&lt;&gt;"",ABS('Budgeting Model'!AH28-'Scratch Sheet'!AH28)&lt;0.01),$CG$72,0)</f>
        <v>0.02</v>
      </c>
      <c r="DH102" s="5">
        <f ca="1">IF(AND('Budgeting Model'!AI28&lt;&gt;"",ABS('Budgeting Model'!AI28-'Scratch Sheet'!AI28)&lt;0.01),$CG$72,0)</f>
        <v>0.02</v>
      </c>
      <c r="DI102" s="5">
        <f ca="1">IF(AND('Budgeting Model'!AJ28&lt;&gt;"",ABS('Budgeting Model'!AJ28-'Scratch Sheet'!AJ28)&lt;0.01),$CG$72,0)</f>
        <v>0.02</v>
      </c>
      <c r="DJ102" s="5">
        <f ca="1">IF(AND('Budgeting Model'!AK28&lt;&gt;"",ABS('Budgeting Model'!AK28-'Scratch Sheet'!AK28)&lt;0.01),$CG$72,0)</f>
        <v>0.02</v>
      </c>
      <c r="DK102" s="5" t="s">
        <v>550</v>
      </c>
      <c r="DL102" s="5">
        <f ca="1">IF(AND('Budgeting Model'!AM28&lt;&gt;"",ABS('Budgeting Model'!AM28-'Scratch Sheet'!AM28)&lt;0.01),$CG$72,0)</f>
        <v>0.02</v>
      </c>
      <c r="DM102" s="5">
        <f ca="1">IF(AND('Budgeting Model'!AN28&lt;&gt;"",ABS('Budgeting Model'!AN28-'Scratch Sheet'!AN28)&lt;0.01),$CG$72,0)</f>
        <v>0.02</v>
      </c>
      <c r="DN102" s="5">
        <f ca="1">IF(AND('Budgeting Model'!AO28&lt;&gt;"",ABS('Budgeting Model'!AO28-'Scratch Sheet'!AO28)&lt;0.01),$CG$72,0)</f>
        <v>0.02</v>
      </c>
      <c r="DO102" s="5">
        <f ca="1">IF(AND('Budgeting Model'!AP28&lt;&gt;"",ABS('Budgeting Model'!AP28-'Scratch Sheet'!AP28)&lt;0.01),$CG$72,0)</f>
        <v>0.02</v>
      </c>
    </row>
    <row r="103" spans="2:119">
      <c r="B103" s="5"/>
      <c r="C103" s="17"/>
      <c r="D103" s="16"/>
      <c r="E103" s="22"/>
      <c r="F103" s="22"/>
      <c r="L103" s="68"/>
      <c r="M103" s="68"/>
      <c r="N103" s="68"/>
      <c r="O103" s="68"/>
      <c r="P103" s="22"/>
      <c r="R103" s="21"/>
      <c r="S103" s="21"/>
      <c r="T103" s="21"/>
      <c r="U103" s="21"/>
      <c r="CA103" s="5">
        <f>IF(AND('Budgeting Model'!B29&lt;&gt;"",'Budgeting Model'!B29='Scratch Sheet'!B29),$CG$72,0)</f>
        <v>0.02</v>
      </c>
      <c r="CB103" s="5">
        <f ca="1">IF(AND('Budgeting Model'!C29&lt;&gt;"",'Budgeting Model'!C29='Scratch Sheet'!C29),$CG$72,0)</f>
        <v>0.02</v>
      </c>
      <c r="CC103" s="5">
        <f>IF(AND('Budgeting Model'!D29&lt;&gt;"",'Budgeting Model'!D29='Scratch Sheet'!D29),$CG$72,0)</f>
        <v>0.02</v>
      </c>
      <c r="CD103" s="5">
        <f ca="1">IF(OR(AND('Budgeting Model'!E29="",'Budgeting Model'!D29&lt;&gt;"Vacant"),'Budgeting Model'!E29&lt;&gt;'Scratch Sheet'!E29),0,$CG$72)</f>
        <v>0.02</v>
      </c>
      <c r="CE103" s="5">
        <f ca="1">IF(AND('Budgeting Model'!F29&lt;&gt;"",'Budgeting Model'!F29='Scratch Sheet'!F29),$CG$72,0)</f>
        <v>0.02</v>
      </c>
      <c r="CF103" s="5">
        <f ca="1">IF(AND('Budgeting Model'!G29&lt;&gt;"",ABS('Budgeting Model'!G29-'Scratch Sheet'!G29)&lt;0.01),$CG$72,0)</f>
        <v>0.02</v>
      </c>
      <c r="CG103" s="5" t="s">
        <v>550</v>
      </c>
      <c r="CH103" s="5" t="s">
        <v>550</v>
      </c>
      <c r="CI103" s="5">
        <f ca="1">IF(AND('Budgeting Model'!J29&lt;&gt;"",ABS('Budgeting Model'!J29-'Scratch Sheet'!J29)&lt;0.01),$CG$72,0)</f>
        <v>0.02</v>
      </c>
      <c r="CJ103" s="5" t="s">
        <v>550</v>
      </c>
      <c r="CK103" s="5">
        <f ca="1">IF(AND('Budgeting Model'!L29&lt;&gt;"",ABS('Budgeting Model'!L29-'Scratch Sheet'!L29)&lt;0.01),$CG$72,0)</f>
        <v>0.02</v>
      </c>
      <c r="CL103" s="5" t="s">
        <v>550</v>
      </c>
      <c r="CM103" s="5">
        <f ca="1">IF(AND('Budgeting Model'!N29="",'Budgeting Model'!N29&lt;&gt;'Scratch Sheet'!N29),0,$CG$72)</f>
        <v>0.02</v>
      </c>
      <c r="CN103" s="5" t="s">
        <v>550</v>
      </c>
      <c r="CO103" s="5">
        <f ca="1">IF(AND('Budgeting Model'!P29&lt;&gt;"",ABS('Budgeting Model'!P29-'Scratch Sheet'!P29)&lt;0.01),$CG$72,0)</f>
        <v>0.02</v>
      </c>
      <c r="CP103" s="5">
        <f ca="1">IF(AND('Budgeting Model'!Q29&lt;&gt;"",ABS('Budgeting Model'!Q29-'Scratch Sheet'!Q29)&lt;0.01),$CG$72,0)</f>
        <v>0.02</v>
      </c>
      <c r="CQ103" s="5">
        <f ca="1">IF(AND('Budgeting Model'!R29&lt;&gt;"",ABS('Budgeting Model'!R29-'Scratch Sheet'!R29)&lt;0.01),$CG$72,0)</f>
        <v>0.02</v>
      </c>
      <c r="CR103" s="5">
        <f ca="1">IF(AND('Budgeting Model'!S29&lt;&gt;"",ABS('Budgeting Model'!S29-'Scratch Sheet'!S29)&lt;0.01),$CG$72,0)</f>
        <v>0.02</v>
      </c>
      <c r="CS103" s="5">
        <f ca="1">IF(AND('Budgeting Model'!T29&lt;&gt;"",ABS('Budgeting Model'!T29-'Scratch Sheet'!T29)&lt;0.01),$CG$72,0)</f>
        <v>0.02</v>
      </c>
      <c r="CT103" s="5">
        <f ca="1">IF(AND('Budgeting Model'!U29&lt;&gt;"",ABS('Budgeting Model'!U29-'Scratch Sheet'!U29)&lt;0.01),$CG$72,0)</f>
        <v>0.02</v>
      </c>
      <c r="CU103" s="5">
        <f ca="1">IF(AND('Budgeting Model'!V29&lt;&gt;"",ABS('Budgeting Model'!V29-'Scratch Sheet'!V29)&lt;0.01),$CG$72,0)</f>
        <v>0.02</v>
      </c>
      <c r="CV103" s="5" t="s">
        <v>550</v>
      </c>
      <c r="CW103" s="5" t="s">
        <v>550</v>
      </c>
      <c r="CX103" s="5">
        <f ca="1">IF(AND('Budgeting Model'!Y29&lt;&gt;"",ABS('Budgeting Model'!Y29-'Scratch Sheet'!Y29)&lt;0.01),$CG$72,0)</f>
        <v>0.02</v>
      </c>
      <c r="CY103" s="5" t="s">
        <v>550</v>
      </c>
      <c r="CZ103" s="5">
        <f ca="1">IF(AND('Budgeting Model'!AA29&lt;&gt;"",ABS('Budgeting Model'!AA29-'Scratch Sheet'!AA29)&lt;0.01),$CG$72,0)</f>
        <v>0.02</v>
      </c>
      <c r="DA103" s="5" t="s">
        <v>550</v>
      </c>
      <c r="DB103" s="5">
        <f ca="1">IF(AND('Budgeting Model'!AC29="",'Budgeting Model'!AC29&lt;&gt;'Scratch Sheet'!AC29),0,$CG$72)</f>
        <v>0.02</v>
      </c>
      <c r="DC103" s="5" t="s">
        <v>550</v>
      </c>
      <c r="DD103" s="5">
        <f ca="1">IF(AND('Budgeting Model'!AE29&lt;&gt;"",ABS('Budgeting Model'!AE29-'Scratch Sheet'!AE29)&lt;0.01),$CG$72,0)</f>
        <v>0.02</v>
      </c>
      <c r="DE103" s="5">
        <f ca="1">IF(AND('Budgeting Model'!AF29&lt;&gt;"",ABS('Budgeting Model'!AF29-'Scratch Sheet'!AF29)&lt;0.01),$CG$72,0)</f>
        <v>0.02</v>
      </c>
      <c r="DF103" s="5">
        <f ca="1">IF(AND('Budgeting Model'!AG29&lt;&gt;"",ABS('Budgeting Model'!AG29-'Scratch Sheet'!AG29)&lt;0.01),$CG$72,0)</f>
        <v>0.02</v>
      </c>
      <c r="DG103" s="5">
        <f ca="1">IF(AND('Budgeting Model'!AH29&lt;&gt;"",ABS('Budgeting Model'!AH29-'Scratch Sheet'!AH29)&lt;0.01),$CG$72,0)</f>
        <v>0.02</v>
      </c>
      <c r="DH103" s="5">
        <f ca="1">IF(AND('Budgeting Model'!AI29&lt;&gt;"",ABS('Budgeting Model'!AI29-'Scratch Sheet'!AI29)&lt;0.01),$CG$72,0)</f>
        <v>0.02</v>
      </c>
      <c r="DI103" s="5">
        <f ca="1">IF(AND('Budgeting Model'!AJ29&lt;&gt;"",ABS('Budgeting Model'!AJ29-'Scratch Sheet'!AJ29)&lt;0.01),$CG$72,0)</f>
        <v>0.02</v>
      </c>
      <c r="DJ103" s="5">
        <f ca="1">IF(AND('Budgeting Model'!AK29&lt;&gt;"",ABS('Budgeting Model'!AK29-'Scratch Sheet'!AK29)&lt;0.01),$CG$72,0)</f>
        <v>0.02</v>
      </c>
      <c r="DK103" s="5" t="s">
        <v>550</v>
      </c>
      <c r="DL103" s="5">
        <f ca="1">IF(AND('Budgeting Model'!AM29&lt;&gt;"",ABS('Budgeting Model'!AM29-'Scratch Sheet'!AM29)&lt;0.01),$CG$72,0)</f>
        <v>0.02</v>
      </c>
      <c r="DM103" s="5">
        <f ca="1">IF(AND('Budgeting Model'!AN29&lt;&gt;"",ABS('Budgeting Model'!AN29-'Scratch Sheet'!AN29)&lt;0.01),$CG$72,0)</f>
        <v>0.02</v>
      </c>
      <c r="DN103" s="5">
        <f ca="1">IF(AND('Budgeting Model'!AO29&lt;&gt;"",ABS('Budgeting Model'!AO29-'Scratch Sheet'!AO29)&lt;0.01),$CG$72,0)</f>
        <v>0.02</v>
      </c>
      <c r="DO103" s="5">
        <f ca="1">IF(AND('Budgeting Model'!AP29&lt;&gt;"",ABS('Budgeting Model'!AP29-'Scratch Sheet'!AP29)&lt;0.01),$CG$72,0)</f>
        <v>0.02</v>
      </c>
    </row>
    <row r="104" spans="2:119">
      <c r="B104" s="5"/>
      <c r="C104" s="17"/>
      <c r="D104" s="16"/>
      <c r="E104" s="22"/>
      <c r="F104" s="22"/>
      <c r="L104" s="68"/>
      <c r="M104" s="68"/>
      <c r="N104" s="68"/>
      <c r="O104" s="68"/>
      <c r="P104" s="22"/>
      <c r="R104" s="21"/>
      <c r="S104" s="21"/>
      <c r="T104" s="21"/>
      <c r="U104" s="21"/>
      <c r="CA104" s="5">
        <f>IF(AND('Budgeting Model'!B30&lt;&gt;"",'Budgeting Model'!B30='Scratch Sheet'!B30),$CG$72,0)</f>
        <v>0.02</v>
      </c>
      <c r="CB104" s="5">
        <f ca="1">IF(AND('Budgeting Model'!C30&lt;&gt;"",'Budgeting Model'!C30='Scratch Sheet'!C30),$CG$72,0)</f>
        <v>0.02</v>
      </c>
      <c r="CC104" s="5">
        <f>IF(AND('Budgeting Model'!D30&lt;&gt;"",'Budgeting Model'!D30='Scratch Sheet'!D30),$CG$72,0)</f>
        <v>0.02</v>
      </c>
      <c r="CD104" s="5">
        <f ca="1">IF(OR(AND('Budgeting Model'!E30="",'Budgeting Model'!D30&lt;&gt;"Vacant"),'Budgeting Model'!E30&lt;&gt;'Scratch Sheet'!E30),0,$CG$72)</f>
        <v>0.02</v>
      </c>
      <c r="CE104" s="5">
        <f ca="1">IF(AND('Budgeting Model'!F30&lt;&gt;"",'Budgeting Model'!F30='Scratch Sheet'!F30),$CG$72,0)</f>
        <v>0.02</v>
      </c>
      <c r="CF104" s="5">
        <f ca="1">IF(AND('Budgeting Model'!G30&lt;&gt;"",ABS('Budgeting Model'!G30-'Scratch Sheet'!G30)&lt;0.01),$CG$72,0)</f>
        <v>0.02</v>
      </c>
      <c r="CG104" s="5" t="s">
        <v>550</v>
      </c>
      <c r="CH104" s="5" t="s">
        <v>550</v>
      </c>
      <c r="CI104" s="5">
        <f ca="1">IF(AND('Budgeting Model'!J30&lt;&gt;"",ABS('Budgeting Model'!J30-'Scratch Sheet'!J30)&lt;0.01),$CG$72,0)</f>
        <v>0.02</v>
      </c>
      <c r="CJ104" s="5" t="s">
        <v>550</v>
      </c>
      <c r="CK104" s="5">
        <f ca="1">IF(AND('Budgeting Model'!L30&lt;&gt;"",ABS('Budgeting Model'!L30-'Scratch Sheet'!L30)&lt;0.01),$CG$72,0)</f>
        <v>0.02</v>
      </c>
      <c r="CL104" s="5" t="s">
        <v>550</v>
      </c>
      <c r="CM104" s="5">
        <f ca="1">IF(AND('Budgeting Model'!N30="",'Budgeting Model'!N30&lt;&gt;'Scratch Sheet'!N30),0,$CG$72)</f>
        <v>0.02</v>
      </c>
      <c r="CN104" s="5" t="s">
        <v>550</v>
      </c>
      <c r="CO104" s="5">
        <f ca="1">IF(AND('Budgeting Model'!P30&lt;&gt;"",ABS('Budgeting Model'!P30-'Scratch Sheet'!P30)&lt;0.01),$CG$72,0)</f>
        <v>0.02</v>
      </c>
      <c r="CP104" s="5">
        <f ca="1">IF(AND('Budgeting Model'!Q30&lt;&gt;"",ABS('Budgeting Model'!Q30-'Scratch Sheet'!Q30)&lt;0.01),$CG$72,0)</f>
        <v>0.02</v>
      </c>
      <c r="CQ104" s="5">
        <f ca="1">IF(AND('Budgeting Model'!R30&lt;&gt;"",ABS('Budgeting Model'!R30-'Scratch Sheet'!R30)&lt;0.01),$CG$72,0)</f>
        <v>0.02</v>
      </c>
      <c r="CR104" s="5">
        <f ca="1">IF(AND('Budgeting Model'!S30&lt;&gt;"",ABS('Budgeting Model'!S30-'Scratch Sheet'!S30)&lt;0.01),$CG$72,0)</f>
        <v>0.02</v>
      </c>
      <c r="CS104" s="5">
        <f ca="1">IF(AND('Budgeting Model'!T30&lt;&gt;"",ABS('Budgeting Model'!T30-'Scratch Sheet'!T30)&lt;0.01),$CG$72,0)</f>
        <v>0.02</v>
      </c>
      <c r="CT104" s="5">
        <f ca="1">IF(AND('Budgeting Model'!U30&lt;&gt;"",ABS('Budgeting Model'!U30-'Scratch Sheet'!U30)&lt;0.01),$CG$72,0)</f>
        <v>0.02</v>
      </c>
      <c r="CU104" s="5">
        <f ca="1">IF(AND('Budgeting Model'!V30&lt;&gt;"",ABS('Budgeting Model'!V30-'Scratch Sheet'!V30)&lt;0.01),$CG$72,0)</f>
        <v>0.02</v>
      </c>
      <c r="CV104" s="5" t="s">
        <v>550</v>
      </c>
      <c r="CW104" s="5" t="s">
        <v>550</v>
      </c>
      <c r="CX104" s="5">
        <f ca="1">IF(AND('Budgeting Model'!Y30&lt;&gt;"",ABS('Budgeting Model'!Y30-'Scratch Sheet'!Y30)&lt;0.01),$CG$72,0)</f>
        <v>0.02</v>
      </c>
      <c r="CY104" s="5" t="s">
        <v>550</v>
      </c>
      <c r="CZ104" s="5">
        <f ca="1">IF(AND('Budgeting Model'!AA30&lt;&gt;"",ABS('Budgeting Model'!AA30-'Scratch Sheet'!AA30)&lt;0.01),$CG$72,0)</f>
        <v>0.02</v>
      </c>
      <c r="DA104" s="5" t="s">
        <v>550</v>
      </c>
      <c r="DB104" s="5">
        <f ca="1">IF(AND('Budgeting Model'!AC30="",'Budgeting Model'!AC30&lt;&gt;'Scratch Sheet'!AC30),0,$CG$72)</f>
        <v>0.02</v>
      </c>
      <c r="DC104" s="5" t="s">
        <v>550</v>
      </c>
      <c r="DD104" s="5">
        <f ca="1">IF(AND('Budgeting Model'!AE30&lt;&gt;"",ABS('Budgeting Model'!AE30-'Scratch Sheet'!AE30)&lt;0.01),$CG$72,0)</f>
        <v>0.02</v>
      </c>
      <c r="DE104" s="5">
        <f ca="1">IF(AND('Budgeting Model'!AF30&lt;&gt;"",ABS('Budgeting Model'!AF30-'Scratch Sheet'!AF30)&lt;0.01),$CG$72,0)</f>
        <v>0.02</v>
      </c>
      <c r="DF104" s="5">
        <f ca="1">IF(AND('Budgeting Model'!AG30&lt;&gt;"",ABS('Budgeting Model'!AG30-'Scratch Sheet'!AG30)&lt;0.01),$CG$72,0)</f>
        <v>0.02</v>
      </c>
      <c r="DG104" s="5">
        <f ca="1">IF(AND('Budgeting Model'!AH30&lt;&gt;"",ABS('Budgeting Model'!AH30-'Scratch Sheet'!AH30)&lt;0.01),$CG$72,0)</f>
        <v>0.02</v>
      </c>
      <c r="DH104" s="5">
        <f ca="1">IF(AND('Budgeting Model'!AI30&lt;&gt;"",ABS('Budgeting Model'!AI30-'Scratch Sheet'!AI30)&lt;0.01),$CG$72,0)</f>
        <v>0.02</v>
      </c>
      <c r="DI104" s="5">
        <f ca="1">IF(AND('Budgeting Model'!AJ30&lt;&gt;"",ABS('Budgeting Model'!AJ30-'Scratch Sheet'!AJ30)&lt;0.01),$CG$72,0)</f>
        <v>0.02</v>
      </c>
      <c r="DJ104" s="5">
        <f ca="1">IF(AND('Budgeting Model'!AK30&lt;&gt;"",ABS('Budgeting Model'!AK30-'Scratch Sheet'!AK30)&lt;0.01),$CG$72,0)</f>
        <v>0.02</v>
      </c>
      <c r="DK104" s="5" t="s">
        <v>550</v>
      </c>
      <c r="DL104" s="5">
        <f ca="1">IF(AND('Budgeting Model'!AM30&lt;&gt;"",ABS('Budgeting Model'!AM30-'Scratch Sheet'!AM30)&lt;0.01),$CG$72,0)</f>
        <v>0.02</v>
      </c>
      <c r="DM104" s="5">
        <f ca="1">IF(AND('Budgeting Model'!AN30&lt;&gt;"",ABS('Budgeting Model'!AN30-'Scratch Sheet'!AN30)&lt;0.01),$CG$72,0)</f>
        <v>0.02</v>
      </c>
      <c r="DN104" s="5">
        <f ca="1">IF(AND('Budgeting Model'!AO30&lt;&gt;"",ABS('Budgeting Model'!AO30-'Scratch Sheet'!AO30)&lt;0.01),$CG$72,0)</f>
        <v>0.02</v>
      </c>
      <c r="DO104" s="5">
        <f ca="1">IF(AND('Budgeting Model'!AP30&lt;&gt;"",ABS('Budgeting Model'!AP30-'Scratch Sheet'!AP30)&lt;0.01),$CG$72,0)</f>
        <v>0.02</v>
      </c>
    </row>
    <row r="105" spans="2:119">
      <c r="B105" s="5"/>
      <c r="C105" s="17"/>
      <c r="D105" s="16"/>
      <c r="E105" s="22"/>
      <c r="F105" s="22"/>
      <c r="L105" s="68"/>
      <c r="M105" s="68"/>
      <c r="N105" s="68"/>
      <c r="O105" s="68"/>
      <c r="P105" s="22"/>
      <c r="R105" s="21"/>
      <c r="S105" s="21"/>
      <c r="T105" s="21"/>
      <c r="U105" s="21"/>
      <c r="CA105" s="5">
        <f>IF(AND('Budgeting Model'!B31&lt;&gt;"",'Budgeting Model'!B31='Scratch Sheet'!B31),$CG$72,0)</f>
        <v>0.02</v>
      </c>
      <c r="CB105" s="5">
        <f ca="1">IF(AND('Budgeting Model'!C31&lt;&gt;"",'Budgeting Model'!C31='Scratch Sheet'!C31),$CG$72,0)</f>
        <v>0.02</v>
      </c>
      <c r="CC105" s="5">
        <f>IF(AND('Budgeting Model'!D31&lt;&gt;"",'Budgeting Model'!D31='Scratch Sheet'!D31),$CG$72,0)</f>
        <v>0.02</v>
      </c>
      <c r="CD105" s="5">
        <f ca="1">IF(OR(AND('Budgeting Model'!E31="",'Budgeting Model'!D31&lt;&gt;"Vacant"),'Budgeting Model'!E31&lt;&gt;'Scratch Sheet'!E31),0,$CG$72)</f>
        <v>0.02</v>
      </c>
      <c r="CE105" s="5">
        <f ca="1">IF(AND('Budgeting Model'!F31&lt;&gt;"",'Budgeting Model'!F31='Scratch Sheet'!F31),$CG$72,0)</f>
        <v>0.02</v>
      </c>
      <c r="CF105" s="5">
        <f ca="1">IF(AND('Budgeting Model'!G31&lt;&gt;"",ABS('Budgeting Model'!G31-'Scratch Sheet'!G31)&lt;0.01),$CG$72,0)</f>
        <v>0.02</v>
      </c>
      <c r="CG105" s="5" t="s">
        <v>550</v>
      </c>
      <c r="CH105" s="5" t="s">
        <v>550</v>
      </c>
      <c r="CI105" s="5">
        <f ca="1">IF(AND('Budgeting Model'!J31&lt;&gt;"",ABS('Budgeting Model'!J31-'Scratch Sheet'!J31)&lt;0.01),$CG$72,0)</f>
        <v>0.02</v>
      </c>
      <c r="CJ105" s="5" t="s">
        <v>550</v>
      </c>
      <c r="CK105" s="5">
        <f ca="1">IF(AND('Budgeting Model'!L31&lt;&gt;"",ABS('Budgeting Model'!L31-'Scratch Sheet'!L31)&lt;0.01),$CG$72,0)</f>
        <v>0.02</v>
      </c>
      <c r="CL105" s="5" t="s">
        <v>550</v>
      </c>
      <c r="CM105" s="5">
        <f ca="1">IF(AND('Budgeting Model'!N31="",'Budgeting Model'!N31&lt;&gt;'Scratch Sheet'!N31),0,$CG$72)</f>
        <v>0.02</v>
      </c>
      <c r="CN105" s="5" t="s">
        <v>550</v>
      </c>
      <c r="CO105" s="5">
        <f ca="1">IF(AND('Budgeting Model'!P31&lt;&gt;"",ABS('Budgeting Model'!P31-'Scratch Sheet'!P31)&lt;0.01),$CG$72,0)</f>
        <v>0.02</v>
      </c>
      <c r="CP105" s="5">
        <f ca="1">IF(AND('Budgeting Model'!Q31&lt;&gt;"",ABS('Budgeting Model'!Q31-'Scratch Sheet'!Q31)&lt;0.01),$CG$72,0)</f>
        <v>0.02</v>
      </c>
      <c r="CQ105" s="5">
        <f ca="1">IF(AND('Budgeting Model'!R31&lt;&gt;"",ABS('Budgeting Model'!R31-'Scratch Sheet'!R31)&lt;0.01),$CG$72,0)</f>
        <v>0.02</v>
      </c>
      <c r="CR105" s="5">
        <f ca="1">IF(AND('Budgeting Model'!S31&lt;&gt;"",ABS('Budgeting Model'!S31-'Scratch Sheet'!S31)&lt;0.01),$CG$72,0)</f>
        <v>0.02</v>
      </c>
      <c r="CS105" s="5">
        <f ca="1">IF(AND('Budgeting Model'!T31&lt;&gt;"",ABS('Budgeting Model'!T31-'Scratch Sheet'!T31)&lt;0.01),$CG$72,0)</f>
        <v>0.02</v>
      </c>
      <c r="CT105" s="5">
        <f ca="1">IF(AND('Budgeting Model'!U31&lt;&gt;"",ABS('Budgeting Model'!U31-'Scratch Sheet'!U31)&lt;0.01),$CG$72,0)</f>
        <v>0.02</v>
      </c>
      <c r="CU105" s="5">
        <f ca="1">IF(AND('Budgeting Model'!V31&lt;&gt;"",ABS('Budgeting Model'!V31-'Scratch Sheet'!V31)&lt;0.01),$CG$72,0)</f>
        <v>0.02</v>
      </c>
      <c r="CV105" s="5" t="s">
        <v>550</v>
      </c>
      <c r="CW105" s="5" t="s">
        <v>550</v>
      </c>
      <c r="CX105" s="5">
        <f ca="1">IF(AND('Budgeting Model'!Y31&lt;&gt;"",ABS('Budgeting Model'!Y31-'Scratch Sheet'!Y31)&lt;0.01),$CG$72,0)</f>
        <v>0.02</v>
      </c>
      <c r="CY105" s="5" t="s">
        <v>550</v>
      </c>
      <c r="CZ105" s="5">
        <f ca="1">IF(AND('Budgeting Model'!AA31&lt;&gt;"",ABS('Budgeting Model'!AA31-'Scratch Sheet'!AA31)&lt;0.01),$CG$72,0)</f>
        <v>0.02</v>
      </c>
      <c r="DA105" s="5" t="s">
        <v>550</v>
      </c>
      <c r="DB105" s="5">
        <f ca="1">IF(AND('Budgeting Model'!AC31="",'Budgeting Model'!AC31&lt;&gt;'Scratch Sheet'!AC31),0,$CG$72)</f>
        <v>0.02</v>
      </c>
      <c r="DC105" s="5" t="s">
        <v>550</v>
      </c>
      <c r="DD105" s="5">
        <f ca="1">IF(AND('Budgeting Model'!AE31&lt;&gt;"",ABS('Budgeting Model'!AE31-'Scratch Sheet'!AE31)&lt;0.01),$CG$72,0)</f>
        <v>0.02</v>
      </c>
      <c r="DE105" s="5">
        <f ca="1">IF(AND('Budgeting Model'!AF31&lt;&gt;"",ABS('Budgeting Model'!AF31-'Scratch Sheet'!AF31)&lt;0.01),$CG$72,0)</f>
        <v>0.02</v>
      </c>
      <c r="DF105" s="5">
        <f ca="1">IF(AND('Budgeting Model'!AG31&lt;&gt;"",ABS('Budgeting Model'!AG31-'Scratch Sheet'!AG31)&lt;0.01),$CG$72,0)</f>
        <v>0.02</v>
      </c>
      <c r="DG105" s="5">
        <f ca="1">IF(AND('Budgeting Model'!AH31&lt;&gt;"",ABS('Budgeting Model'!AH31-'Scratch Sheet'!AH31)&lt;0.01),$CG$72,0)</f>
        <v>0.02</v>
      </c>
      <c r="DH105" s="5">
        <f ca="1">IF(AND('Budgeting Model'!AI31&lt;&gt;"",ABS('Budgeting Model'!AI31-'Scratch Sheet'!AI31)&lt;0.01),$CG$72,0)</f>
        <v>0.02</v>
      </c>
      <c r="DI105" s="5">
        <f ca="1">IF(AND('Budgeting Model'!AJ31&lt;&gt;"",ABS('Budgeting Model'!AJ31-'Scratch Sheet'!AJ31)&lt;0.01),$CG$72,0)</f>
        <v>0.02</v>
      </c>
      <c r="DJ105" s="5">
        <f ca="1">IF(AND('Budgeting Model'!AK31&lt;&gt;"",ABS('Budgeting Model'!AK31-'Scratch Sheet'!AK31)&lt;0.01),$CG$72,0)</f>
        <v>0.02</v>
      </c>
      <c r="DK105" s="5" t="s">
        <v>550</v>
      </c>
      <c r="DL105" s="5">
        <f ca="1">IF(AND('Budgeting Model'!AM31&lt;&gt;"",ABS('Budgeting Model'!AM31-'Scratch Sheet'!AM31)&lt;0.01),$CG$72,0)</f>
        <v>0.02</v>
      </c>
      <c r="DM105" s="5">
        <f ca="1">IF(AND('Budgeting Model'!AN31&lt;&gt;"",ABS('Budgeting Model'!AN31-'Scratch Sheet'!AN31)&lt;0.01),$CG$72,0)</f>
        <v>0.02</v>
      </c>
      <c r="DN105" s="5">
        <f ca="1">IF(AND('Budgeting Model'!AO31&lt;&gt;"",ABS('Budgeting Model'!AO31-'Scratch Sheet'!AO31)&lt;0.01),$CG$72,0)</f>
        <v>0.02</v>
      </c>
      <c r="DO105" s="5">
        <f ca="1">IF(AND('Budgeting Model'!AP31&lt;&gt;"",ABS('Budgeting Model'!AP31-'Scratch Sheet'!AP31)&lt;0.01),$CG$72,0)</f>
        <v>0.02</v>
      </c>
    </row>
    <row r="106" spans="2:119">
      <c r="B106" s="5"/>
      <c r="C106" s="17"/>
      <c r="D106" s="16"/>
      <c r="E106" s="22"/>
      <c r="F106" s="22"/>
      <c r="L106" s="68"/>
      <c r="M106" s="68"/>
      <c r="N106" s="68"/>
      <c r="O106" s="68"/>
      <c r="P106" s="22"/>
      <c r="R106" s="21"/>
      <c r="S106" s="21"/>
      <c r="T106" s="21"/>
      <c r="U106" s="21"/>
      <c r="CA106" s="5">
        <f>IF(AND('Budgeting Model'!B32&lt;&gt;"",'Budgeting Model'!B32='Scratch Sheet'!B32),$CG$72,0)</f>
        <v>0.02</v>
      </c>
      <c r="CB106" s="5">
        <f ca="1">IF(AND('Budgeting Model'!C32&lt;&gt;"",'Budgeting Model'!C32='Scratch Sheet'!C32),$CG$72,0)</f>
        <v>0.02</v>
      </c>
      <c r="CC106" s="5">
        <f>IF(AND('Budgeting Model'!D32&lt;&gt;"",'Budgeting Model'!D32='Scratch Sheet'!D32),$CG$72,0)</f>
        <v>0.02</v>
      </c>
      <c r="CD106" s="5">
        <f ca="1">IF(OR(AND('Budgeting Model'!E32="",'Budgeting Model'!D32&lt;&gt;"Vacant"),'Budgeting Model'!E32&lt;&gt;'Scratch Sheet'!E32),0,$CG$72)</f>
        <v>0.02</v>
      </c>
      <c r="CE106" s="5">
        <f ca="1">IF(AND('Budgeting Model'!F32&lt;&gt;"",'Budgeting Model'!F32='Scratch Sheet'!F32),$CG$72,0)</f>
        <v>0.02</v>
      </c>
      <c r="CF106" s="5">
        <f ca="1">IF(AND('Budgeting Model'!G32&lt;&gt;"",ABS('Budgeting Model'!G32-'Scratch Sheet'!G32)&lt;0.01),$CG$72,0)</f>
        <v>0.02</v>
      </c>
      <c r="CG106" s="5" t="s">
        <v>550</v>
      </c>
      <c r="CH106" s="5" t="s">
        <v>550</v>
      </c>
      <c r="CI106" s="5">
        <f ca="1">IF(AND('Budgeting Model'!J32&lt;&gt;"",ABS('Budgeting Model'!J32-'Scratch Sheet'!J32)&lt;0.01),$CG$72,0)</f>
        <v>0.02</v>
      </c>
      <c r="CJ106" s="5" t="s">
        <v>550</v>
      </c>
      <c r="CK106" s="5">
        <f ca="1">IF(AND('Budgeting Model'!L32&lt;&gt;"",ABS('Budgeting Model'!L32-'Scratch Sheet'!L32)&lt;0.01),$CG$72,0)</f>
        <v>0.02</v>
      </c>
      <c r="CL106" s="5" t="s">
        <v>550</v>
      </c>
      <c r="CM106" s="5">
        <f ca="1">IF(AND('Budgeting Model'!N32="",'Budgeting Model'!N32&lt;&gt;'Scratch Sheet'!N32),0,$CG$72)</f>
        <v>0.02</v>
      </c>
      <c r="CN106" s="5" t="s">
        <v>550</v>
      </c>
      <c r="CO106" s="5">
        <f ca="1">IF(AND('Budgeting Model'!P32&lt;&gt;"",ABS('Budgeting Model'!P32-'Scratch Sheet'!P32)&lt;0.01),$CG$72,0)</f>
        <v>0.02</v>
      </c>
      <c r="CP106" s="5">
        <f ca="1">IF(AND('Budgeting Model'!Q32&lt;&gt;"",ABS('Budgeting Model'!Q32-'Scratch Sheet'!Q32)&lt;0.01),$CG$72,0)</f>
        <v>0.02</v>
      </c>
      <c r="CQ106" s="5">
        <f ca="1">IF(AND('Budgeting Model'!R32&lt;&gt;"",ABS('Budgeting Model'!R32-'Scratch Sheet'!R32)&lt;0.01),$CG$72,0)</f>
        <v>0.02</v>
      </c>
      <c r="CR106" s="5">
        <f ca="1">IF(AND('Budgeting Model'!S32&lt;&gt;"",ABS('Budgeting Model'!S32-'Scratch Sheet'!S32)&lt;0.01),$CG$72,0)</f>
        <v>0.02</v>
      </c>
      <c r="CS106" s="5">
        <f ca="1">IF(AND('Budgeting Model'!T32&lt;&gt;"",ABS('Budgeting Model'!T32-'Scratch Sheet'!T32)&lt;0.01),$CG$72,0)</f>
        <v>0.02</v>
      </c>
      <c r="CT106" s="5">
        <f ca="1">IF(AND('Budgeting Model'!U32&lt;&gt;"",ABS('Budgeting Model'!U32-'Scratch Sheet'!U32)&lt;0.01),$CG$72,0)</f>
        <v>0.02</v>
      </c>
      <c r="CU106" s="5">
        <f ca="1">IF(AND('Budgeting Model'!V32&lt;&gt;"",ABS('Budgeting Model'!V32-'Scratch Sheet'!V32)&lt;0.01),$CG$72,0)</f>
        <v>0.02</v>
      </c>
      <c r="CV106" s="5" t="s">
        <v>550</v>
      </c>
      <c r="CW106" s="5" t="s">
        <v>550</v>
      </c>
      <c r="CX106" s="5">
        <f ca="1">IF(AND('Budgeting Model'!Y32&lt;&gt;"",ABS('Budgeting Model'!Y32-'Scratch Sheet'!Y32)&lt;0.01),$CG$72,0)</f>
        <v>0.02</v>
      </c>
      <c r="CY106" s="5" t="s">
        <v>550</v>
      </c>
      <c r="CZ106" s="5">
        <f ca="1">IF(AND('Budgeting Model'!AA32&lt;&gt;"",ABS('Budgeting Model'!AA32-'Scratch Sheet'!AA32)&lt;0.01),$CG$72,0)</f>
        <v>0.02</v>
      </c>
      <c r="DA106" s="5" t="s">
        <v>550</v>
      </c>
      <c r="DB106" s="5">
        <f ca="1">IF(AND('Budgeting Model'!AC32="",'Budgeting Model'!AC32&lt;&gt;'Scratch Sheet'!AC32),0,$CG$72)</f>
        <v>0.02</v>
      </c>
      <c r="DC106" s="5" t="s">
        <v>550</v>
      </c>
      <c r="DD106" s="5">
        <f ca="1">IF(AND('Budgeting Model'!AE32&lt;&gt;"",ABS('Budgeting Model'!AE32-'Scratch Sheet'!AE32)&lt;0.01),$CG$72,0)</f>
        <v>0.02</v>
      </c>
      <c r="DE106" s="5">
        <f ca="1">IF(AND('Budgeting Model'!AF32&lt;&gt;"",ABS('Budgeting Model'!AF32-'Scratch Sheet'!AF32)&lt;0.01),$CG$72,0)</f>
        <v>0.02</v>
      </c>
      <c r="DF106" s="5">
        <f ca="1">IF(AND('Budgeting Model'!AG32&lt;&gt;"",ABS('Budgeting Model'!AG32-'Scratch Sheet'!AG32)&lt;0.01),$CG$72,0)</f>
        <v>0.02</v>
      </c>
      <c r="DG106" s="5">
        <f ca="1">IF(AND('Budgeting Model'!AH32&lt;&gt;"",ABS('Budgeting Model'!AH32-'Scratch Sheet'!AH32)&lt;0.01),$CG$72,0)</f>
        <v>0.02</v>
      </c>
      <c r="DH106" s="5">
        <f ca="1">IF(AND('Budgeting Model'!AI32&lt;&gt;"",ABS('Budgeting Model'!AI32-'Scratch Sheet'!AI32)&lt;0.01),$CG$72,0)</f>
        <v>0.02</v>
      </c>
      <c r="DI106" s="5">
        <f ca="1">IF(AND('Budgeting Model'!AJ32&lt;&gt;"",ABS('Budgeting Model'!AJ32-'Scratch Sheet'!AJ32)&lt;0.01),$CG$72,0)</f>
        <v>0.02</v>
      </c>
      <c r="DJ106" s="5">
        <f ca="1">IF(AND('Budgeting Model'!AK32&lt;&gt;"",ABS('Budgeting Model'!AK32-'Scratch Sheet'!AK32)&lt;0.01),$CG$72,0)</f>
        <v>0.02</v>
      </c>
      <c r="DK106" s="5" t="s">
        <v>550</v>
      </c>
      <c r="DL106" s="5">
        <f ca="1">IF(AND('Budgeting Model'!AM32&lt;&gt;"",ABS('Budgeting Model'!AM32-'Scratch Sheet'!AM32)&lt;0.01),$CG$72,0)</f>
        <v>0.02</v>
      </c>
      <c r="DM106" s="5">
        <f ca="1">IF(AND('Budgeting Model'!AN32&lt;&gt;"",ABS('Budgeting Model'!AN32-'Scratch Sheet'!AN32)&lt;0.01),$CG$72,0)</f>
        <v>0.02</v>
      </c>
      <c r="DN106" s="5">
        <f ca="1">IF(AND('Budgeting Model'!AO32&lt;&gt;"",ABS('Budgeting Model'!AO32-'Scratch Sheet'!AO32)&lt;0.01),$CG$72,0)</f>
        <v>0.02</v>
      </c>
      <c r="DO106" s="5">
        <f ca="1">IF(AND('Budgeting Model'!AP32&lt;&gt;"",ABS('Budgeting Model'!AP32-'Scratch Sheet'!AP32)&lt;0.01),$CG$72,0)</f>
        <v>0.02</v>
      </c>
    </row>
    <row r="107" spans="2:119">
      <c r="B107" s="5"/>
      <c r="C107" s="17"/>
      <c r="D107" s="16"/>
      <c r="E107" s="22"/>
      <c r="F107" s="22"/>
      <c r="L107" s="22"/>
      <c r="M107" s="22"/>
      <c r="N107" s="22"/>
      <c r="O107" s="22"/>
      <c r="P107" s="22"/>
      <c r="R107" s="21"/>
      <c r="CA107" s="5">
        <f>IF(AND('Budgeting Model'!B33&lt;&gt;"",'Budgeting Model'!B33='Scratch Sheet'!B33),$CG$72,0)</f>
        <v>0.02</v>
      </c>
      <c r="CB107" s="5">
        <f ca="1">IF(AND('Budgeting Model'!C33&lt;&gt;"",'Budgeting Model'!C33='Scratch Sheet'!C33),$CG$72,0)</f>
        <v>0.02</v>
      </c>
      <c r="CC107" s="5">
        <f>IF(AND('Budgeting Model'!D33&lt;&gt;"",'Budgeting Model'!D33='Scratch Sheet'!D33),$CG$72,0)</f>
        <v>0.02</v>
      </c>
      <c r="CD107" s="5">
        <f ca="1">IF(OR(AND('Budgeting Model'!E33="",'Budgeting Model'!D33&lt;&gt;"Vacant"),'Budgeting Model'!E33&lt;&gt;'Scratch Sheet'!E33),0,$CG$72)</f>
        <v>0.02</v>
      </c>
      <c r="CE107" s="5">
        <f ca="1">IF(AND('Budgeting Model'!F33&lt;&gt;"",'Budgeting Model'!F33='Scratch Sheet'!F33),$CG$72,0)</f>
        <v>0.02</v>
      </c>
      <c r="CF107" s="5">
        <f ca="1">IF(AND('Budgeting Model'!G33&lt;&gt;"",ABS('Budgeting Model'!G33-'Scratch Sheet'!G33)&lt;0.01),$CG$72,0)</f>
        <v>0.02</v>
      </c>
      <c r="CG107" s="5" t="s">
        <v>550</v>
      </c>
      <c r="CH107" s="5" t="s">
        <v>550</v>
      </c>
      <c r="CI107" s="5">
        <f ca="1">IF(AND('Budgeting Model'!J33&lt;&gt;"",ABS('Budgeting Model'!J33-'Scratch Sheet'!J33)&lt;0.01),$CG$72,0)</f>
        <v>0.02</v>
      </c>
      <c r="CJ107" s="5" t="s">
        <v>550</v>
      </c>
      <c r="CK107" s="5">
        <f ca="1">IF(AND('Budgeting Model'!L33&lt;&gt;"",ABS('Budgeting Model'!L33-'Scratch Sheet'!L33)&lt;0.01),$CG$72,0)</f>
        <v>0.02</v>
      </c>
      <c r="CL107" s="5" t="s">
        <v>550</v>
      </c>
      <c r="CM107" s="5">
        <f ca="1">IF(AND('Budgeting Model'!N33="",'Budgeting Model'!N33&lt;&gt;'Scratch Sheet'!N33),0,$CG$72)</f>
        <v>0.02</v>
      </c>
      <c r="CN107" s="5" t="s">
        <v>550</v>
      </c>
      <c r="CO107" s="5">
        <f ca="1">IF(AND('Budgeting Model'!P33&lt;&gt;"",ABS('Budgeting Model'!P33-'Scratch Sheet'!P33)&lt;0.01),$CG$72,0)</f>
        <v>0.02</v>
      </c>
      <c r="CP107" s="5">
        <f ca="1">IF(AND('Budgeting Model'!Q33&lt;&gt;"",ABS('Budgeting Model'!Q33-'Scratch Sheet'!Q33)&lt;0.01),$CG$72,0)</f>
        <v>0.02</v>
      </c>
      <c r="CQ107" s="5">
        <f ca="1">IF(AND('Budgeting Model'!R33&lt;&gt;"",ABS('Budgeting Model'!R33-'Scratch Sheet'!R33)&lt;0.01),$CG$72,0)</f>
        <v>0.02</v>
      </c>
      <c r="CR107" s="5">
        <f ca="1">IF(AND('Budgeting Model'!S33&lt;&gt;"",ABS('Budgeting Model'!S33-'Scratch Sheet'!S33)&lt;0.01),$CG$72,0)</f>
        <v>0.02</v>
      </c>
      <c r="CS107" s="5">
        <f ca="1">IF(AND('Budgeting Model'!T33&lt;&gt;"",ABS('Budgeting Model'!T33-'Scratch Sheet'!T33)&lt;0.01),$CG$72,0)</f>
        <v>0.02</v>
      </c>
      <c r="CT107" s="5">
        <f ca="1">IF(AND('Budgeting Model'!U33&lt;&gt;"",ABS('Budgeting Model'!U33-'Scratch Sheet'!U33)&lt;0.01),$CG$72,0)</f>
        <v>0.02</v>
      </c>
      <c r="CU107" s="5">
        <f ca="1">IF(AND('Budgeting Model'!V33&lt;&gt;"",ABS('Budgeting Model'!V33-'Scratch Sheet'!V33)&lt;0.01),$CG$72,0)</f>
        <v>0.02</v>
      </c>
      <c r="CV107" s="5" t="s">
        <v>550</v>
      </c>
      <c r="CW107" s="5" t="s">
        <v>550</v>
      </c>
      <c r="CX107" s="5">
        <f ca="1">IF(AND('Budgeting Model'!Y33&lt;&gt;"",ABS('Budgeting Model'!Y33-'Scratch Sheet'!Y33)&lt;0.01),$CG$72,0)</f>
        <v>0.02</v>
      </c>
      <c r="CY107" s="5" t="s">
        <v>550</v>
      </c>
      <c r="CZ107" s="5">
        <f ca="1">IF(AND('Budgeting Model'!AA33&lt;&gt;"",ABS('Budgeting Model'!AA33-'Scratch Sheet'!AA33)&lt;0.01),$CG$72,0)</f>
        <v>0.02</v>
      </c>
      <c r="DA107" s="5" t="s">
        <v>550</v>
      </c>
      <c r="DB107" s="5">
        <f ca="1">IF(AND('Budgeting Model'!AC33="",'Budgeting Model'!AC33&lt;&gt;'Scratch Sheet'!AC33),0,$CG$72)</f>
        <v>0.02</v>
      </c>
      <c r="DC107" s="5" t="s">
        <v>550</v>
      </c>
      <c r="DD107" s="5">
        <f ca="1">IF(AND('Budgeting Model'!AE33&lt;&gt;"",ABS('Budgeting Model'!AE33-'Scratch Sheet'!AE33)&lt;0.01),$CG$72,0)</f>
        <v>0.02</v>
      </c>
      <c r="DE107" s="5">
        <f ca="1">IF(AND('Budgeting Model'!AF33&lt;&gt;"",ABS('Budgeting Model'!AF33-'Scratch Sheet'!AF33)&lt;0.01),$CG$72,0)</f>
        <v>0.02</v>
      </c>
      <c r="DF107" s="5">
        <f ca="1">IF(AND('Budgeting Model'!AG33&lt;&gt;"",ABS('Budgeting Model'!AG33-'Scratch Sheet'!AG33)&lt;0.01),$CG$72,0)</f>
        <v>0.02</v>
      </c>
      <c r="DG107" s="5">
        <f ca="1">IF(AND('Budgeting Model'!AH33&lt;&gt;"",ABS('Budgeting Model'!AH33-'Scratch Sheet'!AH33)&lt;0.01),$CG$72,0)</f>
        <v>0.02</v>
      </c>
      <c r="DH107" s="5">
        <f ca="1">IF(AND('Budgeting Model'!AI33&lt;&gt;"",ABS('Budgeting Model'!AI33-'Scratch Sheet'!AI33)&lt;0.01),$CG$72,0)</f>
        <v>0.02</v>
      </c>
      <c r="DI107" s="5">
        <f ca="1">IF(AND('Budgeting Model'!AJ33&lt;&gt;"",ABS('Budgeting Model'!AJ33-'Scratch Sheet'!AJ33)&lt;0.01),$CG$72,0)</f>
        <v>0.02</v>
      </c>
      <c r="DJ107" s="5">
        <f ca="1">IF(AND('Budgeting Model'!AK33&lt;&gt;"",ABS('Budgeting Model'!AK33-'Scratch Sheet'!AK33)&lt;0.01),$CG$72,0)</f>
        <v>0.02</v>
      </c>
      <c r="DK107" s="5" t="s">
        <v>550</v>
      </c>
      <c r="DL107" s="5">
        <f ca="1">IF(AND('Budgeting Model'!AM33&lt;&gt;"",ABS('Budgeting Model'!AM33-'Scratch Sheet'!AM33)&lt;0.01),$CG$72,0)</f>
        <v>0.02</v>
      </c>
      <c r="DM107" s="5">
        <f ca="1">IF(AND('Budgeting Model'!AN33&lt;&gt;"",ABS('Budgeting Model'!AN33-'Scratch Sheet'!AN33)&lt;0.01),$CG$72,0)</f>
        <v>0.02</v>
      </c>
      <c r="DN107" s="5">
        <f ca="1">IF(AND('Budgeting Model'!AO33&lt;&gt;"",ABS('Budgeting Model'!AO33-'Scratch Sheet'!AO33)&lt;0.01),$CG$72,0)</f>
        <v>0.02</v>
      </c>
      <c r="DO107" s="5">
        <f ca="1">IF(AND('Budgeting Model'!AP33&lt;&gt;"",ABS('Budgeting Model'!AP33-'Scratch Sheet'!AP33)&lt;0.01),$CG$72,0)</f>
        <v>0.02</v>
      </c>
    </row>
    <row r="108" spans="2:119">
      <c r="B108" s="5"/>
      <c r="C108" s="17"/>
      <c r="D108" s="16"/>
      <c r="E108" s="22"/>
      <c r="F108" s="22"/>
      <c r="L108" s="22"/>
      <c r="M108" s="22"/>
      <c r="N108" s="22"/>
      <c r="O108" s="22"/>
      <c r="P108" s="22"/>
      <c r="R108" s="21"/>
      <c r="CA108" s="5">
        <f>IF(AND('Budgeting Model'!B34&lt;&gt;"",'Budgeting Model'!B34='Scratch Sheet'!B34),$CG$72,0)</f>
        <v>0.02</v>
      </c>
      <c r="CB108" s="5">
        <f ca="1">IF(AND('Budgeting Model'!C34&lt;&gt;"",'Budgeting Model'!C34='Scratch Sheet'!C34),$CG$72,0)</f>
        <v>0.02</v>
      </c>
      <c r="CC108" s="5">
        <f>IF(AND('Budgeting Model'!D34&lt;&gt;"",'Budgeting Model'!D34='Scratch Sheet'!D34),$CG$72,0)</f>
        <v>0.02</v>
      </c>
      <c r="CD108" s="5">
        <f ca="1">IF(OR(AND('Budgeting Model'!E34="",'Budgeting Model'!D34&lt;&gt;"Vacant"),'Budgeting Model'!E34&lt;&gt;'Scratch Sheet'!E34),0,$CG$72)</f>
        <v>0.02</v>
      </c>
      <c r="CE108" s="5">
        <f ca="1">IF(AND('Budgeting Model'!F34&lt;&gt;"",'Budgeting Model'!F34='Scratch Sheet'!F34),$CG$72,0)</f>
        <v>0.02</v>
      </c>
      <c r="CF108" s="5">
        <f ca="1">IF(AND('Budgeting Model'!G34&lt;&gt;"",ABS('Budgeting Model'!G34-'Scratch Sheet'!G34)&lt;0.01),$CG$72,0)</f>
        <v>0.02</v>
      </c>
      <c r="CG108" s="5" t="s">
        <v>550</v>
      </c>
      <c r="CH108" s="5" t="s">
        <v>550</v>
      </c>
      <c r="CI108" s="5">
        <f ca="1">IF(AND('Budgeting Model'!J34&lt;&gt;"",ABS('Budgeting Model'!J34-'Scratch Sheet'!J34)&lt;0.01),$CG$72,0)</f>
        <v>0.02</v>
      </c>
      <c r="CJ108" s="5" t="s">
        <v>550</v>
      </c>
      <c r="CK108" s="5">
        <f ca="1">IF(AND('Budgeting Model'!L34&lt;&gt;"",ABS('Budgeting Model'!L34-'Scratch Sheet'!L34)&lt;0.01),$CG$72,0)</f>
        <v>0.02</v>
      </c>
      <c r="CL108" s="5" t="s">
        <v>550</v>
      </c>
      <c r="CM108" s="5">
        <f ca="1">IF(AND('Budgeting Model'!N34="",'Budgeting Model'!N34&lt;&gt;'Scratch Sheet'!N34),0,$CG$72)</f>
        <v>0.02</v>
      </c>
      <c r="CN108" s="5" t="s">
        <v>550</v>
      </c>
      <c r="CO108" s="5">
        <f ca="1">IF(AND('Budgeting Model'!P34&lt;&gt;"",ABS('Budgeting Model'!P34-'Scratch Sheet'!P34)&lt;0.01),$CG$72,0)</f>
        <v>0.02</v>
      </c>
      <c r="CP108" s="5">
        <f ca="1">IF(AND('Budgeting Model'!Q34&lt;&gt;"",ABS('Budgeting Model'!Q34-'Scratch Sheet'!Q34)&lt;0.01),$CG$72,0)</f>
        <v>0.02</v>
      </c>
      <c r="CQ108" s="5">
        <f ca="1">IF(AND('Budgeting Model'!R34&lt;&gt;"",ABS('Budgeting Model'!R34-'Scratch Sheet'!R34)&lt;0.01),$CG$72,0)</f>
        <v>0.02</v>
      </c>
      <c r="CR108" s="5">
        <f ca="1">IF(AND('Budgeting Model'!S34&lt;&gt;"",ABS('Budgeting Model'!S34-'Scratch Sheet'!S34)&lt;0.01),$CG$72,0)</f>
        <v>0.02</v>
      </c>
      <c r="CS108" s="5">
        <f ca="1">IF(AND('Budgeting Model'!T34&lt;&gt;"",ABS('Budgeting Model'!T34-'Scratch Sheet'!T34)&lt;0.01),$CG$72,0)</f>
        <v>0.02</v>
      </c>
      <c r="CT108" s="5">
        <f ca="1">IF(AND('Budgeting Model'!U34&lt;&gt;"",ABS('Budgeting Model'!U34-'Scratch Sheet'!U34)&lt;0.01),$CG$72,0)</f>
        <v>0.02</v>
      </c>
      <c r="CU108" s="5">
        <f ca="1">IF(AND('Budgeting Model'!V34&lt;&gt;"",ABS('Budgeting Model'!V34-'Scratch Sheet'!V34)&lt;0.01),$CG$72,0)</f>
        <v>0.02</v>
      </c>
      <c r="CV108" s="5" t="s">
        <v>550</v>
      </c>
      <c r="CW108" s="5" t="s">
        <v>550</v>
      </c>
      <c r="CX108" s="5">
        <f ca="1">IF(AND('Budgeting Model'!Y34&lt;&gt;"",ABS('Budgeting Model'!Y34-'Scratch Sheet'!Y34)&lt;0.01),$CG$72,0)</f>
        <v>0.02</v>
      </c>
      <c r="CY108" s="5" t="s">
        <v>550</v>
      </c>
      <c r="CZ108" s="5">
        <f ca="1">IF(AND('Budgeting Model'!AA34&lt;&gt;"",ABS('Budgeting Model'!AA34-'Scratch Sheet'!AA34)&lt;0.01),$CG$72,0)</f>
        <v>0.02</v>
      </c>
      <c r="DA108" s="5" t="s">
        <v>550</v>
      </c>
      <c r="DB108" s="5">
        <f ca="1">IF(AND('Budgeting Model'!AC34="",'Budgeting Model'!AC34&lt;&gt;'Scratch Sheet'!AC34),0,$CG$72)</f>
        <v>0.02</v>
      </c>
      <c r="DC108" s="5" t="s">
        <v>550</v>
      </c>
      <c r="DD108" s="5">
        <f ca="1">IF(AND('Budgeting Model'!AE34&lt;&gt;"",ABS('Budgeting Model'!AE34-'Scratch Sheet'!AE34)&lt;0.01),$CG$72,0)</f>
        <v>0.02</v>
      </c>
      <c r="DE108" s="5">
        <f ca="1">IF(AND('Budgeting Model'!AF34&lt;&gt;"",ABS('Budgeting Model'!AF34-'Scratch Sheet'!AF34)&lt;0.01),$CG$72,0)</f>
        <v>0.02</v>
      </c>
      <c r="DF108" s="5">
        <f ca="1">IF(AND('Budgeting Model'!AG34&lt;&gt;"",ABS('Budgeting Model'!AG34-'Scratch Sheet'!AG34)&lt;0.01),$CG$72,0)</f>
        <v>0.02</v>
      </c>
      <c r="DG108" s="5">
        <f ca="1">IF(AND('Budgeting Model'!AH34&lt;&gt;"",ABS('Budgeting Model'!AH34-'Scratch Sheet'!AH34)&lt;0.01),$CG$72,0)</f>
        <v>0.02</v>
      </c>
      <c r="DH108" s="5">
        <f ca="1">IF(AND('Budgeting Model'!AI34&lt;&gt;"",ABS('Budgeting Model'!AI34-'Scratch Sheet'!AI34)&lt;0.01),$CG$72,0)</f>
        <v>0.02</v>
      </c>
      <c r="DI108" s="5">
        <f ca="1">IF(AND('Budgeting Model'!AJ34&lt;&gt;"",ABS('Budgeting Model'!AJ34-'Scratch Sheet'!AJ34)&lt;0.01),$CG$72,0)</f>
        <v>0.02</v>
      </c>
      <c r="DJ108" s="5">
        <f ca="1">IF(AND('Budgeting Model'!AK34&lt;&gt;"",ABS('Budgeting Model'!AK34-'Scratch Sheet'!AK34)&lt;0.01),$CG$72,0)</f>
        <v>0.02</v>
      </c>
      <c r="DK108" s="5" t="s">
        <v>550</v>
      </c>
      <c r="DL108" s="5">
        <f ca="1">IF(AND('Budgeting Model'!AM34&lt;&gt;"",ABS('Budgeting Model'!AM34-'Scratch Sheet'!AM34)&lt;0.01),$CG$72,0)</f>
        <v>0.02</v>
      </c>
      <c r="DM108" s="5">
        <f ca="1">IF(AND('Budgeting Model'!AN34&lt;&gt;"",ABS('Budgeting Model'!AN34-'Scratch Sheet'!AN34)&lt;0.01),$CG$72,0)</f>
        <v>0.02</v>
      </c>
      <c r="DN108" s="5">
        <f ca="1">IF(AND('Budgeting Model'!AO34&lt;&gt;"",ABS('Budgeting Model'!AO34-'Scratch Sheet'!AO34)&lt;0.01),$CG$72,0)</f>
        <v>0.02</v>
      </c>
      <c r="DO108" s="5">
        <f ca="1">IF(AND('Budgeting Model'!AP34&lt;&gt;"",ABS('Budgeting Model'!AP34-'Scratch Sheet'!AP34)&lt;0.01),$CG$72,0)</f>
        <v>0.02</v>
      </c>
    </row>
    <row r="109" spans="2:119">
      <c r="B109" s="5"/>
      <c r="C109" s="17"/>
      <c r="D109" s="16"/>
      <c r="E109" s="1"/>
      <c r="F109" s="22"/>
      <c r="L109" s="22"/>
      <c r="M109" s="22"/>
      <c r="N109" s="22"/>
      <c r="O109" s="22"/>
      <c r="P109" s="22"/>
      <c r="CA109" s="5">
        <f>IF(AND('Budgeting Model'!B35&lt;&gt;"",'Budgeting Model'!B35='Scratch Sheet'!B35),$CG$72,0)</f>
        <v>0.02</v>
      </c>
      <c r="CB109" s="5">
        <f ca="1">IF(AND('Budgeting Model'!C35&lt;&gt;"",'Budgeting Model'!C35='Scratch Sheet'!C35),$CG$72,0)</f>
        <v>0.02</v>
      </c>
      <c r="CC109" s="5">
        <f>IF(AND('Budgeting Model'!D35&lt;&gt;"",'Budgeting Model'!D35='Scratch Sheet'!D35),$CG$72,0)</f>
        <v>0.02</v>
      </c>
      <c r="CD109" s="5">
        <f ca="1">IF(OR(AND('Budgeting Model'!E35="",'Budgeting Model'!D35&lt;&gt;"Vacant"),'Budgeting Model'!E35&lt;&gt;'Scratch Sheet'!E35),0,$CG$72)</f>
        <v>0.02</v>
      </c>
      <c r="CE109" s="5">
        <f ca="1">IF(AND('Budgeting Model'!F35&lt;&gt;"",'Budgeting Model'!F35='Scratch Sheet'!F35),$CG$72,0)</f>
        <v>0.02</v>
      </c>
      <c r="CF109" s="5">
        <f ca="1">IF(AND('Budgeting Model'!G35&lt;&gt;"",ABS('Budgeting Model'!G35-'Scratch Sheet'!G35)&lt;0.01),$CG$72,0)</f>
        <v>0.02</v>
      </c>
      <c r="CG109" s="5" t="s">
        <v>550</v>
      </c>
      <c r="CH109" s="5" t="s">
        <v>550</v>
      </c>
      <c r="CI109" s="5">
        <f ca="1">IF(AND('Budgeting Model'!J35&lt;&gt;"",ABS('Budgeting Model'!J35-'Scratch Sheet'!J35)&lt;0.01),$CG$72,0)</f>
        <v>0.02</v>
      </c>
      <c r="CJ109" s="5" t="s">
        <v>550</v>
      </c>
      <c r="CK109" s="5">
        <f ca="1">IF(AND('Budgeting Model'!L35&lt;&gt;"",ABS('Budgeting Model'!L35-'Scratch Sheet'!L35)&lt;0.01),$CG$72,0)</f>
        <v>0.02</v>
      </c>
      <c r="CL109" s="5" t="s">
        <v>550</v>
      </c>
      <c r="CM109" s="5">
        <f ca="1">IF(AND('Budgeting Model'!N35="",'Budgeting Model'!N35&lt;&gt;'Scratch Sheet'!N35),0,$CG$72)</f>
        <v>0.02</v>
      </c>
      <c r="CN109" s="5" t="s">
        <v>550</v>
      </c>
      <c r="CO109" s="5">
        <f ca="1">IF(AND('Budgeting Model'!P35&lt;&gt;"",ABS('Budgeting Model'!P35-'Scratch Sheet'!P35)&lt;0.01),$CG$72,0)</f>
        <v>0.02</v>
      </c>
      <c r="CP109" s="5">
        <f ca="1">IF(AND('Budgeting Model'!Q35&lt;&gt;"",ABS('Budgeting Model'!Q35-'Scratch Sheet'!Q35)&lt;0.01),$CG$72,0)</f>
        <v>0.02</v>
      </c>
      <c r="CQ109" s="5">
        <f ca="1">IF(AND('Budgeting Model'!R35&lt;&gt;"",ABS('Budgeting Model'!R35-'Scratch Sheet'!R35)&lt;0.01),$CG$72,0)</f>
        <v>0.02</v>
      </c>
      <c r="CR109" s="5">
        <f ca="1">IF(AND('Budgeting Model'!S35&lt;&gt;"",ABS('Budgeting Model'!S35-'Scratch Sheet'!S35)&lt;0.01),$CG$72,0)</f>
        <v>0.02</v>
      </c>
      <c r="CS109" s="5">
        <f ca="1">IF(AND('Budgeting Model'!T35&lt;&gt;"",ABS('Budgeting Model'!T35-'Scratch Sheet'!T35)&lt;0.01),$CG$72,0)</f>
        <v>0.02</v>
      </c>
      <c r="CT109" s="5">
        <f ca="1">IF(AND('Budgeting Model'!U35&lt;&gt;"",ABS('Budgeting Model'!U35-'Scratch Sheet'!U35)&lt;0.01),$CG$72,0)</f>
        <v>0.02</v>
      </c>
      <c r="CU109" s="5">
        <f ca="1">IF(AND('Budgeting Model'!V35&lt;&gt;"",ABS('Budgeting Model'!V35-'Scratch Sheet'!V35)&lt;0.01),$CG$72,0)</f>
        <v>0.02</v>
      </c>
      <c r="CV109" s="5" t="s">
        <v>550</v>
      </c>
      <c r="CW109" s="5" t="s">
        <v>550</v>
      </c>
      <c r="CX109" s="5">
        <f ca="1">IF(AND('Budgeting Model'!Y35&lt;&gt;"",ABS('Budgeting Model'!Y35-'Scratch Sheet'!Y35)&lt;0.01),$CG$72,0)</f>
        <v>0.02</v>
      </c>
      <c r="CY109" s="5" t="s">
        <v>550</v>
      </c>
      <c r="CZ109" s="5">
        <f ca="1">IF(AND('Budgeting Model'!AA35&lt;&gt;"",ABS('Budgeting Model'!AA35-'Scratch Sheet'!AA35)&lt;0.01),$CG$72,0)</f>
        <v>0.02</v>
      </c>
      <c r="DA109" s="5" t="s">
        <v>550</v>
      </c>
      <c r="DB109" s="5">
        <f ca="1">IF(AND('Budgeting Model'!AC35="",'Budgeting Model'!AC35&lt;&gt;'Scratch Sheet'!AC35),0,$CG$72)</f>
        <v>0.02</v>
      </c>
      <c r="DC109" s="5" t="s">
        <v>550</v>
      </c>
      <c r="DD109" s="5">
        <f ca="1">IF(AND('Budgeting Model'!AE35&lt;&gt;"",ABS('Budgeting Model'!AE35-'Scratch Sheet'!AE35)&lt;0.01),$CG$72,0)</f>
        <v>0.02</v>
      </c>
      <c r="DE109" s="5">
        <f ca="1">IF(AND('Budgeting Model'!AF35&lt;&gt;"",ABS('Budgeting Model'!AF35-'Scratch Sheet'!AF35)&lt;0.01),$CG$72,0)</f>
        <v>0.02</v>
      </c>
      <c r="DF109" s="5">
        <f ca="1">IF(AND('Budgeting Model'!AG35&lt;&gt;"",ABS('Budgeting Model'!AG35-'Scratch Sheet'!AG35)&lt;0.01),$CG$72,0)</f>
        <v>0.02</v>
      </c>
      <c r="DG109" s="5">
        <f ca="1">IF(AND('Budgeting Model'!AH35&lt;&gt;"",ABS('Budgeting Model'!AH35-'Scratch Sheet'!AH35)&lt;0.01),$CG$72,0)</f>
        <v>0.02</v>
      </c>
      <c r="DH109" s="5">
        <f ca="1">IF(AND('Budgeting Model'!AI35&lt;&gt;"",ABS('Budgeting Model'!AI35-'Scratch Sheet'!AI35)&lt;0.01),$CG$72,0)</f>
        <v>0.02</v>
      </c>
      <c r="DI109" s="5">
        <f ca="1">IF(AND('Budgeting Model'!AJ35&lt;&gt;"",ABS('Budgeting Model'!AJ35-'Scratch Sheet'!AJ35)&lt;0.01),$CG$72,0)</f>
        <v>0.02</v>
      </c>
      <c r="DJ109" s="5">
        <f ca="1">IF(AND('Budgeting Model'!AK35&lt;&gt;"",ABS('Budgeting Model'!AK35-'Scratch Sheet'!AK35)&lt;0.01),$CG$72,0)</f>
        <v>0.02</v>
      </c>
      <c r="DK109" s="5" t="s">
        <v>550</v>
      </c>
      <c r="DL109" s="5">
        <f ca="1">IF(AND('Budgeting Model'!AM35&lt;&gt;"",ABS('Budgeting Model'!AM35-'Scratch Sheet'!AM35)&lt;0.01),$CG$72,0)</f>
        <v>0.02</v>
      </c>
      <c r="DM109" s="5">
        <f ca="1">IF(AND('Budgeting Model'!AN35&lt;&gt;"",ABS('Budgeting Model'!AN35-'Scratch Sheet'!AN35)&lt;0.01),$CG$72,0)</f>
        <v>0.02</v>
      </c>
      <c r="DN109" s="5">
        <f ca="1">IF(AND('Budgeting Model'!AO35&lt;&gt;"",ABS('Budgeting Model'!AO35-'Scratch Sheet'!AO35)&lt;0.01),$CG$72,0)</f>
        <v>0.02</v>
      </c>
      <c r="DO109" s="5">
        <f ca="1">IF(AND('Budgeting Model'!AP35&lt;&gt;"",ABS('Budgeting Model'!AP35-'Scratch Sheet'!AP35)&lt;0.01),$CG$72,0)</f>
        <v>0.02</v>
      </c>
    </row>
    <row r="110" spans="2:119">
      <c r="B110" s="5"/>
      <c r="C110" s="17"/>
      <c r="D110" s="16"/>
      <c r="E110" s="1"/>
      <c r="F110" s="22"/>
      <c r="L110" s="107"/>
      <c r="M110" s="22"/>
      <c r="N110" s="22"/>
      <c r="O110" s="22"/>
      <c r="P110" s="22"/>
      <c r="CA110" s="5">
        <f>IF(AND('Budgeting Model'!B36&lt;&gt;"",'Budgeting Model'!B36='Scratch Sheet'!B36),$CG$72,0)</f>
        <v>0.02</v>
      </c>
      <c r="CB110" s="5">
        <f ca="1">IF(AND('Budgeting Model'!C36&lt;&gt;"",'Budgeting Model'!C36='Scratch Sheet'!C36),$CG$72,0)</f>
        <v>0.02</v>
      </c>
      <c r="CC110" s="5">
        <f>IF(AND('Budgeting Model'!D36&lt;&gt;"",'Budgeting Model'!D36='Scratch Sheet'!D36),$CG$72,0)</f>
        <v>0.02</v>
      </c>
      <c r="CD110" s="5">
        <f ca="1">IF(OR(AND('Budgeting Model'!E36="",'Budgeting Model'!D36&lt;&gt;"Vacant"),'Budgeting Model'!E36&lt;&gt;'Scratch Sheet'!E36),0,$CG$72)</f>
        <v>0.02</v>
      </c>
      <c r="CE110" s="5">
        <f ca="1">IF(AND('Budgeting Model'!F36&lt;&gt;"",'Budgeting Model'!F36='Scratch Sheet'!F36),$CG$72,0)</f>
        <v>0.02</v>
      </c>
      <c r="CF110" s="5">
        <f ca="1">IF(AND('Budgeting Model'!G36&lt;&gt;"",ABS('Budgeting Model'!G36-'Scratch Sheet'!G36)&lt;0.01),$CG$72,0)</f>
        <v>0.02</v>
      </c>
      <c r="CG110" s="5" t="s">
        <v>550</v>
      </c>
      <c r="CH110" s="5" t="s">
        <v>550</v>
      </c>
      <c r="CI110" s="5">
        <f ca="1">IF(AND('Budgeting Model'!J36&lt;&gt;"",ABS('Budgeting Model'!J36-'Scratch Sheet'!J36)&lt;0.01),$CG$72,0)</f>
        <v>0.02</v>
      </c>
      <c r="CJ110" s="5" t="s">
        <v>550</v>
      </c>
      <c r="CK110" s="5">
        <f ca="1">IF(AND('Budgeting Model'!L36&lt;&gt;"",ABS('Budgeting Model'!L36-'Scratch Sheet'!L36)&lt;0.01),$CG$72,0)</f>
        <v>0.02</v>
      </c>
      <c r="CL110" s="5" t="s">
        <v>550</v>
      </c>
      <c r="CM110" s="5">
        <f ca="1">IF(AND('Budgeting Model'!N36="",'Budgeting Model'!N36&lt;&gt;'Scratch Sheet'!N36),0,$CG$72)</f>
        <v>0.02</v>
      </c>
      <c r="CN110" s="5" t="s">
        <v>550</v>
      </c>
      <c r="CO110" s="5">
        <f ca="1">IF(AND('Budgeting Model'!P36&lt;&gt;"",ABS('Budgeting Model'!P36-'Scratch Sheet'!P36)&lt;0.01),$CG$72,0)</f>
        <v>0.02</v>
      </c>
      <c r="CP110" s="5">
        <f ca="1">IF(AND('Budgeting Model'!Q36&lt;&gt;"",ABS('Budgeting Model'!Q36-'Scratch Sheet'!Q36)&lt;0.01),$CG$72,0)</f>
        <v>0.02</v>
      </c>
      <c r="CQ110" s="5">
        <f ca="1">IF(AND('Budgeting Model'!R36&lt;&gt;"",ABS('Budgeting Model'!R36-'Scratch Sheet'!R36)&lt;0.01),$CG$72,0)</f>
        <v>0.02</v>
      </c>
      <c r="CR110" s="5">
        <f ca="1">IF(AND('Budgeting Model'!S36&lt;&gt;"",ABS('Budgeting Model'!S36-'Scratch Sheet'!S36)&lt;0.01),$CG$72,0)</f>
        <v>0.02</v>
      </c>
      <c r="CS110" s="5">
        <f ca="1">IF(AND('Budgeting Model'!T36&lt;&gt;"",ABS('Budgeting Model'!T36-'Scratch Sheet'!T36)&lt;0.01),$CG$72,0)</f>
        <v>0.02</v>
      </c>
      <c r="CT110" s="5">
        <f ca="1">IF(AND('Budgeting Model'!U36&lt;&gt;"",ABS('Budgeting Model'!U36-'Scratch Sheet'!U36)&lt;0.01),$CG$72,0)</f>
        <v>0.02</v>
      </c>
      <c r="CU110" s="5">
        <f ca="1">IF(AND('Budgeting Model'!V36&lt;&gt;"",ABS('Budgeting Model'!V36-'Scratch Sheet'!V36)&lt;0.01),$CG$72,0)</f>
        <v>0.02</v>
      </c>
      <c r="CV110" s="5" t="s">
        <v>550</v>
      </c>
      <c r="CW110" s="5" t="s">
        <v>550</v>
      </c>
      <c r="CX110" s="5">
        <f ca="1">IF(AND('Budgeting Model'!Y36&lt;&gt;"",ABS('Budgeting Model'!Y36-'Scratch Sheet'!Y36)&lt;0.01),$CG$72,0)</f>
        <v>0.02</v>
      </c>
      <c r="CY110" s="5" t="s">
        <v>550</v>
      </c>
      <c r="CZ110" s="5">
        <f ca="1">IF(AND('Budgeting Model'!AA36&lt;&gt;"",ABS('Budgeting Model'!AA36-'Scratch Sheet'!AA36)&lt;0.01),$CG$72,0)</f>
        <v>0.02</v>
      </c>
      <c r="DA110" s="5" t="s">
        <v>550</v>
      </c>
      <c r="DB110" s="5">
        <f ca="1">IF(AND('Budgeting Model'!AC36="",'Budgeting Model'!AC36&lt;&gt;'Scratch Sheet'!AC36),0,$CG$72)</f>
        <v>0.02</v>
      </c>
      <c r="DC110" s="5" t="s">
        <v>550</v>
      </c>
      <c r="DD110" s="5">
        <f ca="1">IF(AND('Budgeting Model'!AE36&lt;&gt;"",ABS('Budgeting Model'!AE36-'Scratch Sheet'!AE36)&lt;0.01),$CG$72,0)</f>
        <v>0.02</v>
      </c>
      <c r="DE110" s="5">
        <f ca="1">IF(AND('Budgeting Model'!AF36&lt;&gt;"",ABS('Budgeting Model'!AF36-'Scratch Sheet'!AF36)&lt;0.01),$CG$72,0)</f>
        <v>0.02</v>
      </c>
      <c r="DF110" s="5">
        <f ca="1">IF(AND('Budgeting Model'!AG36&lt;&gt;"",ABS('Budgeting Model'!AG36-'Scratch Sheet'!AG36)&lt;0.01),$CG$72,0)</f>
        <v>0.02</v>
      </c>
      <c r="DG110" s="5">
        <f ca="1">IF(AND('Budgeting Model'!AH36&lt;&gt;"",ABS('Budgeting Model'!AH36-'Scratch Sheet'!AH36)&lt;0.01),$CG$72,0)</f>
        <v>0.02</v>
      </c>
      <c r="DH110" s="5">
        <f ca="1">IF(AND('Budgeting Model'!AI36&lt;&gt;"",ABS('Budgeting Model'!AI36-'Scratch Sheet'!AI36)&lt;0.01),$CG$72,0)</f>
        <v>0.02</v>
      </c>
      <c r="DI110" s="5">
        <f ca="1">IF(AND('Budgeting Model'!AJ36&lt;&gt;"",ABS('Budgeting Model'!AJ36-'Scratch Sheet'!AJ36)&lt;0.01),$CG$72,0)</f>
        <v>0.02</v>
      </c>
      <c r="DJ110" s="5">
        <f ca="1">IF(AND('Budgeting Model'!AK36&lt;&gt;"",ABS('Budgeting Model'!AK36-'Scratch Sheet'!AK36)&lt;0.01),$CG$72,0)</f>
        <v>0.02</v>
      </c>
      <c r="DK110" s="5" t="s">
        <v>550</v>
      </c>
      <c r="DL110" s="5">
        <f ca="1">IF(AND('Budgeting Model'!AM36&lt;&gt;"",ABS('Budgeting Model'!AM36-'Scratch Sheet'!AM36)&lt;0.01),$CG$72,0)</f>
        <v>0.02</v>
      </c>
      <c r="DM110" s="5">
        <f ca="1">IF(AND('Budgeting Model'!AN36&lt;&gt;"",ABS('Budgeting Model'!AN36-'Scratch Sheet'!AN36)&lt;0.01),$CG$72,0)</f>
        <v>0.02</v>
      </c>
      <c r="DN110" s="5">
        <f ca="1">IF(AND('Budgeting Model'!AO36&lt;&gt;"",ABS('Budgeting Model'!AO36-'Scratch Sheet'!AO36)&lt;0.01),$CG$72,0)</f>
        <v>0.02</v>
      </c>
      <c r="DO110" s="5">
        <f ca="1">IF(AND('Budgeting Model'!AP36&lt;&gt;"",ABS('Budgeting Model'!AP36-'Scratch Sheet'!AP36)&lt;0.01),$CG$72,0)</f>
        <v>0.02</v>
      </c>
    </row>
    <row r="111" spans="2:119">
      <c r="B111" s="5"/>
      <c r="C111" s="17"/>
      <c r="D111" s="16"/>
      <c r="E111" s="1"/>
      <c r="F111" s="22"/>
      <c r="L111" s="22"/>
      <c r="M111" s="22"/>
      <c r="N111" s="22"/>
      <c r="O111" s="22"/>
      <c r="P111" s="22"/>
      <c r="CA111" s="5">
        <f>IF(AND('Budgeting Model'!B37&lt;&gt;"",'Budgeting Model'!B37='Scratch Sheet'!B37),$CG$72,0)</f>
        <v>0.02</v>
      </c>
      <c r="CB111" s="5">
        <f ca="1">IF(AND('Budgeting Model'!C37&lt;&gt;"",'Budgeting Model'!C37='Scratch Sheet'!C37),$CG$72,0)</f>
        <v>0.02</v>
      </c>
      <c r="CC111" s="5">
        <f>IF(AND('Budgeting Model'!D37&lt;&gt;"",'Budgeting Model'!D37='Scratch Sheet'!D37),$CG$72,0)</f>
        <v>0.02</v>
      </c>
      <c r="CD111" s="5">
        <f ca="1">IF(OR(AND('Budgeting Model'!E37="",'Budgeting Model'!D37&lt;&gt;"Vacant"),'Budgeting Model'!E37&lt;&gt;'Scratch Sheet'!E37),0,$CG$72)</f>
        <v>0.02</v>
      </c>
      <c r="CE111" s="5">
        <f ca="1">IF(AND('Budgeting Model'!F37&lt;&gt;"",'Budgeting Model'!F37='Scratch Sheet'!F37),$CG$72,0)</f>
        <v>0.02</v>
      </c>
      <c r="CF111" s="5">
        <f ca="1">IF(AND('Budgeting Model'!G37&lt;&gt;"",ABS('Budgeting Model'!G37-'Scratch Sheet'!G37)&lt;0.01),$CG$72,0)</f>
        <v>0.02</v>
      </c>
      <c r="CG111" s="5" t="s">
        <v>550</v>
      </c>
      <c r="CH111" s="5" t="s">
        <v>550</v>
      </c>
      <c r="CI111" s="5">
        <f ca="1">IF(AND('Budgeting Model'!J37&lt;&gt;"",ABS('Budgeting Model'!J37-'Scratch Sheet'!J37)&lt;0.01),$CG$72,0)</f>
        <v>0.02</v>
      </c>
      <c r="CJ111" s="5" t="s">
        <v>550</v>
      </c>
      <c r="CK111" s="5">
        <f ca="1">IF(AND('Budgeting Model'!L37&lt;&gt;"",ABS('Budgeting Model'!L37-'Scratch Sheet'!L37)&lt;0.01),$CG$72,0)</f>
        <v>0.02</v>
      </c>
      <c r="CL111" s="5" t="s">
        <v>550</v>
      </c>
      <c r="CM111" s="5">
        <f ca="1">IF(AND('Budgeting Model'!N37="",'Budgeting Model'!N37&lt;&gt;'Scratch Sheet'!N37),0,$CG$72)</f>
        <v>0.02</v>
      </c>
      <c r="CN111" s="5" t="s">
        <v>550</v>
      </c>
      <c r="CO111" s="5">
        <f ca="1">IF(AND('Budgeting Model'!P37&lt;&gt;"",ABS('Budgeting Model'!P37-'Scratch Sheet'!P37)&lt;0.01),$CG$72,0)</f>
        <v>0.02</v>
      </c>
      <c r="CP111" s="5">
        <f ca="1">IF(AND('Budgeting Model'!Q37&lt;&gt;"",ABS('Budgeting Model'!Q37-'Scratch Sheet'!Q37)&lt;0.01),$CG$72,0)</f>
        <v>0.02</v>
      </c>
      <c r="CQ111" s="5">
        <f ca="1">IF(AND('Budgeting Model'!R37&lt;&gt;"",ABS('Budgeting Model'!R37-'Scratch Sheet'!R37)&lt;0.01),$CG$72,0)</f>
        <v>0.02</v>
      </c>
      <c r="CR111" s="5">
        <f ca="1">IF(AND('Budgeting Model'!S37&lt;&gt;"",ABS('Budgeting Model'!S37-'Scratch Sheet'!S37)&lt;0.01),$CG$72,0)</f>
        <v>0.02</v>
      </c>
      <c r="CS111" s="5">
        <f ca="1">IF(AND('Budgeting Model'!T37&lt;&gt;"",ABS('Budgeting Model'!T37-'Scratch Sheet'!T37)&lt;0.01),$CG$72,0)</f>
        <v>0.02</v>
      </c>
      <c r="CT111" s="5">
        <f ca="1">IF(AND('Budgeting Model'!U37&lt;&gt;"",ABS('Budgeting Model'!U37-'Scratch Sheet'!U37)&lt;0.01),$CG$72,0)</f>
        <v>0.02</v>
      </c>
      <c r="CU111" s="5">
        <f ca="1">IF(AND('Budgeting Model'!V37&lt;&gt;"",ABS('Budgeting Model'!V37-'Scratch Sheet'!V37)&lt;0.01),$CG$72,0)</f>
        <v>0.02</v>
      </c>
      <c r="CV111" s="5" t="s">
        <v>550</v>
      </c>
      <c r="CW111" s="5" t="s">
        <v>550</v>
      </c>
      <c r="CX111" s="5">
        <f ca="1">IF(AND('Budgeting Model'!Y37&lt;&gt;"",ABS('Budgeting Model'!Y37-'Scratch Sheet'!Y37)&lt;0.01),$CG$72,0)</f>
        <v>0.02</v>
      </c>
      <c r="CY111" s="5" t="s">
        <v>550</v>
      </c>
      <c r="CZ111" s="5">
        <f ca="1">IF(AND('Budgeting Model'!AA37&lt;&gt;"",ABS('Budgeting Model'!AA37-'Scratch Sheet'!AA37)&lt;0.01),$CG$72,0)</f>
        <v>0.02</v>
      </c>
      <c r="DA111" s="5" t="s">
        <v>550</v>
      </c>
      <c r="DB111" s="5">
        <f ca="1">IF(AND('Budgeting Model'!AC37="",'Budgeting Model'!AC37&lt;&gt;'Scratch Sheet'!AC37),0,$CG$72)</f>
        <v>0.02</v>
      </c>
      <c r="DC111" s="5" t="s">
        <v>550</v>
      </c>
      <c r="DD111" s="5">
        <f ca="1">IF(AND('Budgeting Model'!AE37&lt;&gt;"",ABS('Budgeting Model'!AE37-'Scratch Sheet'!AE37)&lt;0.01),$CG$72,0)</f>
        <v>0.02</v>
      </c>
      <c r="DE111" s="5">
        <f ca="1">IF(AND('Budgeting Model'!AF37&lt;&gt;"",ABS('Budgeting Model'!AF37-'Scratch Sheet'!AF37)&lt;0.01),$CG$72,0)</f>
        <v>0.02</v>
      </c>
      <c r="DF111" s="5">
        <f ca="1">IF(AND('Budgeting Model'!AG37&lt;&gt;"",ABS('Budgeting Model'!AG37-'Scratch Sheet'!AG37)&lt;0.01),$CG$72,0)</f>
        <v>0.02</v>
      </c>
      <c r="DG111" s="5">
        <f ca="1">IF(AND('Budgeting Model'!AH37&lt;&gt;"",ABS('Budgeting Model'!AH37-'Scratch Sheet'!AH37)&lt;0.01),$CG$72,0)</f>
        <v>0.02</v>
      </c>
      <c r="DH111" s="5">
        <f ca="1">IF(AND('Budgeting Model'!AI37&lt;&gt;"",ABS('Budgeting Model'!AI37-'Scratch Sheet'!AI37)&lt;0.01),$CG$72,0)</f>
        <v>0.02</v>
      </c>
      <c r="DI111" s="5">
        <f ca="1">IF(AND('Budgeting Model'!AJ37&lt;&gt;"",ABS('Budgeting Model'!AJ37-'Scratch Sheet'!AJ37)&lt;0.01),$CG$72,0)</f>
        <v>0.02</v>
      </c>
      <c r="DJ111" s="5">
        <f ca="1">IF(AND('Budgeting Model'!AK37&lt;&gt;"",ABS('Budgeting Model'!AK37-'Scratch Sheet'!AK37)&lt;0.01),$CG$72,0)</f>
        <v>0.02</v>
      </c>
      <c r="DK111" s="5" t="s">
        <v>550</v>
      </c>
      <c r="DL111" s="5">
        <f ca="1">IF(AND('Budgeting Model'!AM37&lt;&gt;"",ABS('Budgeting Model'!AM37-'Scratch Sheet'!AM37)&lt;0.01),$CG$72,0)</f>
        <v>0.02</v>
      </c>
      <c r="DM111" s="5">
        <f ca="1">IF(AND('Budgeting Model'!AN37&lt;&gt;"",ABS('Budgeting Model'!AN37-'Scratch Sheet'!AN37)&lt;0.01),$CG$72,0)</f>
        <v>0.02</v>
      </c>
      <c r="DN111" s="5">
        <f ca="1">IF(AND('Budgeting Model'!AO37&lt;&gt;"",ABS('Budgeting Model'!AO37-'Scratch Sheet'!AO37)&lt;0.01),$CG$72,0)</f>
        <v>0.02</v>
      </c>
      <c r="DO111" s="5">
        <f ca="1">IF(AND('Budgeting Model'!AP37&lt;&gt;"",ABS('Budgeting Model'!AP37-'Scratch Sheet'!AP37)&lt;0.01),$CG$72,0)</f>
        <v>0.02</v>
      </c>
    </row>
    <row r="112" spans="2:119">
      <c r="B112" s="5"/>
      <c r="C112" s="17"/>
      <c r="D112" s="16"/>
      <c r="E112" s="1"/>
      <c r="F112" s="22"/>
      <c r="L112" s="22"/>
      <c r="M112" s="22"/>
      <c r="N112" s="22"/>
      <c r="O112" s="22"/>
      <c r="P112" s="22"/>
      <c r="CA112" s="5">
        <f>IF(AND('Budgeting Model'!B38&lt;&gt;"",'Budgeting Model'!B38='Scratch Sheet'!B38),$CG$72,0)</f>
        <v>0.02</v>
      </c>
      <c r="CB112" s="5">
        <f ca="1">IF(AND('Budgeting Model'!C38&lt;&gt;"",'Budgeting Model'!C38='Scratch Sheet'!C38),$CG$72,0)</f>
        <v>0.02</v>
      </c>
      <c r="CC112" s="5">
        <f>IF(AND('Budgeting Model'!D38&lt;&gt;"",'Budgeting Model'!D38='Scratch Sheet'!D38),$CG$72,0)</f>
        <v>0.02</v>
      </c>
      <c r="CD112" s="5">
        <f ca="1">IF(OR(AND('Budgeting Model'!E38="",'Budgeting Model'!D38&lt;&gt;"Vacant"),'Budgeting Model'!E38&lt;&gt;'Scratch Sheet'!E38),0,$CG$72)</f>
        <v>0.02</v>
      </c>
      <c r="CE112" s="5">
        <f ca="1">IF(AND('Budgeting Model'!F38&lt;&gt;"",'Budgeting Model'!F38='Scratch Sheet'!F38),$CG$72,0)</f>
        <v>0.02</v>
      </c>
      <c r="CF112" s="5">
        <f ca="1">IF(AND('Budgeting Model'!G38&lt;&gt;"",ABS('Budgeting Model'!G38-'Scratch Sheet'!G38)&lt;0.01),$CG$72,0)</f>
        <v>0.02</v>
      </c>
      <c r="CG112" s="5" t="s">
        <v>550</v>
      </c>
      <c r="CH112" s="5" t="s">
        <v>550</v>
      </c>
      <c r="CI112" s="5">
        <f ca="1">IF(AND('Budgeting Model'!J38&lt;&gt;"",ABS('Budgeting Model'!J38-'Scratch Sheet'!J38)&lt;0.01),$CG$72,0)</f>
        <v>0.02</v>
      </c>
      <c r="CJ112" s="5" t="s">
        <v>550</v>
      </c>
      <c r="CK112" s="5">
        <f ca="1">IF(AND('Budgeting Model'!L38&lt;&gt;"",ABS('Budgeting Model'!L38-'Scratch Sheet'!L38)&lt;0.01),$CG$72,0)</f>
        <v>0.02</v>
      </c>
      <c r="CL112" s="5" t="s">
        <v>550</v>
      </c>
      <c r="CM112" s="5">
        <f ca="1">IF(AND('Budgeting Model'!N38="",'Budgeting Model'!N38&lt;&gt;'Scratch Sheet'!N38),0,$CG$72)</f>
        <v>0.02</v>
      </c>
      <c r="CN112" s="5" t="s">
        <v>550</v>
      </c>
      <c r="CO112" s="5">
        <f ca="1">IF(AND('Budgeting Model'!P38&lt;&gt;"",ABS('Budgeting Model'!P38-'Scratch Sheet'!P38)&lt;0.01),$CG$72,0)</f>
        <v>0.02</v>
      </c>
      <c r="CP112" s="5">
        <f ca="1">IF(AND('Budgeting Model'!Q38&lt;&gt;"",ABS('Budgeting Model'!Q38-'Scratch Sheet'!Q38)&lt;0.01),$CG$72,0)</f>
        <v>0.02</v>
      </c>
      <c r="CQ112" s="5">
        <f ca="1">IF(AND('Budgeting Model'!R38&lt;&gt;"",ABS('Budgeting Model'!R38-'Scratch Sheet'!R38)&lt;0.01),$CG$72,0)</f>
        <v>0.02</v>
      </c>
      <c r="CR112" s="5">
        <f ca="1">IF(AND('Budgeting Model'!S38&lt;&gt;"",ABS('Budgeting Model'!S38-'Scratch Sheet'!S38)&lt;0.01),$CG$72,0)</f>
        <v>0.02</v>
      </c>
      <c r="CS112" s="5">
        <f ca="1">IF(AND('Budgeting Model'!T38&lt;&gt;"",ABS('Budgeting Model'!T38-'Scratch Sheet'!T38)&lt;0.01),$CG$72,0)</f>
        <v>0.02</v>
      </c>
      <c r="CT112" s="5">
        <f ca="1">IF(AND('Budgeting Model'!U38&lt;&gt;"",ABS('Budgeting Model'!U38-'Scratch Sheet'!U38)&lt;0.01),$CG$72,0)</f>
        <v>0.02</v>
      </c>
      <c r="CU112" s="5">
        <f ca="1">IF(AND('Budgeting Model'!V38&lt;&gt;"",ABS('Budgeting Model'!V38-'Scratch Sheet'!V38)&lt;0.01),$CG$72,0)</f>
        <v>0.02</v>
      </c>
      <c r="CV112" s="5" t="s">
        <v>550</v>
      </c>
      <c r="CW112" s="5" t="s">
        <v>550</v>
      </c>
      <c r="CX112" s="5">
        <f ca="1">IF(AND('Budgeting Model'!Y38&lt;&gt;"",ABS('Budgeting Model'!Y38-'Scratch Sheet'!Y38)&lt;0.01),$CG$72,0)</f>
        <v>0.02</v>
      </c>
      <c r="CY112" s="5" t="s">
        <v>550</v>
      </c>
      <c r="CZ112" s="5">
        <f ca="1">IF(AND('Budgeting Model'!AA38&lt;&gt;"",ABS('Budgeting Model'!AA38-'Scratch Sheet'!AA38)&lt;0.01),$CG$72,0)</f>
        <v>0.02</v>
      </c>
      <c r="DA112" s="5" t="s">
        <v>550</v>
      </c>
      <c r="DB112" s="5">
        <f ca="1">IF(AND('Budgeting Model'!AC38="",'Budgeting Model'!AC38&lt;&gt;'Scratch Sheet'!AC38),0,$CG$72)</f>
        <v>0.02</v>
      </c>
      <c r="DC112" s="5" t="s">
        <v>550</v>
      </c>
      <c r="DD112" s="5">
        <f ca="1">IF(AND('Budgeting Model'!AE38&lt;&gt;"",ABS('Budgeting Model'!AE38-'Scratch Sheet'!AE38)&lt;0.01),$CG$72,0)</f>
        <v>0.02</v>
      </c>
      <c r="DE112" s="5">
        <f ca="1">IF(AND('Budgeting Model'!AF38&lt;&gt;"",ABS('Budgeting Model'!AF38-'Scratch Sheet'!AF38)&lt;0.01),$CG$72,0)</f>
        <v>0.02</v>
      </c>
      <c r="DF112" s="5">
        <f ca="1">IF(AND('Budgeting Model'!AG38&lt;&gt;"",ABS('Budgeting Model'!AG38-'Scratch Sheet'!AG38)&lt;0.01),$CG$72,0)</f>
        <v>0.02</v>
      </c>
      <c r="DG112" s="5">
        <f ca="1">IF(AND('Budgeting Model'!AH38&lt;&gt;"",ABS('Budgeting Model'!AH38-'Scratch Sheet'!AH38)&lt;0.01),$CG$72,0)</f>
        <v>0.02</v>
      </c>
      <c r="DH112" s="5">
        <f ca="1">IF(AND('Budgeting Model'!AI38&lt;&gt;"",ABS('Budgeting Model'!AI38-'Scratch Sheet'!AI38)&lt;0.01),$CG$72,0)</f>
        <v>0.02</v>
      </c>
      <c r="DI112" s="5">
        <f ca="1">IF(AND('Budgeting Model'!AJ38&lt;&gt;"",ABS('Budgeting Model'!AJ38-'Scratch Sheet'!AJ38)&lt;0.01),$CG$72,0)</f>
        <v>0.02</v>
      </c>
      <c r="DJ112" s="5">
        <f ca="1">IF(AND('Budgeting Model'!AK38&lt;&gt;"",ABS('Budgeting Model'!AK38-'Scratch Sheet'!AK38)&lt;0.01),$CG$72,0)</f>
        <v>0.02</v>
      </c>
      <c r="DK112" s="5" t="s">
        <v>550</v>
      </c>
      <c r="DL112" s="5">
        <f ca="1">IF(AND('Budgeting Model'!AM38&lt;&gt;"",ABS('Budgeting Model'!AM38-'Scratch Sheet'!AM38)&lt;0.01),$CG$72,0)</f>
        <v>0.02</v>
      </c>
      <c r="DM112" s="5">
        <f ca="1">IF(AND('Budgeting Model'!AN38&lt;&gt;"",ABS('Budgeting Model'!AN38-'Scratch Sheet'!AN38)&lt;0.01),$CG$72,0)</f>
        <v>0.02</v>
      </c>
      <c r="DN112" s="5">
        <f ca="1">IF(AND('Budgeting Model'!AO38&lt;&gt;"",ABS('Budgeting Model'!AO38-'Scratch Sheet'!AO38)&lt;0.01),$CG$72,0)</f>
        <v>0.02</v>
      </c>
      <c r="DO112" s="5">
        <f ca="1">IF(AND('Budgeting Model'!AP38&lt;&gt;"",ABS('Budgeting Model'!AP38-'Scratch Sheet'!AP38)&lt;0.01),$CG$72,0)</f>
        <v>0.02</v>
      </c>
    </row>
    <row r="113" spans="2:119">
      <c r="B113" s="5"/>
      <c r="C113" s="17"/>
      <c r="D113" s="16"/>
      <c r="E113" s="1"/>
      <c r="F113" s="22"/>
      <c r="L113" s="22"/>
      <c r="M113" s="22"/>
      <c r="N113" s="22"/>
      <c r="O113" s="22"/>
      <c r="P113" s="22"/>
      <c r="CA113" s="5">
        <f>IF(AND('Budgeting Model'!B39&lt;&gt;"",'Budgeting Model'!B39='Scratch Sheet'!B39),$CG$72,0)</f>
        <v>0.02</v>
      </c>
      <c r="CB113" s="5">
        <f ca="1">IF(AND('Budgeting Model'!C39&lt;&gt;"",'Budgeting Model'!C39='Scratch Sheet'!C39),$CG$72,0)</f>
        <v>0.02</v>
      </c>
      <c r="CC113" s="5">
        <f>IF(AND('Budgeting Model'!D39&lt;&gt;"",'Budgeting Model'!D39='Scratch Sheet'!D39),$CG$72,0)</f>
        <v>0.02</v>
      </c>
      <c r="CD113" s="5">
        <f ca="1">IF(OR(AND('Budgeting Model'!E39="",'Budgeting Model'!D39&lt;&gt;"Vacant"),'Budgeting Model'!E39&lt;&gt;'Scratch Sheet'!E39),0,$CG$72)</f>
        <v>0.02</v>
      </c>
      <c r="CE113" s="5">
        <f ca="1">IF(AND('Budgeting Model'!F39&lt;&gt;"",'Budgeting Model'!F39='Scratch Sheet'!F39),$CG$72,0)</f>
        <v>0.02</v>
      </c>
      <c r="CF113" s="5">
        <f ca="1">IF(AND('Budgeting Model'!G39&lt;&gt;"",ABS('Budgeting Model'!G39-'Scratch Sheet'!G39)&lt;0.01),$CG$72,0)</f>
        <v>0.02</v>
      </c>
      <c r="CG113" s="5" t="s">
        <v>550</v>
      </c>
      <c r="CH113" s="5" t="s">
        <v>550</v>
      </c>
      <c r="CI113" s="5">
        <f ca="1">IF(AND('Budgeting Model'!J39&lt;&gt;"",ABS('Budgeting Model'!J39-'Scratch Sheet'!J39)&lt;0.01),$CG$72,0)</f>
        <v>0.02</v>
      </c>
      <c r="CJ113" s="5" t="s">
        <v>550</v>
      </c>
      <c r="CK113" s="5">
        <f ca="1">IF(AND('Budgeting Model'!L39&lt;&gt;"",ABS('Budgeting Model'!L39-'Scratch Sheet'!L39)&lt;0.01),$CG$72,0)</f>
        <v>0.02</v>
      </c>
      <c r="CL113" s="5" t="s">
        <v>550</v>
      </c>
      <c r="CM113" s="5">
        <f ca="1">IF(AND('Budgeting Model'!N39="",'Budgeting Model'!N39&lt;&gt;'Scratch Sheet'!N39),0,$CG$72)</f>
        <v>0.02</v>
      </c>
      <c r="CN113" s="5" t="s">
        <v>550</v>
      </c>
      <c r="CO113" s="5">
        <f>IF(AND('Budgeting Model'!P39&lt;&gt;"",ABS('Budgeting Model'!P39-'Scratch Sheet'!P39)&lt;0.01),$CG$72,0)</f>
        <v>0.02</v>
      </c>
      <c r="CP113" s="5">
        <f ca="1">IF(AND('Budgeting Model'!Q39&lt;&gt;"",ABS('Budgeting Model'!Q39-'Scratch Sheet'!Q39)&lt;0.01),$CG$72,0)</f>
        <v>0.02</v>
      </c>
      <c r="CQ113" s="5">
        <f ca="1">IF(AND('Budgeting Model'!R39&lt;&gt;"",ABS('Budgeting Model'!R39-'Scratch Sheet'!R39)&lt;0.01),$CG$72,0)</f>
        <v>0.02</v>
      </c>
      <c r="CR113" s="5">
        <f ca="1">IF(AND('Budgeting Model'!S39&lt;&gt;"",ABS('Budgeting Model'!S39-'Scratch Sheet'!S39)&lt;0.01),$CG$72,0)</f>
        <v>0.02</v>
      </c>
      <c r="CS113" s="5">
        <f ca="1">IF(AND('Budgeting Model'!T39&lt;&gt;"",ABS('Budgeting Model'!T39-'Scratch Sheet'!T39)&lt;0.01),$CG$72,0)</f>
        <v>0.02</v>
      </c>
      <c r="CT113" s="5">
        <f ca="1">IF(AND('Budgeting Model'!U39&lt;&gt;"",ABS('Budgeting Model'!U39-'Scratch Sheet'!U39)&lt;0.01),$CG$72,0)</f>
        <v>0.02</v>
      </c>
      <c r="CU113" s="5">
        <f ca="1">IF(AND('Budgeting Model'!V39&lt;&gt;"",ABS('Budgeting Model'!V39-'Scratch Sheet'!V39)&lt;0.01),$CG$72,0)</f>
        <v>0.02</v>
      </c>
      <c r="CV113" s="5" t="s">
        <v>550</v>
      </c>
      <c r="CW113" s="5" t="s">
        <v>550</v>
      </c>
      <c r="CX113" s="5">
        <f ca="1">IF(AND('Budgeting Model'!Y39&lt;&gt;"",ABS('Budgeting Model'!Y39-'Scratch Sheet'!Y39)&lt;0.01),$CG$72,0)</f>
        <v>0.02</v>
      </c>
      <c r="CY113" s="5" t="s">
        <v>550</v>
      </c>
      <c r="CZ113" s="5">
        <f ca="1">IF(AND('Budgeting Model'!AA39&lt;&gt;"",ABS('Budgeting Model'!AA39-'Scratch Sheet'!AA39)&lt;0.01),$CG$72,0)</f>
        <v>0.02</v>
      </c>
      <c r="DA113" s="5" t="s">
        <v>550</v>
      </c>
      <c r="DB113" s="5">
        <f ca="1">IF(AND('Budgeting Model'!AC39="",'Budgeting Model'!AC39&lt;&gt;'Scratch Sheet'!AC39),0,$CG$72)</f>
        <v>0.02</v>
      </c>
      <c r="DC113" s="5" t="s">
        <v>550</v>
      </c>
      <c r="DD113" s="5">
        <f ca="1">IF(AND('Budgeting Model'!AE39&lt;&gt;"",ABS('Budgeting Model'!AE39-'Scratch Sheet'!AE39)&lt;0.01),$CG$72,0)</f>
        <v>0.02</v>
      </c>
      <c r="DE113" s="5">
        <f ca="1">IF(AND('Budgeting Model'!AF39&lt;&gt;"",ABS('Budgeting Model'!AF39-'Scratch Sheet'!AF39)&lt;0.01),$CG$72,0)</f>
        <v>0.02</v>
      </c>
      <c r="DF113" s="5">
        <f ca="1">IF(AND('Budgeting Model'!AG39&lt;&gt;"",ABS('Budgeting Model'!AG39-'Scratch Sheet'!AG39)&lt;0.01),$CG$72,0)</f>
        <v>0.02</v>
      </c>
      <c r="DG113" s="5">
        <f ca="1">IF(AND('Budgeting Model'!AH39&lt;&gt;"",ABS('Budgeting Model'!AH39-'Scratch Sheet'!AH39)&lt;0.01),$CG$72,0)</f>
        <v>0.02</v>
      </c>
      <c r="DH113" s="5">
        <f ca="1">IF(AND('Budgeting Model'!AI39&lt;&gt;"",ABS('Budgeting Model'!AI39-'Scratch Sheet'!AI39)&lt;0.01),$CG$72,0)</f>
        <v>0.02</v>
      </c>
      <c r="DI113" s="5">
        <f ca="1">IF(AND('Budgeting Model'!AJ39&lt;&gt;"",ABS('Budgeting Model'!AJ39-'Scratch Sheet'!AJ39)&lt;0.01),$CG$72,0)</f>
        <v>0.02</v>
      </c>
      <c r="DJ113" s="5">
        <f ca="1">IF(AND('Budgeting Model'!AK39&lt;&gt;"",ABS('Budgeting Model'!AK39-'Scratch Sheet'!AK39)&lt;0.01),$CG$72,0)</f>
        <v>0.02</v>
      </c>
      <c r="DK113" s="5" t="s">
        <v>550</v>
      </c>
      <c r="DL113" s="5">
        <f ca="1">IF(AND('Budgeting Model'!AM39&lt;&gt;"",ABS('Budgeting Model'!AM39-'Scratch Sheet'!AM39)&lt;0.01),$CG$72,0)</f>
        <v>0.02</v>
      </c>
      <c r="DM113" s="5">
        <f ca="1">IF(AND('Budgeting Model'!AN39&lt;&gt;"",ABS('Budgeting Model'!AN39-'Scratch Sheet'!AN39)&lt;0.01),$CG$72,0)</f>
        <v>0.02</v>
      </c>
      <c r="DN113" s="5">
        <f ca="1">IF(AND('Budgeting Model'!AO39&lt;&gt;"",ABS('Budgeting Model'!AO39-'Scratch Sheet'!AO39)&lt;0.01),$CG$72,0)</f>
        <v>0.02</v>
      </c>
      <c r="DO113" s="5">
        <f ca="1">IF(AND('Budgeting Model'!AP39&lt;&gt;"",ABS('Budgeting Model'!AP39-'Scratch Sheet'!AP39)&lt;0.01),$CG$72,0)</f>
        <v>0.02</v>
      </c>
    </row>
    <row r="114" spans="2:119">
      <c r="B114" s="5"/>
      <c r="C114" s="17"/>
      <c r="D114" s="16"/>
      <c r="E114" s="1"/>
      <c r="F114" s="22"/>
      <c r="L114" s="22"/>
      <c r="M114" s="22"/>
      <c r="N114" s="22"/>
      <c r="O114" s="22"/>
      <c r="P114" s="22"/>
      <c r="CA114" s="5">
        <f>IF(AND('Budgeting Model'!B40&lt;&gt;"",'Budgeting Model'!B40='Scratch Sheet'!B40),$CG$72,0)</f>
        <v>0.02</v>
      </c>
      <c r="CB114" s="5">
        <f ca="1">IF(AND('Budgeting Model'!C40&lt;&gt;"",'Budgeting Model'!C40='Scratch Sheet'!C40),$CG$72,0)</f>
        <v>0.02</v>
      </c>
      <c r="CC114" s="5">
        <f>IF(AND('Budgeting Model'!D40&lt;&gt;"",'Budgeting Model'!D40='Scratch Sheet'!D40),$CG$72,0)</f>
        <v>0.02</v>
      </c>
      <c r="CD114" s="5">
        <f ca="1">IF(OR(AND('Budgeting Model'!E40="",'Budgeting Model'!D40&lt;&gt;"Vacant"),'Budgeting Model'!E40&lt;&gt;'Scratch Sheet'!E40),0,$CG$72)</f>
        <v>0.02</v>
      </c>
      <c r="CE114" s="5">
        <f ca="1">IF(AND('Budgeting Model'!F40&lt;&gt;"",'Budgeting Model'!F40='Scratch Sheet'!F40),$CG$72,0)</f>
        <v>0.02</v>
      </c>
      <c r="CF114" s="5">
        <f ca="1">IF(AND('Budgeting Model'!G40&lt;&gt;"",ABS('Budgeting Model'!G40-'Scratch Sheet'!G40)&lt;0.01),$CG$72,0)</f>
        <v>0.02</v>
      </c>
      <c r="CG114" s="5" t="s">
        <v>550</v>
      </c>
      <c r="CH114" s="5" t="s">
        <v>550</v>
      </c>
      <c r="CI114" s="5">
        <f ca="1">IF(AND('Budgeting Model'!J40&lt;&gt;"",ABS('Budgeting Model'!J40-'Scratch Sheet'!J40)&lt;0.01),$CG$72,0)</f>
        <v>0.02</v>
      </c>
      <c r="CJ114" s="5" t="s">
        <v>550</v>
      </c>
      <c r="CK114" s="5">
        <f ca="1">IF(AND('Budgeting Model'!L40&lt;&gt;"",ABS('Budgeting Model'!L40-'Scratch Sheet'!L40)&lt;0.01),$CG$72,0)</f>
        <v>0.02</v>
      </c>
      <c r="CL114" s="5" t="s">
        <v>550</v>
      </c>
      <c r="CM114" s="5">
        <f ca="1">IF(AND('Budgeting Model'!N40="",'Budgeting Model'!N40&lt;&gt;'Scratch Sheet'!N40),0,$CG$72)</f>
        <v>0.02</v>
      </c>
      <c r="CN114" s="5" t="s">
        <v>550</v>
      </c>
      <c r="CO114" s="5">
        <f>IF(AND('Budgeting Model'!P40&lt;&gt;"",ABS('Budgeting Model'!P40-'Scratch Sheet'!P40)&lt;0.01),$CG$72,0)</f>
        <v>0.02</v>
      </c>
      <c r="CP114" s="5">
        <f ca="1">IF(AND('Budgeting Model'!Q40&lt;&gt;"",ABS('Budgeting Model'!Q40-'Scratch Sheet'!Q40)&lt;0.01),$CG$72,0)</f>
        <v>0.02</v>
      </c>
      <c r="CQ114" s="5">
        <f ca="1">IF(AND('Budgeting Model'!R40&lt;&gt;"",ABS('Budgeting Model'!R40-'Scratch Sheet'!R40)&lt;0.01),$CG$72,0)</f>
        <v>0.02</v>
      </c>
      <c r="CR114" s="5">
        <f ca="1">IF(AND('Budgeting Model'!S40&lt;&gt;"",ABS('Budgeting Model'!S40-'Scratch Sheet'!S40)&lt;0.01),$CG$72,0)</f>
        <v>0.02</v>
      </c>
      <c r="CS114" s="5">
        <f ca="1">IF(AND('Budgeting Model'!T40&lt;&gt;"",ABS('Budgeting Model'!T40-'Scratch Sheet'!T40)&lt;0.01),$CG$72,0)</f>
        <v>0.02</v>
      </c>
      <c r="CT114" s="5">
        <f ca="1">IF(AND('Budgeting Model'!U40&lt;&gt;"",ABS('Budgeting Model'!U40-'Scratch Sheet'!U40)&lt;0.01),$CG$72,0)</f>
        <v>0.02</v>
      </c>
      <c r="CU114" s="5">
        <f ca="1">IF(AND('Budgeting Model'!V40&lt;&gt;"",ABS('Budgeting Model'!V40-'Scratch Sheet'!V40)&lt;0.01),$CG$72,0)</f>
        <v>0.02</v>
      </c>
      <c r="CV114" s="5" t="s">
        <v>550</v>
      </c>
      <c r="CW114" s="5" t="s">
        <v>550</v>
      </c>
      <c r="CX114" s="5">
        <f ca="1">IF(AND('Budgeting Model'!Y40&lt;&gt;"",ABS('Budgeting Model'!Y40-'Scratch Sheet'!Y40)&lt;0.01),$CG$72,0)</f>
        <v>0.02</v>
      </c>
      <c r="CY114" s="5" t="s">
        <v>550</v>
      </c>
      <c r="CZ114" s="5">
        <f ca="1">IF(AND('Budgeting Model'!AA40&lt;&gt;"",ABS('Budgeting Model'!AA40-'Scratch Sheet'!AA40)&lt;0.01),$CG$72,0)</f>
        <v>0.02</v>
      </c>
      <c r="DA114" s="5" t="s">
        <v>550</v>
      </c>
      <c r="DB114" s="5">
        <f ca="1">IF(AND('Budgeting Model'!AC40="",'Budgeting Model'!AC40&lt;&gt;'Scratch Sheet'!AC40),0,$CG$72)</f>
        <v>0.02</v>
      </c>
      <c r="DC114" s="5" t="s">
        <v>550</v>
      </c>
      <c r="DD114" s="5">
        <f ca="1">IF(AND('Budgeting Model'!AE40&lt;&gt;"",ABS('Budgeting Model'!AE40-'Scratch Sheet'!AE40)&lt;0.01),$CG$72,0)</f>
        <v>0.02</v>
      </c>
      <c r="DE114" s="5">
        <f ca="1">IF(AND('Budgeting Model'!AF40&lt;&gt;"",ABS('Budgeting Model'!AF40-'Scratch Sheet'!AF40)&lt;0.01),$CG$72,0)</f>
        <v>0.02</v>
      </c>
      <c r="DF114" s="5">
        <f ca="1">IF(AND('Budgeting Model'!AG40&lt;&gt;"",ABS('Budgeting Model'!AG40-'Scratch Sheet'!AG40)&lt;0.01),$CG$72,0)</f>
        <v>0.02</v>
      </c>
      <c r="DG114" s="5">
        <f ca="1">IF(AND('Budgeting Model'!AH40&lt;&gt;"",ABS('Budgeting Model'!AH40-'Scratch Sheet'!AH40)&lt;0.01),$CG$72,0)</f>
        <v>0.02</v>
      </c>
      <c r="DH114" s="5">
        <f ca="1">IF(AND('Budgeting Model'!AI40&lt;&gt;"",ABS('Budgeting Model'!AI40-'Scratch Sheet'!AI40)&lt;0.01),$CG$72,0)</f>
        <v>0.02</v>
      </c>
      <c r="DI114" s="5">
        <f ca="1">IF(AND('Budgeting Model'!AJ40&lt;&gt;"",ABS('Budgeting Model'!AJ40-'Scratch Sheet'!AJ40)&lt;0.01),$CG$72,0)</f>
        <v>0.02</v>
      </c>
      <c r="DJ114" s="5">
        <f ca="1">IF(AND('Budgeting Model'!AK40&lt;&gt;"",ABS('Budgeting Model'!AK40-'Scratch Sheet'!AK40)&lt;0.01),$CG$72,0)</f>
        <v>0.02</v>
      </c>
      <c r="DK114" s="5" t="s">
        <v>550</v>
      </c>
      <c r="DL114" s="5">
        <f ca="1">IF(AND('Budgeting Model'!AM40&lt;&gt;"",ABS('Budgeting Model'!AM40-'Scratch Sheet'!AM40)&lt;0.01),$CG$72,0)</f>
        <v>0.02</v>
      </c>
      <c r="DM114" s="5">
        <f ca="1">IF(AND('Budgeting Model'!AN40&lt;&gt;"",ABS('Budgeting Model'!AN40-'Scratch Sheet'!AN40)&lt;0.01),$CG$72,0)</f>
        <v>0.02</v>
      </c>
      <c r="DN114" s="5">
        <f ca="1">IF(AND('Budgeting Model'!AO40&lt;&gt;"",ABS('Budgeting Model'!AO40-'Scratch Sheet'!AO40)&lt;0.01),$CG$72,0)</f>
        <v>0.02</v>
      </c>
      <c r="DO114" s="5">
        <f ca="1">IF(AND('Budgeting Model'!AP40&lt;&gt;"",ABS('Budgeting Model'!AP40-'Scratch Sheet'!AP40)&lt;0.01),$CG$72,0)</f>
        <v>0.02</v>
      </c>
    </row>
    <row r="115" spans="2:119">
      <c r="B115" s="5"/>
      <c r="C115" s="17"/>
      <c r="D115" s="16"/>
      <c r="E115" s="1"/>
      <c r="F115" s="22"/>
      <c r="L115" s="22"/>
      <c r="M115" s="22"/>
      <c r="N115" s="22"/>
      <c r="O115" s="22"/>
      <c r="P115" s="22"/>
      <c r="CA115" s="5">
        <f>IF(AND('Budgeting Model'!B41&lt;&gt;"",'Budgeting Model'!B41='Scratch Sheet'!B41),$CG$72,0)</f>
        <v>0.02</v>
      </c>
      <c r="CB115" s="5">
        <f ca="1">IF(AND('Budgeting Model'!C41&lt;&gt;"",'Budgeting Model'!C41='Scratch Sheet'!C41),$CG$72,0)</f>
        <v>0.02</v>
      </c>
      <c r="CC115" s="5">
        <f>IF(AND('Budgeting Model'!D41&lt;&gt;"",'Budgeting Model'!D41='Scratch Sheet'!D41),$CG$72,0)</f>
        <v>0.02</v>
      </c>
      <c r="CD115" s="5">
        <f ca="1">IF(OR(AND('Budgeting Model'!E41="",'Budgeting Model'!D41&lt;&gt;"Vacant"),'Budgeting Model'!E41&lt;&gt;'Scratch Sheet'!E41),0,$CG$72)</f>
        <v>0.02</v>
      </c>
      <c r="CE115" s="5">
        <f ca="1">IF(AND('Budgeting Model'!F41&lt;&gt;"",'Budgeting Model'!F41='Scratch Sheet'!F41),$CG$72,0)</f>
        <v>0.02</v>
      </c>
      <c r="CF115" s="5">
        <f ca="1">IF(AND('Budgeting Model'!G41&lt;&gt;"",ABS('Budgeting Model'!G41-'Scratch Sheet'!G41)&lt;0.01),$CG$72,0)</f>
        <v>0.02</v>
      </c>
      <c r="CG115" s="5" t="s">
        <v>550</v>
      </c>
      <c r="CH115" s="5" t="s">
        <v>550</v>
      </c>
      <c r="CI115" s="5">
        <f ca="1">IF(AND('Budgeting Model'!J41&lt;&gt;"",ABS('Budgeting Model'!J41-'Scratch Sheet'!J41)&lt;0.01),$CG$72,0)</f>
        <v>0.02</v>
      </c>
      <c r="CJ115" s="5" t="s">
        <v>550</v>
      </c>
      <c r="CK115" s="5">
        <f ca="1">IF(AND('Budgeting Model'!L41&lt;&gt;"",ABS('Budgeting Model'!L41-'Scratch Sheet'!L41)&lt;0.01),$CG$72,0)</f>
        <v>0.02</v>
      </c>
      <c r="CL115" s="5" t="s">
        <v>550</v>
      </c>
      <c r="CM115" s="5">
        <f ca="1">IF(AND('Budgeting Model'!N41="",'Budgeting Model'!N41&lt;&gt;'Scratch Sheet'!N41),0,$CG$72)</f>
        <v>0.02</v>
      </c>
      <c r="CN115" s="5" t="s">
        <v>550</v>
      </c>
      <c r="CO115" s="5">
        <f>IF(AND('Budgeting Model'!P41&lt;&gt;"",ABS('Budgeting Model'!P41-'Scratch Sheet'!P41)&lt;0.01),$CG$72,0)</f>
        <v>0.02</v>
      </c>
      <c r="CP115" s="5">
        <f ca="1">IF(AND('Budgeting Model'!Q41&lt;&gt;"",ABS('Budgeting Model'!Q41-'Scratch Sheet'!Q41)&lt;0.01),$CG$72,0)</f>
        <v>0.02</v>
      </c>
      <c r="CQ115" s="5">
        <f ca="1">IF(AND('Budgeting Model'!R41&lt;&gt;"",ABS('Budgeting Model'!R41-'Scratch Sheet'!R41)&lt;0.01),$CG$72,0)</f>
        <v>0.02</v>
      </c>
      <c r="CR115" s="5">
        <f ca="1">IF(AND('Budgeting Model'!S41&lt;&gt;"",ABS('Budgeting Model'!S41-'Scratch Sheet'!S41)&lt;0.01),$CG$72,0)</f>
        <v>0.02</v>
      </c>
      <c r="CS115" s="5">
        <f ca="1">IF(AND('Budgeting Model'!T41&lt;&gt;"",ABS('Budgeting Model'!T41-'Scratch Sheet'!T41)&lt;0.01),$CG$72,0)</f>
        <v>0.02</v>
      </c>
      <c r="CT115" s="5">
        <f ca="1">IF(AND('Budgeting Model'!U41&lt;&gt;"",ABS('Budgeting Model'!U41-'Scratch Sheet'!U41)&lt;0.01),$CG$72,0)</f>
        <v>0.02</v>
      </c>
      <c r="CU115" s="5">
        <f ca="1">IF(AND('Budgeting Model'!V41&lt;&gt;"",ABS('Budgeting Model'!V41-'Scratch Sheet'!V41)&lt;0.01),$CG$72,0)</f>
        <v>0.02</v>
      </c>
      <c r="CV115" s="5" t="s">
        <v>550</v>
      </c>
      <c r="CW115" s="5" t="s">
        <v>550</v>
      </c>
      <c r="CX115" s="5">
        <f ca="1">IF(AND('Budgeting Model'!Y41&lt;&gt;"",ABS('Budgeting Model'!Y41-'Scratch Sheet'!Y41)&lt;0.01),$CG$72,0)</f>
        <v>0.02</v>
      </c>
      <c r="CY115" s="5" t="s">
        <v>550</v>
      </c>
      <c r="CZ115" s="5">
        <f ca="1">IF(AND('Budgeting Model'!AA41&lt;&gt;"",ABS('Budgeting Model'!AA41-'Scratch Sheet'!AA41)&lt;0.01),$CG$72,0)</f>
        <v>0.02</v>
      </c>
      <c r="DA115" s="5" t="s">
        <v>550</v>
      </c>
      <c r="DB115" s="5">
        <f ca="1">IF(AND('Budgeting Model'!AC41="",'Budgeting Model'!AC41&lt;&gt;'Scratch Sheet'!AC41),0,$CG$72)</f>
        <v>0.02</v>
      </c>
      <c r="DC115" s="5" t="s">
        <v>550</v>
      </c>
      <c r="DD115" s="5">
        <f ca="1">IF(AND('Budgeting Model'!AE41&lt;&gt;"",ABS('Budgeting Model'!AE41-'Scratch Sheet'!AE41)&lt;0.01),$CG$72,0)</f>
        <v>0.02</v>
      </c>
      <c r="DE115" s="5">
        <f ca="1">IF(AND('Budgeting Model'!AF41&lt;&gt;"",ABS('Budgeting Model'!AF41-'Scratch Sheet'!AF41)&lt;0.01),$CG$72,0)</f>
        <v>0.02</v>
      </c>
      <c r="DF115" s="5">
        <f ca="1">IF(AND('Budgeting Model'!AG41&lt;&gt;"",ABS('Budgeting Model'!AG41-'Scratch Sheet'!AG41)&lt;0.01),$CG$72,0)</f>
        <v>0.02</v>
      </c>
      <c r="DG115" s="5">
        <f ca="1">IF(AND('Budgeting Model'!AH41&lt;&gt;"",ABS('Budgeting Model'!AH41-'Scratch Sheet'!AH41)&lt;0.01),$CG$72,0)</f>
        <v>0.02</v>
      </c>
      <c r="DH115" s="5">
        <f ca="1">IF(AND('Budgeting Model'!AI41&lt;&gt;"",ABS('Budgeting Model'!AI41-'Scratch Sheet'!AI41)&lt;0.01),$CG$72,0)</f>
        <v>0.02</v>
      </c>
      <c r="DI115" s="5">
        <f ca="1">IF(AND('Budgeting Model'!AJ41&lt;&gt;"",ABS('Budgeting Model'!AJ41-'Scratch Sheet'!AJ41)&lt;0.01),$CG$72,0)</f>
        <v>0.02</v>
      </c>
      <c r="DJ115" s="5">
        <f ca="1">IF(AND('Budgeting Model'!AK41&lt;&gt;"",ABS('Budgeting Model'!AK41-'Scratch Sheet'!AK41)&lt;0.01),$CG$72,0)</f>
        <v>0.02</v>
      </c>
      <c r="DK115" s="5" t="s">
        <v>550</v>
      </c>
      <c r="DL115" s="5">
        <f ca="1">IF(AND('Budgeting Model'!AM41&lt;&gt;"",ABS('Budgeting Model'!AM41-'Scratch Sheet'!AM41)&lt;0.01),$CG$72,0)</f>
        <v>0.02</v>
      </c>
      <c r="DM115" s="5">
        <f ca="1">IF(AND('Budgeting Model'!AN41&lt;&gt;"",ABS('Budgeting Model'!AN41-'Scratch Sheet'!AN41)&lt;0.01),$CG$72,0)</f>
        <v>0.02</v>
      </c>
      <c r="DN115" s="5">
        <f ca="1">IF(AND('Budgeting Model'!AO41&lt;&gt;"",ABS('Budgeting Model'!AO41-'Scratch Sheet'!AO41)&lt;0.01),$CG$72,0)</f>
        <v>0.02</v>
      </c>
      <c r="DO115" s="5">
        <f ca="1">IF(AND('Budgeting Model'!AP41&lt;&gt;"",ABS('Budgeting Model'!AP41-'Scratch Sheet'!AP41)&lt;0.01),$CG$72,0)</f>
        <v>0.02</v>
      </c>
    </row>
    <row r="116" spans="2:119">
      <c r="B116" s="5"/>
      <c r="C116" s="17"/>
      <c r="D116" s="16"/>
      <c r="E116" s="1"/>
      <c r="F116" s="22"/>
      <c r="L116" s="22"/>
      <c r="M116" s="22"/>
      <c r="N116" s="22"/>
      <c r="O116" s="22"/>
      <c r="P116" s="22"/>
      <c r="CA116" s="5">
        <f>IF(AND('Budgeting Model'!B42&lt;&gt;"",'Budgeting Model'!B42='Scratch Sheet'!B42),$CG$72,0)</f>
        <v>0.02</v>
      </c>
      <c r="CB116" s="5">
        <f ca="1">IF(AND('Budgeting Model'!C42&lt;&gt;"",'Budgeting Model'!C42='Scratch Sheet'!C42),$CG$72,0)</f>
        <v>0.02</v>
      </c>
      <c r="CC116" s="5">
        <f>IF(AND('Budgeting Model'!D42&lt;&gt;"",'Budgeting Model'!D42='Scratch Sheet'!D42),$CG$72,0)</f>
        <v>0.02</v>
      </c>
      <c r="CD116" s="5">
        <f ca="1">IF(OR(AND('Budgeting Model'!E42="",'Budgeting Model'!D42&lt;&gt;"Vacant"),'Budgeting Model'!E42&lt;&gt;'Scratch Sheet'!E42),0,$CG$72)</f>
        <v>0.02</v>
      </c>
      <c r="CE116" s="5">
        <f ca="1">IF(AND('Budgeting Model'!F42&lt;&gt;"",'Budgeting Model'!F42='Scratch Sheet'!F42),$CG$72,0)</f>
        <v>0.02</v>
      </c>
      <c r="CF116" s="5">
        <f ca="1">IF(AND('Budgeting Model'!G42&lt;&gt;"",ABS('Budgeting Model'!G42-'Scratch Sheet'!G42)&lt;0.01),$CG$72,0)</f>
        <v>0.02</v>
      </c>
      <c r="CG116" s="5" t="s">
        <v>550</v>
      </c>
      <c r="CH116" s="5" t="s">
        <v>550</v>
      </c>
      <c r="CI116" s="5">
        <f ca="1">IF(AND('Budgeting Model'!J42&lt;&gt;"",ABS('Budgeting Model'!J42-'Scratch Sheet'!J42)&lt;0.01),$CG$72,0)</f>
        <v>0.02</v>
      </c>
      <c r="CJ116" s="5" t="s">
        <v>550</v>
      </c>
      <c r="CK116" s="5">
        <f ca="1">IF(AND('Budgeting Model'!L42&lt;&gt;"",ABS('Budgeting Model'!L42-'Scratch Sheet'!L42)&lt;0.01),$CG$72,0)</f>
        <v>0.02</v>
      </c>
      <c r="CL116" s="5" t="s">
        <v>550</v>
      </c>
      <c r="CM116" s="5">
        <f ca="1">IF(AND('Budgeting Model'!N42="",'Budgeting Model'!N42&lt;&gt;'Scratch Sheet'!N42),0,$CG$72)</f>
        <v>0.02</v>
      </c>
      <c r="CN116" s="5" t="s">
        <v>550</v>
      </c>
      <c r="CO116" s="5">
        <f ca="1">IF(AND('Budgeting Model'!P42&lt;&gt;"",ABS('Budgeting Model'!P42-'Scratch Sheet'!P42)&lt;0.01),$CG$72,0)</f>
        <v>0.02</v>
      </c>
      <c r="CP116" s="5">
        <f ca="1">IF(AND('Budgeting Model'!Q42&lt;&gt;"",ABS('Budgeting Model'!Q42-'Scratch Sheet'!Q42)&lt;0.01),$CG$72,0)</f>
        <v>0.02</v>
      </c>
      <c r="CQ116" s="5">
        <f ca="1">IF(AND('Budgeting Model'!R42&lt;&gt;"",ABS('Budgeting Model'!R42-'Scratch Sheet'!R42)&lt;0.01),$CG$72,0)</f>
        <v>0.02</v>
      </c>
      <c r="CR116" s="5">
        <f ca="1">IF(AND('Budgeting Model'!S42&lt;&gt;"",ABS('Budgeting Model'!S42-'Scratch Sheet'!S42)&lt;0.01),$CG$72,0)</f>
        <v>0.02</v>
      </c>
      <c r="CS116" s="5">
        <f ca="1">IF(AND('Budgeting Model'!T42&lt;&gt;"",ABS('Budgeting Model'!T42-'Scratch Sheet'!T42)&lt;0.01),$CG$72,0)</f>
        <v>0.02</v>
      </c>
      <c r="CT116" s="5">
        <f ca="1">IF(AND('Budgeting Model'!U42&lt;&gt;"",ABS('Budgeting Model'!U42-'Scratch Sheet'!U42)&lt;0.01),$CG$72,0)</f>
        <v>0.02</v>
      </c>
      <c r="CU116" s="5">
        <f ca="1">IF(AND('Budgeting Model'!V42&lt;&gt;"",ABS('Budgeting Model'!V42-'Scratch Sheet'!V42)&lt;0.01),$CG$72,0)</f>
        <v>0.02</v>
      </c>
      <c r="CV116" s="5" t="s">
        <v>550</v>
      </c>
      <c r="CW116" s="5" t="s">
        <v>550</v>
      </c>
      <c r="CX116" s="5">
        <f ca="1">IF(AND('Budgeting Model'!Y42&lt;&gt;"",ABS('Budgeting Model'!Y42-'Scratch Sheet'!Y42)&lt;0.01),$CG$72,0)</f>
        <v>0.02</v>
      </c>
      <c r="CY116" s="5" t="s">
        <v>550</v>
      </c>
      <c r="CZ116" s="5">
        <f ca="1">IF(AND('Budgeting Model'!AA42&lt;&gt;"",ABS('Budgeting Model'!AA42-'Scratch Sheet'!AA42)&lt;0.01),$CG$72,0)</f>
        <v>0.02</v>
      </c>
      <c r="DA116" s="5" t="s">
        <v>550</v>
      </c>
      <c r="DB116" s="5">
        <f ca="1">IF(AND('Budgeting Model'!AC42="",'Budgeting Model'!AC42&lt;&gt;'Scratch Sheet'!AC42),0,$CG$72)</f>
        <v>0.02</v>
      </c>
      <c r="DC116" s="5" t="s">
        <v>550</v>
      </c>
      <c r="DD116" s="5">
        <f ca="1">IF(AND('Budgeting Model'!AE42&lt;&gt;"",ABS('Budgeting Model'!AE42-'Scratch Sheet'!AE42)&lt;0.01),$CG$72,0)</f>
        <v>0.02</v>
      </c>
      <c r="DE116" s="5">
        <f ca="1">IF(AND('Budgeting Model'!AF42&lt;&gt;"",ABS('Budgeting Model'!AF42-'Scratch Sheet'!AF42)&lt;0.01),$CG$72,0)</f>
        <v>0.02</v>
      </c>
      <c r="DF116" s="5">
        <f ca="1">IF(AND('Budgeting Model'!AG42&lt;&gt;"",ABS('Budgeting Model'!AG42-'Scratch Sheet'!AG42)&lt;0.01),$CG$72,0)</f>
        <v>0.02</v>
      </c>
      <c r="DG116" s="5">
        <f ca="1">IF(AND('Budgeting Model'!AH42&lt;&gt;"",ABS('Budgeting Model'!AH42-'Scratch Sheet'!AH42)&lt;0.01),$CG$72,0)</f>
        <v>0.02</v>
      </c>
      <c r="DH116" s="5">
        <f ca="1">IF(AND('Budgeting Model'!AI42&lt;&gt;"",ABS('Budgeting Model'!AI42-'Scratch Sheet'!AI42)&lt;0.01),$CG$72,0)</f>
        <v>0.02</v>
      </c>
      <c r="DI116" s="5">
        <f ca="1">IF(AND('Budgeting Model'!AJ42&lt;&gt;"",ABS('Budgeting Model'!AJ42-'Scratch Sheet'!AJ42)&lt;0.01),$CG$72,0)</f>
        <v>0.02</v>
      </c>
      <c r="DJ116" s="5">
        <f ca="1">IF(AND('Budgeting Model'!AK42&lt;&gt;"",ABS('Budgeting Model'!AK42-'Scratch Sheet'!AK42)&lt;0.01),$CG$72,0)</f>
        <v>0.02</v>
      </c>
      <c r="DK116" s="5" t="s">
        <v>550</v>
      </c>
      <c r="DL116" s="5">
        <f ca="1">IF(AND('Budgeting Model'!AM42&lt;&gt;"",ABS('Budgeting Model'!AM42-'Scratch Sheet'!AM42)&lt;0.01),$CG$72,0)</f>
        <v>0.02</v>
      </c>
      <c r="DM116" s="5">
        <f ca="1">IF(AND('Budgeting Model'!AN42&lt;&gt;"",ABS('Budgeting Model'!AN42-'Scratch Sheet'!AN42)&lt;0.01),$CG$72,0)</f>
        <v>0.02</v>
      </c>
      <c r="DN116" s="5">
        <f ca="1">IF(AND('Budgeting Model'!AO42&lt;&gt;"",ABS('Budgeting Model'!AO42-'Scratch Sheet'!AO42)&lt;0.01),$CG$72,0)</f>
        <v>0.02</v>
      </c>
      <c r="DO116" s="5">
        <f ca="1">IF(AND('Budgeting Model'!AP42&lt;&gt;"",ABS('Budgeting Model'!AP42-'Scratch Sheet'!AP42)&lt;0.01),$CG$72,0)</f>
        <v>0.02</v>
      </c>
    </row>
    <row r="117" spans="2:119">
      <c r="B117" s="5"/>
      <c r="C117" s="17"/>
      <c r="D117" s="16"/>
      <c r="E117" s="34"/>
      <c r="F117" s="34"/>
      <c r="L117" s="34"/>
      <c r="CA117" s="5">
        <f>IF(AND('Budgeting Model'!B43&lt;&gt;"",'Budgeting Model'!B43='Scratch Sheet'!B43),$CG$72,0)</f>
        <v>0.02</v>
      </c>
      <c r="CB117" s="5">
        <f ca="1">IF(AND('Budgeting Model'!C43&lt;&gt;"",'Budgeting Model'!C43='Scratch Sheet'!C43),$CG$72,0)</f>
        <v>0.02</v>
      </c>
      <c r="CC117" s="5">
        <f>IF(AND('Budgeting Model'!D43&lt;&gt;"",'Budgeting Model'!D43='Scratch Sheet'!D43),$CG$72,0)</f>
        <v>0.02</v>
      </c>
      <c r="CD117" s="5">
        <f ca="1">IF(OR(AND('Budgeting Model'!E43="",'Budgeting Model'!D43&lt;&gt;"Vacant"),'Budgeting Model'!E43&lt;&gt;'Scratch Sheet'!E43),0,$CG$72)</f>
        <v>0.02</v>
      </c>
      <c r="CE117" s="5">
        <f ca="1">IF(AND('Budgeting Model'!F43&lt;&gt;"",'Budgeting Model'!F43='Scratch Sheet'!F43),$CG$72,0)</f>
        <v>0.02</v>
      </c>
      <c r="CF117" s="5">
        <f ca="1">IF(AND('Budgeting Model'!G43&lt;&gt;"",ABS('Budgeting Model'!G43-'Scratch Sheet'!G43)&lt;0.01),$CG$72,0)</f>
        <v>0.02</v>
      </c>
      <c r="CG117" s="5" t="s">
        <v>550</v>
      </c>
      <c r="CH117" s="5" t="s">
        <v>550</v>
      </c>
      <c r="CI117" s="5">
        <f ca="1">IF(AND('Budgeting Model'!J43&lt;&gt;"",ABS('Budgeting Model'!J43-'Scratch Sheet'!J43)&lt;0.01),$CG$72,0)</f>
        <v>0.02</v>
      </c>
      <c r="CJ117" s="5" t="s">
        <v>550</v>
      </c>
      <c r="CK117" s="5">
        <f ca="1">IF(AND('Budgeting Model'!L43&lt;&gt;"",ABS('Budgeting Model'!L43-'Scratch Sheet'!L43)&lt;0.01),$CG$72,0)</f>
        <v>0.02</v>
      </c>
      <c r="CL117" s="5" t="s">
        <v>550</v>
      </c>
      <c r="CM117" s="5">
        <f ca="1">IF(AND('Budgeting Model'!N43="",'Budgeting Model'!N43&lt;&gt;'Scratch Sheet'!N43),0,$CG$72)</f>
        <v>0.02</v>
      </c>
      <c r="CN117" s="5" t="s">
        <v>550</v>
      </c>
      <c r="CO117" s="5">
        <f ca="1">IF(AND('Budgeting Model'!P43&lt;&gt;"",ABS('Budgeting Model'!P43-'Scratch Sheet'!P43)&lt;0.01),$CG$72,0)</f>
        <v>0.02</v>
      </c>
      <c r="CP117" s="5">
        <f ca="1">IF(AND('Budgeting Model'!Q43&lt;&gt;"",ABS('Budgeting Model'!Q43-'Scratch Sheet'!Q43)&lt;0.01),$CG$72,0)</f>
        <v>0.02</v>
      </c>
      <c r="CQ117" s="5">
        <f ca="1">IF(AND('Budgeting Model'!R43&lt;&gt;"",ABS('Budgeting Model'!R43-'Scratch Sheet'!R43)&lt;0.01),$CG$72,0)</f>
        <v>0.02</v>
      </c>
      <c r="CR117" s="5">
        <f ca="1">IF(AND('Budgeting Model'!S43&lt;&gt;"",ABS('Budgeting Model'!S43-'Scratch Sheet'!S43)&lt;0.01),$CG$72,0)</f>
        <v>0.02</v>
      </c>
      <c r="CS117" s="5">
        <f ca="1">IF(AND('Budgeting Model'!T43&lt;&gt;"",ABS('Budgeting Model'!T43-'Scratch Sheet'!T43)&lt;0.01),$CG$72,0)</f>
        <v>0.02</v>
      </c>
      <c r="CT117" s="5">
        <f ca="1">IF(AND('Budgeting Model'!U43&lt;&gt;"",ABS('Budgeting Model'!U43-'Scratch Sheet'!U43)&lt;0.01),$CG$72,0)</f>
        <v>0.02</v>
      </c>
      <c r="CU117" s="5">
        <f ca="1">IF(AND('Budgeting Model'!V43&lt;&gt;"",ABS('Budgeting Model'!V43-'Scratch Sheet'!V43)&lt;0.01),$CG$72,0)</f>
        <v>0.02</v>
      </c>
      <c r="CV117" s="5" t="s">
        <v>550</v>
      </c>
      <c r="CW117" s="5" t="s">
        <v>550</v>
      </c>
      <c r="CX117" s="5">
        <f ca="1">IF(AND('Budgeting Model'!Y43&lt;&gt;"",ABS('Budgeting Model'!Y43-'Scratch Sheet'!Y43)&lt;0.01),$CG$72,0)</f>
        <v>0.02</v>
      </c>
      <c r="CY117" s="5" t="s">
        <v>550</v>
      </c>
      <c r="CZ117" s="5">
        <f ca="1">IF(AND('Budgeting Model'!AA43&lt;&gt;"",ABS('Budgeting Model'!AA43-'Scratch Sheet'!AA43)&lt;0.01),$CG$72,0)</f>
        <v>0.02</v>
      </c>
      <c r="DA117" s="5" t="s">
        <v>550</v>
      </c>
      <c r="DB117" s="5">
        <f ca="1">IF(AND('Budgeting Model'!AC43="",'Budgeting Model'!AC43&lt;&gt;'Scratch Sheet'!AC43),0,$CG$72)</f>
        <v>0.02</v>
      </c>
      <c r="DC117" s="5" t="s">
        <v>550</v>
      </c>
      <c r="DD117" s="5">
        <f ca="1">IF(AND('Budgeting Model'!AE43&lt;&gt;"",ABS('Budgeting Model'!AE43-'Scratch Sheet'!AE43)&lt;0.01),$CG$72,0)</f>
        <v>0.02</v>
      </c>
      <c r="DE117" s="5">
        <f ca="1">IF(AND('Budgeting Model'!AF43&lt;&gt;"",ABS('Budgeting Model'!AF43-'Scratch Sheet'!AF43)&lt;0.01),$CG$72,0)</f>
        <v>0.02</v>
      </c>
      <c r="DF117" s="5">
        <f ca="1">IF(AND('Budgeting Model'!AG43&lt;&gt;"",ABS('Budgeting Model'!AG43-'Scratch Sheet'!AG43)&lt;0.01),$CG$72,0)</f>
        <v>0.02</v>
      </c>
      <c r="DG117" s="5">
        <f ca="1">IF(AND('Budgeting Model'!AH43&lt;&gt;"",ABS('Budgeting Model'!AH43-'Scratch Sheet'!AH43)&lt;0.01),$CG$72,0)</f>
        <v>0.02</v>
      </c>
      <c r="DH117" s="5">
        <f ca="1">IF(AND('Budgeting Model'!AI43&lt;&gt;"",ABS('Budgeting Model'!AI43-'Scratch Sheet'!AI43)&lt;0.01),$CG$72,0)</f>
        <v>0.02</v>
      </c>
      <c r="DI117" s="5">
        <f ca="1">IF(AND('Budgeting Model'!AJ43&lt;&gt;"",ABS('Budgeting Model'!AJ43-'Scratch Sheet'!AJ43)&lt;0.01),$CG$72,0)</f>
        <v>0.02</v>
      </c>
      <c r="DJ117" s="5">
        <f ca="1">IF(AND('Budgeting Model'!AK43&lt;&gt;"",ABS('Budgeting Model'!AK43-'Scratch Sheet'!AK43)&lt;0.01),$CG$72,0)</f>
        <v>0.02</v>
      </c>
      <c r="DK117" s="5" t="s">
        <v>550</v>
      </c>
      <c r="DL117" s="5">
        <f ca="1">IF(AND('Budgeting Model'!AM43&lt;&gt;"",ABS('Budgeting Model'!AM43-'Scratch Sheet'!AM43)&lt;0.01),$CG$72,0)</f>
        <v>0.02</v>
      </c>
      <c r="DM117" s="5">
        <f ca="1">IF(AND('Budgeting Model'!AN43&lt;&gt;"",ABS('Budgeting Model'!AN43-'Scratch Sheet'!AN43)&lt;0.01),$CG$72,0)</f>
        <v>0.02</v>
      </c>
      <c r="DN117" s="5">
        <f ca="1">IF(AND('Budgeting Model'!AO43&lt;&gt;"",ABS('Budgeting Model'!AO43-'Scratch Sheet'!AO43)&lt;0.01),$CG$72,0)</f>
        <v>0.02</v>
      </c>
      <c r="DO117" s="5">
        <f ca="1">IF(AND('Budgeting Model'!AP43&lt;&gt;"",ABS('Budgeting Model'!AP43-'Scratch Sheet'!AP43)&lt;0.01),$CG$72,0)</f>
        <v>0.02</v>
      </c>
    </row>
    <row r="118" spans="2:119">
      <c r="B118" s="5"/>
      <c r="C118" s="17"/>
      <c r="D118" s="16"/>
      <c r="E118" s="34"/>
      <c r="F118" s="34"/>
      <c r="L118" s="34"/>
      <c r="CA118" s="5">
        <f>IF(AND('Budgeting Model'!B44&lt;&gt;"",'Budgeting Model'!B44='Scratch Sheet'!B44),$CG$72,0)</f>
        <v>0.02</v>
      </c>
      <c r="CB118" s="5">
        <f ca="1">IF(AND('Budgeting Model'!C44&lt;&gt;"",'Budgeting Model'!C44='Scratch Sheet'!C44),$CG$72,0)</f>
        <v>0.02</v>
      </c>
      <c r="CC118" s="5">
        <f>IF(AND('Budgeting Model'!D44&lt;&gt;"",'Budgeting Model'!D44='Scratch Sheet'!D44),$CG$72,0)</f>
        <v>0.02</v>
      </c>
      <c r="CD118" s="5">
        <f ca="1">IF(OR(AND('Budgeting Model'!E44="",'Budgeting Model'!D44&lt;&gt;"Vacant"),'Budgeting Model'!E44&lt;&gt;'Scratch Sheet'!E44),0,$CG$72)</f>
        <v>0.02</v>
      </c>
      <c r="CE118" s="5">
        <f ca="1">IF(AND('Budgeting Model'!F44&lt;&gt;"",'Budgeting Model'!F44='Scratch Sheet'!F44),$CG$72,0)</f>
        <v>0.02</v>
      </c>
      <c r="CF118" s="5">
        <f ca="1">IF(AND('Budgeting Model'!G44&lt;&gt;"",ABS('Budgeting Model'!G44-'Scratch Sheet'!G44)&lt;0.01),$CG$72,0)</f>
        <v>0.02</v>
      </c>
      <c r="CG118" s="5" t="s">
        <v>550</v>
      </c>
      <c r="CH118" s="5" t="s">
        <v>550</v>
      </c>
      <c r="CI118" s="5">
        <f ca="1">IF(AND('Budgeting Model'!J44&lt;&gt;"",ABS('Budgeting Model'!J44-'Scratch Sheet'!J44)&lt;0.01),$CG$72,0)</f>
        <v>0.02</v>
      </c>
      <c r="CJ118" s="5" t="s">
        <v>550</v>
      </c>
      <c r="CK118" s="5">
        <f ca="1">IF(AND('Budgeting Model'!L44&lt;&gt;"",ABS('Budgeting Model'!L44-'Scratch Sheet'!L44)&lt;0.01),$CG$72,0)</f>
        <v>0.02</v>
      </c>
      <c r="CL118" s="5" t="s">
        <v>550</v>
      </c>
      <c r="CM118" s="5">
        <f ca="1">IF(AND('Budgeting Model'!N44="",'Budgeting Model'!N44&lt;&gt;'Scratch Sheet'!N44),0,$CG$72)</f>
        <v>0.02</v>
      </c>
      <c r="CN118" s="5" t="s">
        <v>550</v>
      </c>
      <c r="CO118" s="5">
        <f ca="1">IF(AND('Budgeting Model'!P44&lt;&gt;"",ABS('Budgeting Model'!P44-'Scratch Sheet'!P44)&lt;0.01),$CG$72,0)</f>
        <v>0.02</v>
      </c>
      <c r="CP118" s="5">
        <f ca="1">IF(AND('Budgeting Model'!Q44&lt;&gt;"",ABS('Budgeting Model'!Q44-'Scratch Sheet'!Q44)&lt;0.01),$CG$72,0)</f>
        <v>0.02</v>
      </c>
      <c r="CQ118" s="5">
        <f ca="1">IF(AND('Budgeting Model'!R44&lt;&gt;"",ABS('Budgeting Model'!R44-'Scratch Sheet'!R44)&lt;0.01),$CG$72,0)</f>
        <v>0.02</v>
      </c>
      <c r="CR118" s="5">
        <f ca="1">IF(AND('Budgeting Model'!S44&lt;&gt;"",ABS('Budgeting Model'!S44-'Scratch Sheet'!S44)&lt;0.01),$CG$72,0)</f>
        <v>0.02</v>
      </c>
      <c r="CS118" s="5">
        <f ca="1">IF(AND('Budgeting Model'!T44&lt;&gt;"",ABS('Budgeting Model'!T44-'Scratch Sheet'!T44)&lt;0.01),$CG$72,0)</f>
        <v>0.02</v>
      </c>
      <c r="CT118" s="5">
        <f ca="1">IF(AND('Budgeting Model'!U44&lt;&gt;"",ABS('Budgeting Model'!U44-'Scratch Sheet'!U44)&lt;0.01),$CG$72,0)</f>
        <v>0.02</v>
      </c>
      <c r="CU118" s="5">
        <f ca="1">IF(AND('Budgeting Model'!V44&lt;&gt;"",ABS('Budgeting Model'!V44-'Scratch Sheet'!V44)&lt;0.01),$CG$72,0)</f>
        <v>0.02</v>
      </c>
      <c r="CV118" s="5" t="s">
        <v>550</v>
      </c>
      <c r="CW118" s="5" t="s">
        <v>550</v>
      </c>
      <c r="CX118" s="5">
        <f ca="1">IF(AND('Budgeting Model'!Y44&lt;&gt;"",ABS('Budgeting Model'!Y44-'Scratch Sheet'!Y44)&lt;0.01),$CG$72,0)</f>
        <v>0.02</v>
      </c>
      <c r="CY118" s="5" t="s">
        <v>550</v>
      </c>
      <c r="CZ118" s="5">
        <f ca="1">IF(AND('Budgeting Model'!AA44&lt;&gt;"",ABS('Budgeting Model'!AA44-'Scratch Sheet'!AA44)&lt;0.01),$CG$72,0)</f>
        <v>0.02</v>
      </c>
      <c r="DA118" s="5" t="s">
        <v>550</v>
      </c>
      <c r="DB118" s="5">
        <f ca="1">IF(AND('Budgeting Model'!AC44="",'Budgeting Model'!AC44&lt;&gt;'Scratch Sheet'!AC44),0,$CG$72)</f>
        <v>0.02</v>
      </c>
      <c r="DC118" s="5" t="s">
        <v>550</v>
      </c>
      <c r="DD118" s="5">
        <f ca="1">IF(AND('Budgeting Model'!AE44&lt;&gt;"",ABS('Budgeting Model'!AE44-'Scratch Sheet'!AE44)&lt;0.01),$CG$72,0)</f>
        <v>0.02</v>
      </c>
      <c r="DE118" s="5">
        <f ca="1">IF(AND('Budgeting Model'!AF44&lt;&gt;"",ABS('Budgeting Model'!AF44-'Scratch Sheet'!AF44)&lt;0.01),$CG$72,0)</f>
        <v>0.02</v>
      </c>
      <c r="DF118" s="5">
        <f ca="1">IF(AND('Budgeting Model'!AG44&lt;&gt;"",ABS('Budgeting Model'!AG44-'Scratch Sheet'!AG44)&lt;0.01),$CG$72,0)</f>
        <v>0.02</v>
      </c>
      <c r="DG118" s="5">
        <f ca="1">IF(AND('Budgeting Model'!AH44&lt;&gt;"",ABS('Budgeting Model'!AH44-'Scratch Sheet'!AH44)&lt;0.01),$CG$72,0)</f>
        <v>0.02</v>
      </c>
      <c r="DH118" s="5">
        <f ca="1">IF(AND('Budgeting Model'!AI44&lt;&gt;"",ABS('Budgeting Model'!AI44-'Scratch Sheet'!AI44)&lt;0.01),$CG$72,0)</f>
        <v>0.02</v>
      </c>
      <c r="DI118" s="5">
        <f ca="1">IF(AND('Budgeting Model'!AJ44&lt;&gt;"",ABS('Budgeting Model'!AJ44-'Scratch Sheet'!AJ44)&lt;0.01),$CG$72,0)</f>
        <v>0.02</v>
      </c>
      <c r="DJ118" s="5">
        <f ca="1">IF(AND('Budgeting Model'!AK44&lt;&gt;"",ABS('Budgeting Model'!AK44-'Scratch Sheet'!AK44)&lt;0.01),$CG$72,0)</f>
        <v>0.02</v>
      </c>
      <c r="DK118" s="5" t="s">
        <v>550</v>
      </c>
      <c r="DL118" s="5">
        <f ca="1">IF(AND('Budgeting Model'!AM44&lt;&gt;"",ABS('Budgeting Model'!AM44-'Scratch Sheet'!AM44)&lt;0.01),$CG$72,0)</f>
        <v>0.02</v>
      </c>
      <c r="DM118" s="5">
        <f ca="1">IF(AND('Budgeting Model'!AN44&lt;&gt;"",ABS('Budgeting Model'!AN44-'Scratch Sheet'!AN44)&lt;0.01),$CG$72,0)</f>
        <v>0.02</v>
      </c>
      <c r="DN118" s="5">
        <f ca="1">IF(AND('Budgeting Model'!AO44&lt;&gt;"",ABS('Budgeting Model'!AO44-'Scratch Sheet'!AO44)&lt;0.01),$CG$72,0)</f>
        <v>0.02</v>
      </c>
      <c r="DO118" s="5">
        <f ca="1">IF(AND('Budgeting Model'!AP44&lt;&gt;"",ABS('Budgeting Model'!AP44-'Scratch Sheet'!AP44)&lt;0.01),$CG$72,0)</f>
        <v>0.02</v>
      </c>
    </row>
    <row r="119" spans="2:119">
      <c r="B119" s="5"/>
      <c r="C119" s="17"/>
      <c r="D119" s="16"/>
      <c r="E119" s="34"/>
      <c r="F119" s="34"/>
      <c r="L119" s="34"/>
      <c r="CA119" s="5">
        <f>IF(AND('Budgeting Model'!B45&lt;&gt;"",'Budgeting Model'!B45='Scratch Sheet'!B45),$CG$72,0)</f>
        <v>0.02</v>
      </c>
      <c r="CB119" s="5">
        <f ca="1">IF(AND('Budgeting Model'!C45&lt;&gt;"",'Budgeting Model'!C45='Scratch Sheet'!C45),$CG$72,0)</f>
        <v>0.02</v>
      </c>
      <c r="CC119" s="5">
        <f>IF(AND('Budgeting Model'!D45&lt;&gt;"",'Budgeting Model'!D45='Scratch Sheet'!D45),$CG$72,0)</f>
        <v>0.02</v>
      </c>
      <c r="CD119" s="5">
        <f ca="1">IF(OR(AND('Budgeting Model'!E45="",'Budgeting Model'!D45&lt;&gt;"Vacant"),'Budgeting Model'!E45&lt;&gt;'Scratch Sheet'!E45),0,$CG$72)</f>
        <v>0.02</v>
      </c>
      <c r="CE119" s="5">
        <f ca="1">IF(AND('Budgeting Model'!F45&lt;&gt;"",'Budgeting Model'!F45='Scratch Sheet'!F45),$CG$72,0)</f>
        <v>0.02</v>
      </c>
      <c r="CF119" s="5">
        <f ca="1">IF(AND('Budgeting Model'!G45&lt;&gt;"",ABS('Budgeting Model'!G45-'Scratch Sheet'!G45)&lt;0.01),$CG$72,0)</f>
        <v>0.02</v>
      </c>
      <c r="CG119" s="5" t="s">
        <v>550</v>
      </c>
      <c r="CH119" s="5" t="s">
        <v>550</v>
      </c>
      <c r="CI119" s="5">
        <f ca="1">IF(AND('Budgeting Model'!J45&lt;&gt;"",ABS('Budgeting Model'!J45-'Scratch Sheet'!J45)&lt;0.01),$CG$72,0)</f>
        <v>0.02</v>
      </c>
      <c r="CJ119" s="5" t="s">
        <v>550</v>
      </c>
      <c r="CK119" s="5">
        <f ca="1">IF(AND('Budgeting Model'!L45&lt;&gt;"",ABS('Budgeting Model'!L45-'Scratch Sheet'!L45)&lt;0.01),$CG$72,0)</f>
        <v>0.02</v>
      </c>
      <c r="CL119" s="5" t="s">
        <v>550</v>
      </c>
      <c r="CM119" s="5">
        <f ca="1">IF(AND('Budgeting Model'!N45="",'Budgeting Model'!N45&lt;&gt;'Scratch Sheet'!N45),0,$CG$72)</f>
        <v>0.02</v>
      </c>
      <c r="CN119" s="5" t="s">
        <v>550</v>
      </c>
      <c r="CO119" s="5">
        <f ca="1">IF(AND('Budgeting Model'!P45&lt;&gt;"",ABS('Budgeting Model'!P45-'Scratch Sheet'!P45)&lt;0.01),$CG$72,0)</f>
        <v>0.02</v>
      </c>
      <c r="CP119" s="5">
        <f ca="1">IF(AND('Budgeting Model'!Q45&lt;&gt;"",ABS('Budgeting Model'!Q45-'Scratch Sheet'!Q45)&lt;0.01),$CG$72,0)</f>
        <v>0.02</v>
      </c>
      <c r="CQ119" s="5">
        <f ca="1">IF(AND('Budgeting Model'!R45&lt;&gt;"",ABS('Budgeting Model'!R45-'Scratch Sheet'!R45)&lt;0.01),$CG$72,0)</f>
        <v>0.02</v>
      </c>
      <c r="CR119" s="5">
        <f ca="1">IF(AND('Budgeting Model'!S45&lt;&gt;"",ABS('Budgeting Model'!S45-'Scratch Sheet'!S45)&lt;0.01),$CG$72,0)</f>
        <v>0.02</v>
      </c>
      <c r="CS119" s="5">
        <f ca="1">IF(AND('Budgeting Model'!T45&lt;&gt;"",ABS('Budgeting Model'!T45-'Scratch Sheet'!T45)&lt;0.01),$CG$72,0)</f>
        <v>0.02</v>
      </c>
      <c r="CT119" s="5">
        <f ca="1">IF(AND('Budgeting Model'!U45&lt;&gt;"",ABS('Budgeting Model'!U45-'Scratch Sheet'!U45)&lt;0.01),$CG$72,0)</f>
        <v>0.02</v>
      </c>
      <c r="CU119" s="5">
        <f ca="1">IF(AND('Budgeting Model'!V45&lt;&gt;"",ABS('Budgeting Model'!V45-'Scratch Sheet'!V45)&lt;0.01),$CG$72,0)</f>
        <v>0.02</v>
      </c>
      <c r="CV119" s="5" t="s">
        <v>550</v>
      </c>
      <c r="CW119" s="5" t="s">
        <v>550</v>
      </c>
      <c r="CX119" s="5">
        <f ca="1">IF(AND('Budgeting Model'!Y45&lt;&gt;"",ABS('Budgeting Model'!Y45-'Scratch Sheet'!Y45)&lt;0.01),$CG$72,0)</f>
        <v>0.02</v>
      </c>
      <c r="CY119" s="5" t="s">
        <v>550</v>
      </c>
      <c r="CZ119" s="5">
        <f ca="1">IF(AND('Budgeting Model'!AA45&lt;&gt;"",ABS('Budgeting Model'!AA45-'Scratch Sheet'!AA45)&lt;0.01),$CG$72,0)</f>
        <v>0.02</v>
      </c>
      <c r="DA119" s="5" t="s">
        <v>550</v>
      </c>
      <c r="DB119" s="5">
        <f ca="1">IF(AND('Budgeting Model'!AC45="",'Budgeting Model'!AC45&lt;&gt;'Scratch Sheet'!AC45),0,$CG$72)</f>
        <v>0.02</v>
      </c>
      <c r="DC119" s="5" t="s">
        <v>550</v>
      </c>
      <c r="DD119" s="5">
        <f ca="1">IF(AND('Budgeting Model'!AE45&lt;&gt;"",ABS('Budgeting Model'!AE45-'Scratch Sheet'!AE45)&lt;0.01),$CG$72,0)</f>
        <v>0.02</v>
      </c>
      <c r="DE119" s="5">
        <f ca="1">IF(AND('Budgeting Model'!AF45&lt;&gt;"",ABS('Budgeting Model'!AF45-'Scratch Sheet'!AF45)&lt;0.01),$CG$72,0)</f>
        <v>0.02</v>
      </c>
      <c r="DF119" s="5">
        <f ca="1">IF(AND('Budgeting Model'!AG45&lt;&gt;"",ABS('Budgeting Model'!AG45-'Scratch Sheet'!AG45)&lt;0.01),$CG$72,0)</f>
        <v>0.02</v>
      </c>
      <c r="DG119" s="5">
        <f ca="1">IF(AND('Budgeting Model'!AH45&lt;&gt;"",ABS('Budgeting Model'!AH45-'Scratch Sheet'!AH45)&lt;0.01),$CG$72,0)</f>
        <v>0.02</v>
      </c>
      <c r="DH119" s="5">
        <f ca="1">IF(AND('Budgeting Model'!AI45&lt;&gt;"",ABS('Budgeting Model'!AI45-'Scratch Sheet'!AI45)&lt;0.01),$CG$72,0)</f>
        <v>0.02</v>
      </c>
      <c r="DI119" s="5">
        <f ca="1">IF(AND('Budgeting Model'!AJ45&lt;&gt;"",ABS('Budgeting Model'!AJ45-'Scratch Sheet'!AJ45)&lt;0.01),$CG$72,0)</f>
        <v>0.02</v>
      </c>
      <c r="DJ119" s="5">
        <f ca="1">IF(AND('Budgeting Model'!AK45&lt;&gt;"",ABS('Budgeting Model'!AK45-'Scratch Sheet'!AK45)&lt;0.01),$CG$72,0)</f>
        <v>0.02</v>
      </c>
      <c r="DK119" s="5" t="s">
        <v>550</v>
      </c>
      <c r="DL119" s="5">
        <f ca="1">IF(AND('Budgeting Model'!AM45&lt;&gt;"",ABS('Budgeting Model'!AM45-'Scratch Sheet'!AM45)&lt;0.01),$CG$72,0)</f>
        <v>0.02</v>
      </c>
      <c r="DM119" s="5">
        <f ca="1">IF(AND('Budgeting Model'!AN45&lt;&gt;"",ABS('Budgeting Model'!AN45-'Scratch Sheet'!AN45)&lt;0.01),$CG$72,0)</f>
        <v>0.02</v>
      </c>
      <c r="DN119" s="5">
        <f ca="1">IF(AND('Budgeting Model'!AO45&lt;&gt;"",ABS('Budgeting Model'!AO45-'Scratch Sheet'!AO45)&lt;0.01),$CG$72,0)</f>
        <v>0.02</v>
      </c>
      <c r="DO119" s="5">
        <f ca="1">IF(AND('Budgeting Model'!AP45&lt;&gt;"",ABS('Budgeting Model'!AP45-'Scratch Sheet'!AP45)&lt;0.01),$CG$72,0)</f>
        <v>0.02</v>
      </c>
    </row>
    <row r="120" spans="2:119">
      <c r="B120" s="5"/>
      <c r="C120" s="17"/>
      <c r="D120" s="16"/>
      <c r="E120" s="34"/>
      <c r="F120" s="34"/>
      <c r="L120" s="34"/>
      <c r="CA120" s="5">
        <f>IF(AND('Budgeting Model'!B46&lt;&gt;"",'Budgeting Model'!B46='Scratch Sheet'!B46),$CG$72,0)</f>
        <v>0.02</v>
      </c>
      <c r="CB120" s="5">
        <f ca="1">IF(AND('Budgeting Model'!C46&lt;&gt;"",'Budgeting Model'!C46='Scratch Sheet'!C46),$CG$72,0)</f>
        <v>0.02</v>
      </c>
      <c r="CC120" s="5">
        <f>IF(AND('Budgeting Model'!D46&lt;&gt;"",'Budgeting Model'!D46='Scratch Sheet'!D46),$CG$72,0)</f>
        <v>0.02</v>
      </c>
      <c r="CD120" s="5">
        <f ca="1">IF(OR(AND('Budgeting Model'!E46="",'Budgeting Model'!D46&lt;&gt;"Vacant"),'Budgeting Model'!E46&lt;&gt;'Scratch Sheet'!E46),0,$CG$72)</f>
        <v>0.02</v>
      </c>
      <c r="CE120" s="5">
        <f ca="1">IF(AND('Budgeting Model'!F46&lt;&gt;"",'Budgeting Model'!F46='Scratch Sheet'!F46),$CG$72,0)</f>
        <v>0.02</v>
      </c>
      <c r="CF120" s="5">
        <f ca="1">IF(AND('Budgeting Model'!G46&lt;&gt;"",ABS('Budgeting Model'!G46-'Scratch Sheet'!G46)&lt;0.01),$CG$72,0)</f>
        <v>0.02</v>
      </c>
      <c r="CG120" s="5" t="s">
        <v>550</v>
      </c>
      <c r="CH120" s="5" t="s">
        <v>550</v>
      </c>
      <c r="CI120" s="5">
        <f ca="1">IF(AND('Budgeting Model'!J46&lt;&gt;"",ABS('Budgeting Model'!J46-'Scratch Sheet'!J46)&lt;0.01),$CG$72,0)</f>
        <v>0.02</v>
      </c>
      <c r="CJ120" s="5" t="s">
        <v>550</v>
      </c>
      <c r="CK120" s="5">
        <f ca="1">IF(AND('Budgeting Model'!L46&lt;&gt;"",ABS('Budgeting Model'!L46-'Scratch Sheet'!L46)&lt;0.01),$CG$72,0)</f>
        <v>0.02</v>
      </c>
      <c r="CL120" s="5" t="s">
        <v>550</v>
      </c>
      <c r="CM120" s="5">
        <f ca="1">IF(AND('Budgeting Model'!N46="",'Budgeting Model'!N46&lt;&gt;'Scratch Sheet'!N46),0,$CG$72)</f>
        <v>0.02</v>
      </c>
      <c r="CN120" s="5" t="s">
        <v>550</v>
      </c>
      <c r="CO120" s="5">
        <f>IF(AND('Budgeting Model'!P46&lt;&gt;"",ABS('Budgeting Model'!P46-'Scratch Sheet'!P46)&lt;0.01),$CG$72,0)</f>
        <v>0.02</v>
      </c>
      <c r="CP120" s="5">
        <f ca="1">IF(AND('Budgeting Model'!Q46&lt;&gt;"",ABS('Budgeting Model'!Q46-'Scratch Sheet'!Q46)&lt;0.01),$CG$72,0)</f>
        <v>0.02</v>
      </c>
      <c r="CQ120" s="5">
        <f ca="1">IF(AND('Budgeting Model'!R46&lt;&gt;"",ABS('Budgeting Model'!R46-'Scratch Sheet'!R46)&lt;0.01),$CG$72,0)</f>
        <v>0.02</v>
      </c>
      <c r="CR120" s="5">
        <f ca="1">IF(AND('Budgeting Model'!S46&lt;&gt;"",ABS('Budgeting Model'!S46-'Scratch Sheet'!S46)&lt;0.01),$CG$72,0)</f>
        <v>0.02</v>
      </c>
      <c r="CS120" s="5">
        <f ca="1">IF(AND('Budgeting Model'!T46&lt;&gt;"",ABS('Budgeting Model'!T46-'Scratch Sheet'!T46)&lt;0.01),$CG$72,0)</f>
        <v>0.02</v>
      </c>
      <c r="CT120" s="5">
        <f ca="1">IF(AND('Budgeting Model'!U46&lt;&gt;"",ABS('Budgeting Model'!U46-'Scratch Sheet'!U46)&lt;0.01),$CG$72,0)</f>
        <v>0.02</v>
      </c>
      <c r="CU120" s="5">
        <f ca="1">IF(AND('Budgeting Model'!V46&lt;&gt;"",ABS('Budgeting Model'!V46-'Scratch Sheet'!V46)&lt;0.01),$CG$72,0)</f>
        <v>0.02</v>
      </c>
      <c r="CV120" s="5" t="s">
        <v>550</v>
      </c>
      <c r="CW120" s="5" t="s">
        <v>550</v>
      </c>
      <c r="CX120" s="5">
        <f ca="1">IF(AND('Budgeting Model'!Y46&lt;&gt;"",ABS('Budgeting Model'!Y46-'Scratch Sheet'!Y46)&lt;0.01),$CG$72,0)</f>
        <v>0.02</v>
      </c>
      <c r="CY120" s="5" t="s">
        <v>550</v>
      </c>
      <c r="CZ120" s="5">
        <f ca="1">IF(AND('Budgeting Model'!AA46&lt;&gt;"",ABS('Budgeting Model'!AA46-'Scratch Sheet'!AA46)&lt;0.01),$CG$72,0)</f>
        <v>0.02</v>
      </c>
      <c r="DA120" s="5" t="s">
        <v>550</v>
      </c>
      <c r="DB120" s="5">
        <f ca="1">IF(AND('Budgeting Model'!AC46="",'Budgeting Model'!AC46&lt;&gt;'Scratch Sheet'!AC46),0,$CG$72)</f>
        <v>0.02</v>
      </c>
      <c r="DC120" s="5" t="s">
        <v>550</v>
      </c>
      <c r="DD120" s="5">
        <f ca="1">IF(AND('Budgeting Model'!AE46&lt;&gt;"",ABS('Budgeting Model'!AE46-'Scratch Sheet'!AE46)&lt;0.01),$CG$72,0)</f>
        <v>0.02</v>
      </c>
      <c r="DE120" s="5">
        <f ca="1">IF(AND('Budgeting Model'!AF46&lt;&gt;"",ABS('Budgeting Model'!AF46-'Scratch Sheet'!AF46)&lt;0.01),$CG$72,0)</f>
        <v>0.02</v>
      </c>
      <c r="DF120" s="5">
        <f ca="1">IF(AND('Budgeting Model'!AG46&lt;&gt;"",ABS('Budgeting Model'!AG46-'Scratch Sheet'!AG46)&lt;0.01),$CG$72,0)</f>
        <v>0.02</v>
      </c>
      <c r="DG120" s="5">
        <f ca="1">IF(AND('Budgeting Model'!AH46&lt;&gt;"",ABS('Budgeting Model'!AH46-'Scratch Sheet'!AH46)&lt;0.01),$CG$72,0)</f>
        <v>0.02</v>
      </c>
      <c r="DH120" s="5">
        <f ca="1">IF(AND('Budgeting Model'!AI46&lt;&gt;"",ABS('Budgeting Model'!AI46-'Scratch Sheet'!AI46)&lt;0.01),$CG$72,0)</f>
        <v>0.02</v>
      </c>
      <c r="DI120" s="5">
        <f ca="1">IF(AND('Budgeting Model'!AJ46&lt;&gt;"",ABS('Budgeting Model'!AJ46-'Scratch Sheet'!AJ46)&lt;0.01),$CG$72,0)</f>
        <v>0.02</v>
      </c>
      <c r="DJ120" s="5">
        <f ca="1">IF(AND('Budgeting Model'!AK46&lt;&gt;"",ABS('Budgeting Model'!AK46-'Scratch Sheet'!AK46)&lt;0.01),$CG$72,0)</f>
        <v>0.02</v>
      </c>
      <c r="DK120" s="5" t="s">
        <v>550</v>
      </c>
      <c r="DL120" s="5">
        <f ca="1">IF(AND('Budgeting Model'!AM46&lt;&gt;"",ABS('Budgeting Model'!AM46-'Scratch Sheet'!AM46)&lt;0.01),$CG$72,0)</f>
        <v>0.02</v>
      </c>
      <c r="DM120" s="5">
        <f ca="1">IF(AND('Budgeting Model'!AN46&lt;&gt;"",ABS('Budgeting Model'!AN46-'Scratch Sheet'!AN46)&lt;0.01),$CG$72,0)</f>
        <v>0.02</v>
      </c>
      <c r="DN120" s="5">
        <f ca="1">IF(AND('Budgeting Model'!AO46&lt;&gt;"",ABS('Budgeting Model'!AO46-'Scratch Sheet'!AO46)&lt;0.01),$CG$72,0)</f>
        <v>0.02</v>
      </c>
      <c r="DO120" s="5">
        <f ca="1">IF(AND('Budgeting Model'!AP46&lt;&gt;"",ABS('Budgeting Model'!AP46-'Scratch Sheet'!AP46)&lt;0.01),$CG$72,0)</f>
        <v>0.02</v>
      </c>
    </row>
    <row r="121" spans="2:119">
      <c r="B121" s="5"/>
      <c r="C121" s="17"/>
      <c r="D121" s="16"/>
      <c r="E121" s="34"/>
      <c r="F121" s="34"/>
      <c r="L121" s="34"/>
      <c r="CA121" s="5">
        <f>IF(AND('Budgeting Model'!B47&lt;&gt;"",'Budgeting Model'!B47='Scratch Sheet'!B47),$CG$72,0)</f>
        <v>0.02</v>
      </c>
      <c r="CB121" s="5">
        <f ca="1">IF(AND('Budgeting Model'!C47&lt;&gt;"",'Budgeting Model'!C47='Scratch Sheet'!C47),$CG$72,0)</f>
        <v>0.02</v>
      </c>
      <c r="CC121" s="5">
        <f>IF(AND('Budgeting Model'!D47&lt;&gt;"",'Budgeting Model'!D47='Scratch Sheet'!D47),$CG$72,0)</f>
        <v>0.02</v>
      </c>
      <c r="CD121" s="5">
        <f ca="1">IF(OR(AND('Budgeting Model'!E47="",'Budgeting Model'!D47&lt;&gt;"Vacant"),'Budgeting Model'!E47&lt;&gt;'Scratch Sheet'!E47),0,$CG$72)</f>
        <v>0.02</v>
      </c>
      <c r="CE121" s="5">
        <f ca="1">IF(AND('Budgeting Model'!F47&lt;&gt;"",'Budgeting Model'!F47='Scratch Sheet'!F47),$CG$72,0)</f>
        <v>0.02</v>
      </c>
      <c r="CF121" s="5">
        <f ca="1">IF(AND('Budgeting Model'!G47&lt;&gt;"",ABS('Budgeting Model'!G47-'Scratch Sheet'!G47)&lt;0.01),$CG$72,0)</f>
        <v>0.02</v>
      </c>
      <c r="CG121" s="5" t="s">
        <v>550</v>
      </c>
      <c r="CH121" s="5" t="s">
        <v>550</v>
      </c>
      <c r="CI121" s="5">
        <f ca="1">IF(AND('Budgeting Model'!J47&lt;&gt;"",ABS('Budgeting Model'!J47-'Scratch Sheet'!J47)&lt;0.01),$CG$72,0)</f>
        <v>0.02</v>
      </c>
      <c r="CJ121" s="5" t="s">
        <v>550</v>
      </c>
      <c r="CK121" s="5">
        <f ca="1">IF(AND('Budgeting Model'!L47&lt;&gt;"",ABS('Budgeting Model'!L47-'Scratch Sheet'!L47)&lt;0.01),$CG$72,0)</f>
        <v>0.02</v>
      </c>
      <c r="CL121" s="5" t="s">
        <v>550</v>
      </c>
      <c r="CM121" s="5">
        <f ca="1">IF(AND('Budgeting Model'!N47="",'Budgeting Model'!N47&lt;&gt;'Scratch Sheet'!N47),0,$CG$72)</f>
        <v>0.02</v>
      </c>
      <c r="CN121" s="5" t="s">
        <v>550</v>
      </c>
      <c r="CO121" s="5">
        <f ca="1">IF(AND('Budgeting Model'!P47&lt;&gt;"",ABS('Budgeting Model'!P47-'Scratch Sheet'!P47)&lt;0.01),$CG$72,0)</f>
        <v>0.02</v>
      </c>
      <c r="CP121" s="5">
        <f ca="1">IF(AND('Budgeting Model'!Q47&lt;&gt;"",ABS('Budgeting Model'!Q47-'Scratch Sheet'!Q47)&lt;0.01),$CG$72,0)</f>
        <v>0.02</v>
      </c>
      <c r="CQ121" s="5">
        <f ca="1">IF(AND('Budgeting Model'!R47&lt;&gt;"",ABS('Budgeting Model'!R47-'Scratch Sheet'!R47)&lt;0.01),$CG$72,0)</f>
        <v>0.02</v>
      </c>
      <c r="CR121" s="5">
        <f ca="1">IF(AND('Budgeting Model'!S47&lt;&gt;"",ABS('Budgeting Model'!S47-'Scratch Sheet'!S47)&lt;0.01),$CG$72,0)</f>
        <v>0.02</v>
      </c>
      <c r="CS121" s="5">
        <f ca="1">IF(AND('Budgeting Model'!T47&lt;&gt;"",ABS('Budgeting Model'!T47-'Scratch Sheet'!T47)&lt;0.01),$CG$72,0)</f>
        <v>0.02</v>
      </c>
      <c r="CT121" s="5">
        <f ca="1">IF(AND('Budgeting Model'!U47&lt;&gt;"",ABS('Budgeting Model'!U47-'Scratch Sheet'!U47)&lt;0.01),$CG$72,0)</f>
        <v>0.02</v>
      </c>
      <c r="CU121" s="5">
        <f ca="1">IF(AND('Budgeting Model'!V47&lt;&gt;"",ABS('Budgeting Model'!V47-'Scratch Sheet'!V47)&lt;0.01),$CG$72,0)</f>
        <v>0.02</v>
      </c>
      <c r="CV121" s="5" t="s">
        <v>550</v>
      </c>
      <c r="CW121" s="5" t="s">
        <v>550</v>
      </c>
      <c r="CX121" s="5">
        <f ca="1">IF(AND('Budgeting Model'!Y47&lt;&gt;"",ABS('Budgeting Model'!Y47-'Scratch Sheet'!Y47)&lt;0.01),$CG$72,0)</f>
        <v>0.02</v>
      </c>
      <c r="CY121" s="5" t="s">
        <v>550</v>
      </c>
      <c r="CZ121" s="5">
        <f ca="1">IF(AND('Budgeting Model'!AA47&lt;&gt;"",ABS('Budgeting Model'!AA47-'Scratch Sheet'!AA47)&lt;0.01),$CG$72,0)</f>
        <v>0.02</v>
      </c>
      <c r="DA121" s="5" t="s">
        <v>550</v>
      </c>
      <c r="DB121" s="5">
        <f ca="1">IF(AND('Budgeting Model'!AC47="",'Budgeting Model'!AC47&lt;&gt;'Scratch Sheet'!AC47),0,$CG$72)</f>
        <v>0.02</v>
      </c>
      <c r="DC121" s="5" t="s">
        <v>550</v>
      </c>
      <c r="DD121" s="5">
        <f ca="1">IF(AND('Budgeting Model'!AE47&lt;&gt;"",ABS('Budgeting Model'!AE47-'Scratch Sheet'!AE47)&lt;0.01),$CG$72,0)</f>
        <v>0.02</v>
      </c>
      <c r="DE121" s="5">
        <f ca="1">IF(AND('Budgeting Model'!AF47&lt;&gt;"",ABS('Budgeting Model'!AF47-'Scratch Sheet'!AF47)&lt;0.01),$CG$72,0)</f>
        <v>0.02</v>
      </c>
      <c r="DF121" s="5">
        <f ca="1">IF(AND('Budgeting Model'!AG47&lt;&gt;"",ABS('Budgeting Model'!AG47-'Scratch Sheet'!AG47)&lt;0.01),$CG$72,0)</f>
        <v>0.02</v>
      </c>
      <c r="DG121" s="5">
        <f ca="1">IF(AND('Budgeting Model'!AH47&lt;&gt;"",ABS('Budgeting Model'!AH47-'Scratch Sheet'!AH47)&lt;0.01),$CG$72,0)</f>
        <v>0.02</v>
      </c>
      <c r="DH121" s="5">
        <f ca="1">IF(AND('Budgeting Model'!AI47&lt;&gt;"",ABS('Budgeting Model'!AI47-'Scratch Sheet'!AI47)&lt;0.01),$CG$72,0)</f>
        <v>0.02</v>
      </c>
      <c r="DI121" s="5">
        <f ca="1">IF(AND('Budgeting Model'!AJ47&lt;&gt;"",ABS('Budgeting Model'!AJ47-'Scratch Sheet'!AJ47)&lt;0.01),$CG$72,0)</f>
        <v>0.02</v>
      </c>
      <c r="DJ121" s="5">
        <f ca="1">IF(AND('Budgeting Model'!AK47&lt;&gt;"",ABS('Budgeting Model'!AK47-'Scratch Sheet'!AK47)&lt;0.01),$CG$72,0)</f>
        <v>0.02</v>
      </c>
      <c r="DK121" s="5" t="s">
        <v>550</v>
      </c>
      <c r="DL121" s="5">
        <f ca="1">IF(AND('Budgeting Model'!AM47&lt;&gt;"",ABS('Budgeting Model'!AM47-'Scratch Sheet'!AM47)&lt;0.01),$CG$72,0)</f>
        <v>0.02</v>
      </c>
      <c r="DM121" s="5">
        <f ca="1">IF(AND('Budgeting Model'!AN47&lt;&gt;"",ABS('Budgeting Model'!AN47-'Scratch Sheet'!AN47)&lt;0.01),$CG$72,0)</f>
        <v>0.02</v>
      </c>
      <c r="DN121" s="5">
        <f ca="1">IF(AND('Budgeting Model'!AO47&lt;&gt;"",ABS('Budgeting Model'!AO47-'Scratch Sheet'!AO47)&lt;0.01),$CG$72,0)</f>
        <v>0.02</v>
      </c>
      <c r="DO121" s="5">
        <f ca="1">IF(AND('Budgeting Model'!AP47&lt;&gt;"",ABS('Budgeting Model'!AP47-'Scratch Sheet'!AP47)&lt;0.01),$CG$72,0)</f>
        <v>0.02</v>
      </c>
    </row>
    <row r="122" spans="2:119">
      <c r="B122" s="5"/>
      <c r="C122" s="17"/>
      <c r="D122" s="16"/>
      <c r="E122" s="34"/>
      <c r="F122" s="34"/>
      <c r="L122" s="34"/>
      <c r="CA122" s="5">
        <f>IF(AND('Budgeting Model'!B48&lt;&gt;"",'Budgeting Model'!B48='Scratch Sheet'!B48),$CG$72,0)</f>
        <v>0.02</v>
      </c>
      <c r="CB122" s="5">
        <f ca="1">IF(AND('Budgeting Model'!C48&lt;&gt;"",'Budgeting Model'!C48='Scratch Sheet'!C48),$CG$72,0)</f>
        <v>0.02</v>
      </c>
      <c r="CC122" s="5">
        <f>IF(AND('Budgeting Model'!D48&lt;&gt;"",'Budgeting Model'!D48='Scratch Sheet'!D48),$CG$72,0)</f>
        <v>0.02</v>
      </c>
      <c r="CD122" s="5">
        <f ca="1">IF(OR(AND('Budgeting Model'!E48="",'Budgeting Model'!D48&lt;&gt;"Vacant"),'Budgeting Model'!E48&lt;&gt;'Scratch Sheet'!E48),0,$CG$72)</f>
        <v>0.02</v>
      </c>
      <c r="CE122" s="5">
        <f ca="1">IF(AND('Budgeting Model'!F48&lt;&gt;"",'Budgeting Model'!F48='Scratch Sheet'!F48),$CG$72,0)</f>
        <v>0.02</v>
      </c>
      <c r="CF122" s="5">
        <f ca="1">IF(AND('Budgeting Model'!G48&lt;&gt;"",ABS('Budgeting Model'!G48-'Scratch Sheet'!G48)&lt;0.01),$CG$72,0)</f>
        <v>0.02</v>
      </c>
      <c r="CG122" s="5" t="s">
        <v>550</v>
      </c>
      <c r="CH122" s="5" t="s">
        <v>550</v>
      </c>
      <c r="CI122" s="5">
        <f ca="1">IF(AND('Budgeting Model'!J48&lt;&gt;"",ABS('Budgeting Model'!J48-'Scratch Sheet'!J48)&lt;0.01),$CG$72,0)</f>
        <v>0.02</v>
      </c>
      <c r="CJ122" s="5" t="s">
        <v>550</v>
      </c>
      <c r="CK122" s="5">
        <f ca="1">IF(AND('Budgeting Model'!L48&lt;&gt;"",ABS('Budgeting Model'!L48-'Scratch Sheet'!L48)&lt;0.01),$CG$72,0)</f>
        <v>0.02</v>
      </c>
      <c r="CL122" s="5" t="s">
        <v>550</v>
      </c>
      <c r="CM122" s="5">
        <f ca="1">IF(AND('Budgeting Model'!N48="",'Budgeting Model'!N48&lt;&gt;'Scratch Sheet'!N48),0,$CG$72)</f>
        <v>0.02</v>
      </c>
      <c r="CN122" s="5" t="s">
        <v>550</v>
      </c>
      <c r="CO122" s="5">
        <f ca="1">IF(AND('Budgeting Model'!P48&lt;&gt;"",ABS('Budgeting Model'!P48-'Scratch Sheet'!P48)&lt;0.01),$CG$72,0)</f>
        <v>0.02</v>
      </c>
      <c r="CP122" s="5">
        <f ca="1">IF(AND('Budgeting Model'!Q48&lt;&gt;"",ABS('Budgeting Model'!Q48-'Scratch Sheet'!Q48)&lt;0.01),$CG$72,0)</f>
        <v>0.02</v>
      </c>
      <c r="CQ122" s="5">
        <f ca="1">IF(AND('Budgeting Model'!R48&lt;&gt;"",ABS('Budgeting Model'!R48-'Scratch Sheet'!R48)&lt;0.01),$CG$72,0)</f>
        <v>0.02</v>
      </c>
      <c r="CR122" s="5">
        <f ca="1">IF(AND('Budgeting Model'!S48&lt;&gt;"",ABS('Budgeting Model'!S48-'Scratch Sheet'!S48)&lt;0.01),$CG$72,0)</f>
        <v>0.02</v>
      </c>
      <c r="CS122" s="5">
        <f ca="1">IF(AND('Budgeting Model'!T48&lt;&gt;"",ABS('Budgeting Model'!T48-'Scratch Sheet'!T48)&lt;0.01),$CG$72,0)</f>
        <v>0.02</v>
      </c>
      <c r="CT122" s="5">
        <f ca="1">IF(AND('Budgeting Model'!U48&lt;&gt;"",ABS('Budgeting Model'!U48-'Scratch Sheet'!U48)&lt;0.01),$CG$72,0)</f>
        <v>0.02</v>
      </c>
      <c r="CU122" s="5">
        <f ca="1">IF(AND('Budgeting Model'!V48&lt;&gt;"",ABS('Budgeting Model'!V48-'Scratch Sheet'!V48)&lt;0.01),$CG$72,0)</f>
        <v>0.02</v>
      </c>
      <c r="CV122" s="5" t="s">
        <v>550</v>
      </c>
      <c r="CW122" s="5" t="s">
        <v>550</v>
      </c>
      <c r="CX122" s="5">
        <f ca="1">IF(AND('Budgeting Model'!Y48&lt;&gt;"",ABS('Budgeting Model'!Y48-'Scratch Sheet'!Y48)&lt;0.01),$CG$72,0)</f>
        <v>0.02</v>
      </c>
      <c r="CY122" s="5" t="s">
        <v>550</v>
      </c>
      <c r="CZ122" s="5">
        <f ca="1">IF(AND('Budgeting Model'!AA48&lt;&gt;"",ABS('Budgeting Model'!AA48-'Scratch Sheet'!AA48)&lt;0.01),$CG$72,0)</f>
        <v>0.02</v>
      </c>
      <c r="DA122" s="5" t="s">
        <v>550</v>
      </c>
      <c r="DB122" s="5">
        <f ca="1">IF(AND('Budgeting Model'!AC48="",'Budgeting Model'!AC48&lt;&gt;'Scratch Sheet'!AC48),0,$CG$72)</f>
        <v>0.02</v>
      </c>
      <c r="DC122" s="5" t="s">
        <v>550</v>
      </c>
      <c r="DD122" s="5">
        <f ca="1">IF(AND('Budgeting Model'!AE48&lt;&gt;"",ABS('Budgeting Model'!AE48-'Scratch Sheet'!AE48)&lt;0.01),$CG$72,0)</f>
        <v>0.02</v>
      </c>
      <c r="DE122" s="5">
        <f ca="1">IF(AND('Budgeting Model'!AF48&lt;&gt;"",ABS('Budgeting Model'!AF48-'Scratch Sheet'!AF48)&lt;0.01),$CG$72,0)</f>
        <v>0.02</v>
      </c>
      <c r="DF122" s="5">
        <f ca="1">IF(AND('Budgeting Model'!AG48&lt;&gt;"",ABS('Budgeting Model'!AG48-'Scratch Sheet'!AG48)&lt;0.01),$CG$72,0)</f>
        <v>0.02</v>
      </c>
      <c r="DG122" s="5">
        <f ca="1">IF(AND('Budgeting Model'!AH48&lt;&gt;"",ABS('Budgeting Model'!AH48-'Scratch Sheet'!AH48)&lt;0.01),$CG$72,0)</f>
        <v>0.02</v>
      </c>
      <c r="DH122" s="5">
        <f ca="1">IF(AND('Budgeting Model'!AI48&lt;&gt;"",ABS('Budgeting Model'!AI48-'Scratch Sheet'!AI48)&lt;0.01),$CG$72,0)</f>
        <v>0.02</v>
      </c>
      <c r="DI122" s="5">
        <f ca="1">IF(AND('Budgeting Model'!AJ48&lt;&gt;"",ABS('Budgeting Model'!AJ48-'Scratch Sheet'!AJ48)&lt;0.01),$CG$72,0)</f>
        <v>0.02</v>
      </c>
      <c r="DJ122" s="5">
        <f ca="1">IF(AND('Budgeting Model'!AK48&lt;&gt;"",ABS('Budgeting Model'!AK48-'Scratch Sheet'!AK48)&lt;0.01),$CG$72,0)</f>
        <v>0.02</v>
      </c>
      <c r="DK122" s="5" t="s">
        <v>550</v>
      </c>
      <c r="DL122" s="5">
        <f ca="1">IF(AND('Budgeting Model'!AM48&lt;&gt;"",ABS('Budgeting Model'!AM48-'Scratch Sheet'!AM48)&lt;0.01),$CG$72,0)</f>
        <v>0.02</v>
      </c>
      <c r="DM122" s="5">
        <f ca="1">IF(AND('Budgeting Model'!AN48&lt;&gt;"",ABS('Budgeting Model'!AN48-'Scratch Sheet'!AN48)&lt;0.01),$CG$72,0)</f>
        <v>0.02</v>
      </c>
      <c r="DN122" s="5">
        <f ca="1">IF(AND('Budgeting Model'!AO48&lt;&gt;"",ABS('Budgeting Model'!AO48-'Scratch Sheet'!AO48)&lt;0.01),$CG$72,0)</f>
        <v>0.02</v>
      </c>
      <c r="DO122" s="5">
        <f ca="1">IF(AND('Budgeting Model'!AP48&lt;&gt;"",ABS('Budgeting Model'!AP48-'Scratch Sheet'!AP48)&lt;0.01),$CG$72,0)</f>
        <v>0.02</v>
      </c>
    </row>
    <row r="123" spans="2:119">
      <c r="B123" s="5"/>
      <c r="C123" s="17"/>
      <c r="D123" s="16"/>
      <c r="E123" s="34"/>
      <c r="F123" s="34"/>
      <c r="CA123" s="5">
        <f>IF(AND('Budgeting Model'!B49&lt;&gt;"",'Budgeting Model'!B49='Scratch Sheet'!B49),$CG$72,0)</f>
        <v>0.02</v>
      </c>
      <c r="CB123" s="5">
        <f ca="1">IF(AND('Budgeting Model'!C49&lt;&gt;"",'Budgeting Model'!C49='Scratch Sheet'!C49),$CG$72,0)</f>
        <v>0.02</v>
      </c>
      <c r="CC123" s="5">
        <f>IF(AND('Budgeting Model'!D49&lt;&gt;"",'Budgeting Model'!D49='Scratch Sheet'!D49),$CG$72,0)</f>
        <v>0.02</v>
      </c>
      <c r="CD123" s="5">
        <f ca="1">IF(OR(AND('Budgeting Model'!E49="",'Budgeting Model'!D49&lt;&gt;"Vacant"),'Budgeting Model'!E49&lt;&gt;'Scratch Sheet'!E49),0,$CG$72)</f>
        <v>0.02</v>
      </c>
      <c r="CE123" s="5">
        <f ca="1">IF(AND('Budgeting Model'!F49&lt;&gt;"",'Budgeting Model'!F49='Scratch Sheet'!F49),$CG$72,0)</f>
        <v>0.02</v>
      </c>
      <c r="CF123" s="5">
        <f ca="1">IF(AND('Budgeting Model'!G49&lt;&gt;"",ABS('Budgeting Model'!G49-'Scratch Sheet'!G49)&lt;0.01),$CG$72,0)</f>
        <v>0.02</v>
      </c>
      <c r="CG123" s="5" t="s">
        <v>550</v>
      </c>
      <c r="CH123" s="5" t="s">
        <v>550</v>
      </c>
      <c r="CI123" s="5">
        <f ca="1">IF(AND('Budgeting Model'!J49&lt;&gt;"",ABS('Budgeting Model'!J49-'Scratch Sheet'!J49)&lt;0.01),$CG$72,0)</f>
        <v>0.02</v>
      </c>
      <c r="CJ123" s="5" t="s">
        <v>550</v>
      </c>
      <c r="CK123" s="5">
        <f ca="1">IF(AND('Budgeting Model'!L49&lt;&gt;"",ABS('Budgeting Model'!L49-'Scratch Sheet'!L49)&lt;0.01),$CG$72,0)</f>
        <v>0.02</v>
      </c>
      <c r="CL123" s="5" t="s">
        <v>550</v>
      </c>
      <c r="CM123" s="5">
        <f ca="1">IF(AND('Budgeting Model'!N49="",'Budgeting Model'!N49&lt;&gt;'Scratch Sheet'!N49),0,$CG$72)</f>
        <v>0.02</v>
      </c>
      <c r="CN123" s="5" t="s">
        <v>550</v>
      </c>
      <c r="CO123" s="5">
        <f ca="1">IF(AND('Budgeting Model'!P49&lt;&gt;"",ABS('Budgeting Model'!P49-'Scratch Sheet'!P49)&lt;0.01),$CG$72,0)</f>
        <v>0.02</v>
      </c>
      <c r="CP123" s="5">
        <f ca="1">IF(AND('Budgeting Model'!Q49&lt;&gt;"",ABS('Budgeting Model'!Q49-'Scratch Sheet'!Q49)&lt;0.01),$CG$72,0)</f>
        <v>0.02</v>
      </c>
      <c r="CQ123" s="5">
        <f ca="1">IF(AND('Budgeting Model'!R49&lt;&gt;"",ABS('Budgeting Model'!R49-'Scratch Sheet'!R49)&lt;0.01),$CG$72,0)</f>
        <v>0.02</v>
      </c>
      <c r="CR123" s="5">
        <f ca="1">IF(AND('Budgeting Model'!S49&lt;&gt;"",ABS('Budgeting Model'!S49-'Scratch Sheet'!S49)&lt;0.01),$CG$72,0)</f>
        <v>0.02</v>
      </c>
      <c r="CS123" s="5">
        <f ca="1">IF(AND('Budgeting Model'!T49&lt;&gt;"",ABS('Budgeting Model'!T49-'Scratch Sheet'!T49)&lt;0.01),$CG$72,0)</f>
        <v>0.02</v>
      </c>
      <c r="CT123" s="5">
        <f ca="1">IF(AND('Budgeting Model'!U49&lt;&gt;"",ABS('Budgeting Model'!U49-'Scratch Sheet'!U49)&lt;0.01),$CG$72,0)</f>
        <v>0.02</v>
      </c>
      <c r="CU123" s="5">
        <f ca="1">IF(AND('Budgeting Model'!V49&lt;&gt;"",ABS('Budgeting Model'!V49-'Scratch Sheet'!V49)&lt;0.01),$CG$72,0)</f>
        <v>0.02</v>
      </c>
      <c r="CV123" s="5" t="s">
        <v>550</v>
      </c>
      <c r="CW123" s="5" t="s">
        <v>550</v>
      </c>
      <c r="CX123" s="5">
        <f ca="1">IF(AND('Budgeting Model'!Y49&lt;&gt;"",ABS('Budgeting Model'!Y49-'Scratch Sheet'!Y49)&lt;0.01),$CG$72,0)</f>
        <v>0.02</v>
      </c>
      <c r="CY123" s="5" t="s">
        <v>550</v>
      </c>
      <c r="CZ123" s="5">
        <f ca="1">IF(AND('Budgeting Model'!AA49&lt;&gt;"",ABS('Budgeting Model'!AA49-'Scratch Sheet'!AA49)&lt;0.01),$CG$72,0)</f>
        <v>0.02</v>
      </c>
      <c r="DA123" s="5" t="s">
        <v>550</v>
      </c>
      <c r="DB123" s="5">
        <f ca="1">IF(AND('Budgeting Model'!AC49="",'Budgeting Model'!AC49&lt;&gt;'Scratch Sheet'!AC49),0,$CG$72)</f>
        <v>0.02</v>
      </c>
      <c r="DC123" s="5" t="s">
        <v>550</v>
      </c>
      <c r="DD123" s="5">
        <f ca="1">IF(AND('Budgeting Model'!AE49&lt;&gt;"",ABS('Budgeting Model'!AE49-'Scratch Sheet'!AE49)&lt;0.01),$CG$72,0)</f>
        <v>0.02</v>
      </c>
      <c r="DE123" s="5">
        <f ca="1">IF(AND('Budgeting Model'!AF49&lt;&gt;"",ABS('Budgeting Model'!AF49-'Scratch Sheet'!AF49)&lt;0.01),$CG$72,0)</f>
        <v>0.02</v>
      </c>
      <c r="DF123" s="5">
        <f ca="1">IF(AND('Budgeting Model'!AG49&lt;&gt;"",ABS('Budgeting Model'!AG49-'Scratch Sheet'!AG49)&lt;0.01),$CG$72,0)</f>
        <v>0.02</v>
      </c>
      <c r="DG123" s="5">
        <f ca="1">IF(AND('Budgeting Model'!AH49&lt;&gt;"",ABS('Budgeting Model'!AH49-'Scratch Sheet'!AH49)&lt;0.01),$CG$72,0)</f>
        <v>0.02</v>
      </c>
      <c r="DH123" s="5">
        <f ca="1">IF(AND('Budgeting Model'!AI49&lt;&gt;"",ABS('Budgeting Model'!AI49-'Scratch Sheet'!AI49)&lt;0.01),$CG$72,0)</f>
        <v>0.02</v>
      </c>
      <c r="DI123" s="5">
        <f ca="1">IF(AND('Budgeting Model'!AJ49&lt;&gt;"",ABS('Budgeting Model'!AJ49-'Scratch Sheet'!AJ49)&lt;0.01),$CG$72,0)</f>
        <v>0.02</v>
      </c>
      <c r="DJ123" s="5">
        <f ca="1">IF(AND('Budgeting Model'!AK49&lt;&gt;"",ABS('Budgeting Model'!AK49-'Scratch Sheet'!AK49)&lt;0.01),$CG$72,0)</f>
        <v>0.02</v>
      </c>
      <c r="DK123" s="5" t="s">
        <v>550</v>
      </c>
      <c r="DL123" s="5">
        <f ca="1">IF(AND('Budgeting Model'!AM49&lt;&gt;"",ABS('Budgeting Model'!AM49-'Scratch Sheet'!AM49)&lt;0.01),$CG$72,0)</f>
        <v>0.02</v>
      </c>
      <c r="DM123" s="5">
        <f ca="1">IF(AND('Budgeting Model'!AN49&lt;&gt;"",ABS('Budgeting Model'!AN49-'Scratch Sheet'!AN49)&lt;0.01),$CG$72,0)</f>
        <v>0.02</v>
      </c>
      <c r="DN123" s="5">
        <f ca="1">IF(AND('Budgeting Model'!AO49&lt;&gt;"",ABS('Budgeting Model'!AO49-'Scratch Sheet'!AO49)&lt;0.01),$CG$72,0)</f>
        <v>0.02</v>
      </c>
      <c r="DO123" s="5">
        <f ca="1">IF(AND('Budgeting Model'!AP49&lt;&gt;"",ABS('Budgeting Model'!AP49-'Scratch Sheet'!AP49)&lt;0.01),$CG$72,0)</f>
        <v>0.02</v>
      </c>
    </row>
    <row r="124" spans="2:119">
      <c r="B124" s="5"/>
      <c r="C124" s="17"/>
      <c r="D124" s="16"/>
      <c r="E124" s="34"/>
      <c r="F124" s="34"/>
      <c r="L124" s="34"/>
      <c r="CA124" s="5">
        <f>IF(AND('Budgeting Model'!B50&lt;&gt;"",'Budgeting Model'!B50='Scratch Sheet'!B50),$CG$72,0)</f>
        <v>0.02</v>
      </c>
      <c r="CB124" s="5">
        <f ca="1">IF(AND('Budgeting Model'!C50&lt;&gt;"",'Budgeting Model'!C50='Scratch Sheet'!C50),$CG$72,0)</f>
        <v>0.02</v>
      </c>
      <c r="CC124" s="5">
        <f>IF(AND('Budgeting Model'!D50&lt;&gt;"",'Budgeting Model'!D50='Scratch Sheet'!D50),$CG$72,0)</f>
        <v>0.02</v>
      </c>
      <c r="CD124" s="5">
        <f ca="1">IF(OR(AND('Budgeting Model'!E50="",'Budgeting Model'!D50&lt;&gt;"Vacant"),'Budgeting Model'!E50&lt;&gt;'Scratch Sheet'!E50),0,$CG$72)</f>
        <v>0.02</v>
      </c>
      <c r="CE124" s="5">
        <f ca="1">IF(AND('Budgeting Model'!F50&lt;&gt;"",'Budgeting Model'!F50='Scratch Sheet'!F50),$CG$72,0)</f>
        <v>0.02</v>
      </c>
      <c r="CF124" s="5">
        <f ca="1">IF(AND('Budgeting Model'!G50&lt;&gt;"",ABS('Budgeting Model'!G50-'Scratch Sheet'!G50)&lt;0.01),$CG$72,0)</f>
        <v>0.02</v>
      </c>
      <c r="CG124" s="5" t="s">
        <v>550</v>
      </c>
      <c r="CH124" s="5" t="s">
        <v>550</v>
      </c>
      <c r="CI124" s="5">
        <f ca="1">IF(AND('Budgeting Model'!J50&lt;&gt;"",ABS('Budgeting Model'!J50-'Scratch Sheet'!J50)&lt;0.01),$CG$72,0)</f>
        <v>0.02</v>
      </c>
      <c r="CJ124" s="5" t="s">
        <v>550</v>
      </c>
      <c r="CK124" s="5">
        <f ca="1">IF(AND('Budgeting Model'!L50&lt;&gt;"",ABS('Budgeting Model'!L50-'Scratch Sheet'!L50)&lt;0.01),$CG$72,0)</f>
        <v>0.02</v>
      </c>
      <c r="CL124" s="5" t="s">
        <v>550</v>
      </c>
      <c r="CM124" s="5">
        <f ca="1">IF(AND('Budgeting Model'!N50="",'Budgeting Model'!N50&lt;&gt;'Scratch Sheet'!N50),0,$CG$72)</f>
        <v>0.02</v>
      </c>
      <c r="CN124" s="5" t="s">
        <v>550</v>
      </c>
      <c r="CO124" s="5">
        <f ca="1">IF(AND('Budgeting Model'!P50&lt;&gt;"",ABS('Budgeting Model'!P50-'Scratch Sheet'!P50)&lt;0.01),$CG$72,0)</f>
        <v>0.02</v>
      </c>
      <c r="CP124" s="5">
        <f ca="1">IF(AND('Budgeting Model'!Q50&lt;&gt;"",ABS('Budgeting Model'!Q50-'Scratch Sheet'!Q50)&lt;0.01),$CG$72,0)</f>
        <v>0.02</v>
      </c>
      <c r="CQ124" s="5">
        <f ca="1">IF(AND('Budgeting Model'!R50&lt;&gt;"",ABS('Budgeting Model'!R50-'Scratch Sheet'!R50)&lt;0.01),$CG$72,0)</f>
        <v>0.02</v>
      </c>
      <c r="CR124" s="5">
        <f ca="1">IF(AND('Budgeting Model'!S50&lt;&gt;"",ABS('Budgeting Model'!S50-'Scratch Sheet'!S50)&lt;0.01),$CG$72,0)</f>
        <v>0.02</v>
      </c>
      <c r="CS124" s="5">
        <f ca="1">IF(AND('Budgeting Model'!T50&lt;&gt;"",ABS('Budgeting Model'!T50-'Scratch Sheet'!T50)&lt;0.01),$CG$72,0)</f>
        <v>0.02</v>
      </c>
      <c r="CT124" s="5">
        <f ca="1">IF(AND('Budgeting Model'!U50&lt;&gt;"",ABS('Budgeting Model'!U50-'Scratch Sheet'!U50)&lt;0.01),$CG$72,0)</f>
        <v>0.02</v>
      </c>
      <c r="CU124" s="5">
        <f ca="1">IF(AND('Budgeting Model'!V50&lt;&gt;"",ABS('Budgeting Model'!V50-'Scratch Sheet'!V50)&lt;0.01),$CG$72,0)</f>
        <v>0.02</v>
      </c>
      <c r="CV124" s="5" t="s">
        <v>550</v>
      </c>
      <c r="CW124" s="5" t="s">
        <v>550</v>
      </c>
      <c r="CX124" s="5">
        <f ca="1">IF(AND('Budgeting Model'!Y50&lt;&gt;"",ABS('Budgeting Model'!Y50-'Scratch Sheet'!Y50)&lt;0.01),$CG$72,0)</f>
        <v>0.02</v>
      </c>
      <c r="CY124" s="5" t="s">
        <v>550</v>
      </c>
      <c r="CZ124" s="5">
        <f ca="1">IF(AND('Budgeting Model'!AA50&lt;&gt;"",ABS('Budgeting Model'!AA50-'Scratch Sheet'!AA50)&lt;0.01),$CG$72,0)</f>
        <v>0.02</v>
      </c>
      <c r="DA124" s="5" t="s">
        <v>550</v>
      </c>
      <c r="DB124" s="5">
        <f ca="1">IF(AND('Budgeting Model'!AC50="",'Budgeting Model'!AC50&lt;&gt;'Scratch Sheet'!AC50),0,$CG$72)</f>
        <v>0.02</v>
      </c>
      <c r="DC124" s="5" t="s">
        <v>550</v>
      </c>
      <c r="DD124" s="5">
        <f ca="1">IF(AND('Budgeting Model'!AE50&lt;&gt;"",ABS('Budgeting Model'!AE50-'Scratch Sheet'!AE50)&lt;0.01),$CG$72,0)</f>
        <v>0.02</v>
      </c>
      <c r="DE124" s="5">
        <f ca="1">IF(AND('Budgeting Model'!AF50&lt;&gt;"",ABS('Budgeting Model'!AF50-'Scratch Sheet'!AF50)&lt;0.01),$CG$72,0)</f>
        <v>0.02</v>
      </c>
      <c r="DF124" s="5">
        <f ca="1">IF(AND('Budgeting Model'!AG50&lt;&gt;"",ABS('Budgeting Model'!AG50-'Scratch Sheet'!AG50)&lt;0.01),$CG$72,0)</f>
        <v>0.02</v>
      </c>
      <c r="DG124" s="5">
        <f ca="1">IF(AND('Budgeting Model'!AH50&lt;&gt;"",ABS('Budgeting Model'!AH50-'Scratch Sheet'!AH50)&lt;0.01),$CG$72,0)</f>
        <v>0.02</v>
      </c>
      <c r="DH124" s="5">
        <f ca="1">IF(AND('Budgeting Model'!AI50&lt;&gt;"",ABS('Budgeting Model'!AI50-'Scratch Sheet'!AI50)&lt;0.01),$CG$72,0)</f>
        <v>0.02</v>
      </c>
      <c r="DI124" s="5">
        <f ca="1">IF(AND('Budgeting Model'!AJ50&lt;&gt;"",ABS('Budgeting Model'!AJ50-'Scratch Sheet'!AJ50)&lt;0.01),$CG$72,0)</f>
        <v>0.02</v>
      </c>
      <c r="DJ124" s="5">
        <f ca="1">IF(AND('Budgeting Model'!AK50&lt;&gt;"",ABS('Budgeting Model'!AK50-'Scratch Sheet'!AK50)&lt;0.01),$CG$72,0)</f>
        <v>0.02</v>
      </c>
      <c r="DK124" s="5" t="s">
        <v>550</v>
      </c>
      <c r="DL124" s="5">
        <f ca="1">IF(AND('Budgeting Model'!AM50&lt;&gt;"",ABS('Budgeting Model'!AM50-'Scratch Sheet'!AM50)&lt;0.01),$CG$72,0)</f>
        <v>0.02</v>
      </c>
      <c r="DM124" s="5">
        <f ca="1">IF(AND('Budgeting Model'!AN50&lt;&gt;"",ABS('Budgeting Model'!AN50-'Scratch Sheet'!AN50)&lt;0.01),$CG$72,0)</f>
        <v>0.02</v>
      </c>
      <c r="DN124" s="5">
        <f ca="1">IF(AND('Budgeting Model'!AO50&lt;&gt;"",ABS('Budgeting Model'!AO50-'Scratch Sheet'!AO50)&lt;0.01),$CG$72,0)</f>
        <v>0.02</v>
      </c>
      <c r="DO124" s="5">
        <f ca="1">IF(AND('Budgeting Model'!AP50&lt;&gt;"",ABS('Budgeting Model'!AP50-'Scratch Sheet'!AP50)&lt;0.01),$CG$72,0)</f>
        <v>0.02</v>
      </c>
    </row>
    <row r="125" spans="2:119">
      <c r="B125" s="5"/>
      <c r="C125" s="17"/>
      <c r="D125" s="16"/>
      <c r="E125" s="34"/>
      <c r="F125" s="34"/>
      <c r="L125" s="34"/>
      <c r="CA125" s="5">
        <f>IF(AND('Budgeting Model'!B51&lt;&gt;"",'Budgeting Model'!B51='Scratch Sheet'!B51),$CG$72,0)</f>
        <v>0.02</v>
      </c>
      <c r="CB125" s="5">
        <f ca="1">IF(AND('Budgeting Model'!C51&lt;&gt;"",'Budgeting Model'!C51='Scratch Sheet'!C51),$CG$72,0)</f>
        <v>0.02</v>
      </c>
      <c r="CC125" s="5">
        <f>IF(AND('Budgeting Model'!D51&lt;&gt;"",'Budgeting Model'!D51='Scratch Sheet'!D51),$CG$72,0)</f>
        <v>0.02</v>
      </c>
      <c r="CD125" s="5">
        <f ca="1">IF(OR(AND('Budgeting Model'!E51="",'Budgeting Model'!D51&lt;&gt;"Vacant"),'Budgeting Model'!E51&lt;&gt;'Scratch Sheet'!E51),0,$CG$72)</f>
        <v>0.02</v>
      </c>
      <c r="CE125" s="5">
        <f ca="1">IF(AND('Budgeting Model'!F51&lt;&gt;"",'Budgeting Model'!F51='Scratch Sheet'!F51),$CG$72,0)</f>
        <v>0.02</v>
      </c>
      <c r="CF125" s="5">
        <f ca="1">IF(AND('Budgeting Model'!G51&lt;&gt;"",ABS('Budgeting Model'!G51-'Scratch Sheet'!G51)&lt;0.01),$CG$72,0)</f>
        <v>0.02</v>
      </c>
      <c r="CG125" s="5" t="s">
        <v>550</v>
      </c>
      <c r="CH125" s="5" t="s">
        <v>550</v>
      </c>
      <c r="CI125" s="5">
        <f ca="1">IF(AND('Budgeting Model'!J51&lt;&gt;"",ABS('Budgeting Model'!J51-'Scratch Sheet'!J51)&lt;0.01),$CG$72,0)</f>
        <v>0.02</v>
      </c>
      <c r="CJ125" s="5" t="s">
        <v>550</v>
      </c>
      <c r="CK125" s="5">
        <f ca="1">IF(AND('Budgeting Model'!L51&lt;&gt;"",ABS('Budgeting Model'!L51-'Scratch Sheet'!L51)&lt;0.01),$CG$72,0)</f>
        <v>0.02</v>
      </c>
      <c r="CL125" s="5" t="s">
        <v>550</v>
      </c>
      <c r="CM125" s="5">
        <f ca="1">IF(AND('Budgeting Model'!N51="",'Budgeting Model'!N51&lt;&gt;'Scratch Sheet'!N51),0,$CG$72)</f>
        <v>0.02</v>
      </c>
      <c r="CN125" s="5" t="s">
        <v>550</v>
      </c>
      <c r="CO125" s="5">
        <f ca="1">IF(AND('Budgeting Model'!P51&lt;&gt;"",ABS('Budgeting Model'!P51-'Scratch Sheet'!P51)&lt;0.01),$CG$72,0)</f>
        <v>0.02</v>
      </c>
      <c r="CP125" s="5">
        <f ca="1">IF(AND('Budgeting Model'!Q51&lt;&gt;"",ABS('Budgeting Model'!Q51-'Scratch Sheet'!Q51)&lt;0.01),$CG$72,0)</f>
        <v>0.02</v>
      </c>
      <c r="CQ125" s="5">
        <f ca="1">IF(AND('Budgeting Model'!R51&lt;&gt;"",ABS('Budgeting Model'!R51-'Scratch Sheet'!R51)&lt;0.01),$CG$72,0)</f>
        <v>0.02</v>
      </c>
      <c r="CR125" s="5">
        <f ca="1">IF(AND('Budgeting Model'!S51&lt;&gt;"",ABS('Budgeting Model'!S51-'Scratch Sheet'!S51)&lt;0.01),$CG$72,0)</f>
        <v>0.02</v>
      </c>
      <c r="CS125" s="5">
        <f ca="1">IF(AND('Budgeting Model'!T51&lt;&gt;"",ABS('Budgeting Model'!T51-'Scratch Sheet'!T51)&lt;0.01),$CG$72,0)</f>
        <v>0.02</v>
      </c>
      <c r="CT125" s="5">
        <f ca="1">IF(AND('Budgeting Model'!U51&lt;&gt;"",ABS('Budgeting Model'!U51-'Scratch Sheet'!U51)&lt;0.01),$CG$72,0)</f>
        <v>0.02</v>
      </c>
      <c r="CU125" s="5">
        <f ca="1">IF(AND('Budgeting Model'!V51&lt;&gt;"",ABS('Budgeting Model'!V51-'Scratch Sheet'!V51)&lt;0.01),$CG$72,0)</f>
        <v>0.02</v>
      </c>
      <c r="CV125" s="5" t="s">
        <v>550</v>
      </c>
      <c r="CW125" s="5" t="s">
        <v>550</v>
      </c>
      <c r="CX125" s="5">
        <f ca="1">IF(AND('Budgeting Model'!Y51&lt;&gt;"",ABS('Budgeting Model'!Y51-'Scratch Sheet'!Y51)&lt;0.01),$CG$72,0)</f>
        <v>0.02</v>
      </c>
      <c r="CY125" s="5" t="s">
        <v>550</v>
      </c>
      <c r="CZ125" s="5">
        <f ca="1">IF(AND('Budgeting Model'!AA51&lt;&gt;"",ABS('Budgeting Model'!AA51-'Scratch Sheet'!AA51)&lt;0.01),$CG$72,0)</f>
        <v>0.02</v>
      </c>
      <c r="DA125" s="5" t="s">
        <v>550</v>
      </c>
      <c r="DB125" s="5">
        <f ca="1">IF(AND('Budgeting Model'!AC51="",'Budgeting Model'!AC51&lt;&gt;'Scratch Sheet'!AC51),0,$CG$72)</f>
        <v>0.02</v>
      </c>
      <c r="DC125" s="5" t="s">
        <v>550</v>
      </c>
      <c r="DD125" s="5">
        <f ca="1">IF(AND('Budgeting Model'!AE51&lt;&gt;"",ABS('Budgeting Model'!AE51-'Scratch Sheet'!AE51)&lt;0.01),$CG$72,0)</f>
        <v>0.02</v>
      </c>
      <c r="DE125" s="5">
        <f ca="1">IF(AND('Budgeting Model'!AF51&lt;&gt;"",ABS('Budgeting Model'!AF51-'Scratch Sheet'!AF51)&lt;0.01),$CG$72,0)</f>
        <v>0.02</v>
      </c>
      <c r="DF125" s="5">
        <f ca="1">IF(AND('Budgeting Model'!AG51&lt;&gt;"",ABS('Budgeting Model'!AG51-'Scratch Sheet'!AG51)&lt;0.01),$CG$72,0)</f>
        <v>0.02</v>
      </c>
      <c r="DG125" s="5">
        <f ca="1">IF(AND('Budgeting Model'!AH51&lt;&gt;"",ABS('Budgeting Model'!AH51-'Scratch Sheet'!AH51)&lt;0.01),$CG$72,0)</f>
        <v>0.02</v>
      </c>
      <c r="DH125" s="5">
        <f ca="1">IF(AND('Budgeting Model'!AI51&lt;&gt;"",ABS('Budgeting Model'!AI51-'Scratch Sheet'!AI51)&lt;0.01),$CG$72,0)</f>
        <v>0.02</v>
      </c>
      <c r="DI125" s="5">
        <f ca="1">IF(AND('Budgeting Model'!AJ51&lt;&gt;"",ABS('Budgeting Model'!AJ51-'Scratch Sheet'!AJ51)&lt;0.01),$CG$72,0)</f>
        <v>0.02</v>
      </c>
      <c r="DJ125" s="5">
        <f ca="1">IF(AND('Budgeting Model'!AK51&lt;&gt;"",ABS('Budgeting Model'!AK51-'Scratch Sheet'!AK51)&lt;0.01),$CG$72,0)</f>
        <v>0.02</v>
      </c>
      <c r="DK125" s="5" t="s">
        <v>550</v>
      </c>
      <c r="DL125" s="5">
        <f ca="1">IF(AND('Budgeting Model'!AM51&lt;&gt;"",ABS('Budgeting Model'!AM51-'Scratch Sheet'!AM51)&lt;0.01),$CG$72,0)</f>
        <v>0.02</v>
      </c>
      <c r="DM125" s="5">
        <f ca="1">IF(AND('Budgeting Model'!AN51&lt;&gt;"",ABS('Budgeting Model'!AN51-'Scratch Sheet'!AN51)&lt;0.01),$CG$72,0)</f>
        <v>0.02</v>
      </c>
      <c r="DN125" s="5">
        <f ca="1">IF(AND('Budgeting Model'!AO51&lt;&gt;"",ABS('Budgeting Model'!AO51-'Scratch Sheet'!AO51)&lt;0.01),$CG$72,0)</f>
        <v>0.02</v>
      </c>
      <c r="DO125" s="5">
        <f ca="1">IF(AND('Budgeting Model'!AP51&lt;&gt;"",ABS('Budgeting Model'!AP51-'Scratch Sheet'!AP51)&lt;0.01),$CG$72,0)</f>
        <v>0.02</v>
      </c>
    </row>
    <row r="126" spans="2:119">
      <c r="B126" s="5"/>
      <c r="C126" s="17"/>
      <c r="D126" s="16"/>
      <c r="E126" s="34"/>
      <c r="F126" s="34"/>
      <c r="L126" s="34"/>
      <c r="CA126" s="5">
        <f>IF(AND('Budgeting Model'!B52&lt;&gt;"",'Budgeting Model'!B52='Scratch Sheet'!B52),$CG$72,0)</f>
        <v>0.02</v>
      </c>
      <c r="CB126" s="5">
        <f ca="1">IF(AND('Budgeting Model'!C52&lt;&gt;"",'Budgeting Model'!C52='Scratch Sheet'!C52),$CG$72,0)</f>
        <v>0.02</v>
      </c>
      <c r="CC126" s="5">
        <f>IF(AND('Budgeting Model'!D52&lt;&gt;"",'Budgeting Model'!D52='Scratch Sheet'!D52),$CG$72,0)</f>
        <v>0.02</v>
      </c>
      <c r="CD126" s="5">
        <f ca="1">IF(OR(AND('Budgeting Model'!E52="",'Budgeting Model'!D52&lt;&gt;"Vacant"),'Budgeting Model'!E52&lt;&gt;'Scratch Sheet'!E52),0,$CG$72)</f>
        <v>0.02</v>
      </c>
      <c r="CE126" s="5">
        <f ca="1">IF(AND('Budgeting Model'!F52&lt;&gt;"",'Budgeting Model'!F52='Scratch Sheet'!F52),$CG$72,0)</f>
        <v>0.02</v>
      </c>
      <c r="CF126" s="5">
        <f ca="1">IF(AND('Budgeting Model'!G52&lt;&gt;"",ABS('Budgeting Model'!G52-'Scratch Sheet'!G52)&lt;0.01),$CG$72,0)</f>
        <v>0.02</v>
      </c>
      <c r="CG126" s="5" t="s">
        <v>550</v>
      </c>
      <c r="CH126" s="5" t="s">
        <v>550</v>
      </c>
      <c r="CI126" s="5">
        <f ca="1">IF(AND('Budgeting Model'!J52&lt;&gt;"",ABS('Budgeting Model'!J52-'Scratch Sheet'!J52)&lt;0.01),$CG$72,0)</f>
        <v>0.02</v>
      </c>
      <c r="CJ126" s="5" t="s">
        <v>550</v>
      </c>
      <c r="CK126" s="5">
        <f ca="1">IF(AND('Budgeting Model'!L52&lt;&gt;"",ABS('Budgeting Model'!L52-'Scratch Sheet'!L52)&lt;0.01),$CG$72,0)</f>
        <v>0.02</v>
      </c>
      <c r="CL126" s="5" t="s">
        <v>550</v>
      </c>
      <c r="CM126" s="5">
        <f ca="1">IF(AND('Budgeting Model'!N52="",'Budgeting Model'!N52&lt;&gt;'Scratch Sheet'!N52),0,$CG$72)</f>
        <v>0.02</v>
      </c>
      <c r="CN126" s="5" t="s">
        <v>550</v>
      </c>
      <c r="CO126" s="5">
        <f ca="1">IF(AND('Budgeting Model'!P52&lt;&gt;"",ABS('Budgeting Model'!P52-'Scratch Sheet'!P52)&lt;0.01),$CG$72,0)</f>
        <v>0.02</v>
      </c>
      <c r="CP126" s="5">
        <f ca="1">IF(AND('Budgeting Model'!Q52&lt;&gt;"",ABS('Budgeting Model'!Q52-'Scratch Sheet'!Q52)&lt;0.01),$CG$72,0)</f>
        <v>0.02</v>
      </c>
      <c r="CQ126" s="5">
        <f ca="1">IF(AND('Budgeting Model'!R52&lt;&gt;"",ABS('Budgeting Model'!R52-'Scratch Sheet'!R52)&lt;0.01),$CG$72,0)</f>
        <v>0.02</v>
      </c>
      <c r="CR126" s="5">
        <f ca="1">IF(AND('Budgeting Model'!S52&lt;&gt;"",ABS('Budgeting Model'!S52-'Scratch Sheet'!S52)&lt;0.01),$CG$72,0)</f>
        <v>0.02</v>
      </c>
      <c r="CS126" s="5">
        <f ca="1">IF(AND('Budgeting Model'!T52&lt;&gt;"",ABS('Budgeting Model'!T52-'Scratch Sheet'!T52)&lt;0.01),$CG$72,0)</f>
        <v>0.02</v>
      </c>
      <c r="CT126" s="5">
        <f ca="1">IF(AND('Budgeting Model'!U52&lt;&gt;"",ABS('Budgeting Model'!U52-'Scratch Sheet'!U52)&lt;0.01),$CG$72,0)</f>
        <v>0.02</v>
      </c>
      <c r="CU126" s="5">
        <f ca="1">IF(AND('Budgeting Model'!V52&lt;&gt;"",ABS('Budgeting Model'!V52-'Scratch Sheet'!V52)&lt;0.01),$CG$72,0)</f>
        <v>0.02</v>
      </c>
      <c r="CV126" s="5" t="s">
        <v>550</v>
      </c>
      <c r="CW126" s="5" t="s">
        <v>550</v>
      </c>
      <c r="CX126" s="5">
        <f ca="1">IF(AND('Budgeting Model'!Y52&lt;&gt;"",ABS('Budgeting Model'!Y52-'Scratch Sheet'!Y52)&lt;0.01),$CG$72,0)</f>
        <v>0.02</v>
      </c>
      <c r="CY126" s="5" t="s">
        <v>550</v>
      </c>
      <c r="CZ126" s="5">
        <f ca="1">IF(AND('Budgeting Model'!AA52&lt;&gt;"",ABS('Budgeting Model'!AA52-'Scratch Sheet'!AA52)&lt;0.01),$CG$72,0)</f>
        <v>0.02</v>
      </c>
      <c r="DA126" s="5" t="s">
        <v>550</v>
      </c>
      <c r="DB126" s="5">
        <f ca="1">IF(AND('Budgeting Model'!AC52="",'Budgeting Model'!AC52&lt;&gt;'Scratch Sheet'!AC52),0,$CG$72)</f>
        <v>0.02</v>
      </c>
      <c r="DC126" s="5" t="s">
        <v>550</v>
      </c>
      <c r="DD126" s="5">
        <f ca="1">IF(AND('Budgeting Model'!AE52&lt;&gt;"",ABS('Budgeting Model'!AE52-'Scratch Sheet'!AE52)&lt;0.01),$CG$72,0)</f>
        <v>0.02</v>
      </c>
      <c r="DE126" s="5">
        <f ca="1">IF(AND('Budgeting Model'!AF52&lt;&gt;"",ABS('Budgeting Model'!AF52-'Scratch Sheet'!AF52)&lt;0.01),$CG$72,0)</f>
        <v>0.02</v>
      </c>
      <c r="DF126" s="5">
        <f ca="1">IF(AND('Budgeting Model'!AG52&lt;&gt;"",ABS('Budgeting Model'!AG52-'Scratch Sheet'!AG52)&lt;0.01),$CG$72,0)</f>
        <v>0.02</v>
      </c>
      <c r="DG126" s="5">
        <f ca="1">IF(AND('Budgeting Model'!AH52&lt;&gt;"",ABS('Budgeting Model'!AH52-'Scratch Sheet'!AH52)&lt;0.01),$CG$72,0)</f>
        <v>0.02</v>
      </c>
      <c r="DH126" s="5">
        <f ca="1">IF(AND('Budgeting Model'!AI52&lt;&gt;"",ABS('Budgeting Model'!AI52-'Scratch Sheet'!AI52)&lt;0.01),$CG$72,0)</f>
        <v>0.02</v>
      </c>
      <c r="DI126" s="5">
        <f ca="1">IF(AND('Budgeting Model'!AJ52&lt;&gt;"",ABS('Budgeting Model'!AJ52-'Scratch Sheet'!AJ52)&lt;0.01),$CG$72,0)</f>
        <v>0.02</v>
      </c>
      <c r="DJ126" s="5">
        <f ca="1">IF(AND('Budgeting Model'!AK52&lt;&gt;"",ABS('Budgeting Model'!AK52-'Scratch Sheet'!AK52)&lt;0.01),$CG$72,0)</f>
        <v>0.02</v>
      </c>
      <c r="DK126" s="5" t="s">
        <v>550</v>
      </c>
      <c r="DL126" s="5">
        <f ca="1">IF(AND('Budgeting Model'!AM52&lt;&gt;"",ABS('Budgeting Model'!AM52-'Scratch Sheet'!AM52)&lt;0.01),$CG$72,0)</f>
        <v>0.02</v>
      </c>
      <c r="DM126" s="5">
        <f ca="1">IF(AND('Budgeting Model'!AN52&lt;&gt;"",ABS('Budgeting Model'!AN52-'Scratch Sheet'!AN52)&lt;0.01),$CG$72,0)</f>
        <v>0.02</v>
      </c>
      <c r="DN126" s="5">
        <f ca="1">IF(AND('Budgeting Model'!AO52&lt;&gt;"",ABS('Budgeting Model'!AO52-'Scratch Sheet'!AO52)&lt;0.01),$CG$72,0)</f>
        <v>0.02</v>
      </c>
      <c r="DO126" s="5">
        <f ca="1">IF(AND('Budgeting Model'!AP52&lt;&gt;"",ABS('Budgeting Model'!AP52-'Scratch Sheet'!AP52)&lt;0.01),$CG$72,0)</f>
        <v>0.02</v>
      </c>
    </row>
    <row r="127" spans="2:119">
      <c r="B127" s="5"/>
      <c r="C127" s="17"/>
      <c r="D127" s="16"/>
      <c r="E127" s="21"/>
      <c r="F127" s="21"/>
      <c r="CA127" s="5">
        <f>IF(AND('Budgeting Model'!B53&lt;&gt;"",'Budgeting Model'!B53='Scratch Sheet'!B53),$CG$72,0)</f>
        <v>0.02</v>
      </c>
      <c r="CB127" s="5">
        <f ca="1">IF(AND('Budgeting Model'!C53&lt;&gt;"",'Budgeting Model'!C53='Scratch Sheet'!C53),$CG$72,0)</f>
        <v>0.02</v>
      </c>
      <c r="CC127" s="5">
        <f>IF(AND('Budgeting Model'!D53&lt;&gt;"",'Budgeting Model'!D53='Scratch Sheet'!D53),$CG$72,0)</f>
        <v>0.02</v>
      </c>
      <c r="CD127" s="5">
        <f ca="1">IF(OR(AND('Budgeting Model'!E53="",'Budgeting Model'!D53&lt;&gt;"Vacant"),'Budgeting Model'!E53&lt;&gt;'Scratch Sheet'!E53),0,$CG$72)</f>
        <v>0.02</v>
      </c>
      <c r="CE127" s="5">
        <f ca="1">IF(AND('Budgeting Model'!F53&lt;&gt;"",'Budgeting Model'!F53='Scratch Sheet'!F53),$CG$72,0)</f>
        <v>0.02</v>
      </c>
      <c r="CF127" s="5">
        <f ca="1">IF(AND('Budgeting Model'!G53&lt;&gt;"",ABS('Budgeting Model'!G53-'Scratch Sheet'!G53)&lt;0.01),$CG$72,0)</f>
        <v>0.02</v>
      </c>
      <c r="CG127" s="5" t="s">
        <v>550</v>
      </c>
      <c r="CH127" s="5" t="s">
        <v>550</v>
      </c>
      <c r="CI127" s="5">
        <f ca="1">IF(AND('Budgeting Model'!J53&lt;&gt;"",ABS('Budgeting Model'!J53-'Scratch Sheet'!J53)&lt;0.01),$CG$72,0)</f>
        <v>0.02</v>
      </c>
      <c r="CJ127" s="5" t="s">
        <v>550</v>
      </c>
      <c r="CK127" s="5">
        <f ca="1">IF(AND('Budgeting Model'!L53&lt;&gt;"",ABS('Budgeting Model'!L53-'Scratch Sheet'!L53)&lt;0.01),$CG$72,0)</f>
        <v>0.02</v>
      </c>
      <c r="CL127" s="5" t="s">
        <v>550</v>
      </c>
      <c r="CM127" s="5">
        <f ca="1">IF(AND('Budgeting Model'!N53="",'Budgeting Model'!N53&lt;&gt;'Scratch Sheet'!N53),0,$CG$72)</f>
        <v>0.02</v>
      </c>
      <c r="CN127" s="5" t="s">
        <v>550</v>
      </c>
      <c r="CO127" s="5">
        <f>IF(AND('Budgeting Model'!P53&lt;&gt;"",ABS('Budgeting Model'!P53-'Scratch Sheet'!P53)&lt;0.01),$CG$72,0)</f>
        <v>0.02</v>
      </c>
      <c r="CP127" s="5">
        <f ca="1">IF(AND('Budgeting Model'!Q53&lt;&gt;"",ABS('Budgeting Model'!Q53-'Scratch Sheet'!Q53)&lt;0.01),$CG$72,0)</f>
        <v>0.02</v>
      </c>
      <c r="CQ127" s="5">
        <f ca="1">IF(AND('Budgeting Model'!R53&lt;&gt;"",ABS('Budgeting Model'!R53-'Scratch Sheet'!R53)&lt;0.01),$CG$72,0)</f>
        <v>0.02</v>
      </c>
      <c r="CR127" s="5">
        <f ca="1">IF(AND('Budgeting Model'!S53&lt;&gt;"",ABS('Budgeting Model'!S53-'Scratch Sheet'!S53)&lt;0.01),$CG$72,0)</f>
        <v>0.02</v>
      </c>
      <c r="CS127" s="5">
        <f ca="1">IF(AND('Budgeting Model'!T53&lt;&gt;"",ABS('Budgeting Model'!T53-'Scratch Sheet'!T53)&lt;0.01),$CG$72,0)</f>
        <v>0.02</v>
      </c>
      <c r="CT127" s="5">
        <f ca="1">IF(AND('Budgeting Model'!U53&lt;&gt;"",ABS('Budgeting Model'!U53-'Scratch Sheet'!U53)&lt;0.01),$CG$72,0)</f>
        <v>0.02</v>
      </c>
      <c r="CU127" s="5">
        <f ca="1">IF(AND('Budgeting Model'!V53&lt;&gt;"",ABS('Budgeting Model'!V53-'Scratch Sheet'!V53)&lt;0.01),$CG$72,0)</f>
        <v>0.02</v>
      </c>
      <c r="CV127" s="5" t="s">
        <v>550</v>
      </c>
      <c r="CW127" s="5" t="s">
        <v>550</v>
      </c>
      <c r="CX127" s="5">
        <f ca="1">IF(AND('Budgeting Model'!Y53&lt;&gt;"",ABS('Budgeting Model'!Y53-'Scratch Sheet'!Y53)&lt;0.01),$CG$72,0)</f>
        <v>0.02</v>
      </c>
      <c r="CY127" s="5" t="s">
        <v>550</v>
      </c>
      <c r="CZ127" s="5">
        <f ca="1">IF(AND('Budgeting Model'!AA53&lt;&gt;"",ABS('Budgeting Model'!AA53-'Scratch Sheet'!AA53)&lt;0.01),$CG$72,0)</f>
        <v>0.02</v>
      </c>
      <c r="DA127" s="5" t="s">
        <v>550</v>
      </c>
      <c r="DB127" s="5">
        <f ca="1">IF(AND('Budgeting Model'!AC53="",'Budgeting Model'!AC53&lt;&gt;'Scratch Sheet'!AC53),0,$CG$72)</f>
        <v>0.02</v>
      </c>
      <c r="DC127" s="5" t="s">
        <v>550</v>
      </c>
      <c r="DD127" s="5">
        <f ca="1">IF(AND('Budgeting Model'!AE53&lt;&gt;"",ABS('Budgeting Model'!AE53-'Scratch Sheet'!AE53)&lt;0.01),$CG$72,0)</f>
        <v>0.02</v>
      </c>
      <c r="DE127" s="5">
        <f ca="1">IF(AND('Budgeting Model'!AF53&lt;&gt;"",ABS('Budgeting Model'!AF53-'Scratch Sheet'!AF53)&lt;0.01),$CG$72,0)</f>
        <v>0.02</v>
      </c>
      <c r="DF127" s="5">
        <f ca="1">IF(AND('Budgeting Model'!AG53&lt;&gt;"",ABS('Budgeting Model'!AG53-'Scratch Sheet'!AG53)&lt;0.01),$CG$72,0)</f>
        <v>0.02</v>
      </c>
      <c r="DG127" s="5">
        <f ca="1">IF(AND('Budgeting Model'!AH53&lt;&gt;"",ABS('Budgeting Model'!AH53-'Scratch Sheet'!AH53)&lt;0.01),$CG$72,0)</f>
        <v>0.02</v>
      </c>
      <c r="DH127" s="5">
        <f ca="1">IF(AND('Budgeting Model'!AI53&lt;&gt;"",ABS('Budgeting Model'!AI53-'Scratch Sheet'!AI53)&lt;0.01),$CG$72,0)</f>
        <v>0.02</v>
      </c>
      <c r="DI127" s="5">
        <f ca="1">IF(AND('Budgeting Model'!AJ53&lt;&gt;"",ABS('Budgeting Model'!AJ53-'Scratch Sheet'!AJ53)&lt;0.01),$CG$72,0)</f>
        <v>0.02</v>
      </c>
      <c r="DJ127" s="5">
        <f ca="1">IF(AND('Budgeting Model'!AK53&lt;&gt;"",ABS('Budgeting Model'!AK53-'Scratch Sheet'!AK53)&lt;0.01),$CG$72,0)</f>
        <v>0.02</v>
      </c>
      <c r="DK127" s="5" t="s">
        <v>550</v>
      </c>
      <c r="DL127" s="5">
        <f ca="1">IF(AND('Budgeting Model'!AM53&lt;&gt;"",ABS('Budgeting Model'!AM53-'Scratch Sheet'!AM53)&lt;0.01),$CG$72,0)</f>
        <v>0.02</v>
      </c>
      <c r="DM127" s="5">
        <f ca="1">IF(AND('Budgeting Model'!AN53&lt;&gt;"",ABS('Budgeting Model'!AN53-'Scratch Sheet'!AN53)&lt;0.01),$CG$72,0)</f>
        <v>0.02</v>
      </c>
      <c r="DN127" s="5">
        <f ca="1">IF(AND('Budgeting Model'!AO53&lt;&gt;"",ABS('Budgeting Model'!AO53-'Scratch Sheet'!AO53)&lt;0.01),$CG$72,0)</f>
        <v>0.02</v>
      </c>
      <c r="DO127" s="5">
        <f ca="1">IF(AND('Budgeting Model'!AP53&lt;&gt;"",ABS('Budgeting Model'!AP53-'Scratch Sheet'!AP53)&lt;0.01),$CG$72,0)</f>
        <v>0.02</v>
      </c>
    </row>
    <row r="128" spans="2:119">
      <c r="B128" s="5"/>
      <c r="C128" s="17"/>
      <c r="D128" s="16"/>
      <c r="E128" s="21"/>
      <c r="F128" s="21"/>
      <c r="CA128" s="5">
        <f>IF(AND('Budgeting Model'!B54&lt;&gt;"",'Budgeting Model'!B54='Scratch Sheet'!B54),$CG$72,0)</f>
        <v>0.02</v>
      </c>
      <c r="CB128" s="5">
        <f ca="1">IF(AND('Budgeting Model'!C54&lt;&gt;"",'Budgeting Model'!C54='Scratch Sheet'!C54),$CG$72,0)</f>
        <v>0.02</v>
      </c>
      <c r="CC128" s="5">
        <f>IF(AND('Budgeting Model'!D54&lt;&gt;"",'Budgeting Model'!D54='Scratch Sheet'!D54),$CG$72,0)</f>
        <v>0.02</v>
      </c>
      <c r="CD128" s="5">
        <f ca="1">IF(OR(AND('Budgeting Model'!E54="",'Budgeting Model'!D54&lt;&gt;"Vacant"),'Budgeting Model'!E54&lt;&gt;'Scratch Sheet'!E54),0,$CG$72)</f>
        <v>0.02</v>
      </c>
      <c r="CE128" s="5">
        <f ca="1">IF(AND('Budgeting Model'!F54&lt;&gt;"",'Budgeting Model'!F54='Scratch Sheet'!F54),$CG$72,0)</f>
        <v>0.02</v>
      </c>
      <c r="CF128" s="5">
        <f ca="1">IF(AND('Budgeting Model'!G54&lt;&gt;"",ABS('Budgeting Model'!G54-'Scratch Sheet'!G54)&lt;0.01),$CG$72,0)</f>
        <v>0.02</v>
      </c>
      <c r="CG128" s="5" t="s">
        <v>550</v>
      </c>
      <c r="CH128" s="5" t="s">
        <v>550</v>
      </c>
      <c r="CI128" s="5">
        <f ca="1">IF(AND('Budgeting Model'!J54&lt;&gt;"",ABS('Budgeting Model'!J54-'Scratch Sheet'!J54)&lt;0.01),$CG$72,0)</f>
        <v>0.02</v>
      </c>
      <c r="CJ128" s="5" t="s">
        <v>550</v>
      </c>
      <c r="CK128" s="5">
        <f ca="1">IF(AND('Budgeting Model'!L54&lt;&gt;"",ABS('Budgeting Model'!L54-'Scratch Sheet'!L54)&lt;0.01),$CG$72,0)</f>
        <v>0.02</v>
      </c>
      <c r="CL128" s="5" t="s">
        <v>550</v>
      </c>
      <c r="CM128" s="5">
        <f ca="1">IF(AND('Budgeting Model'!N54="",'Budgeting Model'!N54&lt;&gt;'Scratch Sheet'!N54),0,$CG$72)</f>
        <v>0.02</v>
      </c>
      <c r="CN128" s="5" t="s">
        <v>550</v>
      </c>
      <c r="CO128" s="5">
        <f>IF(AND('Budgeting Model'!P54&lt;&gt;"",ABS('Budgeting Model'!P54-'Scratch Sheet'!P54)&lt;0.01),$CG$72,0)</f>
        <v>0.02</v>
      </c>
      <c r="CP128" s="5">
        <f ca="1">IF(AND('Budgeting Model'!Q54&lt;&gt;"",ABS('Budgeting Model'!Q54-'Scratch Sheet'!Q54)&lt;0.01),$CG$72,0)</f>
        <v>0.02</v>
      </c>
      <c r="CQ128" s="5">
        <f ca="1">IF(AND('Budgeting Model'!R54&lt;&gt;"",ABS('Budgeting Model'!R54-'Scratch Sheet'!R54)&lt;0.01),$CG$72,0)</f>
        <v>0.02</v>
      </c>
      <c r="CR128" s="5">
        <f ca="1">IF(AND('Budgeting Model'!S54&lt;&gt;"",ABS('Budgeting Model'!S54-'Scratch Sheet'!S54)&lt;0.01),$CG$72,0)</f>
        <v>0.02</v>
      </c>
      <c r="CS128" s="5">
        <f ca="1">IF(AND('Budgeting Model'!T54&lt;&gt;"",ABS('Budgeting Model'!T54-'Scratch Sheet'!T54)&lt;0.01),$CG$72,0)</f>
        <v>0.02</v>
      </c>
      <c r="CT128" s="5">
        <f ca="1">IF(AND('Budgeting Model'!U54&lt;&gt;"",ABS('Budgeting Model'!U54-'Scratch Sheet'!U54)&lt;0.01),$CG$72,0)</f>
        <v>0.02</v>
      </c>
      <c r="CU128" s="5">
        <f ca="1">IF(AND('Budgeting Model'!V54&lt;&gt;"",ABS('Budgeting Model'!V54-'Scratch Sheet'!V54)&lt;0.01),$CG$72,0)</f>
        <v>0.02</v>
      </c>
      <c r="CV128" s="5" t="s">
        <v>550</v>
      </c>
      <c r="CW128" s="5" t="s">
        <v>550</v>
      </c>
      <c r="CX128" s="5">
        <f ca="1">IF(AND('Budgeting Model'!Y54&lt;&gt;"",ABS('Budgeting Model'!Y54-'Scratch Sheet'!Y54)&lt;0.01),$CG$72,0)</f>
        <v>0.02</v>
      </c>
      <c r="CY128" s="5" t="s">
        <v>550</v>
      </c>
      <c r="CZ128" s="5">
        <f ca="1">IF(AND('Budgeting Model'!AA54&lt;&gt;"",ABS('Budgeting Model'!AA54-'Scratch Sheet'!AA54)&lt;0.01),$CG$72,0)</f>
        <v>0.02</v>
      </c>
      <c r="DA128" s="5" t="s">
        <v>550</v>
      </c>
      <c r="DB128" s="5">
        <f ca="1">IF(AND('Budgeting Model'!AC54="",'Budgeting Model'!AC54&lt;&gt;'Scratch Sheet'!AC54),0,$CG$72)</f>
        <v>0.02</v>
      </c>
      <c r="DC128" s="5" t="s">
        <v>550</v>
      </c>
      <c r="DD128" s="5">
        <f ca="1">IF(AND('Budgeting Model'!AE54&lt;&gt;"",ABS('Budgeting Model'!AE54-'Scratch Sheet'!AE54)&lt;0.01),$CG$72,0)</f>
        <v>0.02</v>
      </c>
      <c r="DE128" s="5">
        <f ca="1">IF(AND('Budgeting Model'!AF54&lt;&gt;"",ABS('Budgeting Model'!AF54-'Scratch Sheet'!AF54)&lt;0.01),$CG$72,0)</f>
        <v>0.02</v>
      </c>
      <c r="DF128" s="5">
        <f ca="1">IF(AND('Budgeting Model'!AG54&lt;&gt;"",ABS('Budgeting Model'!AG54-'Scratch Sheet'!AG54)&lt;0.01),$CG$72,0)</f>
        <v>0.02</v>
      </c>
      <c r="DG128" s="5">
        <f ca="1">IF(AND('Budgeting Model'!AH54&lt;&gt;"",ABS('Budgeting Model'!AH54-'Scratch Sheet'!AH54)&lt;0.01),$CG$72,0)</f>
        <v>0.02</v>
      </c>
      <c r="DH128" s="5">
        <f ca="1">IF(AND('Budgeting Model'!AI54&lt;&gt;"",ABS('Budgeting Model'!AI54-'Scratch Sheet'!AI54)&lt;0.01),$CG$72,0)</f>
        <v>0.02</v>
      </c>
      <c r="DI128" s="5">
        <f ca="1">IF(AND('Budgeting Model'!AJ54&lt;&gt;"",ABS('Budgeting Model'!AJ54-'Scratch Sheet'!AJ54)&lt;0.01),$CG$72,0)</f>
        <v>0.02</v>
      </c>
      <c r="DJ128" s="5">
        <f ca="1">IF(AND('Budgeting Model'!AK54&lt;&gt;"",ABS('Budgeting Model'!AK54-'Scratch Sheet'!AK54)&lt;0.01),$CG$72,0)</f>
        <v>0.02</v>
      </c>
      <c r="DK128" s="5" t="s">
        <v>550</v>
      </c>
      <c r="DL128" s="5">
        <f ca="1">IF(AND('Budgeting Model'!AM54&lt;&gt;"",ABS('Budgeting Model'!AM54-'Scratch Sheet'!AM54)&lt;0.01),$CG$72,0)</f>
        <v>0.02</v>
      </c>
      <c r="DM128" s="5">
        <f ca="1">IF(AND('Budgeting Model'!AN54&lt;&gt;"",ABS('Budgeting Model'!AN54-'Scratch Sheet'!AN54)&lt;0.01),$CG$72,0)</f>
        <v>0.02</v>
      </c>
      <c r="DN128" s="5">
        <f ca="1">IF(AND('Budgeting Model'!AO54&lt;&gt;"",ABS('Budgeting Model'!AO54-'Scratch Sheet'!AO54)&lt;0.01),$CG$72,0)</f>
        <v>0.02</v>
      </c>
      <c r="DO128" s="5">
        <f ca="1">IF(AND('Budgeting Model'!AP54&lt;&gt;"",ABS('Budgeting Model'!AP54-'Scratch Sheet'!AP54)&lt;0.01),$CG$72,0)</f>
        <v>0.02</v>
      </c>
    </row>
    <row r="129" spans="2:119">
      <c r="B129" s="5"/>
      <c r="C129" s="17"/>
      <c r="D129" s="16"/>
      <c r="E129" s="21"/>
      <c r="F129" s="21"/>
      <c r="CA129" s="5">
        <f>IF(AND('Budgeting Model'!B55&lt;&gt;"",'Budgeting Model'!B55='Scratch Sheet'!B55),$CG$72,0)</f>
        <v>0.02</v>
      </c>
      <c r="CB129" s="5">
        <f ca="1">IF(AND('Budgeting Model'!C55&lt;&gt;"",'Budgeting Model'!C55='Scratch Sheet'!C55),$CG$72,0)</f>
        <v>0.02</v>
      </c>
      <c r="CC129" s="5">
        <f>IF(AND('Budgeting Model'!D55&lt;&gt;"",'Budgeting Model'!D55='Scratch Sheet'!D55),$CG$72,0)</f>
        <v>0.02</v>
      </c>
      <c r="CD129" s="5">
        <f ca="1">IF(OR(AND('Budgeting Model'!E55="",'Budgeting Model'!D55&lt;&gt;"Vacant"),'Budgeting Model'!E55&lt;&gt;'Scratch Sheet'!E55),0,$CG$72)</f>
        <v>0.02</v>
      </c>
      <c r="CE129" s="5">
        <f ca="1">IF(AND('Budgeting Model'!F55&lt;&gt;"",'Budgeting Model'!F55='Scratch Sheet'!F55),$CG$72,0)</f>
        <v>0.02</v>
      </c>
      <c r="CF129" s="5">
        <f ca="1">IF(AND('Budgeting Model'!G55&lt;&gt;"",ABS('Budgeting Model'!G55-'Scratch Sheet'!G55)&lt;0.01),$CG$72,0)</f>
        <v>0.02</v>
      </c>
      <c r="CG129" s="5" t="s">
        <v>550</v>
      </c>
      <c r="CH129" s="5" t="s">
        <v>550</v>
      </c>
      <c r="CI129" s="5">
        <f ca="1">IF(AND('Budgeting Model'!J55&lt;&gt;"",ABS('Budgeting Model'!J55-'Scratch Sheet'!J55)&lt;0.01),$CG$72,0)</f>
        <v>0.02</v>
      </c>
      <c r="CJ129" s="5" t="s">
        <v>550</v>
      </c>
      <c r="CK129" s="5">
        <f ca="1">IF(AND('Budgeting Model'!L55&lt;&gt;"",ABS('Budgeting Model'!L55-'Scratch Sheet'!L55)&lt;0.01),$CG$72,0)</f>
        <v>0.02</v>
      </c>
      <c r="CL129" s="5" t="s">
        <v>550</v>
      </c>
      <c r="CM129" s="5">
        <f ca="1">IF(AND('Budgeting Model'!N55="",'Budgeting Model'!N55&lt;&gt;'Scratch Sheet'!N55),0,$CG$72)</f>
        <v>0.02</v>
      </c>
      <c r="CN129" s="5" t="s">
        <v>550</v>
      </c>
      <c r="CO129" s="5">
        <f ca="1">IF(AND('Budgeting Model'!P55&lt;&gt;"",ABS('Budgeting Model'!P55-'Scratch Sheet'!P55)&lt;0.01),$CG$72,0)</f>
        <v>0.02</v>
      </c>
      <c r="CP129" s="5">
        <f ca="1">IF(AND('Budgeting Model'!Q55&lt;&gt;"",ABS('Budgeting Model'!Q55-'Scratch Sheet'!Q55)&lt;0.01),$CG$72,0)</f>
        <v>0.02</v>
      </c>
      <c r="CQ129" s="5">
        <f ca="1">IF(AND('Budgeting Model'!R55&lt;&gt;"",ABS('Budgeting Model'!R55-'Scratch Sheet'!R55)&lt;0.01),$CG$72,0)</f>
        <v>0.02</v>
      </c>
      <c r="CR129" s="5">
        <f ca="1">IF(AND('Budgeting Model'!S55&lt;&gt;"",ABS('Budgeting Model'!S55-'Scratch Sheet'!S55)&lt;0.01),$CG$72,0)</f>
        <v>0.02</v>
      </c>
      <c r="CS129" s="5">
        <f ca="1">IF(AND('Budgeting Model'!T55&lt;&gt;"",ABS('Budgeting Model'!T55-'Scratch Sheet'!T55)&lt;0.01),$CG$72,0)</f>
        <v>0.02</v>
      </c>
      <c r="CT129" s="5">
        <f ca="1">IF(AND('Budgeting Model'!U55&lt;&gt;"",ABS('Budgeting Model'!U55-'Scratch Sheet'!U55)&lt;0.01),$CG$72,0)</f>
        <v>0.02</v>
      </c>
      <c r="CU129" s="5">
        <f ca="1">IF(AND('Budgeting Model'!V55&lt;&gt;"",ABS('Budgeting Model'!V55-'Scratch Sheet'!V55)&lt;0.01),$CG$72,0)</f>
        <v>0.02</v>
      </c>
      <c r="CV129" s="5" t="s">
        <v>550</v>
      </c>
      <c r="CW129" s="5" t="s">
        <v>550</v>
      </c>
      <c r="CX129" s="5">
        <f ca="1">IF(AND('Budgeting Model'!Y55&lt;&gt;"",ABS('Budgeting Model'!Y55-'Scratch Sheet'!Y55)&lt;0.01),$CG$72,0)</f>
        <v>0.02</v>
      </c>
      <c r="CY129" s="5" t="s">
        <v>550</v>
      </c>
      <c r="CZ129" s="5">
        <f ca="1">IF(AND('Budgeting Model'!AA55&lt;&gt;"",ABS('Budgeting Model'!AA55-'Scratch Sheet'!AA55)&lt;0.01),$CG$72,0)</f>
        <v>0.02</v>
      </c>
      <c r="DA129" s="5" t="s">
        <v>550</v>
      </c>
      <c r="DB129" s="5">
        <f ca="1">IF(AND('Budgeting Model'!AC55="",'Budgeting Model'!AC55&lt;&gt;'Scratch Sheet'!AC55),0,$CG$72)</f>
        <v>0.02</v>
      </c>
      <c r="DC129" s="5" t="s">
        <v>550</v>
      </c>
      <c r="DD129" s="5">
        <f ca="1">IF(AND('Budgeting Model'!AE55&lt;&gt;"",ABS('Budgeting Model'!AE55-'Scratch Sheet'!AE55)&lt;0.01),$CG$72,0)</f>
        <v>0.02</v>
      </c>
      <c r="DE129" s="5">
        <f ca="1">IF(AND('Budgeting Model'!AF55&lt;&gt;"",ABS('Budgeting Model'!AF55-'Scratch Sheet'!AF55)&lt;0.01),$CG$72,0)</f>
        <v>0.02</v>
      </c>
      <c r="DF129" s="5">
        <f ca="1">IF(AND('Budgeting Model'!AG55&lt;&gt;"",ABS('Budgeting Model'!AG55-'Scratch Sheet'!AG55)&lt;0.01),$CG$72,0)</f>
        <v>0.02</v>
      </c>
      <c r="DG129" s="5">
        <f ca="1">IF(AND('Budgeting Model'!AH55&lt;&gt;"",ABS('Budgeting Model'!AH55-'Scratch Sheet'!AH55)&lt;0.01),$CG$72,0)</f>
        <v>0.02</v>
      </c>
      <c r="DH129" s="5">
        <f ca="1">IF(AND('Budgeting Model'!AI55&lt;&gt;"",ABS('Budgeting Model'!AI55-'Scratch Sheet'!AI55)&lt;0.01),$CG$72,0)</f>
        <v>0.02</v>
      </c>
      <c r="DI129" s="5">
        <f ca="1">IF(AND('Budgeting Model'!AJ55&lt;&gt;"",ABS('Budgeting Model'!AJ55-'Scratch Sheet'!AJ55)&lt;0.01),$CG$72,0)</f>
        <v>0.02</v>
      </c>
      <c r="DJ129" s="5">
        <f ca="1">IF(AND('Budgeting Model'!AK55&lt;&gt;"",ABS('Budgeting Model'!AK55-'Scratch Sheet'!AK55)&lt;0.01),$CG$72,0)</f>
        <v>0.02</v>
      </c>
      <c r="DK129" s="5" t="s">
        <v>550</v>
      </c>
      <c r="DL129" s="5">
        <f ca="1">IF(AND('Budgeting Model'!AM55&lt;&gt;"",ABS('Budgeting Model'!AM55-'Scratch Sheet'!AM55)&lt;0.01),$CG$72,0)</f>
        <v>0.02</v>
      </c>
      <c r="DM129" s="5">
        <f ca="1">IF(AND('Budgeting Model'!AN55&lt;&gt;"",ABS('Budgeting Model'!AN55-'Scratch Sheet'!AN55)&lt;0.01),$CG$72,0)</f>
        <v>0.02</v>
      </c>
      <c r="DN129" s="5">
        <f ca="1">IF(AND('Budgeting Model'!AO55&lt;&gt;"",ABS('Budgeting Model'!AO55-'Scratch Sheet'!AO55)&lt;0.01),$CG$72,0)</f>
        <v>0.02</v>
      </c>
      <c r="DO129" s="5">
        <f ca="1">IF(AND('Budgeting Model'!AP55&lt;&gt;"",ABS('Budgeting Model'!AP55-'Scratch Sheet'!AP55)&lt;0.01),$CG$72,0)</f>
        <v>0.02</v>
      </c>
    </row>
    <row r="130" spans="2:119">
      <c r="B130" s="5"/>
      <c r="C130" s="17"/>
      <c r="D130" s="16"/>
      <c r="E130" s="21"/>
      <c r="F130" s="21"/>
      <c r="L130" s="108"/>
      <c r="CA130" s="5">
        <f>IF(AND('Budgeting Model'!B56&lt;&gt;"",'Budgeting Model'!B56='Scratch Sheet'!B56),$CG$72,0)</f>
        <v>0.02</v>
      </c>
      <c r="CB130" s="5">
        <f ca="1">IF(AND('Budgeting Model'!C56&lt;&gt;"",'Budgeting Model'!C56='Scratch Sheet'!C56),$CG$72,0)</f>
        <v>0.02</v>
      </c>
      <c r="CC130" s="5">
        <f>IF(AND('Budgeting Model'!D56&lt;&gt;"",'Budgeting Model'!D56='Scratch Sheet'!D56),$CG$72,0)</f>
        <v>0.02</v>
      </c>
      <c r="CD130" s="5">
        <f ca="1">IF(OR(AND('Budgeting Model'!E56="",'Budgeting Model'!D56&lt;&gt;"Vacant"),'Budgeting Model'!E56&lt;&gt;'Scratch Sheet'!E56),0,$CG$72)</f>
        <v>0.02</v>
      </c>
      <c r="CE130" s="5">
        <f ca="1">IF(AND('Budgeting Model'!F56&lt;&gt;"",'Budgeting Model'!F56='Scratch Sheet'!F56),$CG$72,0)</f>
        <v>0.02</v>
      </c>
      <c r="CF130" s="5">
        <f ca="1">IF(AND('Budgeting Model'!G56&lt;&gt;"",ABS('Budgeting Model'!G56-'Scratch Sheet'!G56)&lt;0.01),$CG$72,0)</f>
        <v>0.02</v>
      </c>
      <c r="CG130" s="5" t="s">
        <v>550</v>
      </c>
      <c r="CH130" s="5" t="s">
        <v>550</v>
      </c>
      <c r="CI130" s="5">
        <f ca="1">IF(AND('Budgeting Model'!J56&lt;&gt;"",ABS('Budgeting Model'!J56-'Scratch Sheet'!J56)&lt;0.01),$CG$72,0)</f>
        <v>0.02</v>
      </c>
      <c r="CJ130" s="5" t="s">
        <v>550</v>
      </c>
      <c r="CK130" s="5">
        <f ca="1">IF(AND('Budgeting Model'!L56&lt;&gt;"",ABS('Budgeting Model'!L56-'Scratch Sheet'!L56)&lt;0.01),$CG$72,0)</f>
        <v>0.02</v>
      </c>
      <c r="CL130" s="5" t="s">
        <v>550</v>
      </c>
      <c r="CM130" s="5">
        <f ca="1">IF(AND('Budgeting Model'!N56="",'Budgeting Model'!N56&lt;&gt;'Scratch Sheet'!N56),0,$CG$72)</f>
        <v>0.02</v>
      </c>
      <c r="CN130" s="5" t="s">
        <v>550</v>
      </c>
      <c r="CO130" s="5">
        <f ca="1">IF(AND('Budgeting Model'!P56&lt;&gt;"",ABS('Budgeting Model'!P56-'Scratch Sheet'!P56)&lt;0.01),$CG$72,0)</f>
        <v>0.02</v>
      </c>
      <c r="CP130" s="5">
        <f ca="1">IF(AND('Budgeting Model'!Q56&lt;&gt;"",ABS('Budgeting Model'!Q56-'Scratch Sheet'!Q56)&lt;0.01),$CG$72,0)</f>
        <v>0.02</v>
      </c>
      <c r="CQ130" s="5">
        <f ca="1">IF(AND('Budgeting Model'!R56&lt;&gt;"",ABS('Budgeting Model'!R56-'Scratch Sheet'!R56)&lt;0.01),$CG$72,0)</f>
        <v>0.02</v>
      </c>
      <c r="CR130" s="5">
        <f ca="1">IF(AND('Budgeting Model'!S56&lt;&gt;"",ABS('Budgeting Model'!S56-'Scratch Sheet'!S56)&lt;0.01),$CG$72,0)</f>
        <v>0.02</v>
      </c>
      <c r="CS130" s="5">
        <f ca="1">IF(AND('Budgeting Model'!T56&lt;&gt;"",ABS('Budgeting Model'!T56-'Scratch Sheet'!T56)&lt;0.01),$CG$72,0)</f>
        <v>0.02</v>
      </c>
      <c r="CT130" s="5">
        <f ca="1">IF(AND('Budgeting Model'!U56&lt;&gt;"",ABS('Budgeting Model'!U56-'Scratch Sheet'!U56)&lt;0.01),$CG$72,0)</f>
        <v>0.02</v>
      </c>
      <c r="CU130" s="5">
        <f ca="1">IF(AND('Budgeting Model'!V56&lt;&gt;"",ABS('Budgeting Model'!V56-'Scratch Sheet'!V56)&lt;0.01),$CG$72,0)</f>
        <v>0.02</v>
      </c>
      <c r="CV130" s="5" t="s">
        <v>550</v>
      </c>
      <c r="CW130" s="5" t="s">
        <v>550</v>
      </c>
      <c r="CX130" s="5">
        <f ca="1">IF(AND('Budgeting Model'!Y56&lt;&gt;"",ABS('Budgeting Model'!Y56-'Scratch Sheet'!Y56)&lt;0.01),$CG$72,0)</f>
        <v>0.02</v>
      </c>
      <c r="CY130" s="5" t="s">
        <v>550</v>
      </c>
      <c r="CZ130" s="5">
        <f ca="1">IF(AND('Budgeting Model'!AA56&lt;&gt;"",ABS('Budgeting Model'!AA56-'Scratch Sheet'!AA56)&lt;0.01),$CG$72,0)</f>
        <v>0.02</v>
      </c>
      <c r="DA130" s="5" t="s">
        <v>550</v>
      </c>
      <c r="DB130" s="5">
        <f ca="1">IF(AND('Budgeting Model'!AC56="",'Budgeting Model'!AC56&lt;&gt;'Scratch Sheet'!AC56),0,$CG$72)</f>
        <v>0.02</v>
      </c>
      <c r="DC130" s="5" t="s">
        <v>550</v>
      </c>
      <c r="DD130" s="5">
        <f ca="1">IF(AND('Budgeting Model'!AE56&lt;&gt;"",ABS('Budgeting Model'!AE56-'Scratch Sheet'!AE56)&lt;0.01),$CG$72,0)</f>
        <v>0.02</v>
      </c>
      <c r="DE130" s="5">
        <f ca="1">IF(AND('Budgeting Model'!AF56&lt;&gt;"",ABS('Budgeting Model'!AF56-'Scratch Sheet'!AF56)&lt;0.01),$CG$72,0)</f>
        <v>0.02</v>
      </c>
      <c r="DF130" s="5">
        <f ca="1">IF(AND('Budgeting Model'!AG56&lt;&gt;"",ABS('Budgeting Model'!AG56-'Scratch Sheet'!AG56)&lt;0.01),$CG$72,0)</f>
        <v>0.02</v>
      </c>
      <c r="DG130" s="5">
        <f ca="1">IF(AND('Budgeting Model'!AH56&lt;&gt;"",ABS('Budgeting Model'!AH56-'Scratch Sheet'!AH56)&lt;0.01),$CG$72,0)</f>
        <v>0.02</v>
      </c>
      <c r="DH130" s="5">
        <f ca="1">IF(AND('Budgeting Model'!AI56&lt;&gt;"",ABS('Budgeting Model'!AI56-'Scratch Sheet'!AI56)&lt;0.01),$CG$72,0)</f>
        <v>0.02</v>
      </c>
      <c r="DI130" s="5">
        <f ca="1">IF(AND('Budgeting Model'!AJ56&lt;&gt;"",ABS('Budgeting Model'!AJ56-'Scratch Sheet'!AJ56)&lt;0.01),$CG$72,0)</f>
        <v>0.02</v>
      </c>
      <c r="DJ130" s="5">
        <f ca="1">IF(AND('Budgeting Model'!AK56&lt;&gt;"",ABS('Budgeting Model'!AK56-'Scratch Sheet'!AK56)&lt;0.01),$CG$72,0)</f>
        <v>0.02</v>
      </c>
      <c r="DK130" s="5" t="s">
        <v>550</v>
      </c>
      <c r="DL130" s="5">
        <f ca="1">IF(AND('Budgeting Model'!AM56&lt;&gt;"",ABS('Budgeting Model'!AM56-'Scratch Sheet'!AM56)&lt;0.01),$CG$72,0)</f>
        <v>0.02</v>
      </c>
      <c r="DM130" s="5">
        <f ca="1">IF(AND('Budgeting Model'!AN56&lt;&gt;"",ABS('Budgeting Model'!AN56-'Scratch Sheet'!AN56)&lt;0.01),$CG$72,0)</f>
        <v>0.02</v>
      </c>
      <c r="DN130" s="5">
        <f ca="1">IF(AND('Budgeting Model'!AO56&lt;&gt;"",ABS('Budgeting Model'!AO56-'Scratch Sheet'!AO56)&lt;0.01),$CG$72,0)</f>
        <v>0.02</v>
      </c>
      <c r="DO130" s="5">
        <f ca="1">IF(AND('Budgeting Model'!AP56&lt;&gt;"",ABS('Budgeting Model'!AP56-'Scratch Sheet'!AP56)&lt;0.01),$CG$72,0)</f>
        <v>0.02</v>
      </c>
    </row>
    <row r="131" spans="2:119">
      <c r="B131" s="5"/>
      <c r="C131" s="17"/>
      <c r="D131" s="16"/>
      <c r="E131" s="21"/>
      <c r="F131" s="21"/>
      <c r="L131" s="108"/>
      <c r="CA131" s="5">
        <f>IF(AND('Budgeting Model'!B57&lt;&gt;"",'Budgeting Model'!B57='Scratch Sheet'!B57),$CG$72,0)</f>
        <v>0.02</v>
      </c>
      <c r="CB131" s="5">
        <f ca="1">IF(AND('Budgeting Model'!C57&lt;&gt;"",'Budgeting Model'!C57='Scratch Sheet'!C57),$CG$72,0)</f>
        <v>0.02</v>
      </c>
      <c r="CC131" s="5">
        <f>IF(AND('Budgeting Model'!D57&lt;&gt;"",'Budgeting Model'!D57='Scratch Sheet'!D57),$CG$72,0)</f>
        <v>0.02</v>
      </c>
      <c r="CD131" s="5">
        <f ca="1">IF(OR(AND('Budgeting Model'!E57="",'Budgeting Model'!D57&lt;&gt;"Vacant"),'Budgeting Model'!E57&lt;&gt;'Scratch Sheet'!E57),0,$CG$72)</f>
        <v>0.02</v>
      </c>
      <c r="CE131" s="5">
        <f ca="1">IF(AND('Budgeting Model'!F57&lt;&gt;"",'Budgeting Model'!F57='Scratch Sheet'!F57),$CG$72,0)</f>
        <v>0.02</v>
      </c>
      <c r="CF131" s="5">
        <f ca="1">IF(AND('Budgeting Model'!G57&lt;&gt;"",ABS('Budgeting Model'!G57-'Scratch Sheet'!G57)&lt;0.01),$CG$72,0)</f>
        <v>0.02</v>
      </c>
      <c r="CG131" s="5" t="s">
        <v>550</v>
      </c>
      <c r="CH131" s="5" t="s">
        <v>550</v>
      </c>
      <c r="CI131" s="5">
        <f ca="1">IF(AND('Budgeting Model'!J57&lt;&gt;"",ABS('Budgeting Model'!J57-'Scratch Sheet'!J57)&lt;0.01),$CG$72,0)</f>
        <v>0.02</v>
      </c>
      <c r="CJ131" s="5" t="s">
        <v>550</v>
      </c>
      <c r="CK131" s="5">
        <f ca="1">IF(AND('Budgeting Model'!L57&lt;&gt;"",ABS('Budgeting Model'!L57-'Scratch Sheet'!L57)&lt;0.01),$CG$72,0)</f>
        <v>0.02</v>
      </c>
      <c r="CL131" s="5" t="s">
        <v>550</v>
      </c>
      <c r="CM131" s="5">
        <f ca="1">IF(AND('Budgeting Model'!N57="",'Budgeting Model'!N57&lt;&gt;'Scratch Sheet'!N57),0,$CG$72)</f>
        <v>0.02</v>
      </c>
      <c r="CN131" s="5" t="s">
        <v>550</v>
      </c>
      <c r="CO131" s="5">
        <f ca="1">IF(AND('Budgeting Model'!P57&lt;&gt;"",ABS('Budgeting Model'!P57-'Scratch Sheet'!P57)&lt;0.01),$CG$72,0)</f>
        <v>0.02</v>
      </c>
      <c r="CP131" s="5">
        <f ca="1">IF(AND('Budgeting Model'!Q57&lt;&gt;"",ABS('Budgeting Model'!Q57-'Scratch Sheet'!Q57)&lt;0.01),$CG$72,0)</f>
        <v>0.02</v>
      </c>
      <c r="CQ131" s="5">
        <f ca="1">IF(AND('Budgeting Model'!R57&lt;&gt;"",ABS('Budgeting Model'!R57-'Scratch Sheet'!R57)&lt;0.01),$CG$72,0)</f>
        <v>0.02</v>
      </c>
      <c r="CR131" s="5">
        <f ca="1">IF(AND('Budgeting Model'!S57&lt;&gt;"",ABS('Budgeting Model'!S57-'Scratch Sheet'!S57)&lt;0.01),$CG$72,0)</f>
        <v>0.02</v>
      </c>
      <c r="CS131" s="5">
        <f ca="1">IF(AND('Budgeting Model'!T57&lt;&gt;"",ABS('Budgeting Model'!T57-'Scratch Sheet'!T57)&lt;0.01),$CG$72,0)</f>
        <v>0.02</v>
      </c>
      <c r="CT131" s="5">
        <f ca="1">IF(AND('Budgeting Model'!U57&lt;&gt;"",ABS('Budgeting Model'!U57-'Scratch Sheet'!U57)&lt;0.01),$CG$72,0)</f>
        <v>0.02</v>
      </c>
      <c r="CU131" s="5">
        <f ca="1">IF(AND('Budgeting Model'!V57&lt;&gt;"",ABS('Budgeting Model'!V57-'Scratch Sheet'!V57)&lt;0.01),$CG$72,0)</f>
        <v>0.02</v>
      </c>
      <c r="CV131" s="5" t="s">
        <v>550</v>
      </c>
      <c r="CW131" s="5" t="s">
        <v>550</v>
      </c>
      <c r="CX131" s="5">
        <f ca="1">IF(AND('Budgeting Model'!Y57&lt;&gt;"",ABS('Budgeting Model'!Y57-'Scratch Sheet'!Y57)&lt;0.01),$CG$72,0)</f>
        <v>0.02</v>
      </c>
      <c r="CY131" s="5" t="s">
        <v>550</v>
      </c>
      <c r="CZ131" s="5">
        <f ca="1">IF(AND('Budgeting Model'!AA57&lt;&gt;"",ABS('Budgeting Model'!AA57-'Scratch Sheet'!AA57)&lt;0.01),$CG$72,0)</f>
        <v>0.02</v>
      </c>
      <c r="DA131" s="5" t="s">
        <v>550</v>
      </c>
      <c r="DB131" s="5">
        <f ca="1">IF(AND('Budgeting Model'!AC57="",'Budgeting Model'!AC57&lt;&gt;'Scratch Sheet'!AC57),0,$CG$72)</f>
        <v>0.02</v>
      </c>
      <c r="DC131" s="5" t="s">
        <v>550</v>
      </c>
      <c r="DD131" s="5">
        <f ca="1">IF(AND('Budgeting Model'!AE57&lt;&gt;"",ABS('Budgeting Model'!AE57-'Scratch Sheet'!AE57)&lt;0.01),$CG$72,0)</f>
        <v>0.02</v>
      </c>
      <c r="DE131" s="5">
        <f ca="1">IF(AND('Budgeting Model'!AF57&lt;&gt;"",ABS('Budgeting Model'!AF57-'Scratch Sheet'!AF57)&lt;0.01),$CG$72,0)</f>
        <v>0.02</v>
      </c>
      <c r="DF131" s="5">
        <f ca="1">IF(AND('Budgeting Model'!AG57&lt;&gt;"",ABS('Budgeting Model'!AG57-'Scratch Sheet'!AG57)&lt;0.01),$CG$72,0)</f>
        <v>0.02</v>
      </c>
      <c r="DG131" s="5">
        <f ca="1">IF(AND('Budgeting Model'!AH57&lt;&gt;"",ABS('Budgeting Model'!AH57-'Scratch Sheet'!AH57)&lt;0.01),$CG$72,0)</f>
        <v>0.02</v>
      </c>
      <c r="DH131" s="5">
        <f ca="1">IF(AND('Budgeting Model'!AI57&lt;&gt;"",ABS('Budgeting Model'!AI57-'Scratch Sheet'!AI57)&lt;0.01),$CG$72,0)</f>
        <v>0.02</v>
      </c>
      <c r="DI131" s="5">
        <f ca="1">IF(AND('Budgeting Model'!AJ57&lt;&gt;"",ABS('Budgeting Model'!AJ57-'Scratch Sheet'!AJ57)&lt;0.01),$CG$72,0)</f>
        <v>0.02</v>
      </c>
      <c r="DJ131" s="5">
        <f ca="1">IF(AND('Budgeting Model'!AK57&lt;&gt;"",ABS('Budgeting Model'!AK57-'Scratch Sheet'!AK57)&lt;0.01),$CG$72,0)</f>
        <v>0.02</v>
      </c>
      <c r="DK131" s="5" t="s">
        <v>550</v>
      </c>
      <c r="DL131" s="5">
        <f ca="1">IF(AND('Budgeting Model'!AM57&lt;&gt;"",ABS('Budgeting Model'!AM57-'Scratch Sheet'!AM57)&lt;0.01),$CG$72,0)</f>
        <v>0.02</v>
      </c>
      <c r="DM131" s="5">
        <f ca="1">IF(AND('Budgeting Model'!AN57&lt;&gt;"",ABS('Budgeting Model'!AN57-'Scratch Sheet'!AN57)&lt;0.01),$CG$72,0)</f>
        <v>0.02</v>
      </c>
      <c r="DN131" s="5">
        <f ca="1">IF(AND('Budgeting Model'!AO57&lt;&gt;"",ABS('Budgeting Model'!AO57-'Scratch Sheet'!AO57)&lt;0.01),$CG$72,0)</f>
        <v>0.02</v>
      </c>
      <c r="DO131" s="5">
        <f ca="1">IF(AND('Budgeting Model'!AP57&lt;&gt;"",ABS('Budgeting Model'!AP57-'Scratch Sheet'!AP57)&lt;0.01),$CG$72,0)</f>
        <v>0.02</v>
      </c>
    </row>
    <row r="132" spans="2:119">
      <c r="B132" s="5"/>
      <c r="C132" s="17"/>
      <c r="D132" s="16"/>
      <c r="E132" s="21"/>
      <c r="F132" s="21"/>
      <c r="L132" s="21"/>
      <c r="CA132" s="5">
        <f>IF(AND('Budgeting Model'!B58&lt;&gt;"",'Budgeting Model'!B58='Scratch Sheet'!B58),$CG$72,0)</f>
        <v>0.02</v>
      </c>
      <c r="CB132" s="5">
        <f ca="1">IF(AND('Budgeting Model'!C58&lt;&gt;"",'Budgeting Model'!C58='Scratch Sheet'!C58),$CG$72,0)</f>
        <v>0.02</v>
      </c>
      <c r="CC132" s="5">
        <f>IF(AND('Budgeting Model'!D58&lt;&gt;"",'Budgeting Model'!D58='Scratch Sheet'!D58),$CG$72,0)</f>
        <v>0.02</v>
      </c>
      <c r="CD132" s="5">
        <f ca="1">IF(OR(AND('Budgeting Model'!E58="",'Budgeting Model'!D58&lt;&gt;"Vacant"),'Budgeting Model'!E58&lt;&gt;'Scratch Sheet'!E58),0,$CG$72)</f>
        <v>0.02</v>
      </c>
      <c r="CE132" s="5">
        <f ca="1">IF(AND('Budgeting Model'!F58&lt;&gt;"",'Budgeting Model'!F58='Scratch Sheet'!F58),$CG$72,0)</f>
        <v>0.02</v>
      </c>
      <c r="CF132" s="5">
        <f ca="1">IF(AND('Budgeting Model'!G58&lt;&gt;"",ABS('Budgeting Model'!G58-'Scratch Sheet'!G58)&lt;0.01),$CG$72,0)</f>
        <v>0.02</v>
      </c>
      <c r="CG132" s="5" t="s">
        <v>550</v>
      </c>
      <c r="CH132" s="5" t="s">
        <v>550</v>
      </c>
      <c r="CI132" s="5">
        <f ca="1">IF(AND('Budgeting Model'!J58&lt;&gt;"",ABS('Budgeting Model'!J58-'Scratch Sheet'!J58)&lt;0.01),$CG$72,0)</f>
        <v>0.02</v>
      </c>
      <c r="CJ132" s="5" t="s">
        <v>550</v>
      </c>
      <c r="CK132" s="5">
        <f ca="1">IF(AND('Budgeting Model'!L58&lt;&gt;"",ABS('Budgeting Model'!L58-'Scratch Sheet'!L58)&lt;0.01),$CG$72,0)</f>
        <v>0.02</v>
      </c>
      <c r="CL132" s="5" t="s">
        <v>550</v>
      </c>
      <c r="CM132" s="5">
        <f ca="1">IF(AND('Budgeting Model'!N58="",'Budgeting Model'!N58&lt;&gt;'Scratch Sheet'!N58),0,$CG$72)</f>
        <v>0.02</v>
      </c>
      <c r="CN132" s="5" t="s">
        <v>550</v>
      </c>
      <c r="CO132" s="5">
        <f>IF(AND('Budgeting Model'!P58&lt;&gt;"",ABS('Budgeting Model'!P58-'Scratch Sheet'!P58)&lt;0.01),$CG$72,0)</f>
        <v>0.02</v>
      </c>
      <c r="CP132" s="5">
        <f ca="1">IF(AND('Budgeting Model'!Q58&lt;&gt;"",ABS('Budgeting Model'!Q58-'Scratch Sheet'!Q58)&lt;0.01),$CG$72,0)</f>
        <v>0.02</v>
      </c>
      <c r="CQ132" s="5">
        <f ca="1">IF(AND('Budgeting Model'!R58&lt;&gt;"",ABS('Budgeting Model'!R58-'Scratch Sheet'!R58)&lt;0.01),$CG$72,0)</f>
        <v>0.02</v>
      </c>
      <c r="CR132" s="5">
        <f ca="1">IF(AND('Budgeting Model'!S58&lt;&gt;"",ABS('Budgeting Model'!S58-'Scratch Sheet'!S58)&lt;0.01),$CG$72,0)</f>
        <v>0.02</v>
      </c>
      <c r="CS132" s="5">
        <f ca="1">IF(AND('Budgeting Model'!T58&lt;&gt;"",ABS('Budgeting Model'!T58-'Scratch Sheet'!T58)&lt;0.01),$CG$72,0)</f>
        <v>0.02</v>
      </c>
      <c r="CT132" s="5">
        <f ca="1">IF(AND('Budgeting Model'!U58&lt;&gt;"",ABS('Budgeting Model'!U58-'Scratch Sheet'!U58)&lt;0.01),$CG$72,0)</f>
        <v>0.02</v>
      </c>
      <c r="CU132" s="5">
        <f ca="1">IF(AND('Budgeting Model'!V58&lt;&gt;"",ABS('Budgeting Model'!V58-'Scratch Sheet'!V58)&lt;0.01),$CG$72,0)</f>
        <v>0.02</v>
      </c>
      <c r="CV132" s="5" t="s">
        <v>550</v>
      </c>
      <c r="CW132" s="5" t="s">
        <v>550</v>
      </c>
      <c r="CX132" s="5">
        <f ca="1">IF(AND('Budgeting Model'!Y58&lt;&gt;"",ABS('Budgeting Model'!Y58-'Scratch Sheet'!Y58)&lt;0.01),$CG$72,0)</f>
        <v>0.02</v>
      </c>
      <c r="CY132" s="5" t="s">
        <v>550</v>
      </c>
      <c r="CZ132" s="5">
        <f ca="1">IF(AND('Budgeting Model'!AA58&lt;&gt;"",ABS('Budgeting Model'!AA58-'Scratch Sheet'!AA58)&lt;0.01),$CG$72,0)</f>
        <v>0.02</v>
      </c>
      <c r="DA132" s="5" t="s">
        <v>550</v>
      </c>
      <c r="DB132" s="5">
        <f ca="1">IF(AND('Budgeting Model'!AC58="",'Budgeting Model'!AC58&lt;&gt;'Scratch Sheet'!AC58),0,$CG$72)</f>
        <v>0.02</v>
      </c>
      <c r="DC132" s="5" t="s">
        <v>550</v>
      </c>
      <c r="DD132" s="5">
        <f ca="1">IF(AND('Budgeting Model'!AE58&lt;&gt;"",ABS('Budgeting Model'!AE58-'Scratch Sheet'!AE58)&lt;0.01),$CG$72,0)</f>
        <v>0.02</v>
      </c>
      <c r="DE132" s="5">
        <f ca="1">IF(AND('Budgeting Model'!AF58&lt;&gt;"",ABS('Budgeting Model'!AF58-'Scratch Sheet'!AF58)&lt;0.01),$CG$72,0)</f>
        <v>0.02</v>
      </c>
      <c r="DF132" s="5">
        <f ca="1">IF(AND('Budgeting Model'!AG58&lt;&gt;"",ABS('Budgeting Model'!AG58-'Scratch Sheet'!AG58)&lt;0.01),$CG$72,0)</f>
        <v>0.02</v>
      </c>
      <c r="DG132" s="5">
        <f ca="1">IF(AND('Budgeting Model'!AH58&lt;&gt;"",ABS('Budgeting Model'!AH58-'Scratch Sheet'!AH58)&lt;0.01),$CG$72,0)</f>
        <v>0.02</v>
      </c>
      <c r="DH132" s="5">
        <f ca="1">IF(AND('Budgeting Model'!AI58&lt;&gt;"",ABS('Budgeting Model'!AI58-'Scratch Sheet'!AI58)&lt;0.01),$CG$72,0)</f>
        <v>0.02</v>
      </c>
      <c r="DI132" s="5">
        <f ca="1">IF(AND('Budgeting Model'!AJ58&lt;&gt;"",ABS('Budgeting Model'!AJ58-'Scratch Sheet'!AJ58)&lt;0.01),$CG$72,0)</f>
        <v>0.02</v>
      </c>
      <c r="DJ132" s="5">
        <f ca="1">IF(AND('Budgeting Model'!AK58&lt;&gt;"",ABS('Budgeting Model'!AK58-'Scratch Sheet'!AK58)&lt;0.01),$CG$72,0)</f>
        <v>0.02</v>
      </c>
      <c r="DK132" s="5" t="s">
        <v>550</v>
      </c>
      <c r="DL132" s="5">
        <f ca="1">IF(AND('Budgeting Model'!AM58&lt;&gt;"",ABS('Budgeting Model'!AM58-'Scratch Sheet'!AM58)&lt;0.01),$CG$72,0)</f>
        <v>0.02</v>
      </c>
      <c r="DM132" s="5">
        <f ca="1">IF(AND('Budgeting Model'!AN58&lt;&gt;"",ABS('Budgeting Model'!AN58-'Scratch Sheet'!AN58)&lt;0.01),$CG$72,0)</f>
        <v>0.02</v>
      </c>
      <c r="DN132" s="5">
        <f ca="1">IF(AND('Budgeting Model'!AO58&lt;&gt;"",ABS('Budgeting Model'!AO58-'Scratch Sheet'!AO58)&lt;0.01),$CG$72,0)</f>
        <v>0.02</v>
      </c>
      <c r="DO132" s="5">
        <f ca="1">IF(AND('Budgeting Model'!AP58&lt;&gt;"",ABS('Budgeting Model'!AP58-'Scratch Sheet'!AP58)&lt;0.01),$CG$72,0)</f>
        <v>0.02</v>
      </c>
    </row>
    <row r="133" spans="2:119">
      <c r="B133" s="5"/>
      <c r="C133" s="17"/>
      <c r="D133" s="16"/>
      <c r="E133" s="21"/>
      <c r="F133" s="21"/>
      <c r="L133" s="109"/>
      <c r="CA133" s="5">
        <f>IF(AND('Budgeting Model'!B59&lt;&gt;"",'Budgeting Model'!B59='Scratch Sheet'!B59),$CG$72,0)</f>
        <v>0.02</v>
      </c>
      <c r="CB133" s="5">
        <f ca="1">IF(AND('Budgeting Model'!C59&lt;&gt;"",'Budgeting Model'!C59='Scratch Sheet'!C59),$CG$72,0)</f>
        <v>0.02</v>
      </c>
      <c r="CC133" s="5">
        <f>IF(AND('Budgeting Model'!D59&lt;&gt;"",'Budgeting Model'!D59='Scratch Sheet'!D59),$CG$72,0)</f>
        <v>0.02</v>
      </c>
      <c r="CD133" s="5">
        <f ca="1">IF(OR(AND('Budgeting Model'!E59="",'Budgeting Model'!D59&lt;&gt;"Vacant"),'Budgeting Model'!E59&lt;&gt;'Scratch Sheet'!E59),0,$CG$72)</f>
        <v>0.02</v>
      </c>
      <c r="CE133" s="5">
        <f ca="1">IF(AND('Budgeting Model'!F59&lt;&gt;"",'Budgeting Model'!F59='Scratch Sheet'!F59),$CG$72,0)</f>
        <v>0.02</v>
      </c>
      <c r="CF133" s="5">
        <f ca="1">IF(AND('Budgeting Model'!G59&lt;&gt;"",ABS('Budgeting Model'!G59-'Scratch Sheet'!G59)&lt;0.01),$CG$72,0)</f>
        <v>0.02</v>
      </c>
      <c r="CG133" s="5" t="s">
        <v>550</v>
      </c>
      <c r="CH133" s="5" t="s">
        <v>550</v>
      </c>
      <c r="CI133" s="5">
        <f ca="1">IF(AND('Budgeting Model'!J59&lt;&gt;"",ABS('Budgeting Model'!J59-'Scratch Sheet'!J59)&lt;0.01),$CG$72,0)</f>
        <v>0.02</v>
      </c>
      <c r="CJ133" s="5" t="s">
        <v>550</v>
      </c>
      <c r="CK133" s="5">
        <f ca="1">IF(AND('Budgeting Model'!L59&lt;&gt;"",ABS('Budgeting Model'!L59-'Scratch Sheet'!L59)&lt;0.01),$CG$72,0)</f>
        <v>0.02</v>
      </c>
      <c r="CL133" s="5" t="s">
        <v>550</v>
      </c>
      <c r="CM133" s="5">
        <f ca="1">IF(AND('Budgeting Model'!N59="",'Budgeting Model'!N59&lt;&gt;'Scratch Sheet'!N59),0,$CG$72)</f>
        <v>0.02</v>
      </c>
      <c r="CN133" s="5" t="s">
        <v>550</v>
      </c>
      <c r="CO133" s="5">
        <f ca="1">IF(AND('Budgeting Model'!P59&lt;&gt;"",ABS('Budgeting Model'!P59-'Scratch Sheet'!P59)&lt;0.01),$CG$72,0)</f>
        <v>0.02</v>
      </c>
      <c r="CP133" s="5">
        <f ca="1">IF(AND('Budgeting Model'!Q59&lt;&gt;"",ABS('Budgeting Model'!Q59-'Scratch Sheet'!Q59)&lt;0.01),$CG$72,0)</f>
        <v>0.02</v>
      </c>
      <c r="CQ133" s="5">
        <f ca="1">IF(AND('Budgeting Model'!R59&lt;&gt;"",ABS('Budgeting Model'!R59-'Scratch Sheet'!R59)&lt;0.01),$CG$72,0)</f>
        <v>0.02</v>
      </c>
      <c r="CR133" s="5">
        <f ca="1">IF(AND('Budgeting Model'!S59&lt;&gt;"",ABS('Budgeting Model'!S59-'Scratch Sheet'!S59)&lt;0.01),$CG$72,0)</f>
        <v>0.02</v>
      </c>
      <c r="CS133" s="5">
        <f ca="1">IF(AND('Budgeting Model'!T59&lt;&gt;"",ABS('Budgeting Model'!T59-'Scratch Sheet'!T59)&lt;0.01),$CG$72,0)</f>
        <v>0.02</v>
      </c>
      <c r="CT133" s="5">
        <f ca="1">IF(AND('Budgeting Model'!U59&lt;&gt;"",ABS('Budgeting Model'!U59-'Scratch Sheet'!U59)&lt;0.01),$CG$72,0)</f>
        <v>0.02</v>
      </c>
      <c r="CU133" s="5">
        <f ca="1">IF(AND('Budgeting Model'!V59&lt;&gt;"",ABS('Budgeting Model'!V59-'Scratch Sheet'!V59)&lt;0.01),$CG$72,0)</f>
        <v>0.02</v>
      </c>
      <c r="CV133" s="5" t="s">
        <v>550</v>
      </c>
      <c r="CW133" s="5" t="s">
        <v>550</v>
      </c>
      <c r="CX133" s="5">
        <f ca="1">IF(AND('Budgeting Model'!Y59&lt;&gt;"",ABS('Budgeting Model'!Y59-'Scratch Sheet'!Y59)&lt;0.01),$CG$72,0)</f>
        <v>0.02</v>
      </c>
      <c r="CY133" s="5" t="s">
        <v>550</v>
      </c>
      <c r="CZ133" s="5">
        <f ca="1">IF(AND('Budgeting Model'!AA59&lt;&gt;"",ABS('Budgeting Model'!AA59-'Scratch Sheet'!AA59)&lt;0.01),$CG$72,0)</f>
        <v>0.02</v>
      </c>
      <c r="DA133" s="5" t="s">
        <v>550</v>
      </c>
      <c r="DB133" s="5">
        <f ca="1">IF(AND('Budgeting Model'!AC59="",'Budgeting Model'!AC59&lt;&gt;'Scratch Sheet'!AC59),0,$CG$72)</f>
        <v>0.02</v>
      </c>
      <c r="DC133" s="5" t="s">
        <v>550</v>
      </c>
      <c r="DD133" s="5">
        <f ca="1">IF(AND('Budgeting Model'!AE59&lt;&gt;"",ABS('Budgeting Model'!AE59-'Scratch Sheet'!AE59)&lt;0.01),$CG$72,0)</f>
        <v>0.02</v>
      </c>
      <c r="DE133" s="5">
        <f ca="1">IF(AND('Budgeting Model'!AF59&lt;&gt;"",ABS('Budgeting Model'!AF59-'Scratch Sheet'!AF59)&lt;0.01),$CG$72,0)</f>
        <v>0.02</v>
      </c>
      <c r="DF133" s="5">
        <f ca="1">IF(AND('Budgeting Model'!AG59&lt;&gt;"",ABS('Budgeting Model'!AG59-'Scratch Sheet'!AG59)&lt;0.01),$CG$72,0)</f>
        <v>0.02</v>
      </c>
      <c r="DG133" s="5">
        <f ca="1">IF(AND('Budgeting Model'!AH59&lt;&gt;"",ABS('Budgeting Model'!AH59-'Scratch Sheet'!AH59)&lt;0.01),$CG$72,0)</f>
        <v>0.02</v>
      </c>
      <c r="DH133" s="5">
        <f ca="1">IF(AND('Budgeting Model'!AI59&lt;&gt;"",ABS('Budgeting Model'!AI59-'Scratch Sheet'!AI59)&lt;0.01),$CG$72,0)</f>
        <v>0.02</v>
      </c>
      <c r="DI133" s="5">
        <f ca="1">IF(AND('Budgeting Model'!AJ59&lt;&gt;"",ABS('Budgeting Model'!AJ59-'Scratch Sheet'!AJ59)&lt;0.01),$CG$72,0)</f>
        <v>0.02</v>
      </c>
      <c r="DJ133" s="5">
        <f ca="1">IF(AND('Budgeting Model'!AK59&lt;&gt;"",ABS('Budgeting Model'!AK59-'Scratch Sheet'!AK59)&lt;0.01),$CG$72,0)</f>
        <v>0.02</v>
      </c>
      <c r="DK133" s="5" t="s">
        <v>550</v>
      </c>
      <c r="DL133" s="5">
        <f ca="1">IF(AND('Budgeting Model'!AM59&lt;&gt;"",ABS('Budgeting Model'!AM59-'Scratch Sheet'!AM59)&lt;0.01),$CG$72,0)</f>
        <v>0.02</v>
      </c>
      <c r="DM133" s="5">
        <f ca="1">IF(AND('Budgeting Model'!AN59&lt;&gt;"",ABS('Budgeting Model'!AN59-'Scratch Sheet'!AN59)&lt;0.01),$CG$72,0)</f>
        <v>0.02</v>
      </c>
      <c r="DN133" s="5">
        <f ca="1">IF(AND('Budgeting Model'!AO59&lt;&gt;"",ABS('Budgeting Model'!AO59-'Scratch Sheet'!AO59)&lt;0.01),$CG$72,0)</f>
        <v>0.02</v>
      </c>
      <c r="DO133" s="5">
        <f ca="1">IF(AND('Budgeting Model'!AP59&lt;&gt;"",ABS('Budgeting Model'!AP59-'Scratch Sheet'!AP59)&lt;0.01),$CG$72,0)</f>
        <v>0.02</v>
      </c>
    </row>
    <row r="134" spans="2:119">
      <c r="B134" s="5"/>
      <c r="C134" s="17"/>
      <c r="D134" s="16"/>
      <c r="E134" s="21"/>
      <c r="F134" s="21"/>
      <c r="L134" s="105"/>
      <c r="CA134" s="5">
        <f>IF(AND('Budgeting Model'!B60&lt;&gt;"",'Budgeting Model'!B60='Scratch Sheet'!B60),$CG$72,0)</f>
        <v>0.02</v>
      </c>
      <c r="CB134" s="5">
        <f ca="1">IF(AND('Budgeting Model'!C60&lt;&gt;"",'Budgeting Model'!C60='Scratch Sheet'!C60),$CG$72,0)</f>
        <v>0.02</v>
      </c>
      <c r="CC134" s="5">
        <f>IF(AND('Budgeting Model'!D60&lt;&gt;"",'Budgeting Model'!D60='Scratch Sheet'!D60),$CG$72,0)</f>
        <v>0.02</v>
      </c>
      <c r="CD134" s="5">
        <f ca="1">IF(OR(AND('Budgeting Model'!E60="",'Budgeting Model'!D60&lt;&gt;"Vacant"),'Budgeting Model'!E60&lt;&gt;'Scratch Sheet'!E60),0,$CG$72)</f>
        <v>0.02</v>
      </c>
      <c r="CE134" s="5">
        <f ca="1">IF(AND('Budgeting Model'!F60&lt;&gt;"",'Budgeting Model'!F60='Scratch Sheet'!F60),$CG$72,0)</f>
        <v>0.02</v>
      </c>
      <c r="CF134" s="5">
        <f ca="1">IF(AND('Budgeting Model'!G60&lt;&gt;"",ABS('Budgeting Model'!G60-'Scratch Sheet'!G60)&lt;0.01),$CG$72,0)</f>
        <v>0.02</v>
      </c>
      <c r="CG134" s="5" t="s">
        <v>550</v>
      </c>
      <c r="CH134" s="5" t="s">
        <v>550</v>
      </c>
      <c r="CI134" s="5">
        <f ca="1">IF(AND('Budgeting Model'!J60&lt;&gt;"",ABS('Budgeting Model'!J60-'Scratch Sheet'!J60)&lt;0.01),$CG$72,0)</f>
        <v>0.02</v>
      </c>
      <c r="CJ134" s="5" t="s">
        <v>550</v>
      </c>
      <c r="CK134" s="5">
        <f ca="1">IF(AND('Budgeting Model'!L60&lt;&gt;"",ABS('Budgeting Model'!L60-'Scratch Sheet'!L60)&lt;0.01),$CG$72,0)</f>
        <v>0.02</v>
      </c>
      <c r="CL134" s="5" t="s">
        <v>550</v>
      </c>
      <c r="CM134" s="5">
        <f ca="1">IF(AND('Budgeting Model'!N60="",'Budgeting Model'!N60&lt;&gt;'Scratch Sheet'!N60),0,$CG$72)</f>
        <v>0.02</v>
      </c>
      <c r="CN134" s="5" t="s">
        <v>550</v>
      </c>
      <c r="CO134" s="5">
        <f ca="1">IF(AND('Budgeting Model'!P60&lt;&gt;"",ABS('Budgeting Model'!P60-'Scratch Sheet'!P60)&lt;0.01),$CG$72,0)</f>
        <v>0.02</v>
      </c>
      <c r="CP134" s="5">
        <f ca="1">IF(AND('Budgeting Model'!Q60&lt;&gt;"",ABS('Budgeting Model'!Q60-'Scratch Sheet'!Q60)&lt;0.01),$CG$72,0)</f>
        <v>0.02</v>
      </c>
      <c r="CQ134" s="5">
        <f ca="1">IF(AND('Budgeting Model'!R60&lt;&gt;"",ABS('Budgeting Model'!R60-'Scratch Sheet'!R60)&lt;0.01),$CG$72,0)</f>
        <v>0.02</v>
      </c>
      <c r="CR134" s="5">
        <f ca="1">IF(AND('Budgeting Model'!S60&lt;&gt;"",ABS('Budgeting Model'!S60-'Scratch Sheet'!S60)&lt;0.01),$CG$72,0)</f>
        <v>0.02</v>
      </c>
      <c r="CS134" s="5">
        <f ca="1">IF(AND('Budgeting Model'!T60&lt;&gt;"",ABS('Budgeting Model'!T60-'Scratch Sheet'!T60)&lt;0.01),$CG$72,0)</f>
        <v>0.02</v>
      </c>
      <c r="CT134" s="5">
        <f ca="1">IF(AND('Budgeting Model'!U60&lt;&gt;"",ABS('Budgeting Model'!U60-'Scratch Sheet'!U60)&lt;0.01),$CG$72,0)</f>
        <v>0.02</v>
      </c>
      <c r="CU134" s="5">
        <f ca="1">IF(AND('Budgeting Model'!V60&lt;&gt;"",ABS('Budgeting Model'!V60-'Scratch Sheet'!V60)&lt;0.01),$CG$72,0)</f>
        <v>0.02</v>
      </c>
      <c r="CV134" s="5" t="s">
        <v>550</v>
      </c>
      <c r="CW134" s="5" t="s">
        <v>550</v>
      </c>
      <c r="CX134" s="5">
        <f ca="1">IF(AND('Budgeting Model'!Y60&lt;&gt;"",ABS('Budgeting Model'!Y60-'Scratch Sheet'!Y60)&lt;0.01),$CG$72,0)</f>
        <v>0.02</v>
      </c>
      <c r="CY134" s="5" t="s">
        <v>550</v>
      </c>
      <c r="CZ134" s="5">
        <f ca="1">IF(AND('Budgeting Model'!AA60&lt;&gt;"",ABS('Budgeting Model'!AA60-'Scratch Sheet'!AA60)&lt;0.01),$CG$72,0)</f>
        <v>0.02</v>
      </c>
      <c r="DA134" s="5" t="s">
        <v>550</v>
      </c>
      <c r="DB134" s="5">
        <f ca="1">IF(AND('Budgeting Model'!AC60="",'Budgeting Model'!AC60&lt;&gt;'Scratch Sheet'!AC60),0,$CG$72)</f>
        <v>0.02</v>
      </c>
      <c r="DC134" s="5" t="s">
        <v>550</v>
      </c>
      <c r="DD134" s="5">
        <f ca="1">IF(AND('Budgeting Model'!AE60&lt;&gt;"",ABS('Budgeting Model'!AE60-'Scratch Sheet'!AE60)&lt;0.01),$CG$72,0)</f>
        <v>0.02</v>
      </c>
      <c r="DE134" s="5">
        <f ca="1">IF(AND('Budgeting Model'!AF60&lt;&gt;"",ABS('Budgeting Model'!AF60-'Scratch Sheet'!AF60)&lt;0.01),$CG$72,0)</f>
        <v>0.02</v>
      </c>
      <c r="DF134" s="5">
        <f ca="1">IF(AND('Budgeting Model'!AG60&lt;&gt;"",ABS('Budgeting Model'!AG60-'Scratch Sheet'!AG60)&lt;0.01),$CG$72,0)</f>
        <v>0.02</v>
      </c>
      <c r="DG134" s="5">
        <f ca="1">IF(AND('Budgeting Model'!AH60&lt;&gt;"",ABS('Budgeting Model'!AH60-'Scratch Sheet'!AH60)&lt;0.01),$CG$72,0)</f>
        <v>0.02</v>
      </c>
      <c r="DH134" s="5">
        <f ca="1">IF(AND('Budgeting Model'!AI60&lt;&gt;"",ABS('Budgeting Model'!AI60-'Scratch Sheet'!AI60)&lt;0.01),$CG$72,0)</f>
        <v>0.02</v>
      </c>
      <c r="DI134" s="5">
        <f ca="1">IF(AND('Budgeting Model'!AJ60&lt;&gt;"",ABS('Budgeting Model'!AJ60-'Scratch Sheet'!AJ60)&lt;0.01),$CG$72,0)</f>
        <v>0.02</v>
      </c>
      <c r="DJ134" s="5">
        <f ca="1">IF(AND('Budgeting Model'!AK60&lt;&gt;"",ABS('Budgeting Model'!AK60-'Scratch Sheet'!AK60)&lt;0.01),$CG$72,0)</f>
        <v>0.02</v>
      </c>
      <c r="DK134" s="5" t="s">
        <v>550</v>
      </c>
      <c r="DL134" s="5">
        <f ca="1">IF(AND('Budgeting Model'!AM60&lt;&gt;"",ABS('Budgeting Model'!AM60-'Scratch Sheet'!AM60)&lt;0.01),$CG$72,0)</f>
        <v>0.02</v>
      </c>
      <c r="DM134" s="5">
        <f ca="1">IF(AND('Budgeting Model'!AN60&lt;&gt;"",ABS('Budgeting Model'!AN60-'Scratch Sheet'!AN60)&lt;0.01),$CG$72,0)</f>
        <v>0.02</v>
      </c>
      <c r="DN134" s="5">
        <f ca="1">IF(AND('Budgeting Model'!AO60&lt;&gt;"",ABS('Budgeting Model'!AO60-'Scratch Sheet'!AO60)&lt;0.01),$CG$72,0)</f>
        <v>0.02</v>
      </c>
      <c r="DO134" s="5">
        <f ca="1">IF(AND('Budgeting Model'!AP60&lt;&gt;"",ABS('Budgeting Model'!AP60-'Scratch Sheet'!AP60)&lt;0.01),$CG$72,0)</f>
        <v>0.02</v>
      </c>
    </row>
    <row r="135" spans="2:119">
      <c r="C135" s="17"/>
      <c r="D135" s="17"/>
      <c r="CA135" s="5">
        <f>IF(AND('Budgeting Model'!B61&lt;&gt;"",'Budgeting Model'!B61='Scratch Sheet'!B61),$CG$72,0)</f>
        <v>0.02</v>
      </c>
      <c r="CB135" s="5">
        <f ca="1">IF(AND('Budgeting Model'!C61&lt;&gt;"",'Budgeting Model'!C61='Scratch Sheet'!C61),$CG$72,0)</f>
        <v>0.02</v>
      </c>
      <c r="CC135" s="5">
        <f>IF(AND('Budgeting Model'!D61&lt;&gt;"",'Budgeting Model'!D61='Scratch Sheet'!D61),$CG$72,0)</f>
        <v>0.02</v>
      </c>
      <c r="CD135" s="5">
        <f ca="1">IF(OR(AND('Budgeting Model'!E61="",'Budgeting Model'!D61&lt;&gt;"Vacant"),'Budgeting Model'!E61&lt;&gt;'Scratch Sheet'!E61),0,$CG$72)</f>
        <v>0.02</v>
      </c>
      <c r="CE135" s="5">
        <f ca="1">IF(AND('Budgeting Model'!F61&lt;&gt;"",'Budgeting Model'!F61='Scratch Sheet'!F61),$CG$72,0)</f>
        <v>0.02</v>
      </c>
      <c r="CF135" s="5">
        <f ca="1">IF(AND('Budgeting Model'!G61&lt;&gt;"",ABS('Budgeting Model'!G61-'Scratch Sheet'!G61)&lt;0.01),$CG$72,0)</f>
        <v>0.02</v>
      </c>
      <c r="CG135" s="5" t="s">
        <v>550</v>
      </c>
      <c r="CH135" s="5" t="s">
        <v>550</v>
      </c>
      <c r="CI135" s="5">
        <f ca="1">IF(AND('Budgeting Model'!J61&lt;&gt;"",ABS('Budgeting Model'!J61-'Scratch Sheet'!J61)&lt;0.01),$CG$72,0)</f>
        <v>0.02</v>
      </c>
      <c r="CJ135" s="5" t="s">
        <v>550</v>
      </c>
      <c r="CK135" s="5">
        <f ca="1">IF(AND('Budgeting Model'!L61&lt;&gt;"",ABS('Budgeting Model'!L61-'Scratch Sheet'!L61)&lt;0.01),$CG$72,0)</f>
        <v>0.02</v>
      </c>
      <c r="CL135" s="5" t="s">
        <v>550</v>
      </c>
      <c r="CM135" s="5">
        <f ca="1">IF(AND('Budgeting Model'!N61="",'Budgeting Model'!N61&lt;&gt;'Scratch Sheet'!N61),0,$CG$72)</f>
        <v>0.02</v>
      </c>
      <c r="CN135" s="5" t="s">
        <v>550</v>
      </c>
      <c r="CO135" s="5">
        <f>IF(AND('Budgeting Model'!P61&lt;&gt;"",ABS('Budgeting Model'!P61-'Scratch Sheet'!P61)&lt;0.01),$CG$72,0)</f>
        <v>0.02</v>
      </c>
      <c r="CP135" s="5">
        <f ca="1">IF(AND('Budgeting Model'!Q61&lt;&gt;"",ABS('Budgeting Model'!Q61-'Scratch Sheet'!Q61)&lt;0.01),$CG$72,0)</f>
        <v>0.02</v>
      </c>
      <c r="CQ135" s="5">
        <f ca="1">IF(AND('Budgeting Model'!R61&lt;&gt;"",ABS('Budgeting Model'!R61-'Scratch Sheet'!R61)&lt;0.01),$CG$72,0)</f>
        <v>0.02</v>
      </c>
      <c r="CR135" s="5">
        <f ca="1">IF(AND('Budgeting Model'!S61&lt;&gt;"",ABS('Budgeting Model'!S61-'Scratch Sheet'!S61)&lt;0.01),$CG$72,0)</f>
        <v>0.02</v>
      </c>
      <c r="CS135" s="5">
        <f ca="1">IF(AND('Budgeting Model'!T61&lt;&gt;"",ABS('Budgeting Model'!T61-'Scratch Sheet'!T61)&lt;0.01),$CG$72,0)</f>
        <v>0.02</v>
      </c>
      <c r="CT135" s="5">
        <f ca="1">IF(AND('Budgeting Model'!U61&lt;&gt;"",ABS('Budgeting Model'!U61-'Scratch Sheet'!U61)&lt;0.01),$CG$72,0)</f>
        <v>0.02</v>
      </c>
      <c r="CU135" s="5">
        <f ca="1">IF(AND('Budgeting Model'!V61&lt;&gt;"",ABS('Budgeting Model'!V61-'Scratch Sheet'!V61)&lt;0.01),$CG$72,0)</f>
        <v>0.02</v>
      </c>
      <c r="CV135" s="5" t="s">
        <v>550</v>
      </c>
      <c r="CW135" s="5" t="s">
        <v>550</v>
      </c>
      <c r="CX135" s="5">
        <f ca="1">IF(AND('Budgeting Model'!Y61&lt;&gt;"",ABS('Budgeting Model'!Y61-'Scratch Sheet'!Y61)&lt;0.01),$CG$72,0)</f>
        <v>0.02</v>
      </c>
      <c r="CY135" s="5" t="s">
        <v>550</v>
      </c>
      <c r="CZ135" s="5">
        <f ca="1">IF(AND('Budgeting Model'!AA61&lt;&gt;"",ABS('Budgeting Model'!AA61-'Scratch Sheet'!AA61)&lt;0.01),$CG$72,0)</f>
        <v>0.02</v>
      </c>
      <c r="DA135" s="5" t="s">
        <v>550</v>
      </c>
      <c r="DB135" s="5">
        <f ca="1">IF(AND('Budgeting Model'!AC61="",'Budgeting Model'!AC61&lt;&gt;'Scratch Sheet'!AC61),0,$CG$72)</f>
        <v>0.02</v>
      </c>
      <c r="DC135" s="5" t="s">
        <v>550</v>
      </c>
      <c r="DD135" s="5">
        <f ca="1">IF(AND('Budgeting Model'!AE61&lt;&gt;"",ABS('Budgeting Model'!AE61-'Scratch Sheet'!AE61)&lt;0.01),$CG$72,0)</f>
        <v>0.02</v>
      </c>
      <c r="DE135" s="5">
        <f ca="1">IF(AND('Budgeting Model'!AF61&lt;&gt;"",ABS('Budgeting Model'!AF61-'Scratch Sheet'!AF61)&lt;0.01),$CG$72,0)</f>
        <v>0.02</v>
      </c>
      <c r="DF135" s="5">
        <f ca="1">IF(AND('Budgeting Model'!AG61&lt;&gt;"",ABS('Budgeting Model'!AG61-'Scratch Sheet'!AG61)&lt;0.01),$CG$72,0)</f>
        <v>0.02</v>
      </c>
      <c r="DG135" s="5">
        <f ca="1">IF(AND('Budgeting Model'!AH61&lt;&gt;"",ABS('Budgeting Model'!AH61-'Scratch Sheet'!AH61)&lt;0.01),$CG$72,0)</f>
        <v>0.02</v>
      </c>
      <c r="DH135" s="5">
        <f ca="1">IF(AND('Budgeting Model'!AI61&lt;&gt;"",ABS('Budgeting Model'!AI61-'Scratch Sheet'!AI61)&lt;0.01),$CG$72,0)</f>
        <v>0.02</v>
      </c>
      <c r="DI135" s="5">
        <f ca="1">IF(AND('Budgeting Model'!AJ61&lt;&gt;"",ABS('Budgeting Model'!AJ61-'Scratch Sheet'!AJ61)&lt;0.01),$CG$72,0)</f>
        <v>0.02</v>
      </c>
      <c r="DJ135" s="5">
        <f ca="1">IF(AND('Budgeting Model'!AK61&lt;&gt;"",ABS('Budgeting Model'!AK61-'Scratch Sheet'!AK61)&lt;0.01),$CG$72,0)</f>
        <v>0.02</v>
      </c>
      <c r="DK135" s="5" t="s">
        <v>550</v>
      </c>
      <c r="DL135" s="5">
        <f ca="1">IF(AND('Budgeting Model'!AM61&lt;&gt;"",ABS('Budgeting Model'!AM61-'Scratch Sheet'!AM61)&lt;0.01),$CG$72,0)</f>
        <v>0.02</v>
      </c>
      <c r="DM135" s="5">
        <f ca="1">IF(AND('Budgeting Model'!AN61&lt;&gt;"",ABS('Budgeting Model'!AN61-'Scratch Sheet'!AN61)&lt;0.01),$CG$72,0)</f>
        <v>0.02</v>
      </c>
      <c r="DN135" s="5">
        <f ca="1">IF(AND('Budgeting Model'!AO61&lt;&gt;"",ABS('Budgeting Model'!AO61-'Scratch Sheet'!AO61)&lt;0.01),$CG$72,0)</f>
        <v>0.02</v>
      </c>
      <c r="DO135" s="5">
        <f ca="1">IF(AND('Budgeting Model'!AP61&lt;&gt;"",ABS('Budgeting Model'!AP61-'Scratch Sheet'!AP61)&lt;0.01),$CG$72,0)</f>
        <v>0.02</v>
      </c>
    </row>
    <row r="136" spans="2:119">
      <c r="C136" s="17"/>
      <c r="D136" s="17"/>
      <c r="CA136" s="5">
        <f>IF(AND('Budgeting Model'!B62&lt;&gt;"",'Budgeting Model'!B62='Scratch Sheet'!B62),$CG$72,0)</f>
        <v>0.02</v>
      </c>
      <c r="CB136" s="5">
        <f ca="1">IF(AND('Budgeting Model'!C62&lt;&gt;"",'Budgeting Model'!C62='Scratch Sheet'!C62),$CG$72,0)</f>
        <v>0.02</v>
      </c>
      <c r="CC136" s="5">
        <f>IF(AND('Budgeting Model'!D62&lt;&gt;"",'Budgeting Model'!D62='Scratch Sheet'!D62),$CG$72,0)</f>
        <v>0.02</v>
      </c>
      <c r="CD136" s="5">
        <f ca="1">IF(OR(AND('Budgeting Model'!E62="",'Budgeting Model'!D62&lt;&gt;"Vacant"),'Budgeting Model'!E62&lt;&gt;'Scratch Sheet'!E62),0,$CG$72)</f>
        <v>0.02</v>
      </c>
      <c r="CE136" s="5">
        <f ca="1">IF(AND('Budgeting Model'!F62&lt;&gt;"",'Budgeting Model'!F62='Scratch Sheet'!F62),$CG$72,0)</f>
        <v>0.02</v>
      </c>
      <c r="CF136" s="5">
        <f ca="1">IF(AND('Budgeting Model'!G62&lt;&gt;"",ABS('Budgeting Model'!G62-'Scratch Sheet'!G62)&lt;0.01),$CG$72,0)</f>
        <v>0.02</v>
      </c>
      <c r="CG136" s="5" t="s">
        <v>550</v>
      </c>
      <c r="CH136" s="5" t="s">
        <v>550</v>
      </c>
      <c r="CI136" s="5">
        <f ca="1">IF(AND('Budgeting Model'!J62&lt;&gt;"",ABS('Budgeting Model'!J62-'Scratch Sheet'!J62)&lt;0.01),$CG$72,0)</f>
        <v>0.02</v>
      </c>
      <c r="CJ136" s="5" t="s">
        <v>550</v>
      </c>
      <c r="CK136" s="5">
        <f ca="1">IF(AND('Budgeting Model'!L62&lt;&gt;"",ABS('Budgeting Model'!L62-'Scratch Sheet'!L62)&lt;0.01),$CG$72,0)</f>
        <v>0.02</v>
      </c>
      <c r="CL136" s="5" t="s">
        <v>550</v>
      </c>
      <c r="CM136" s="5">
        <f ca="1">IF(AND('Budgeting Model'!N62="",'Budgeting Model'!N62&lt;&gt;'Scratch Sheet'!N62),0,$CG$72)</f>
        <v>0.02</v>
      </c>
      <c r="CN136" s="5" t="s">
        <v>550</v>
      </c>
      <c r="CO136" s="5">
        <f ca="1">IF(AND('Budgeting Model'!P62&lt;&gt;"",ABS('Budgeting Model'!P62-'Scratch Sheet'!P62)&lt;0.01),$CG$72,0)</f>
        <v>0.02</v>
      </c>
      <c r="CP136" s="5">
        <f ca="1">IF(AND('Budgeting Model'!Q62&lt;&gt;"",ABS('Budgeting Model'!Q62-'Scratch Sheet'!Q62)&lt;0.01),$CG$72,0)</f>
        <v>0.02</v>
      </c>
      <c r="CQ136" s="5">
        <f ca="1">IF(AND('Budgeting Model'!R62&lt;&gt;"",ABS('Budgeting Model'!R62-'Scratch Sheet'!R62)&lt;0.01),$CG$72,0)</f>
        <v>0.02</v>
      </c>
      <c r="CR136" s="5">
        <f ca="1">IF(AND('Budgeting Model'!S62&lt;&gt;"",ABS('Budgeting Model'!S62-'Scratch Sheet'!S62)&lt;0.01),$CG$72,0)</f>
        <v>0.02</v>
      </c>
      <c r="CS136" s="5">
        <f ca="1">IF(AND('Budgeting Model'!T62&lt;&gt;"",ABS('Budgeting Model'!T62-'Scratch Sheet'!T62)&lt;0.01),$CG$72,0)</f>
        <v>0.02</v>
      </c>
      <c r="CT136" s="5">
        <f ca="1">IF(AND('Budgeting Model'!U62&lt;&gt;"",ABS('Budgeting Model'!U62-'Scratch Sheet'!U62)&lt;0.01),$CG$72,0)</f>
        <v>0.02</v>
      </c>
      <c r="CU136" s="5">
        <f ca="1">IF(AND('Budgeting Model'!V62&lt;&gt;"",ABS('Budgeting Model'!V62-'Scratch Sheet'!V62)&lt;0.01),$CG$72,0)</f>
        <v>0.02</v>
      </c>
      <c r="CV136" s="5" t="s">
        <v>550</v>
      </c>
      <c r="CW136" s="5" t="s">
        <v>550</v>
      </c>
      <c r="CX136" s="5">
        <f ca="1">IF(AND('Budgeting Model'!Y62&lt;&gt;"",ABS('Budgeting Model'!Y62-'Scratch Sheet'!Y62)&lt;0.01),$CG$72,0)</f>
        <v>0.02</v>
      </c>
      <c r="CY136" s="5" t="s">
        <v>550</v>
      </c>
      <c r="CZ136" s="5">
        <f ca="1">IF(AND('Budgeting Model'!AA62&lt;&gt;"",ABS('Budgeting Model'!AA62-'Scratch Sheet'!AA62)&lt;0.01),$CG$72,0)</f>
        <v>0.02</v>
      </c>
      <c r="DA136" s="5" t="s">
        <v>550</v>
      </c>
      <c r="DB136" s="5">
        <f ca="1">IF(AND('Budgeting Model'!AC62="",'Budgeting Model'!AC62&lt;&gt;'Scratch Sheet'!AC62),0,$CG$72)</f>
        <v>0.02</v>
      </c>
      <c r="DC136" s="5" t="s">
        <v>550</v>
      </c>
      <c r="DD136" s="5">
        <f ca="1">IF(AND('Budgeting Model'!AE62&lt;&gt;"",ABS('Budgeting Model'!AE62-'Scratch Sheet'!AE62)&lt;0.01),$CG$72,0)</f>
        <v>0.02</v>
      </c>
      <c r="DE136" s="5">
        <f ca="1">IF(AND('Budgeting Model'!AF62&lt;&gt;"",ABS('Budgeting Model'!AF62-'Scratch Sheet'!AF62)&lt;0.01),$CG$72,0)</f>
        <v>0.02</v>
      </c>
      <c r="DF136" s="5">
        <f ca="1">IF(AND('Budgeting Model'!AG62&lt;&gt;"",ABS('Budgeting Model'!AG62-'Scratch Sheet'!AG62)&lt;0.01),$CG$72,0)</f>
        <v>0.02</v>
      </c>
      <c r="DG136" s="5">
        <f ca="1">IF(AND('Budgeting Model'!AH62&lt;&gt;"",ABS('Budgeting Model'!AH62-'Scratch Sheet'!AH62)&lt;0.01),$CG$72,0)</f>
        <v>0.02</v>
      </c>
      <c r="DH136" s="5">
        <f ca="1">IF(AND('Budgeting Model'!AI62&lt;&gt;"",ABS('Budgeting Model'!AI62-'Scratch Sheet'!AI62)&lt;0.01),$CG$72,0)</f>
        <v>0.02</v>
      </c>
      <c r="DI136" s="5">
        <f ca="1">IF(AND('Budgeting Model'!AJ62&lt;&gt;"",ABS('Budgeting Model'!AJ62-'Scratch Sheet'!AJ62)&lt;0.01),$CG$72,0)</f>
        <v>0.02</v>
      </c>
      <c r="DJ136" s="5">
        <f ca="1">IF(AND('Budgeting Model'!AK62&lt;&gt;"",ABS('Budgeting Model'!AK62-'Scratch Sheet'!AK62)&lt;0.01),$CG$72,0)</f>
        <v>0.02</v>
      </c>
      <c r="DK136" s="5" t="s">
        <v>550</v>
      </c>
      <c r="DL136" s="5">
        <f ca="1">IF(AND('Budgeting Model'!AM62&lt;&gt;"",ABS('Budgeting Model'!AM62-'Scratch Sheet'!AM62)&lt;0.01),$CG$72,0)</f>
        <v>0.02</v>
      </c>
      <c r="DM136" s="5">
        <f ca="1">IF(AND('Budgeting Model'!AN62&lt;&gt;"",ABS('Budgeting Model'!AN62-'Scratch Sheet'!AN62)&lt;0.01),$CG$72,0)</f>
        <v>0.02</v>
      </c>
      <c r="DN136" s="5">
        <f ca="1">IF(AND('Budgeting Model'!AO62&lt;&gt;"",ABS('Budgeting Model'!AO62-'Scratch Sheet'!AO62)&lt;0.01),$CG$72,0)</f>
        <v>0.02</v>
      </c>
      <c r="DO136" s="5">
        <f ca="1">IF(AND('Budgeting Model'!AP62&lt;&gt;"",ABS('Budgeting Model'!AP62-'Scratch Sheet'!AP62)&lt;0.01),$CG$72,0)</f>
        <v>0.02</v>
      </c>
    </row>
    <row r="137" spans="2:119">
      <c r="CA137" s="5">
        <f>IF(AND('Budgeting Model'!B63&lt;&gt;"",'Budgeting Model'!B63='Scratch Sheet'!B63),$CG$72,0)</f>
        <v>0.02</v>
      </c>
      <c r="CB137" s="5">
        <f ca="1">IF(AND('Budgeting Model'!C63&lt;&gt;"",'Budgeting Model'!C63='Scratch Sheet'!C63),$CG$72,0)</f>
        <v>0.02</v>
      </c>
      <c r="CC137" s="5">
        <f>IF(AND('Budgeting Model'!D63&lt;&gt;"",'Budgeting Model'!D63='Scratch Sheet'!D63),$CG$72,0)</f>
        <v>0.02</v>
      </c>
      <c r="CD137" s="5">
        <f ca="1">IF(OR(AND('Budgeting Model'!E63="",'Budgeting Model'!D63&lt;&gt;"Vacant"),'Budgeting Model'!E63&lt;&gt;'Scratch Sheet'!E63),0,$CG$72)</f>
        <v>0.02</v>
      </c>
      <c r="CE137" s="5">
        <f ca="1">IF(AND('Budgeting Model'!F63&lt;&gt;"",'Budgeting Model'!F63='Scratch Sheet'!F63),$CG$72,0)</f>
        <v>0.02</v>
      </c>
      <c r="CF137" s="5">
        <f ca="1">IF(AND('Budgeting Model'!G63&lt;&gt;"",ABS('Budgeting Model'!G63-'Scratch Sheet'!G63)&lt;0.01),$CG$72,0)</f>
        <v>0.02</v>
      </c>
      <c r="CG137" s="5" t="s">
        <v>550</v>
      </c>
      <c r="CH137" s="5" t="s">
        <v>550</v>
      </c>
      <c r="CI137" s="5">
        <f ca="1">IF(AND('Budgeting Model'!J63&lt;&gt;"",ABS('Budgeting Model'!J63-'Scratch Sheet'!J63)&lt;0.01),$CG$72,0)</f>
        <v>0.02</v>
      </c>
      <c r="CJ137" s="5" t="s">
        <v>550</v>
      </c>
      <c r="CK137" s="5">
        <f ca="1">IF(AND('Budgeting Model'!L63&lt;&gt;"",ABS('Budgeting Model'!L63-'Scratch Sheet'!L63)&lt;0.01),$CG$72,0)</f>
        <v>0.02</v>
      </c>
      <c r="CL137" s="5" t="s">
        <v>550</v>
      </c>
      <c r="CM137" s="5">
        <f ca="1">IF(AND('Budgeting Model'!N63="",'Budgeting Model'!N63&lt;&gt;'Scratch Sheet'!N63),0,$CG$72)</f>
        <v>0.02</v>
      </c>
      <c r="CN137" s="5" t="s">
        <v>550</v>
      </c>
      <c r="CO137" s="5">
        <f ca="1">IF(AND('Budgeting Model'!P63&lt;&gt;"",ABS('Budgeting Model'!P63-'Scratch Sheet'!P63)&lt;0.01),$CG$72,0)</f>
        <v>0.02</v>
      </c>
      <c r="CP137" s="5">
        <f ca="1">IF(AND('Budgeting Model'!Q63&lt;&gt;"",ABS('Budgeting Model'!Q63-'Scratch Sheet'!Q63)&lt;0.01),$CG$72,0)</f>
        <v>0.02</v>
      </c>
      <c r="CQ137" s="5">
        <f ca="1">IF(AND('Budgeting Model'!R63&lt;&gt;"",ABS('Budgeting Model'!R63-'Scratch Sheet'!R63)&lt;0.01),$CG$72,0)</f>
        <v>0.02</v>
      </c>
      <c r="CR137" s="5">
        <f ca="1">IF(AND('Budgeting Model'!S63&lt;&gt;"",ABS('Budgeting Model'!S63-'Scratch Sheet'!S63)&lt;0.01),$CG$72,0)</f>
        <v>0.02</v>
      </c>
      <c r="CS137" s="5">
        <f ca="1">IF(AND('Budgeting Model'!T63&lt;&gt;"",ABS('Budgeting Model'!T63-'Scratch Sheet'!T63)&lt;0.01),$CG$72,0)</f>
        <v>0.02</v>
      </c>
      <c r="CT137" s="5">
        <f ca="1">IF(AND('Budgeting Model'!U63&lt;&gt;"",ABS('Budgeting Model'!U63-'Scratch Sheet'!U63)&lt;0.01),$CG$72,0)</f>
        <v>0.02</v>
      </c>
      <c r="CU137" s="5">
        <f ca="1">IF(AND('Budgeting Model'!V63&lt;&gt;"",ABS('Budgeting Model'!V63-'Scratch Sheet'!V63)&lt;0.01),$CG$72,0)</f>
        <v>0.02</v>
      </c>
      <c r="CV137" s="5" t="s">
        <v>550</v>
      </c>
      <c r="CW137" s="5" t="s">
        <v>550</v>
      </c>
      <c r="CX137" s="5">
        <f ca="1">IF(AND('Budgeting Model'!Y63&lt;&gt;"",ABS('Budgeting Model'!Y63-'Scratch Sheet'!Y63)&lt;0.01),$CG$72,0)</f>
        <v>0.02</v>
      </c>
      <c r="CY137" s="5" t="s">
        <v>550</v>
      </c>
      <c r="CZ137" s="5">
        <f ca="1">IF(AND('Budgeting Model'!AA63&lt;&gt;"",ABS('Budgeting Model'!AA63-'Scratch Sheet'!AA63)&lt;0.01),$CG$72,0)</f>
        <v>0.02</v>
      </c>
      <c r="DA137" s="5" t="s">
        <v>550</v>
      </c>
      <c r="DB137" s="5">
        <f ca="1">IF(AND('Budgeting Model'!AC63="",'Budgeting Model'!AC63&lt;&gt;'Scratch Sheet'!AC63),0,$CG$72)</f>
        <v>0.02</v>
      </c>
      <c r="DC137" s="5" t="s">
        <v>550</v>
      </c>
      <c r="DD137" s="5">
        <f ca="1">IF(AND('Budgeting Model'!AE63&lt;&gt;"",ABS('Budgeting Model'!AE63-'Scratch Sheet'!AE63)&lt;0.01),$CG$72,0)</f>
        <v>0.02</v>
      </c>
      <c r="DE137" s="5">
        <f ca="1">IF(AND('Budgeting Model'!AF63&lt;&gt;"",ABS('Budgeting Model'!AF63-'Scratch Sheet'!AF63)&lt;0.01),$CG$72,0)</f>
        <v>0.02</v>
      </c>
      <c r="DF137" s="5">
        <f ca="1">IF(AND('Budgeting Model'!AG63&lt;&gt;"",ABS('Budgeting Model'!AG63-'Scratch Sheet'!AG63)&lt;0.01),$CG$72,0)</f>
        <v>0.02</v>
      </c>
      <c r="DG137" s="5">
        <f ca="1">IF(AND('Budgeting Model'!AH63&lt;&gt;"",ABS('Budgeting Model'!AH63-'Scratch Sheet'!AH63)&lt;0.01),$CG$72,0)</f>
        <v>0.02</v>
      </c>
      <c r="DH137" s="5">
        <f ca="1">IF(AND('Budgeting Model'!AI63&lt;&gt;"",ABS('Budgeting Model'!AI63-'Scratch Sheet'!AI63)&lt;0.01),$CG$72,0)</f>
        <v>0.02</v>
      </c>
      <c r="DI137" s="5">
        <f ca="1">IF(AND('Budgeting Model'!AJ63&lt;&gt;"",ABS('Budgeting Model'!AJ63-'Scratch Sheet'!AJ63)&lt;0.01),$CG$72,0)</f>
        <v>0.02</v>
      </c>
      <c r="DJ137" s="5">
        <f ca="1">IF(AND('Budgeting Model'!AK63&lt;&gt;"",ABS('Budgeting Model'!AK63-'Scratch Sheet'!AK63)&lt;0.01),$CG$72,0)</f>
        <v>0.02</v>
      </c>
      <c r="DK137" s="5" t="s">
        <v>550</v>
      </c>
      <c r="DL137" s="5">
        <f ca="1">IF(AND('Budgeting Model'!AM63&lt;&gt;"",ABS('Budgeting Model'!AM63-'Scratch Sheet'!AM63)&lt;0.01),$CG$72,0)</f>
        <v>0.02</v>
      </c>
      <c r="DM137" s="5">
        <f ca="1">IF(AND('Budgeting Model'!AN63&lt;&gt;"",ABS('Budgeting Model'!AN63-'Scratch Sheet'!AN63)&lt;0.01),$CG$72,0)</f>
        <v>0.02</v>
      </c>
      <c r="DN137" s="5">
        <f ca="1">IF(AND('Budgeting Model'!AO63&lt;&gt;"",ABS('Budgeting Model'!AO63-'Scratch Sheet'!AO63)&lt;0.01),$CG$72,0)</f>
        <v>0.02</v>
      </c>
      <c r="DO137" s="5">
        <f ca="1">IF(AND('Budgeting Model'!AP63&lt;&gt;"",ABS('Budgeting Model'!AP63-'Scratch Sheet'!AP63)&lt;0.01),$CG$72,0)</f>
        <v>0.02</v>
      </c>
    </row>
    <row r="138" spans="2:119">
      <c r="CA138" s="5">
        <f>IF(AND('Budgeting Model'!B64&lt;&gt;"",'Budgeting Model'!B64='Scratch Sheet'!B64),$CG$72,0)</f>
        <v>0.02</v>
      </c>
      <c r="CB138" s="5">
        <f ca="1">IF(AND('Budgeting Model'!C64&lt;&gt;"",'Budgeting Model'!C64='Scratch Sheet'!C64),$CG$72,0)</f>
        <v>0.02</v>
      </c>
      <c r="CC138" s="5">
        <f>IF(AND('Budgeting Model'!D64&lt;&gt;"",'Budgeting Model'!D64='Scratch Sheet'!D64),$CG$72,0)</f>
        <v>0.02</v>
      </c>
      <c r="CD138" s="5">
        <f ca="1">IF(OR(AND('Budgeting Model'!E64="",'Budgeting Model'!D64&lt;&gt;"Vacant"),'Budgeting Model'!E64&lt;&gt;'Scratch Sheet'!E64),0,$CG$72)</f>
        <v>0.02</v>
      </c>
      <c r="CE138" s="5">
        <f ca="1">IF(AND('Budgeting Model'!F64&lt;&gt;"",'Budgeting Model'!F64='Scratch Sheet'!F64),$CG$72,0)</f>
        <v>0.02</v>
      </c>
      <c r="CF138" s="5">
        <f ca="1">IF(AND('Budgeting Model'!G64&lt;&gt;"",ABS('Budgeting Model'!G64-'Scratch Sheet'!G64)&lt;0.01),$CG$72,0)</f>
        <v>0.02</v>
      </c>
      <c r="CG138" s="5" t="s">
        <v>550</v>
      </c>
      <c r="CH138" s="5" t="s">
        <v>550</v>
      </c>
      <c r="CI138" s="5">
        <f ca="1">IF(AND('Budgeting Model'!J64&lt;&gt;"",ABS('Budgeting Model'!J64-'Scratch Sheet'!J64)&lt;0.01),$CG$72,0)</f>
        <v>0.02</v>
      </c>
      <c r="CJ138" s="5" t="s">
        <v>550</v>
      </c>
      <c r="CK138" s="5">
        <f ca="1">IF(AND('Budgeting Model'!L64&lt;&gt;"",ABS('Budgeting Model'!L64-'Scratch Sheet'!L64)&lt;0.01),$CG$72,0)</f>
        <v>0.02</v>
      </c>
      <c r="CL138" s="5" t="s">
        <v>550</v>
      </c>
      <c r="CM138" s="5">
        <f ca="1">IF(AND('Budgeting Model'!N64="",'Budgeting Model'!N64&lt;&gt;'Scratch Sheet'!N64),0,$CG$72)</f>
        <v>0.02</v>
      </c>
      <c r="CN138" s="5" t="s">
        <v>550</v>
      </c>
      <c r="CO138" s="5">
        <f ca="1">IF(AND('Budgeting Model'!P64&lt;&gt;"",ABS('Budgeting Model'!P64-'Scratch Sheet'!P64)&lt;0.01),$CG$72,0)</f>
        <v>0.02</v>
      </c>
      <c r="CP138" s="5">
        <f ca="1">IF(AND('Budgeting Model'!Q64&lt;&gt;"",ABS('Budgeting Model'!Q64-'Scratch Sheet'!Q64)&lt;0.01),$CG$72,0)</f>
        <v>0.02</v>
      </c>
      <c r="CQ138" s="5">
        <f ca="1">IF(AND('Budgeting Model'!R64&lt;&gt;"",ABS('Budgeting Model'!R64-'Scratch Sheet'!R64)&lt;0.01),$CG$72,0)</f>
        <v>0.02</v>
      </c>
      <c r="CR138" s="5">
        <f ca="1">IF(AND('Budgeting Model'!S64&lt;&gt;"",ABS('Budgeting Model'!S64-'Scratch Sheet'!S64)&lt;0.01),$CG$72,0)</f>
        <v>0.02</v>
      </c>
      <c r="CS138" s="5">
        <f ca="1">IF(AND('Budgeting Model'!T64&lt;&gt;"",ABS('Budgeting Model'!T64-'Scratch Sheet'!T64)&lt;0.01),$CG$72,0)</f>
        <v>0.02</v>
      </c>
      <c r="CT138" s="5">
        <f ca="1">IF(AND('Budgeting Model'!U64&lt;&gt;"",ABS('Budgeting Model'!U64-'Scratch Sheet'!U64)&lt;0.01),$CG$72,0)</f>
        <v>0.02</v>
      </c>
      <c r="CU138" s="5">
        <f ca="1">IF(AND('Budgeting Model'!V64&lt;&gt;"",ABS('Budgeting Model'!V64-'Scratch Sheet'!V64)&lt;0.01),$CG$72,0)</f>
        <v>0.02</v>
      </c>
      <c r="CV138" s="5" t="s">
        <v>550</v>
      </c>
      <c r="CW138" s="5" t="s">
        <v>550</v>
      </c>
      <c r="CX138" s="5">
        <f ca="1">IF(AND('Budgeting Model'!Y64&lt;&gt;"",ABS('Budgeting Model'!Y64-'Scratch Sheet'!Y64)&lt;0.01),$CG$72,0)</f>
        <v>0.02</v>
      </c>
      <c r="CY138" s="5" t="s">
        <v>550</v>
      </c>
      <c r="CZ138" s="5">
        <f ca="1">IF(AND('Budgeting Model'!AA64&lt;&gt;"",ABS('Budgeting Model'!AA64-'Scratch Sheet'!AA64)&lt;0.01),$CG$72,0)</f>
        <v>0.02</v>
      </c>
      <c r="DA138" s="5" t="s">
        <v>550</v>
      </c>
      <c r="DB138" s="5">
        <f>IF(AND('Budgeting Model'!AC64="",'Budgeting Model'!AC64&lt;&gt;'Scratch Sheet'!AC64),0,$CG$72)</f>
        <v>0.02</v>
      </c>
      <c r="DC138" s="5" t="s">
        <v>550</v>
      </c>
      <c r="DD138" s="5">
        <f ca="1">IF(AND('Budgeting Model'!AE64&lt;&gt;"",ABS('Budgeting Model'!AE64-'Scratch Sheet'!AE64)&lt;0.01),$CG$72,0)</f>
        <v>0.02</v>
      </c>
      <c r="DE138" s="5">
        <f ca="1">IF(AND('Budgeting Model'!AF64&lt;&gt;"",ABS('Budgeting Model'!AF64-'Scratch Sheet'!AF64)&lt;0.01),$CG$72,0)</f>
        <v>0.02</v>
      </c>
      <c r="DF138" s="5">
        <f ca="1">IF(AND('Budgeting Model'!AG64&lt;&gt;"",ABS('Budgeting Model'!AG64-'Scratch Sheet'!AG64)&lt;0.01),$CG$72,0)</f>
        <v>0.02</v>
      </c>
      <c r="DG138" s="5">
        <f ca="1">IF(AND('Budgeting Model'!AH64&lt;&gt;"",ABS('Budgeting Model'!AH64-'Scratch Sheet'!AH64)&lt;0.01),$CG$72,0)</f>
        <v>0.02</v>
      </c>
      <c r="DH138" s="5">
        <f ca="1">IF(AND('Budgeting Model'!AI64&lt;&gt;"",ABS('Budgeting Model'!AI64-'Scratch Sheet'!AI64)&lt;0.01),$CG$72,0)</f>
        <v>0.02</v>
      </c>
      <c r="DI138" s="5">
        <f ca="1">IF(AND('Budgeting Model'!AJ64&lt;&gt;"",ABS('Budgeting Model'!AJ64-'Scratch Sheet'!AJ64)&lt;0.01),$CG$72,0)</f>
        <v>0.02</v>
      </c>
      <c r="DJ138" s="5">
        <f ca="1">IF(AND('Budgeting Model'!AK64&lt;&gt;"",ABS('Budgeting Model'!AK64-'Scratch Sheet'!AK64)&lt;0.01),$CG$72,0)</f>
        <v>0.02</v>
      </c>
      <c r="DK138" s="5" t="s">
        <v>550</v>
      </c>
      <c r="DL138" s="5">
        <f ca="1">IF(AND('Budgeting Model'!AM64&lt;&gt;"",ABS('Budgeting Model'!AM64-'Scratch Sheet'!AM64)&lt;0.01),$CG$72,0)</f>
        <v>0.02</v>
      </c>
      <c r="DM138" s="5">
        <f ca="1">IF(AND('Budgeting Model'!AN64&lt;&gt;"",ABS('Budgeting Model'!AN64-'Scratch Sheet'!AN64)&lt;0.01),$CG$72,0)</f>
        <v>0.02</v>
      </c>
      <c r="DN138" s="5">
        <f ca="1">IF(AND('Budgeting Model'!AO64&lt;&gt;"",ABS('Budgeting Model'!AO64-'Scratch Sheet'!AO64)&lt;0.01),$CG$72,0)</f>
        <v>0.02</v>
      </c>
      <c r="DO138" s="5">
        <f ca="1">IF(AND('Budgeting Model'!AP64&lt;&gt;"",ABS('Budgeting Model'!AP64-'Scratch Sheet'!AP64)&lt;0.01),$CG$72,0)</f>
        <v>0.02</v>
      </c>
    </row>
    <row r="139" spans="2:119">
      <c r="CA139" s="5">
        <f>IF(AND('Budgeting Model'!B65&lt;&gt;"",'Budgeting Model'!B65='Scratch Sheet'!B65),$CG$72,0)</f>
        <v>0.02</v>
      </c>
      <c r="CB139" s="5">
        <f ca="1">IF(AND('Budgeting Model'!C65&lt;&gt;"",'Budgeting Model'!C65='Scratch Sheet'!C65),$CG$72,0)</f>
        <v>0.02</v>
      </c>
      <c r="CC139" s="5">
        <f>IF(AND('Budgeting Model'!D65&lt;&gt;"",'Budgeting Model'!D65='Scratch Sheet'!D65),$CG$72,0)</f>
        <v>0.02</v>
      </c>
      <c r="CD139" s="5">
        <f ca="1">IF(OR(AND('Budgeting Model'!E65="",'Budgeting Model'!D65&lt;&gt;"Vacant"),'Budgeting Model'!E65&lt;&gt;'Scratch Sheet'!E65),0,$CG$72)</f>
        <v>0.02</v>
      </c>
      <c r="CE139" s="5">
        <f ca="1">IF(AND('Budgeting Model'!F65&lt;&gt;"",'Budgeting Model'!F65='Scratch Sheet'!F65),$CG$72,0)</f>
        <v>0.02</v>
      </c>
      <c r="CF139" s="5">
        <f ca="1">IF(AND('Budgeting Model'!G65&lt;&gt;"",ABS('Budgeting Model'!G65-'Scratch Sheet'!G65)&lt;0.01),$CG$72,0)</f>
        <v>0.02</v>
      </c>
      <c r="CG139" s="5" t="s">
        <v>550</v>
      </c>
      <c r="CH139" s="5" t="s">
        <v>550</v>
      </c>
      <c r="CI139" s="5">
        <f ca="1">IF(AND('Budgeting Model'!J65&lt;&gt;"",ABS('Budgeting Model'!J65-'Scratch Sheet'!J65)&lt;0.01),$CG$72,0)</f>
        <v>0.02</v>
      </c>
      <c r="CJ139" s="5" t="s">
        <v>550</v>
      </c>
      <c r="CK139" s="5">
        <f ca="1">IF(AND('Budgeting Model'!L65&lt;&gt;"",ABS('Budgeting Model'!L65-'Scratch Sheet'!L65)&lt;0.01),$CG$72,0)</f>
        <v>0.02</v>
      </c>
      <c r="CL139" s="5" t="s">
        <v>550</v>
      </c>
      <c r="CM139" s="5">
        <f ca="1">IF(AND('Budgeting Model'!N65="",'Budgeting Model'!N65&lt;&gt;'Scratch Sheet'!N65),0,$CG$72)</f>
        <v>0.02</v>
      </c>
      <c r="CN139" s="5" t="s">
        <v>550</v>
      </c>
      <c r="CO139" s="5">
        <f ca="1">IF(AND('Budgeting Model'!P65&lt;&gt;"",ABS('Budgeting Model'!P65-'Scratch Sheet'!P65)&lt;0.01),$CG$72,0)</f>
        <v>0.02</v>
      </c>
      <c r="CP139" s="5">
        <f ca="1">IF(AND('Budgeting Model'!Q65&lt;&gt;"",ABS('Budgeting Model'!Q65-'Scratch Sheet'!Q65)&lt;0.01),$CG$72,0)</f>
        <v>0.02</v>
      </c>
      <c r="CQ139" s="5">
        <f ca="1">IF(AND('Budgeting Model'!R65&lt;&gt;"",ABS('Budgeting Model'!R65-'Scratch Sheet'!R65)&lt;0.01),$CG$72,0)</f>
        <v>0.02</v>
      </c>
      <c r="CR139" s="5">
        <f ca="1">IF(AND('Budgeting Model'!S65&lt;&gt;"",ABS('Budgeting Model'!S65-'Scratch Sheet'!S65)&lt;0.01),$CG$72,0)</f>
        <v>0.02</v>
      </c>
      <c r="CS139" s="5">
        <f ca="1">IF(AND('Budgeting Model'!T65&lt;&gt;"",ABS('Budgeting Model'!T65-'Scratch Sheet'!T65)&lt;0.01),$CG$72,0)</f>
        <v>0.02</v>
      </c>
      <c r="CT139" s="5">
        <f ca="1">IF(AND('Budgeting Model'!U65&lt;&gt;"",ABS('Budgeting Model'!U65-'Scratch Sheet'!U65)&lt;0.01),$CG$72,0)</f>
        <v>0.02</v>
      </c>
      <c r="CU139" s="5">
        <f ca="1">IF(AND('Budgeting Model'!V65&lt;&gt;"",ABS('Budgeting Model'!V65-'Scratch Sheet'!V65)&lt;0.01),$CG$72,0)</f>
        <v>0.02</v>
      </c>
      <c r="CV139" s="5" t="s">
        <v>550</v>
      </c>
      <c r="CW139" s="5" t="s">
        <v>550</v>
      </c>
      <c r="CX139" s="5">
        <f ca="1">IF(AND('Budgeting Model'!Y65&lt;&gt;"",ABS('Budgeting Model'!Y65-'Scratch Sheet'!Y65)&lt;0.01),$CG$72,0)</f>
        <v>0.02</v>
      </c>
      <c r="CY139" s="5" t="s">
        <v>550</v>
      </c>
      <c r="CZ139" s="5">
        <f ca="1">IF(AND('Budgeting Model'!AA65&lt;&gt;"",ABS('Budgeting Model'!AA65-'Scratch Sheet'!AA65)&lt;0.01),$CG$72,0)</f>
        <v>0.02</v>
      </c>
      <c r="DA139" s="5" t="s">
        <v>550</v>
      </c>
      <c r="DB139" s="5">
        <f ca="1">IF(AND('Budgeting Model'!AC65="",'Budgeting Model'!AC65&lt;&gt;'Scratch Sheet'!AC65),0,$CG$72)</f>
        <v>0.02</v>
      </c>
      <c r="DC139" s="5" t="s">
        <v>550</v>
      </c>
      <c r="DD139" s="5">
        <f ca="1">IF(AND('Budgeting Model'!AE65&lt;&gt;"",ABS('Budgeting Model'!AE65-'Scratch Sheet'!AE65)&lt;0.01),$CG$72,0)</f>
        <v>0.02</v>
      </c>
      <c r="DE139" s="5">
        <f ca="1">IF(AND('Budgeting Model'!AF65&lt;&gt;"",ABS('Budgeting Model'!AF65-'Scratch Sheet'!AF65)&lt;0.01),$CG$72,0)</f>
        <v>0.02</v>
      </c>
      <c r="DF139" s="5">
        <f ca="1">IF(AND('Budgeting Model'!AG65&lt;&gt;"",ABS('Budgeting Model'!AG65-'Scratch Sheet'!AG65)&lt;0.01),$CG$72,0)</f>
        <v>0.02</v>
      </c>
      <c r="DG139" s="5">
        <f ca="1">IF(AND('Budgeting Model'!AH65&lt;&gt;"",ABS('Budgeting Model'!AH65-'Scratch Sheet'!AH65)&lt;0.01),$CG$72,0)</f>
        <v>0.02</v>
      </c>
      <c r="DH139" s="5">
        <f ca="1">IF(AND('Budgeting Model'!AI65&lt;&gt;"",ABS('Budgeting Model'!AI65-'Scratch Sheet'!AI65)&lt;0.01),$CG$72,0)</f>
        <v>0.02</v>
      </c>
      <c r="DI139" s="5">
        <f ca="1">IF(AND('Budgeting Model'!AJ65&lt;&gt;"",ABS('Budgeting Model'!AJ65-'Scratch Sheet'!AJ65)&lt;0.01),$CG$72,0)</f>
        <v>0.02</v>
      </c>
      <c r="DJ139" s="5">
        <f ca="1">IF(AND('Budgeting Model'!AK65&lt;&gt;"",ABS('Budgeting Model'!AK65-'Scratch Sheet'!AK65)&lt;0.01),$CG$72,0)</f>
        <v>0.02</v>
      </c>
      <c r="DK139" s="5" t="s">
        <v>550</v>
      </c>
      <c r="DL139" s="5">
        <f ca="1">IF(AND('Budgeting Model'!AM65&lt;&gt;"",ABS('Budgeting Model'!AM65-'Scratch Sheet'!AM65)&lt;0.01),$CG$72,0)</f>
        <v>0.02</v>
      </c>
      <c r="DM139" s="5">
        <f ca="1">IF(AND('Budgeting Model'!AN65&lt;&gt;"",ABS('Budgeting Model'!AN65-'Scratch Sheet'!AN65)&lt;0.01),$CG$72,0)</f>
        <v>0.02</v>
      </c>
      <c r="DN139" s="5">
        <f ca="1">IF(AND('Budgeting Model'!AO65&lt;&gt;"",ABS('Budgeting Model'!AO65-'Scratch Sheet'!AO65)&lt;0.01),$CG$72,0)</f>
        <v>0.02</v>
      </c>
      <c r="DO139" s="5">
        <f ca="1">IF(AND('Budgeting Model'!AP65&lt;&gt;"",ABS('Budgeting Model'!AP65-'Scratch Sheet'!AP65)&lt;0.01),$CG$72,0)</f>
        <v>0.02</v>
      </c>
    </row>
    <row r="140" spans="2:119">
      <c r="CA140" s="5">
        <f>IF(AND('Budgeting Model'!B66&lt;&gt;"",'Budgeting Model'!B66='Scratch Sheet'!B66),$CG$72,0)</f>
        <v>0.02</v>
      </c>
      <c r="CB140" s="5">
        <f ca="1">IF(AND('Budgeting Model'!C66&lt;&gt;"",'Budgeting Model'!C66='Scratch Sheet'!C66),$CG$72,0)</f>
        <v>0.02</v>
      </c>
      <c r="CC140" s="5">
        <f>IF(AND('Budgeting Model'!D66&lt;&gt;"",'Budgeting Model'!D66='Scratch Sheet'!D66),$CG$72,0)</f>
        <v>0.02</v>
      </c>
      <c r="CD140" s="5">
        <f ca="1">IF(OR(AND('Budgeting Model'!E66="",'Budgeting Model'!D66&lt;&gt;"Vacant"),'Budgeting Model'!E66&lt;&gt;'Scratch Sheet'!E66),0,$CG$72)</f>
        <v>0.02</v>
      </c>
      <c r="CE140" s="5">
        <f ca="1">IF(AND('Budgeting Model'!F66&lt;&gt;"",'Budgeting Model'!F66='Scratch Sheet'!F66),$CG$72,0)</f>
        <v>0.02</v>
      </c>
      <c r="CF140" s="5">
        <f ca="1">IF(AND('Budgeting Model'!G66&lt;&gt;"",ABS('Budgeting Model'!G66-'Scratch Sheet'!G66)&lt;0.01),$CG$72,0)</f>
        <v>0.02</v>
      </c>
      <c r="CG140" s="5" t="s">
        <v>550</v>
      </c>
      <c r="CH140" s="5" t="s">
        <v>550</v>
      </c>
      <c r="CI140" s="5">
        <f ca="1">IF(AND('Budgeting Model'!J66&lt;&gt;"",ABS('Budgeting Model'!J66-'Scratch Sheet'!J66)&lt;0.01),$CG$72,0)</f>
        <v>0.02</v>
      </c>
      <c r="CJ140" s="5" t="s">
        <v>550</v>
      </c>
      <c r="CK140" s="5">
        <f ca="1">IF(AND('Budgeting Model'!L66&lt;&gt;"",ABS('Budgeting Model'!L66-'Scratch Sheet'!L66)&lt;0.01),$CG$72,0)</f>
        <v>0.02</v>
      </c>
      <c r="CL140" s="5" t="s">
        <v>550</v>
      </c>
      <c r="CM140" s="5">
        <f ca="1">IF(AND('Budgeting Model'!N66="",'Budgeting Model'!N66&lt;&gt;'Scratch Sheet'!N66),0,$CG$72)</f>
        <v>0.02</v>
      </c>
      <c r="CN140" s="5" t="s">
        <v>550</v>
      </c>
      <c r="CO140" s="5">
        <f ca="1">IF(AND('Budgeting Model'!P66&lt;&gt;"",ABS('Budgeting Model'!P66-'Scratch Sheet'!P66)&lt;0.01),$CG$72,0)</f>
        <v>0.02</v>
      </c>
      <c r="CP140" s="5">
        <f ca="1">IF(AND('Budgeting Model'!Q66&lt;&gt;"",ABS('Budgeting Model'!Q66-'Scratch Sheet'!Q66)&lt;0.01),$CG$72,0)</f>
        <v>0.02</v>
      </c>
      <c r="CQ140" s="5">
        <f ca="1">IF(AND('Budgeting Model'!R66&lt;&gt;"",ABS('Budgeting Model'!R66-'Scratch Sheet'!R66)&lt;0.01),$CG$72,0)</f>
        <v>0.02</v>
      </c>
      <c r="CR140" s="5">
        <f ca="1">IF(AND('Budgeting Model'!S66&lt;&gt;"",ABS('Budgeting Model'!S66-'Scratch Sheet'!S66)&lt;0.01),$CG$72,0)</f>
        <v>0.02</v>
      </c>
      <c r="CS140" s="5">
        <f ca="1">IF(AND('Budgeting Model'!T66&lt;&gt;"",ABS('Budgeting Model'!T66-'Scratch Sheet'!T66)&lt;0.01),$CG$72,0)</f>
        <v>0.02</v>
      </c>
      <c r="CT140" s="5">
        <f ca="1">IF(AND('Budgeting Model'!U66&lt;&gt;"",ABS('Budgeting Model'!U66-'Scratch Sheet'!U66)&lt;0.01),$CG$72,0)</f>
        <v>0.02</v>
      </c>
      <c r="CU140" s="5">
        <f ca="1">IF(AND('Budgeting Model'!V66&lt;&gt;"",ABS('Budgeting Model'!V66-'Scratch Sheet'!V66)&lt;0.01),$CG$72,0)</f>
        <v>0.02</v>
      </c>
      <c r="CV140" s="5" t="s">
        <v>550</v>
      </c>
      <c r="CW140" s="5" t="s">
        <v>550</v>
      </c>
      <c r="CX140" s="5">
        <f ca="1">IF(AND('Budgeting Model'!Y66&lt;&gt;"",ABS('Budgeting Model'!Y66-'Scratch Sheet'!Y66)&lt;0.01),$CG$72,0)</f>
        <v>0.02</v>
      </c>
      <c r="CY140" s="5" t="s">
        <v>550</v>
      </c>
      <c r="CZ140" s="5">
        <f ca="1">IF(AND('Budgeting Model'!AA66&lt;&gt;"",ABS('Budgeting Model'!AA66-'Scratch Sheet'!AA66)&lt;0.01),$CG$72,0)</f>
        <v>0.02</v>
      </c>
      <c r="DA140" s="5" t="s">
        <v>550</v>
      </c>
      <c r="DB140" s="5">
        <f ca="1">IF(AND('Budgeting Model'!AC66="",'Budgeting Model'!AC66&lt;&gt;'Scratch Sheet'!AC66),0,$CG$72)</f>
        <v>0.02</v>
      </c>
      <c r="DC140" s="5" t="s">
        <v>550</v>
      </c>
      <c r="DD140" s="5">
        <f ca="1">IF(AND('Budgeting Model'!AE66&lt;&gt;"",ABS('Budgeting Model'!AE66-'Scratch Sheet'!AE66)&lt;0.01),$CG$72,0)</f>
        <v>0.02</v>
      </c>
      <c r="DE140" s="5">
        <f ca="1">IF(AND('Budgeting Model'!AF66&lt;&gt;"",ABS('Budgeting Model'!AF66-'Scratch Sheet'!AF66)&lt;0.01),$CG$72,0)</f>
        <v>0.02</v>
      </c>
      <c r="DF140" s="5">
        <f ca="1">IF(AND('Budgeting Model'!AG66&lt;&gt;"",ABS('Budgeting Model'!AG66-'Scratch Sheet'!AG66)&lt;0.01),$CG$72,0)</f>
        <v>0.02</v>
      </c>
      <c r="DG140" s="5">
        <f ca="1">IF(AND('Budgeting Model'!AH66&lt;&gt;"",ABS('Budgeting Model'!AH66-'Scratch Sheet'!AH66)&lt;0.01),$CG$72,0)</f>
        <v>0.02</v>
      </c>
      <c r="DH140" s="5">
        <f ca="1">IF(AND('Budgeting Model'!AI66&lt;&gt;"",ABS('Budgeting Model'!AI66-'Scratch Sheet'!AI66)&lt;0.01),$CG$72,0)</f>
        <v>0.02</v>
      </c>
      <c r="DI140" s="5">
        <f ca="1">IF(AND('Budgeting Model'!AJ66&lt;&gt;"",ABS('Budgeting Model'!AJ66-'Scratch Sheet'!AJ66)&lt;0.01),$CG$72,0)</f>
        <v>0.02</v>
      </c>
      <c r="DJ140" s="5">
        <f ca="1">IF(AND('Budgeting Model'!AK66&lt;&gt;"",ABS('Budgeting Model'!AK66-'Scratch Sheet'!AK66)&lt;0.01),$CG$72,0)</f>
        <v>0.02</v>
      </c>
      <c r="DK140" s="5" t="s">
        <v>550</v>
      </c>
      <c r="DL140" s="5">
        <f ca="1">IF(AND('Budgeting Model'!AM66&lt;&gt;"",ABS('Budgeting Model'!AM66-'Scratch Sheet'!AM66)&lt;0.01),$CG$72,0)</f>
        <v>0.02</v>
      </c>
      <c r="DM140" s="5">
        <f ca="1">IF(AND('Budgeting Model'!AN66&lt;&gt;"",ABS('Budgeting Model'!AN66-'Scratch Sheet'!AN66)&lt;0.01),$CG$72,0)</f>
        <v>0.02</v>
      </c>
      <c r="DN140" s="5">
        <f ca="1">IF(AND('Budgeting Model'!AO66&lt;&gt;"",ABS('Budgeting Model'!AO66-'Scratch Sheet'!AO66)&lt;0.01),$CG$72,0)</f>
        <v>0.02</v>
      </c>
      <c r="DO140" s="5">
        <f ca="1">IF(AND('Budgeting Model'!AP66&lt;&gt;"",ABS('Budgeting Model'!AP66-'Scratch Sheet'!AP66)&lt;0.01),$CG$72,0)</f>
        <v>0.02</v>
      </c>
    </row>
    <row r="141" spans="2:119">
      <c r="CA141" s="5">
        <f>IF(AND('Budgeting Model'!B67&lt;&gt;"",'Budgeting Model'!B67='Scratch Sheet'!B67),$CG$72,0)</f>
        <v>0.02</v>
      </c>
      <c r="CB141" s="5">
        <f ca="1">IF(AND('Budgeting Model'!C67&lt;&gt;"",'Budgeting Model'!C67='Scratch Sheet'!C67),$CG$72,0)</f>
        <v>0.02</v>
      </c>
      <c r="CC141" s="5">
        <f>IF(AND('Budgeting Model'!D67&lt;&gt;"",'Budgeting Model'!D67='Scratch Sheet'!D67),$CG$72,0)</f>
        <v>0.02</v>
      </c>
      <c r="CD141" s="5">
        <f ca="1">IF(OR(AND('Budgeting Model'!E67="",'Budgeting Model'!D67&lt;&gt;"Vacant"),'Budgeting Model'!E67&lt;&gt;'Scratch Sheet'!E67),0,$CG$72)</f>
        <v>0.02</v>
      </c>
      <c r="CE141" s="5">
        <f ca="1">IF(AND('Budgeting Model'!F67&lt;&gt;"",'Budgeting Model'!F67='Scratch Sheet'!F67),$CG$72,0)</f>
        <v>0.02</v>
      </c>
      <c r="CF141" s="5">
        <f ca="1">IF(AND('Budgeting Model'!G67&lt;&gt;"",ABS('Budgeting Model'!G67-'Scratch Sheet'!G67)&lt;0.01),$CG$72,0)</f>
        <v>0.02</v>
      </c>
      <c r="CG141" s="5" t="s">
        <v>550</v>
      </c>
      <c r="CH141" s="5" t="s">
        <v>550</v>
      </c>
      <c r="CI141" s="5">
        <f ca="1">IF(AND('Budgeting Model'!J67&lt;&gt;"",ABS('Budgeting Model'!J67-'Scratch Sheet'!J67)&lt;0.01),$CG$72,0)</f>
        <v>0.02</v>
      </c>
      <c r="CJ141" s="5" t="s">
        <v>550</v>
      </c>
      <c r="CK141" s="5">
        <f ca="1">IF(AND('Budgeting Model'!L67&lt;&gt;"",ABS('Budgeting Model'!L67-'Scratch Sheet'!L67)&lt;0.01),$CG$72,0)</f>
        <v>0.02</v>
      </c>
      <c r="CL141" s="5" t="s">
        <v>550</v>
      </c>
      <c r="CM141" s="5">
        <f ca="1">IF(AND('Budgeting Model'!N67="",'Budgeting Model'!N67&lt;&gt;'Scratch Sheet'!N67),0,$CG$72)</f>
        <v>0.02</v>
      </c>
      <c r="CN141" s="5" t="s">
        <v>550</v>
      </c>
      <c r="CO141" s="5">
        <f ca="1">IF(AND('Budgeting Model'!P67&lt;&gt;"",ABS('Budgeting Model'!P67-'Scratch Sheet'!P67)&lt;0.01),$CG$72,0)</f>
        <v>0.02</v>
      </c>
      <c r="CP141" s="5">
        <f ca="1">IF(AND('Budgeting Model'!Q67&lt;&gt;"",ABS('Budgeting Model'!Q67-'Scratch Sheet'!Q67)&lt;0.01),$CG$72,0)</f>
        <v>0.02</v>
      </c>
      <c r="CQ141" s="5">
        <f ca="1">IF(AND('Budgeting Model'!R67&lt;&gt;"",ABS('Budgeting Model'!R67-'Scratch Sheet'!R67)&lt;0.01),$CG$72,0)</f>
        <v>0.02</v>
      </c>
      <c r="CR141" s="5">
        <f ca="1">IF(AND('Budgeting Model'!S67&lt;&gt;"",ABS('Budgeting Model'!S67-'Scratch Sheet'!S67)&lt;0.01),$CG$72,0)</f>
        <v>0.02</v>
      </c>
      <c r="CS141" s="5">
        <f ca="1">IF(AND('Budgeting Model'!T67&lt;&gt;"",ABS('Budgeting Model'!T67-'Scratch Sheet'!T67)&lt;0.01),$CG$72,0)</f>
        <v>0.02</v>
      </c>
      <c r="CT141" s="5">
        <f ca="1">IF(AND('Budgeting Model'!U67&lt;&gt;"",ABS('Budgeting Model'!U67-'Scratch Sheet'!U67)&lt;0.01),$CG$72,0)</f>
        <v>0.02</v>
      </c>
      <c r="CU141" s="5">
        <f ca="1">IF(AND('Budgeting Model'!V67&lt;&gt;"",ABS('Budgeting Model'!V67-'Scratch Sheet'!V67)&lt;0.01),$CG$72,0)</f>
        <v>0.02</v>
      </c>
      <c r="CV141" s="5" t="s">
        <v>550</v>
      </c>
      <c r="CW141" s="5" t="s">
        <v>550</v>
      </c>
      <c r="CX141" s="5">
        <f ca="1">IF(AND('Budgeting Model'!Y67&lt;&gt;"",ABS('Budgeting Model'!Y67-'Scratch Sheet'!Y67)&lt;0.01),$CG$72,0)</f>
        <v>0.02</v>
      </c>
      <c r="CY141" s="5" t="s">
        <v>550</v>
      </c>
      <c r="CZ141" s="5">
        <f ca="1">IF(AND('Budgeting Model'!AA67&lt;&gt;"",ABS('Budgeting Model'!AA67-'Scratch Sheet'!AA67)&lt;0.01),$CG$72,0)</f>
        <v>0.02</v>
      </c>
      <c r="DA141" s="5" t="s">
        <v>550</v>
      </c>
      <c r="DB141" s="5">
        <f ca="1">IF(AND('Budgeting Model'!AC67="",'Budgeting Model'!AC67&lt;&gt;'Scratch Sheet'!AC67),0,$CG$72)</f>
        <v>0.02</v>
      </c>
      <c r="DC141" s="5" t="s">
        <v>550</v>
      </c>
      <c r="DD141" s="5">
        <f ca="1">IF(AND('Budgeting Model'!AE67&lt;&gt;"",ABS('Budgeting Model'!AE67-'Scratch Sheet'!AE67)&lt;0.01),$CG$72,0)</f>
        <v>0.02</v>
      </c>
      <c r="DE141" s="5">
        <f ca="1">IF(AND('Budgeting Model'!AF67&lt;&gt;"",ABS('Budgeting Model'!AF67-'Scratch Sheet'!AF67)&lt;0.01),$CG$72,0)</f>
        <v>0.02</v>
      </c>
      <c r="DF141" s="5">
        <f ca="1">IF(AND('Budgeting Model'!AG67&lt;&gt;"",ABS('Budgeting Model'!AG67-'Scratch Sheet'!AG67)&lt;0.01),$CG$72,0)</f>
        <v>0.02</v>
      </c>
      <c r="DG141" s="5">
        <f ca="1">IF(AND('Budgeting Model'!AH67&lt;&gt;"",ABS('Budgeting Model'!AH67-'Scratch Sheet'!AH67)&lt;0.01),$CG$72,0)</f>
        <v>0.02</v>
      </c>
      <c r="DH141" s="5">
        <f ca="1">IF(AND('Budgeting Model'!AI67&lt;&gt;"",ABS('Budgeting Model'!AI67-'Scratch Sheet'!AI67)&lt;0.01),$CG$72,0)</f>
        <v>0.02</v>
      </c>
      <c r="DI141" s="5">
        <f ca="1">IF(AND('Budgeting Model'!AJ67&lt;&gt;"",ABS('Budgeting Model'!AJ67-'Scratch Sheet'!AJ67)&lt;0.01),$CG$72,0)</f>
        <v>0.02</v>
      </c>
      <c r="DJ141" s="5">
        <f ca="1">IF(AND('Budgeting Model'!AK67&lt;&gt;"",ABS('Budgeting Model'!AK67-'Scratch Sheet'!AK67)&lt;0.01),$CG$72,0)</f>
        <v>0.02</v>
      </c>
      <c r="DK141" s="5" t="s">
        <v>550</v>
      </c>
      <c r="DL141" s="5">
        <f ca="1">IF(AND('Budgeting Model'!AM67&lt;&gt;"",ABS('Budgeting Model'!AM67-'Scratch Sheet'!AM67)&lt;0.01),$CG$72,0)</f>
        <v>0.02</v>
      </c>
      <c r="DM141" s="5">
        <f ca="1">IF(AND('Budgeting Model'!AN67&lt;&gt;"",ABS('Budgeting Model'!AN67-'Scratch Sheet'!AN67)&lt;0.01),$CG$72,0)</f>
        <v>0.02</v>
      </c>
      <c r="DN141" s="5">
        <f ca="1">IF(AND('Budgeting Model'!AO67&lt;&gt;"",ABS('Budgeting Model'!AO67-'Scratch Sheet'!AO67)&lt;0.01),$CG$72,0)</f>
        <v>0.02</v>
      </c>
      <c r="DO141" s="5">
        <f ca="1">IF(AND('Budgeting Model'!AP67&lt;&gt;"",ABS('Budgeting Model'!AP67-'Scratch Sheet'!AP67)&lt;0.01),$CG$72,0)</f>
        <v>0.02</v>
      </c>
    </row>
    <row r="142" spans="2:119">
      <c r="CA142" s="5">
        <f>IF(AND('Budgeting Model'!B68&lt;&gt;"",'Budgeting Model'!B68='Scratch Sheet'!B68),$CG$72,0)</f>
        <v>0.02</v>
      </c>
      <c r="CB142" s="5">
        <f ca="1">IF(AND('Budgeting Model'!C68&lt;&gt;"",'Budgeting Model'!C68='Scratch Sheet'!C68),$CG$72,0)</f>
        <v>0.02</v>
      </c>
      <c r="CC142" s="5">
        <f>IF(AND('Budgeting Model'!D68&lt;&gt;"",'Budgeting Model'!D68='Scratch Sheet'!D68),$CG$72,0)</f>
        <v>0.02</v>
      </c>
      <c r="CD142" s="5">
        <f ca="1">IF(OR(AND('Budgeting Model'!E68="",'Budgeting Model'!D68&lt;&gt;"Vacant"),'Budgeting Model'!E68&lt;&gt;'Scratch Sheet'!E68),0,$CG$72)</f>
        <v>0.02</v>
      </c>
      <c r="CE142" s="5">
        <f ca="1">IF(AND('Budgeting Model'!F68&lt;&gt;"",'Budgeting Model'!F68='Scratch Sheet'!F68),$CG$72,0)</f>
        <v>0.02</v>
      </c>
      <c r="CF142" s="5">
        <f ca="1">IF(AND('Budgeting Model'!G68&lt;&gt;"",ABS('Budgeting Model'!G68-'Scratch Sheet'!G68)&lt;0.01),$CG$72,0)</f>
        <v>0.02</v>
      </c>
      <c r="CG142" s="5" t="s">
        <v>550</v>
      </c>
      <c r="CH142" s="5" t="s">
        <v>550</v>
      </c>
      <c r="CI142" s="5">
        <f ca="1">IF(AND('Budgeting Model'!J68&lt;&gt;"",ABS('Budgeting Model'!J68-'Scratch Sheet'!J68)&lt;0.01),$CG$72,0)</f>
        <v>0.02</v>
      </c>
      <c r="CJ142" s="5" t="s">
        <v>550</v>
      </c>
      <c r="CK142" s="5">
        <f ca="1">IF(AND('Budgeting Model'!L68&lt;&gt;"",ABS('Budgeting Model'!L68-'Scratch Sheet'!L68)&lt;0.01),$CG$72,0)</f>
        <v>0.02</v>
      </c>
      <c r="CL142" s="5" t="s">
        <v>550</v>
      </c>
      <c r="CM142" s="5">
        <f ca="1">IF(AND('Budgeting Model'!N68="",'Budgeting Model'!N68&lt;&gt;'Scratch Sheet'!N68),0,$CG$72)</f>
        <v>0.02</v>
      </c>
      <c r="CN142" s="5" t="s">
        <v>550</v>
      </c>
      <c r="CO142" s="5">
        <f ca="1">IF(AND('Budgeting Model'!P68&lt;&gt;"",ABS('Budgeting Model'!P68-'Scratch Sheet'!P68)&lt;0.01),$CG$72,0)</f>
        <v>0.02</v>
      </c>
      <c r="CP142" s="5">
        <f ca="1">IF(AND('Budgeting Model'!Q68&lt;&gt;"",ABS('Budgeting Model'!Q68-'Scratch Sheet'!Q68)&lt;0.01),$CG$72,0)</f>
        <v>0.02</v>
      </c>
      <c r="CQ142" s="5">
        <f ca="1">IF(AND('Budgeting Model'!R68&lt;&gt;"",ABS('Budgeting Model'!R68-'Scratch Sheet'!R68)&lt;0.01),$CG$72,0)</f>
        <v>0.02</v>
      </c>
      <c r="CR142" s="5">
        <f ca="1">IF(AND('Budgeting Model'!S68&lt;&gt;"",ABS('Budgeting Model'!S68-'Scratch Sheet'!S68)&lt;0.01),$CG$72,0)</f>
        <v>0.02</v>
      </c>
      <c r="CS142" s="5">
        <f ca="1">IF(AND('Budgeting Model'!T68&lt;&gt;"",ABS('Budgeting Model'!T68-'Scratch Sheet'!T68)&lt;0.01),$CG$72,0)</f>
        <v>0.02</v>
      </c>
      <c r="CT142" s="5">
        <f ca="1">IF(AND('Budgeting Model'!U68&lt;&gt;"",ABS('Budgeting Model'!U68-'Scratch Sheet'!U68)&lt;0.01),$CG$72,0)</f>
        <v>0.02</v>
      </c>
      <c r="CU142" s="5">
        <f ca="1">IF(AND('Budgeting Model'!V68&lt;&gt;"",ABS('Budgeting Model'!V68-'Scratch Sheet'!V68)&lt;0.01),$CG$72,0)</f>
        <v>0.02</v>
      </c>
      <c r="CV142" s="5" t="s">
        <v>550</v>
      </c>
      <c r="CW142" s="5" t="s">
        <v>550</v>
      </c>
      <c r="CX142" s="5">
        <f ca="1">IF(AND('Budgeting Model'!Y68&lt;&gt;"",ABS('Budgeting Model'!Y68-'Scratch Sheet'!Y68)&lt;0.01),$CG$72,0)</f>
        <v>0.02</v>
      </c>
      <c r="CY142" s="5" t="s">
        <v>550</v>
      </c>
      <c r="CZ142" s="5">
        <f ca="1">IF(AND('Budgeting Model'!AA68&lt;&gt;"",ABS('Budgeting Model'!AA68-'Scratch Sheet'!AA68)&lt;0.01),$CG$72,0)</f>
        <v>0.02</v>
      </c>
      <c r="DA142" s="5" t="s">
        <v>550</v>
      </c>
      <c r="DB142" s="5">
        <f ca="1">IF(AND('Budgeting Model'!AC68="",'Budgeting Model'!AC68&lt;&gt;'Scratch Sheet'!AC68),0,$CG$72)</f>
        <v>0.02</v>
      </c>
      <c r="DC142" s="5" t="s">
        <v>550</v>
      </c>
      <c r="DD142" s="5">
        <f ca="1">IF(AND('Budgeting Model'!AE68&lt;&gt;"",ABS('Budgeting Model'!AE68-'Scratch Sheet'!AE68)&lt;0.01),$CG$72,0)</f>
        <v>0.02</v>
      </c>
      <c r="DE142" s="5">
        <f ca="1">IF(AND('Budgeting Model'!AF68&lt;&gt;"",ABS('Budgeting Model'!AF68-'Scratch Sheet'!AF68)&lt;0.01),$CG$72,0)</f>
        <v>0.02</v>
      </c>
      <c r="DF142" s="5">
        <f ca="1">IF(AND('Budgeting Model'!AG68&lt;&gt;"",ABS('Budgeting Model'!AG68-'Scratch Sheet'!AG68)&lt;0.01),$CG$72,0)</f>
        <v>0.02</v>
      </c>
      <c r="DG142" s="5">
        <f ca="1">IF(AND('Budgeting Model'!AH68&lt;&gt;"",ABS('Budgeting Model'!AH68-'Scratch Sheet'!AH68)&lt;0.01),$CG$72,0)</f>
        <v>0.02</v>
      </c>
      <c r="DH142" s="5">
        <f ca="1">IF(AND('Budgeting Model'!AI68&lt;&gt;"",ABS('Budgeting Model'!AI68-'Scratch Sheet'!AI68)&lt;0.01),$CG$72,0)</f>
        <v>0.02</v>
      </c>
      <c r="DI142" s="5">
        <f ca="1">IF(AND('Budgeting Model'!AJ68&lt;&gt;"",ABS('Budgeting Model'!AJ68-'Scratch Sheet'!AJ68)&lt;0.01),$CG$72,0)</f>
        <v>0.02</v>
      </c>
      <c r="DJ142" s="5">
        <f ca="1">IF(AND('Budgeting Model'!AK68&lt;&gt;"",ABS('Budgeting Model'!AK68-'Scratch Sheet'!AK68)&lt;0.01),$CG$72,0)</f>
        <v>0.02</v>
      </c>
      <c r="DK142" s="5" t="s">
        <v>550</v>
      </c>
      <c r="DL142" s="5">
        <f ca="1">IF(AND('Budgeting Model'!AM68&lt;&gt;"",ABS('Budgeting Model'!AM68-'Scratch Sheet'!AM68)&lt;0.01),$CG$72,0)</f>
        <v>0.02</v>
      </c>
      <c r="DM142" s="5">
        <f ca="1">IF(AND('Budgeting Model'!AN68&lt;&gt;"",ABS('Budgeting Model'!AN68-'Scratch Sheet'!AN68)&lt;0.01),$CG$72,0)</f>
        <v>0.02</v>
      </c>
      <c r="DN142" s="5">
        <f ca="1">IF(AND('Budgeting Model'!AO68&lt;&gt;"",ABS('Budgeting Model'!AO68-'Scratch Sheet'!AO68)&lt;0.01),$CG$72,0)</f>
        <v>0.02</v>
      </c>
      <c r="DO142" s="5">
        <f ca="1">IF(AND('Budgeting Model'!AP68&lt;&gt;"",ABS('Budgeting Model'!AP68-'Scratch Sheet'!AP68)&lt;0.01),$CG$72,0)</f>
        <v>0.02</v>
      </c>
    </row>
    <row r="143" spans="2:119">
      <c r="CA143" s="5">
        <f>IF(AND('Budgeting Model'!B69&lt;&gt;"",'Budgeting Model'!B69='Scratch Sheet'!B69),$CG$72,0)</f>
        <v>0.02</v>
      </c>
      <c r="CB143" s="5">
        <f ca="1">IF(AND('Budgeting Model'!C69&lt;&gt;"",'Budgeting Model'!C69='Scratch Sheet'!C69),$CG$72,0)</f>
        <v>0.02</v>
      </c>
      <c r="CC143" s="5">
        <f>IF(AND('Budgeting Model'!D69&lt;&gt;"",'Budgeting Model'!D69='Scratch Sheet'!D69),$CG$72,0)</f>
        <v>0.02</v>
      </c>
      <c r="CD143" s="5">
        <f ca="1">IF(OR(AND('Budgeting Model'!E69="",'Budgeting Model'!D69&lt;&gt;"Vacant"),'Budgeting Model'!E69&lt;&gt;'Scratch Sheet'!E69),0,$CG$72)</f>
        <v>0.02</v>
      </c>
      <c r="CE143" s="5">
        <f ca="1">IF(AND('Budgeting Model'!F69&lt;&gt;"",'Budgeting Model'!F69='Scratch Sheet'!F69),$CG$72,0)</f>
        <v>0.02</v>
      </c>
      <c r="CF143" s="5">
        <f ca="1">IF(AND('Budgeting Model'!G69&lt;&gt;"",ABS('Budgeting Model'!G69-'Scratch Sheet'!G69)&lt;0.01),$CG$72,0)</f>
        <v>0.02</v>
      </c>
      <c r="CG143" s="5" t="s">
        <v>550</v>
      </c>
      <c r="CH143" s="5" t="s">
        <v>550</v>
      </c>
      <c r="CI143" s="5">
        <f ca="1">IF(AND('Budgeting Model'!J69&lt;&gt;"",ABS('Budgeting Model'!J69-'Scratch Sheet'!J69)&lt;0.01),$CG$72,0)</f>
        <v>0.02</v>
      </c>
      <c r="CJ143" s="5" t="s">
        <v>550</v>
      </c>
      <c r="CK143" s="5">
        <f ca="1">IF(AND('Budgeting Model'!L69&lt;&gt;"",ABS('Budgeting Model'!L69-'Scratch Sheet'!L69)&lt;0.01),$CG$72,0)</f>
        <v>0.02</v>
      </c>
      <c r="CL143" s="5" t="s">
        <v>550</v>
      </c>
      <c r="CM143" s="5">
        <f ca="1">IF(AND('Budgeting Model'!N69="",'Budgeting Model'!N69&lt;&gt;'Scratch Sheet'!N69),0,$CG$72)</f>
        <v>0.02</v>
      </c>
      <c r="CN143" s="5" t="s">
        <v>550</v>
      </c>
      <c r="CO143" s="5">
        <f ca="1">IF(AND('Budgeting Model'!P69&lt;&gt;"",ABS('Budgeting Model'!P69-'Scratch Sheet'!P69)&lt;0.01),$CG$72,0)</f>
        <v>0.02</v>
      </c>
      <c r="CP143" s="5">
        <f ca="1">IF(AND('Budgeting Model'!Q69&lt;&gt;"",ABS('Budgeting Model'!Q69-'Scratch Sheet'!Q69)&lt;0.01),$CG$72,0)</f>
        <v>0.02</v>
      </c>
      <c r="CQ143" s="5">
        <f ca="1">IF(AND('Budgeting Model'!R69&lt;&gt;"",ABS('Budgeting Model'!R69-'Scratch Sheet'!R69)&lt;0.01),$CG$72,0)</f>
        <v>0.02</v>
      </c>
      <c r="CR143" s="5">
        <f ca="1">IF(AND('Budgeting Model'!S69&lt;&gt;"",ABS('Budgeting Model'!S69-'Scratch Sheet'!S69)&lt;0.01),$CG$72,0)</f>
        <v>0.02</v>
      </c>
      <c r="CS143" s="5">
        <f ca="1">IF(AND('Budgeting Model'!T69&lt;&gt;"",ABS('Budgeting Model'!T69-'Scratch Sheet'!T69)&lt;0.01),$CG$72,0)</f>
        <v>0.02</v>
      </c>
      <c r="CT143" s="5">
        <f ca="1">IF(AND('Budgeting Model'!U69&lt;&gt;"",ABS('Budgeting Model'!U69-'Scratch Sheet'!U69)&lt;0.01),$CG$72,0)</f>
        <v>0.02</v>
      </c>
      <c r="CU143" s="5">
        <f ca="1">IF(AND('Budgeting Model'!V69&lt;&gt;"",ABS('Budgeting Model'!V69-'Scratch Sheet'!V69)&lt;0.01),$CG$72,0)</f>
        <v>0.02</v>
      </c>
      <c r="CV143" s="5" t="s">
        <v>550</v>
      </c>
      <c r="CW143" s="5" t="s">
        <v>550</v>
      </c>
      <c r="CX143" s="5">
        <f ca="1">IF(AND('Budgeting Model'!Y69&lt;&gt;"",ABS('Budgeting Model'!Y69-'Scratch Sheet'!Y69)&lt;0.01),$CG$72,0)</f>
        <v>0.02</v>
      </c>
      <c r="CY143" s="5" t="s">
        <v>550</v>
      </c>
      <c r="CZ143" s="5">
        <f ca="1">IF(AND('Budgeting Model'!AA69&lt;&gt;"",ABS('Budgeting Model'!AA69-'Scratch Sheet'!AA69)&lt;0.01),$CG$72,0)</f>
        <v>0.02</v>
      </c>
      <c r="DA143" s="5" t="s">
        <v>550</v>
      </c>
      <c r="DB143" s="5">
        <f ca="1">IF(AND('Budgeting Model'!AC69="",'Budgeting Model'!AC69&lt;&gt;'Scratch Sheet'!AC69),0,$CG$72)</f>
        <v>0.02</v>
      </c>
      <c r="DC143" s="5" t="s">
        <v>550</v>
      </c>
      <c r="DD143" s="5">
        <f ca="1">IF(AND('Budgeting Model'!AE69&lt;&gt;"",ABS('Budgeting Model'!AE69-'Scratch Sheet'!AE69)&lt;0.01),$CG$72,0)</f>
        <v>0.02</v>
      </c>
      <c r="DE143" s="5">
        <f ca="1">IF(AND('Budgeting Model'!AF69&lt;&gt;"",ABS('Budgeting Model'!AF69-'Scratch Sheet'!AF69)&lt;0.01),$CG$72,0)</f>
        <v>0.02</v>
      </c>
      <c r="DF143" s="5">
        <f ca="1">IF(AND('Budgeting Model'!AG69&lt;&gt;"",ABS('Budgeting Model'!AG69-'Scratch Sheet'!AG69)&lt;0.01),$CG$72,0)</f>
        <v>0.02</v>
      </c>
      <c r="DG143" s="5">
        <f ca="1">IF(AND('Budgeting Model'!AH69&lt;&gt;"",ABS('Budgeting Model'!AH69-'Scratch Sheet'!AH69)&lt;0.01),$CG$72,0)</f>
        <v>0.02</v>
      </c>
      <c r="DH143" s="5">
        <f ca="1">IF(AND('Budgeting Model'!AI69&lt;&gt;"",ABS('Budgeting Model'!AI69-'Scratch Sheet'!AI69)&lt;0.01),$CG$72,0)</f>
        <v>0.02</v>
      </c>
      <c r="DI143" s="5">
        <f ca="1">IF(AND('Budgeting Model'!AJ69&lt;&gt;"",ABS('Budgeting Model'!AJ69-'Scratch Sheet'!AJ69)&lt;0.01),$CG$72,0)</f>
        <v>0.02</v>
      </c>
      <c r="DJ143" s="5">
        <f ca="1">IF(AND('Budgeting Model'!AK69&lt;&gt;"",ABS('Budgeting Model'!AK69-'Scratch Sheet'!AK69)&lt;0.01),$CG$72,0)</f>
        <v>0.02</v>
      </c>
      <c r="DK143" s="5" t="s">
        <v>550</v>
      </c>
      <c r="DL143" s="5">
        <f ca="1">IF(AND('Budgeting Model'!AM69&lt;&gt;"",ABS('Budgeting Model'!AM69-'Scratch Sheet'!AM69)&lt;0.01),$CG$72,0)</f>
        <v>0.02</v>
      </c>
      <c r="DM143" s="5">
        <f ca="1">IF(AND('Budgeting Model'!AN69&lt;&gt;"",ABS('Budgeting Model'!AN69-'Scratch Sheet'!AN69)&lt;0.01),$CG$72,0)</f>
        <v>0.02</v>
      </c>
      <c r="DN143" s="5">
        <f ca="1">IF(AND('Budgeting Model'!AO69&lt;&gt;"",ABS('Budgeting Model'!AO69-'Scratch Sheet'!AO69)&lt;0.01),$CG$72,0)</f>
        <v>0.02</v>
      </c>
      <c r="DO143" s="5">
        <f ca="1">IF(AND('Budgeting Model'!AP69&lt;&gt;"",ABS('Budgeting Model'!AP69-'Scratch Sheet'!AP69)&lt;0.01),$CG$72,0)</f>
        <v>0.02</v>
      </c>
    </row>
    <row r="144" spans="2:119">
      <c r="CA144" s="5">
        <f>IF(AND('Budgeting Model'!B70&lt;&gt;"",'Budgeting Model'!B70='Scratch Sheet'!B70),$CG$72,0)</f>
        <v>0.02</v>
      </c>
      <c r="CB144" s="5">
        <f ca="1">IF(AND('Budgeting Model'!C70&lt;&gt;"",'Budgeting Model'!C70='Scratch Sheet'!C70),$CG$72,0)</f>
        <v>0.02</v>
      </c>
      <c r="CC144" s="5">
        <f>IF(AND('Budgeting Model'!D70&lt;&gt;"",'Budgeting Model'!D70='Scratch Sheet'!D70),$CG$72,0)</f>
        <v>0.02</v>
      </c>
      <c r="CD144" s="5">
        <f ca="1">IF(OR(AND('Budgeting Model'!E70="",'Budgeting Model'!D70&lt;&gt;"Vacant"),'Budgeting Model'!E70&lt;&gt;'Scratch Sheet'!E70),0,$CG$72)</f>
        <v>0.02</v>
      </c>
      <c r="CE144" s="5">
        <f ca="1">IF(AND('Budgeting Model'!F70&lt;&gt;"",'Budgeting Model'!F70='Scratch Sheet'!F70),$CG$72,0)</f>
        <v>0.02</v>
      </c>
      <c r="CF144" s="5">
        <f ca="1">IF(AND('Budgeting Model'!G70&lt;&gt;"",ABS('Budgeting Model'!G70-'Scratch Sheet'!G70)&lt;0.01),$CG$72,0)</f>
        <v>0.02</v>
      </c>
      <c r="CG144" s="5" t="s">
        <v>550</v>
      </c>
      <c r="CH144" s="5" t="s">
        <v>550</v>
      </c>
      <c r="CI144" s="5">
        <f ca="1">IF(AND('Budgeting Model'!J70&lt;&gt;"",ABS('Budgeting Model'!J70-'Scratch Sheet'!J70)&lt;0.01),$CG$72,0)</f>
        <v>0.02</v>
      </c>
      <c r="CJ144" s="5" t="s">
        <v>550</v>
      </c>
      <c r="CK144" s="5">
        <f ca="1">IF(AND('Budgeting Model'!L70&lt;&gt;"",ABS('Budgeting Model'!L70-'Scratch Sheet'!L70)&lt;0.01),$CG$72,0)</f>
        <v>0.02</v>
      </c>
      <c r="CL144" s="5" t="s">
        <v>550</v>
      </c>
      <c r="CM144" s="5">
        <f ca="1">IF(AND('Budgeting Model'!N70="",'Budgeting Model'!N70&lt;&gt;'Scratch Sheet'!N70),0,$CG$72)</f>
        <v>0.02</v>
      </c>
      <c r="CN144" s="5" t="s">
        <v>550</v>
      </c>
      <c r="CO144" s="5">
        <f ca="1">IF(AND('Budgeting Model'!P70&lt;&gt;"",ABS('Budgeting Model'!P70-'Scratch Sheet'!P70)&lt;0.01),$CG$72,0)</f>
        <v>0.02</v>
      </c>
      <c r="CP144" s="5">
        <f ca="1">IF(AND('Budgeting Model'!Q70&lt;&gt;"",ABS('Budgeting Model'!Q70-'Scratch Sheet'!Q70)&lt;0.01),$CG$72,0)</f>
        <v>0.02</v>
      </c>
      <c r="CQ144" s="5">
        <f ca="1">IF(AND('Budgeting Model'!R70&lt;&gt;"",ABS('Budgeting Model'!R70-'Scratch Sheet'!R70)&lt;0.01),$CG$72,0)</f>
        <v>0.02</v>
      </c>
      <c r="CR144" s="5">
        <f ca="1">IF(AND('Budgeting Model'!S70&lt;&gt;"",ABS('Budgeting Model'!S70-'Scratch Sheet'!S70)&lt;0.01),$CG$72,0)</f>
        <v>0.02</v>
      </c>
      <c r="CS144" s="5">
        <f ca="1">IF(AND('Budgeting Model'!T70&lt;&gt;"",ABS('Budgeting Model'!T70-'Scratch Sheet'!T70)&lt;0.01),$CG$72,0)</f>
        <v>0.02</v>
      </c>
      <c r="CT144" s="5">
        <f ca="1">IF(AND('Budgeting Model'!U70&lt;&gt;"",ABS('Budgeting Model'!U70-'Scratch Sheet'!U70)&lt;0.01),$CG$72,0)</f>
        <v>0.02</v>
      </c>
      <c r="CU144" s="5">
        <f ca="1">IF(AND('Budgeting Model'!V70&lt;&gt;"",ABS('Budgeting Model'!V70-'Scratch Sheet'!V70)&lt;0.01),$CG$72,0)</f>
        <v>0.02</v>
      </c>
      <c r="CV144" s="5" t="s">
        <v>550</v>
      </c>
      <c r="CW144" s="5" t="s">
        <v>550</v>
      </c>
      <c r="CX144" s="5">
        <f ca="1">IF(AND('Budgeting Model'!Y70&lt;&gt;"",ABS('Budgeting Model'!Y70-'Scratch Sheet'!Y70)&lt;0.01),$CG$72,0)</f>
        <v>0.02</v>
      </c>
      <c r="CY144" s="5" t="s">
        <v>550</v>
      </c>
      <c r="CZ144" s="5">
        <f ca="1">IF(AND('Budgeting Model'!AA70&lt;&gt;"",ABS('Budgeting Model'!AA70-'Scratch Sheet'!AA70)&lt;0.01),$CG$72,0)</f>
        <v>0.02</v>
      </c>
      <c r="DA144" s="5" t="s">
        <v>550</v>
      </c>
      <c r="DB144" s="5">
        <f ca="1">IF(AND('Budgeting Model'!AC70="",'Budgeting Model'!AC70&lt;&gt;'Scratch Sheet'!AC70),0,$CG$72)</f>
        <v>0.02</v>
      </c>
      <c r="DC144" s="5" t="s">
        <v>550</v>
      </c>
      <c r="DD144" s="5">
        <f ca="1">IF(AND('Budgeting Model'!AE70&lt;&gt;"",ABS('Budgeting Model'!AE70-'Scratch Sheet'!AE70)&lt;0.01),$CG$72,0)</f>
        <v>0.02</v>
      </c>
      <c r="DE144" s="5">
        <f ca="1">IF(AND('Budgeting Model'!AF70&lt;&gt;"",ABS('Budgeting Model'!AF70-'Scratch Sheet'!AF70)&lt;0.01),$CG$72,0)</f>
        <v>0.02</v>
      </c>
      <c r="DF144" s="5">
        <f ca="1">IF(AND('Budgeting Model'!AG70&lt;&gt;"",ABS('Budgeting Model'!AG70-'Scratch Sheet'!AG70)&lt;0.01),$CG$72,0)</f>
        <v>0.02</v>
      </c>
      <c r="DG144" s="5">
        <f ca="1">IF(AND('Budgeting Model'!AH70&lt;&gt;"",ABS('Budgeting Model'!AH70-'Scratch Sheet'!AH70)&lt;0.01),$CG$72,0)</f>
        <v>0.02</v>
      </c>
      <c r="DH144" s="5">
        <f ca="1">IF(AND('Budgeting Model'!AI70&lt;&gt;"",ABS('Budgeting Model'!AI70-'Scratch Sheet'!AI70)&lt;0.01),$CG$72,0)</f>
        <v>0.02</v>
      </c>
      <c r="DI144" s="5">
        <f ca="1">IF(AND('Budgeting Model'!AJ70&lt;&gt;"",ABS('Budgeting Model'!AJ70-'Scratch Sheet'!AJ70)&lt;0.01),$CG$72,0)</f>
        <v>0.02</v>
      </c>
      <c r="DJ144" s="5">
        <f ca="1">IF(AND('Budgeting Model'!AK70&lt;&gt;"",ABS('Budgeting Model'!AK70-'Scratch Sheet'!AK70)&lt;0.01),$CG$72,0)</f>
        <v>0.02</v>
      </c>
      <c r="DK144" s="5" t="s">
        <v>550</v>
      </c>
      <c r="DL144" s="5">
        <f ca="1">IF(AND('Budgeting Model'!AM70&lt;&gt;"",ABS('Budgeting Model'!AM70-'Scratch Sheet'!AM70)&lt;0.01),$CG$72,0)</f>
        <v>0.02</v>
      </c>
      <c r="DM144" s="5">
        <f ca="1">IF(AND('Budgeting Model'!AN70&lt;&gt;"",ABS('Budgeting Model'!AN70-'Scratch Sheet'!AN70)&lt;0.01),$CG$72,0)</f>
        <v>0.02</v>
      </c>
      <c r="DN144" s="5">
        <f ca="1">IF(AND('Budgeting Model'!AO70&lt;&gt;"",ABS('Budgeting Model'!AO70-'Scratch Sheet'!AO70)&lt;0.01),$CG$72,0)</f>
        <v>0.02</v>
      </c>
      <c r="DO144" s="5">
        <f ca="1">IF(AND('Budgeting Model'!AP70&lt;&gt;"",ABS('Budgeting Model'!AP70-'Scratch Sheet'!AP70)&lt;0.01),$CG$72,0)</f>
        <v>0.02</v>
      </c>
    </row>
    <row r="145" spans="79:119">
      <c r="CA145" s="5">
        <f>IF(AND('Budgeting Model'!B71&lt;&gt;"",'Budgeting Model'!B71='Scratch Sheet'!B71),$CG$72,0)</f>
        <v>0.02</v>
      </c>
      <c r="CB145" s="5">
        <f ca="1">IF(AND('Budgeting Model'!C71&lt;&gt;"",'Budgeting Model'!C71='Scratch Sheet'!C71),$CG$72,0)</f>
        <v>0.02</v>
      </c>
      <c r="CC145" s="5">
        <f>IF(AND('Budgeting Model'!D71&lt;&gt;"",'Budgeting Model'!D71='Scratch Sheet'!D71),$CG$72,0)</f>
        <v>0.02</v>
      </c>
      <c r="CD145" s="5">
        <f ca="1">IF(OR(AND('Budgeting Model'!E71="",'Budgeting Model'!D71&lt;&gt;"Vacant"),'Budgeting Model'!E71&lt;&gt;'Scratch Sheet'!E71),0,$CG$72)</f>
        <v>0.02</v>
      </c>
      <c r="CE145" s="5">
        <f ca="1">IF(AND('Budgeting Model'!F71&lt;&gt;"",'Budgeting Model'!F71='Scratch Sheet'!F71),$CG$72,0)</f>
        <v>0.02</v>
      </c>
      <c r="CF145" s="5">
        <f ca="1">IF(AND('Budgeting Model'!G71&lt;&gt;"",ABS('Budgeting Model'!G71-'Scratch Sheet'!G71)&lt;0.01),$CG$72,0)</f>
        <v>0.02</v>
      </c>
      <c r="CG145" s="5" t="s">
        <v>550</v>
      </c>
      <c r="CH145" s="5" t="s">
        <v>550</v>
      </c>
      <c r="CI145" s="5">
        <f ca="1">IF(AND('Budgeting Model'!J71&lt;&gt;"",ABS('Budgeting Model'!J71-'Scratch Sheet'!J71)&lt;0.01),$CG$72,0)</f>
        <v>0.02</v>
      </c>
      <c r="CJ145" s="5" t="s">
        <v>550</v>
      </c>
      <c r="CK145" s="5">
        <f ca="1">IF(AND('Budgeting Model'!L71&lt;&gt;"",ABS('Budgeting Model'!L71-'Scratch Sheet'!L71)&lt;0.01),$CG$72,0)</f>
        <v>0.02</v>
      </c>
      <c r="CL145" s="5" t="s">
        <v>550</v>
      </c>
      <c r="CM145" s="5">
        <f ca="1">IF(AND('Budgeting Model'!N71="",'Budgeting Model'!N71&lt;&gt;'Scratch Sheet'!N71),0,$CG$72)</f>
        <v>0.02</v>
      </c>
      <c r="CN145" s="5" t="s">
        <v>550</v>
      </c>
      <c r="CO145" s="5">
        <f ca="1">IF(AND('Budgeting Model'!P71&lt;&gt;"",ABS('Budgeting Model'!P71-'Scratch Sheet'!P71)&lt;0.01),$CG$72,0)</f>
        <v>0.02</v>
      </c>
      <c r="CP145" s="5">
        <f ca="1">IF(AND('Budgeting Model'!Q71&lt;&gt;"",ABS('Budgeting Model'!Q71-'Scratch Sheet'!Q71)&lt;0.01),$CG$72,0)</f>
        <v>0.02</v>
      </c>
      <c r="CQ145" s="5">
        <f ca="1">IF(AND('Budgeting Model'!R71&lt;&gt;"",ABS('Budgeting Model'!R71-'Scratch Sheet'!R71)&lt;0.01),$CG$72,0)</f>
        <v>0.02</v>
      </c>
      <c r="CR145" s="5">
        <f ca="1">IF(AND('Budgeting Model'!S71&lt;&gt;"",ABS('Budgeting Model'!S71-'Scratch Sheet'!S71)&lt;0.01),$CG$72,0)</f>
        <v>0.02</v>
      </c>
      <c r="CS145" s="5">
        <f ca="1">IF(AND('Budgeting Model'!T71&lt;&gt;"",ABS('Budgeting Model'!T71-'Scratch Sheet'!T71)&lt;0.01),$CG$72,0)</f>
        <v>0.02</v>
      </c>
      <c r="CT145" s="5">
        <f ca="1">IF(AND('Budgeting Model'!U71&lt;&gt;"",ABS('Budgeting Model'!U71-'Scratch Sheet'!U71)&lt;0.01),$CG$72,0)</f>
        <v>0.02</v>
      </c>
      <c r="CU145" s="5">
        <f ca="1">IF(AND('Budgeting Model'!V71&lt;&gt;"",ABS('Budgeting Model'!V71-'Scratch Sheet'!V71)&lt;0.01),$CG$72,0)</f>
        <v>0.02</v>
      </c>
      <c r="CV145" s="5" t="s">
        <v>550</v>
      </c>
      <c r="CW145" s="5" t="s">
        <v>550</v>
      </c>
      <c r="CX145" s="5">
        <f ca="1">IF(AND('Budgeting Model'!Y71&lt;&gt;"",ABS('Budgeting Model'!Y71-'Scratch Sheet'!Y71)&lt;0.01),$CG$72,0)</f>
        <v>0.02</v>
      </c>
      <c r="CY145" s="5" t="s">
        <v>550</v>
      </c>
      <c r="CZ145" s="5">
        <f ca="1">IF(AND('Budgeting Model'!AA71&lt;&gt;"",ABS('Budgeting Model'!AA71-'Scratch Sheet'!AA71)&lt;0.01),$CG$72,0)</f>
        <v>0.02</v>
      </c>
      <c r="DA145" s="5" t="s">
        <v>550</v>
      </c>
      <c r="DB145" s="5">
        <f ca="1">IF(AND('Budgeting Model'!AC71="",'Budgeting Model'!AC71&lt;&gt;'Scratch Sheet'!AC71),0,$CG$72)</f>
        <v>0.02</v>
      </c>
      <c r="DC145" s="5" t="s">
        <v>550</v>
      </c>
      <c r="DD145" s="5">
        <f ca="1">IF(AND('Budgeting Model'!AE71&lt;&gt;"",ABS('Budgeting Model'!AE71-'Scratch Sheet'!AE71)&lt;0.01),$CG$72,0)</f>
        <v>0.02</v>
      </c>
      <c r="DE145" s="5">
        <f ca="1">IF(AND('Budgeting Model'!AF71&lt;&gt;"",ABS('Budgeting Model'!AF71-'Scratch Sheet'!AF71)&lt;0.01),$CG$72,0)</f>
        <v>0.02</v>
      </c>
      <c r="DF145" s="5">
        <f ca="1">IF(AND('Budgeting Model'!AG71&lt;&gt;"",ABS('Budgeting Model'!AG71-'Scratch Sheet'!AG71)&lt;0.01),$CG$72,0)</f>
        <v>0.02</v>
      </c>
      <c r="DG145" s="5">
        <f ca="1">IF(AND('Budgeting Model'!AH71&lt;&gt;"",ABS('Budgeting Model'!AH71-'Scratch Sheet'!AH71)&lt;0.01),$CG$72,0)</f>
        <v>0.02</v>
      </c>
      <c r="DH145" s="5">
        <f ca="1">IF(AND('Budgeting Model'!AI71&lt;&gt;"",ABS('Budgeting Model'!AI71-'Scratch Sheet'!AI71)&lt;0.01),$CG$72,0)</f>
        <v>0.02</v>
      </c>
      <c r="DI145" s="5">
        <f ca="1">IF(AND('Budgeting Model'!AJ71&lt;&gt;"",ABS('Budgeting Model'!AJ71-'Scratch Sheet'!AJ71)&lt;0.01),$CG$72,0)</f>
        <v>0.02</v>
      </c>
      <c r="DJ145" s="5">
        <f ca="1">IF(AND('Budgeting Model'!AK71&lt;&gt;"",ABS('Budgeting Model'!AK71-'Scratch Sheet'!AK71)&lt;0.01),$CG$72,0)</f>
        <v>0.02</v>
      </c>
      <c r="DK145" s="5" t="s">
        <v>550</v>
      </c>
      <c r="DL145" s="5">
        <f ca="1">IF(AND('Budgeting Model'!AM71&lt;&gt;"",ABS('Budgeting Model'!AM71-'Scratch Sheet'!AM71)&lt;0.01),$CG$72,0)</f>
        <v>0.02</v>
      </c>
      <c r="DM145" s="5">
        <f ca="1">IF(AND('Budgeting Model'!AN71&lt;&gt;"",ABS('Budgeting Model'!AN71-'Scratch Sheet'!AN71)&lt;0.01),$CG$72,0)</f>
        <v>0.02</v>
      </c>
      <c r="DN145" s="5">
        <f ca="1">IF(AND('Budgeting Model'!AO71&lt;&gt;"",ABS('Budgeting Model'!AO71-'Scratch Sheet'!AO71)&lt;0.01),$CG$72,0)</f>
        <v>0.02</v>
      </c>
      <c r="DO145" s="5">
        <f ca="1">IF(AND('Budgeting Model'!AP71&lt;&gt;"",ABS('Budgeting Model'!AP71-'Scratch Sheet'!AP71)&lt;0.01),$CG$72,0)</f>
        <v>0.02</v>
      </c>
    </row>
    <row r="146" spans="79:119">
      <c r="CA146" s="5">
        <f>IF(AND('Budgeting Model'!B72&lt;&gt;"",'Budgeting Model'!B72='Scratch Sheet'!B72),$CG$72,0)</f>
        <v>0.02</v>
      </c>
      <c r="CB146" s="5">
        <f ca="1">IF(AND('Budgeting Model'!C72&lt;&gt;"",'Budgeting Model'!C72='Scratch Sheet'!C72),$CG$72,0)</f>
        <v>0.02</v>
      </c>
      <c r="CC146" s="5">
        <f>IF(AND('Budgeting Model'!D72&lt;&gt;"",'Budgeting Model'!D72='Scratch Sheet'!D72),$CG$72,0)</f>
        <v>0.02</v>
      </c>
      <c r="CD146" s="5">
        <f ca="1">IF(OR(AND('Budgeting Model'!E72="",'Budgeting Model'!D72&lt;&gt;"Vacant"),'Budgeting Model'!E72&lt;&gt;'Scratch Sheet'!E72),0,$CG$72)</f>
        <v>0.02</v>
      </c>
      <c r="CE146" s="5">
        <f ca="1">IF(AND('Budgeting Model'!F72&lt;&gt;"",'Budgeting Model'!F72='Scratch Sheet'!F72),$CG$72,0)</f>
        <v>0.02</v>
      </c>
      <c r="CF146" s="5">
        <f ca="1">IF(AND('Budgeting Model'!G72&lt;&gt;"",ABS('Budgeting Model'!G72-'Scratch Sheet'!G72)&lt;0.01),$CG$72,0)</f>
        <v>0.02</v>
      </c>
      <c r="CG146" s="5" t="s">
        <v>550</v>
      </c>
      <c r="CH146" s="5" t="s">
        <v>550</v>
      </c>
      <c r="CI146" s="5">
        <f ca="1">IF(AND('Budgeting Model'!J72&lt;&gt;"",ABS('Budgeting Model'!J72-'Scratch Sheet'!J72)&lt;0.01),$CG$72,0)</f>
        <v>0.02</v>
      </c>
      <c r="CJ146" s="5" t="s">
        <v>550</v>
      </c>
      <c r="CK146" s="5">
        <f ca="1">IF(AND('Budgeting Model'!L72&lt;&gt;"",ABS('Budgeting Model'!L72-'Scratch Sheet'!L72)&lt;0.01),$CG$72,0)</f>
        <v>0.02</v>
      </c>
      <c r="CL146" s="5" t="s">
        <v>550</v>
      </c>
      <c r="CM146" s="5">
        <f ca="1">IF(AND('Budgeting Model'!N72="",'Budgeting Model'!N72&lt;&gt;'Scratch Sheet'!N72),0,$CG$72)</f>
        <v>0.02</v>
      </c>
      <c r="CN146" s="5" t="s">
        <v>550</v>
      </c>
      <c r="CO146" s="5">
        <f ca="1">IF(AND('Budgeting Model'!P72&lt;&gt;"",ABS('Budgeting Model'!P72-'Scratch Sheet'!P72)&lt;0.01),$CG$72,0)</f>
        <v>0.02</v>
      </c>
      <c r="CP146" s="5">
        <f ca="1">IF(AND('Budgeting Model'!Q72&lt;&gt;"",ABS('Budgeting Model'!Q72-'Scratch Sheet'!Q72)&lt;0.01),$CG$72,0)</f>
        <v>0.02</v>
      </c>
      <c r="CQ146" s="5">
        <f ca="1">IF(AND('Budgeting Model'!R72&lt;&gt;"",ABS('Budgeting Model'!R72-'Scratch Sheet'!R72)&lt;0.01),$CG$72,0)</f>
        <v>0.02</v>
      </c>
      <c r="CR146" s="5">
        <f ca="1">IF(AND('Budgeting Model'!S72&lt;&gt;"",ABS('Budgeting Model'!S72-'Scratch Sheet'!S72)&lt;0.01),$CG$72,0)</f>
        <v>0.02</v>
      </c>
      <c r="CS146" s="5">
        <f ca="1">IF(AND('Budgeting Model'!T72&lt;&gt;"",ABS('Budgeting Model'!T72-'Scratch Sheet'!T72)&lt;0.01),$CG$72,0)</f>
        <v>0.02</v>
      </c>
      <c r="CT146" s="5">
        <f ca="1">IF(AND('Budgeting Model'!U72&lt;&gt;"",ABS('Budgeting Model'!U72-'Scratch Sheet'!U72)&lt;0.01),$CG$72,0)</f>
        <v>0.02</v>
      </c>
      <c r="CU146" s="5">
        <f ca="1">IF(AND('Budgeting Model'!V72&lt;&gt;"",ABS('Budgeting Model'!V72-'Scratch Sheet'!V72)&lt;0.01),$CG$72,0)</f>
        <v>0.02</v>
      </c>
      <c r="CV146" s="5" t="s">
        <v>550</v>
      </c>
      <c r="CW146" s="5" t="s">
        <v>550</v>
      </c>
      <c r="CX146" s="5">
        <f ca="1">IF(AND('Budgeting Model'!Y72&lt;&gt;"",ABS('Budgeting Model'!Y72-'Scratch Sheet'!Y72)&lt;0.01),$CG$72,0)</f>
        <v>0.02</v>
      </c>
      <c r="CY146" s="5" t="s">
        <v>550</v>
      </c>
      <c r="CZ146" s="5">
        <f ca="1">IF(AND('Budgeting Model'!AA72&lt;&gt;"",ABS('Budgeting Model'!AA72-'Scratch Sheet'!AA72)&lt;0.01),$CG$72,0)</f>
        <v>0.02</v>
      </c>
      <c r="DA146" s="5" t="s">
        <v>550</v>
      </c>
      <c r="DB146" s="5">
        <f ca="1">IF(AND('Budgeting Model'!AC72="",'Budgeting Model'!AC72&lt;&gt;'Scratch Sheet'!AC72),0,$CG$72)</f>
        <v>0.02</v>
      </c>
      <c r="DC146" s="5" t="s">
        <v>550</v>
      </c>
      <c r="DD146" s="5">
        <f ca="1">IF(AND('Budgeting Model'!AE72&lt;&gt;"",ABS('Budgeting Model'!AE72-'Scratch Sheet'!AE72)&lt;0.01),$CG$72,0)</f>
        <v>0.02</v>
      </c>
      <c r="DE146" s="5">
        <f ca="1">IF(AND('Budgeting Model'!AF72&lt;&gt;"",ABS('Budgeting Model'!AF72-'Scratch Sheet'!AF72)&lt;0.01),$CG$72,0)</f>
        <v>0.02</v>
      </c>
      <c r="DF146" s="5">
        <f ca="1">IF(AND('Budgeting Model'!AG72&lt;&gt;"",ABS('Budgeting Model'!AG72-'Scratch Sheet'!AG72)&lt;0.01),$CG$72,0)</f>
        <v>0.02</v>
      </c>
      <c r="DG146" s="5">
        <f ca="1">IF(AND('Budgeting Model'!AH72&lt;&gt;"",ABS('Budgeting Model'!AH72-'Scratch Sheet'!AH72)&lt;0.01),$CG$72,0)</f>
        <v>0.02</v>
      </c>
      <c r="DH146" s="5">
        <f ca="1">IF(AND('Budgeting Model'!AI72&lt;&gt;"",ABS('Budgeting Model'!AI72-'Scratch Sheet'!AI72)&lt;0.01),$CG$72,0)</f>
        <v>0.02</v>
      </c>
      <c r="DI146" s="5">
        <f ca="1">IF(AND('Budgeting Model'!AJ72&lt;&gt;"",ABS('Budgeting Model'!AJ72-'Scratch Sheet'!AJ72)&lt;0.01),$CG$72,0)</f>
        <v>0.02</v>
      </c>
      <c r="DJ146" s="5">
        <f ca="1">IF(AND('Budgeting Model'!AK72&lt;&gt;"",ABS('Budgeting Model'!AK72-'Scratch Sheet'!AK72)&lt;0.01),$CG$72,0)</f>
        <v>0.02</v>
      </c>
      <c r="DK146" s="5" t="s">
        <v>550</v>
      </c>
      <c r="DL146" s="5">
        <f ca="1">IF(AND('Budgeting Model'!AM72&lt;&gt;"",ABS('Budgeting Model'!AM72-'Scratch Sheet'!AM72)&lt;0.01),$CG$72,0)</f>
        <v>0.02</v>
      </c>
      <c r="DM146" s="5">
        <f ca="1">IF(AND('Budgeting Model'!AN72&lt;&gt;"",ABS('Budgeting Model'!AN72-'Scratch Sheet'!AN72)&lt;0.01),$CG$72,0)</f>
        <v>0.02</v>
      </c>
      <c r="DN146" s="5">
        <f ca="1">IF(AND('Budgeting Model'!AO72&lt;&gt;"",ABS('Budgeting Model'!AO72-'Scratch Sheet'!AO72)&lt;0.01),$CG$72,0)</f>
        <v>0.02</v>
      </c>
      <c r="DO146" s="5">
        <f ca="1">IF(AND('Budgeting Model'!AP72&lt;&gt;"",ABS('Budgeting Model'!AP72-'Scratch Sheet'!AP72)&lt;0.01),$CG$72,0)</f>
        <v>0.02</v>
      </c>
    </row>
    <row r="147" spans="79:119">
      <c r="CA147" s="5">
        <f>IF(AND('Budgeting Model'!B73&lt;&gt;"",'Budgeting Model'!B73='Scratch Sheet'!B73),$CG$72,0)</f>
        <v>0.02</v>
      </c>
      <c r="CB147" s="5">
        <f ca="1">IF(AND('Budgeting Model'!C73&lt;&gt;"",'Budgeting Model'!C73='Scratch Sheet'!C73),$CG$72,0)</f>
        <v>0.02</v>
      </c>
      <c r="CC147" s="5">
        <f>IF(AND('Budgeting Model'!D73&lt;&gt;"",'Budgeting Model'!D73='Scratch Sheet'!D73),$CG$72,0)</f>
        <v>0.02</v>
      </c>
      <c r="CD147" s="5">
        <f ca="1">IF(OR(AND('Budgeting Model'!E73="",'Budgeting Model'!D73&lt;&gt;"Vacant"),'Budgeting Model'!E73&lt;&gt;'Scratch Sheet'!E73),0,$CG$72)</f>
        <v>0.02</v>
      </c>
      <c r="CE147" s="5">
        <f ca="1">IF(AND('Budgeting Model'!F73&lt;&gt;"",'Budgeting Model'!F73='Scratch Sheet'!F73),$CG$72,0)</f>
        <v>0.02</v>
      </c>
      <c r="CF147" s="5">
        <f ca="1">IF(AND('Budgeting Model'!G73&lt;&gt;"",ABS('Budgeting Model'!G73-'Scratch Sheet'!G73)&lt;0.01),$CG$72,0)</f>
        <v>0.02</v>
      </c>
      <c r="CG147" s="5" t="s">
        <v>550</v>
      </c>
      <c r="CH147" s="5" t="s">
        <v>550</v>
      </c>
      <c r="CI147" s="5">
        <f ca="1">IF(AND('Budgeting Model'!J73&lt;&gt;"",ABS('Budgeting Model'!J73-'Scratch Sheet'!J73)&lt;0.01),$CG$72,0)</f>
        <v>0.02</v>
      </c>
      <c r="CJ147" s="5" t="s">
        <v>550</v>
      </c>
      <c r="CK147" s="5">
        <f ca="1">IF(AND('Budgeting Model'!L73&lt;&gt;"",ABS('Budgeting Model'!L73-'Scratch Sheet'!L73)&lt;0.01),$CG$72,0)</f>
        <v>0.02</v>
      </c>
      <c r="CL147" s="5" t="s">
        <v>550</v>
      </c>
      <c r="CM147" s="5">
        <f ca="1">IF(AND('Budgeting Model'!N73="",'Budgeting Model'!N73&lt;&gt;'Scratch Sheet'!N73),0,$CG$72)</f>
        <v>0.02</v>
      </c>
      <c r="CN147" s="5" t="s">
        <v>550</v>
      </c>
      <c r="CO147" s="5">
        <f ca="1">IF(AND('Budgeting Model'!P73&lt;&gt;"",ABS('Budgeting Model'!P73-'Scratch Sheet'!P73)&lt;0.01),$CG$72,0)</f>
        <v>0.02</v>
      </c>
      <c r="CP147" s="5">
        <f ca="1">IF(AND('Budgeting Model'!Q73&lt;&gt;"",ABS('Budgeting Model'!Q73-'Scratch Sheet'!Q73)&lt;0.01),$CG$72,0)</f>
        <v>0.02</v>
      </c>
      <c r="CQ147" s="5">
        <f ca="1">IF(AND('Budgeting Model'!R73&lt;&gt;"",ABS('Budgeting Model'!R73-'Scratch Sheet'!R73)&lt;0.01),$CG$72,0)</f>
        <v>0.02</v>
      </c>
      <c r="CR147" s="5">
        <f ca="1">IF(AND('Budgeting Model'!S73&lt;&gt;"",ABS('Budgeting Model'!S73-'Scratch Sheet'!S73)&lt;0.01),$CG$72,0)</f>
        <v>0.02</v>
      </c>
      <c r="CS147" s="5">
        <f ca="1">IF(AND('Budgeting Model'!T73&lt;&gt;"",ABS('Budgeting Model'!T73-'Scratch Sheet'!T73)&lt;0.01),$CG$72,0)</f>
        <v>0.02</v>
      </c>
      <c r="CT147" s="5">
        <f ca="1">IF(AND('Budgeting Model'!U73&lt;&gt;"",ABS('Budgeting Model'!U73-'Scratch Sheet'!U73)&lt;0.01),$CG$72,0)</f>
        <v>0.02</v>
      </c>
      <c r="CU147" s="5">
        <f ca="1">IF(AND('Budgeting Model'!V73&lt;&gt;"",ABS('Budgeting Model'!V73-'Scratch Sheet'!V73)&lt;0.01),$CG$72,0)</f>
        <v>0.02</v>
      </c>
      <c r="CV147" s="5" t="s">
        <v>550</v>
      </c>
      <c r="CW147" s="5" t="s">
        <v>550</v>
      </c>
      <c r="CX147" s="5">
        <f ca="1">IF(AND('Budgeting Model'!Y73&lt;&gt;"",ABS('Budgeting Model'!Y73-'Scratch Sheet'!Y73)&lt;0.01),$CG$72,0)</f>
        <v>0.02</v>
      </c>
      <c r="CY147" s="5" t="s">
        <v>550</v>
      </c>
      <c r="CZ147" s="5">
        <f ca="1">IF(AND('Budgeting Model'!AA73&lt;&gt;"",ABS('Budgeting Model'!AA73-'Scratch Sheet'!AA73)&lt;0.01),$CG$72,0)</f>
        <v>0.02</v>
      </c>
      <c r="DA147" s="5" t="s">
        <v>550</v>
      </c>
      <c r="DB147" s="5">
        <f ca="1">IF(AND('Budgeting Model'!AC73="",'Budgeting Model'!AC73&lt;&gt;'Scratch Sheet'!AC73),0,$CG$72)</f>
        <v>0.02</v>
      </c>
      <c r="DC147" s="5" t="s">
        <v>550</v>
      </c>
      <c r="DD147" s="5">
        <f ca="1">IF(AND('Budgeting Model'!AE73&lt;&gt;"",ABS('Budgeting Model'!AE73-'Scratch Sheet'!AE73)&lt;0.01),$CG$72,0)</f>
        <v>0.02</v>
      </c>
      <c r="DE147" s="5">
        <f ca="1">IF(AND('Budgeting Model'!AF73&lt;&gt;"",ABS('Budgeting Model'!AF73-'Scratch Sheet'!AF73)&lt;0.01),$CG$72,0)</f>
        <v>0.02</v>
      </c>
      <c r="DF147" s="5">
        <f ca="1">IF(AND('Budgeting Model'!AG73&lt;&gt;"",ABS('Budgeting Model'!AG73-'Scratch Sheet'!AG73)&lt;0.01),$CG$72,0)</f>
        <v>0.02</v>
      </c>
      <c r="DG147" s="5">
        <f ca="1">IF(AND('Budgeting Model'!AH73&lt;&gt;"",ABS('Budgeting Model'!AH73-'Scratch Sheet'!AH73)&lt;0.01),$CG$72,0)</f>
        <v>0.02</v>
      </c>
      <c r="DH147" s="5">
        <f ca="1">IF(AND('Budgeting Model'!AI73&lt;&gt;"",ABS('Budgeting Model'!AI73-'Scratch Sheet'!AI73)&lt;0.01),$CG$72,0)</f>
        <v>0.02</v>
      </c>
      <c r="DI147" s="5">
        <f ca="1">IF(AND('Budgeting Model'!AJ73&lt;&gt;"",ABS('Budgeting Model'!AJ73-'Scratch Sheet'!AJ73)&lt;0.01),$CG$72,0)</f>
        <v>0.02</v>
      </c>
      <c r="DJ147" s="5">
        <f ca="1">IF(AND('Budgeting Model'!AK73&lt;&gt;"",ABS('Budgeting Model'!AK73-'Scratch Sheet'!AK73)&lt;0.01),$CG$72,0)</f>
        <v>0.02</v>
      </c>
      <c r="DK147" s="5" t="s">
        <v>550</v>
      </c>
      <c r="DL147" s="5">
        <f ca="1">IF(AND('Budgeting Model'!AM73&lt;&gt;"",ABS('Budgeting Model'!AM73-'Scratch Sheet'!AM73)&lt;0.01),$CG$72,0)</f>
        <v>0.02</v>
      </c>
      <c r="DM147" s="5">
        <f ca="1">IF(AND('Budgeting Model'!AN73&lt;&gt;"",ABS('Budgeting Model'!AN73-'Scratch Sheet'!AN73)&lt;0.01),$CG$72,0)</f>
        <v>0.02</v>
      </c>
      <c r="DN147" s="5">
        <f ca="1">IF(AND('Budgeting Model'!AO73&lt;&gt;"",ABS('Budgeting Model'!AO73-'Scratch Sheet'!AO73)&lt;0.01),$CG$72,0)</f>
        <v>0.02</v>
      </c>
      <c r="DO147" s="5">
        <f ca="1">IF(AND('Budgeting Model'!AP73&lt;&gt;"",ABS('Budgeting Model'!AP73-'Scratch Sheet'!AP73)&lt;0.01),$CG$72,0)</f>
        <v>0.02</v>
      </c>
    </row>
    <row r="148" spans="79:119">
      <c r="CA148" s="5">
        <f>IF(AND('Budgeting Model'!B74&lt;&gt;"",'Budgeting Model'!B74='Scratch Sheet'!B74),$CG$72,0)</f>
        <v>0.02</v>
      </c>
      <c r="CB148" s="5">
        <f ca="1">IF(AND('Budgeting Model'!C74&lt;&gt;"",'Budgeting Model'!C74='Scratch Sheet'!C74),$CG$72,0)</f>
        <v>0.02</v>
      </c>
      <c r="CC148" s="5">
        <f>IF(AND('Budgeting Model'!D74&lt;&gt;"",'Budgeting Model'!D74='Scratch Sheet'!D74),$CG$72,0)</f>
        <v>0.02</v>
      </c>
      <c r="CD148" s="5">
        <f ca="1">IF(OR(AND('Budgeting Model'!E74="",'Budgeting Model'!D74&lt;&gt;"Vacant"),'Budgeting Model'!E74&lt;&gt;'Scratch Sheet'!E74),0,$CG$72)</f>
        <v>0.02</v>
      </c>
      <c r="CE148" s="5">
        <f ca="1">IF(AND('Budgeting Model'!F74&lt;&gt;"",'Budgeting Model'!F74='Scratch Sheet'!F74),$CG$72,0)</f>
        <v>0.02</v>
      </c>
      <c r="CF148" s="5">
        <f ca="1">IF(AND('Budgeting Model'!G74&lt;&gt;"",ABS('Budgeting Model'!G74-'Scratch Sheet'!G74)&lt;0.01),$CG$72,0)</f>
        <v>0.02</v>
      </c>
      <c r="CG148" s="5" t="s">
        <v>550</v>
      </c>
      <c r="CH148" s="5" t="s">
        <v>550</v>
      </c>
      <c r="CI148" s="5">
        <f ca="1">IF(AND('Budgeting Model'!J74&lt;&gt;"",ABS('Budgeting Model'!J74-'Scratch Sheet'!J74)&lt;0.01),$CG$72,0)</f>
        <v>0.02</v>
      </c>
      <c r="CJ148" s="5" t="s">
        <v>550</v>
      </c>
      <c r="CK148" s="5">
        <f ca="1">IF(AND('Budgeting Model'!L74&lt;&gt;"",ABS('Budgeting Model'!L74-'Scratch Sheet'!L74)&lt;0.01),$CG$72,0)</f>
        <v>0.02</v>
      </c>
      <c r="CL148" s="5" t="s">
        <v>550</v>
      </c>
      <c r="CM148" s="5">
        <f ca="1">IF(AND('Budgeting Model'!N74="",'Budgeting Model'!N74&lt;&gt;'Scratch Sheet'!N74),0,$CG$72)</f>
        <v>0.02</v>
      </c>
      <c r="CN148" s="5" t="s">
        <v>550</v>
      </c>
      <c r="CO148" s="5">
        <f ca="1">IF(AND('Budgeting Model'!P74&lt;&gt;"",ABS('Budgeting Model'!P74-'Scratch Sheet'!P74)&lt;0.01),$CG$72,0)</f>
        <v>0.02</v>
      </c>
      <c r="CP148" s="5">
        <f ca="1">IF(AND('Budgeting Model'!Q74&lt;&gt;"",ABS('Budgeting Model'!Q74-'Scratch Sheet'!Q74)&lt;0.01),$CG$72,0)</f>
        <v>0.02</v>
      </c>
      <c r="CQ148" s="5">
        <f ca="1">IF(AND('Budgeting Model'!R74&lt;&gt;"",ABS('Budgeting Model'!R74-'Scratch Sheet'!R74)&lt;0.01),$CG$72,0)</f>
        <v>0.02</v>
      </c>
      <c r="CR148" s="5">
        <f ca="1">IF(AND('Budgeting Model'!S74&lt;&gt;"",ABS('Budgeting Model'!S74-'Scratch Sheet'!S74)&lt;0.01),$CG$72,0)</f>
        <v>0.02</v>
      </c>
      <c r="CS148" s="5">
        <f ca="1">IF(AND('Budgeting Model'!T74&lt;&gt;"",ABS('Budgeting Model'!T74-'Scratch Sheet'!T74)&lt;0.01),$CG$72,0)</f>
        <v>0.02</v>
      </c>
      <c r="CT148" s="5">
        <f ca="1">IF(AND('Budgeting Model'!U74&lt;&gt;"",ABS('Budgeting Model'!U74-'Scratch Sheet'!U74)&lt;0.01),$CG$72,0)</f>
        <v>0.02</v>
      </c>
      <c r="CU148" s="5">
        <f ca="1">IF(AND('Budgeting Model'!V74&lt;&gt;"",ABS('Budgeting Model'!V74-'Scratch Sheet'!V74)&lt;0.01),$CG$72,0)</f>
        <v>0.02</v>
      </c>
      <c r="CV148" s="5" t="s">
        <v>550</v>
      </c>
      <c r="CW148" s="5" t="s">
        <v>550</v>
      </c>
      <c r="CX148" s="5">
        <f ca="1">IF(AND('Budgeting Model'!Y74&lt;&gt;"",ABS('Budgeting Model'!Y74-'Scratch Sheet'!Y74)&lt;0.01),$CG$72,0)</f>
        <v>0.02</v>
      </c>
      <c r="CY148" s="5" t="s">
        <v>550</v>
      </c>
      <c r="CZ148" s="5">
        <f ca="1">IF(AND('Budgeting Model'!AA74&lt;&gt;"",ABS('Budgeting Model'!AA74-'Scratch Sheet'!AA74)&lt;0.01),$CG$72,0)</f>
        <v>0.02</v>
      </c>
      <c r="DA148" s="5" t="s">
        <v>550</v>
      </c>
      <c r="DB148" s="5">
        <f ca="1">IF(AND('Budgeting Model'!AC74="",'Budgeting Model'!AC74&lt;&gt;'Scratch Sheet'!AC74),0,$CG$72)</f>
        <v>0.02</v>
      </c>
      <c r="DC148" s="5" t="s">
        <v>550</v>
      </c>
      <c r="DD148" s="5">
        <f ca="1">IF(AND('Budgeting Model'!AE74&lt;&gt;"",ABS('Budgeting Model'!AE74-'Scratch Sheet'!AE74)&lt;0.01),$CG$72,0)</f>
        <v>0.02</v>
      </c>
      <c r="DE148" s="5">
        <f ca="1">IF(AND('Budgeting Model'!AF74&lt;&gt;"",ABS('Budgeting Model'!AF74-'Scratch Sheet'!AF74)&lt;0.01),$CG$72,0)</f>
        <v>0.02</v>
      </c>
      <c r="DF148" s="5">
        <f ca="1">IF(AND('Budgeting Model'!AG74&lt;&gt;"",ABS('Budgeting Model'!AG74-'Scratch Sheet'!AG74)&lt;0.01),$CG$72,0)</f>
        <v>0.02</v>
      </c>
      <c r="DG148" s="5">
        <f ca="1">IF(AND('Budgeting Model'!AH74&lt;&gt;"",ABS('Budgeting Model'!AH74-'Scratch Sheet'!AH74)&lt;0.01),$CG$72,0)</f>
        <v>0.02</v>
      </c>
      <c r="DH148" s="5">
        <f ca="1">IF(AND('Budgeting Model'!AI74&lt;&gt;"",ABS('Budgeting Model'!AI74-'Scratch Sheet'!AI74)&lt;0.01),$CG$72,0)</f>
        <v>0.02</v>
      </c>
      <c r="DI148" s="5">
        <f ca="1">IF(AND('Budgeting Model'!AJ74&lt;&gt;"",ABS('Budgeting Model'!AJ74-'Scratch Sheet'!AJ74)&lt;0.01),$CG$72,0)</f>
        <v>0.02</v>
      </c>
      <c r="DJ148" s="5">
        <f ca="1">IF(AND('Budgeting Model'!AK74&lt;&gt;"",ABS('Budgeting Model'!AK74-'Scratch Sheet'!AK74)&lt;0.01),$CG$72,0)</f>
        <v>0.02</v>
      </c>
      <c r="DK148" s="5" t="s">
        <v>550</v>
      </c>
      <c r="DL148" s="5">
        <f ca="1">IF(AND('Budgeting Model'!AM74&lt;&gt;"",ABS('Budgeting Model'!AM74-'Scratch Sheet'!AM74)&lt;0.01),$CG$72,0)</f>
        <v>0.02</v>
      </c>
      <c r="DM148" s="5">
        <f ca="1">IF(AND('Budgeting Model'!AN74&lt;&gt;"",ABS('Budgeting Model'!AN74-'Scratch Sheet'!AN74)&lt;0.01),$CG$72,0)</f>
        <v>0.02</v>
      </c>
      <c r="DN148" s="5">
        <f ca="1">IF(AND('Budgeting Model'!AO74&lt;&gt;"",ABS('Budgeting Model'!AO74-'Scratch Sheet'!AO74)&lt;0.01),$CG$72,0)</f>
        <v>0.02</v>
      </c>
      <c r="DO148" s="5">
        <f ca="1">IF(AND('Budgeting Model'!AP74&lt;&gt;"",ABS('Budgeting Model'!AP74-'Scratch Sheet'!AP74)&lt;0.01),$CG$72,0)</f>
        <v>0.02</v>
      </c>
    </row>
    <row r="149" spans="79:119">
      <c r="CA149" s="5">
        <f>IF(AND('Budgeting Model'!B75&lt;&gt;"",'Budgeting Model'!B75='Scratch Sheet'!B75),$CG$72,0)</f>
        <v>0.02</v>
      </c>
      <c r="CB149" s="5">
        <f ca="1">IF(AND('Budgeting Model'!C75&lt;&gt;"",'Budgeting Model'!C75='Scratch Sheet'!C75),$CG$72,0)</f>
        <v>0.02</v>
      </c>
      <c r="CC149" s="5">
        <f>IF(AND('Budgeting Model'!D75&lt;&gt;"",'Budgeting Model'!D75='Scratch Sheet'!D75),$CG$72,0)</f>
        <v>0.02</v>
      </c>
      <c r="CD149" s="5">
        <f ca="1">IF(OR(AND('Budgeting Model'!E75="",'Budgeting Model'!D75&lt;&gt;"Vacant"),'Budgeting Model'!E75&lt;&gt;'Scratch Sheet'!E75),0,$CG$72)</f>
        <v>0.02</v>
      </c>
      <c r="CE149" s="5">
        <f ca="1">IF(AND('Budgeting Model'!F75&lt;&gt;"",'Budgeting Model'!F75='Scratch Sheet'!F75),$CG$72,0)</f>
        <v>0.02</v>
      </c>
      <c r="CF149" s="5">
        <f ca="1">IF(AND('Budgeting Model'!G75&lt;&gt;"",ABS('Budgeting Model'!G75-'Scratch Sheet'!G75)&lt;0.01),$CG$72,0)</f>
        <v>0.02</v>
      </c>
      <c r="CG149" s="5" t="s">
        <v>550</v>
      </c>
      <c r="CH149" s="5" t="s">
        <v>550</v>
      </c>
      <c r="CI149" s="5">
        <f ca="1">IF(AND('Budgeting Model'!J75&lt;&gt;"",ABS('Budgeting Model'!J75-'Scratch Sheet'!J75)&lt;0.01),$CG$72,0)</f>
        <v>0.02</v>
      </c>
      <c r="CJ149" s="5" t="s">
        <v>550</v>
      </c>
      <c r="CK149" s="5">
        <f ca="1">IF(AND('Budgeting Model'!L75&lt;&gt;"",ABS('Budgeting Model'!L75-'Scratch Sheet'!L75)&lt;0.01),$CG$72,0)</f>
        <v>0.02</v>
      </c>
      <c r="CL149" s="5" t="s">
        <v>550</v>
      </c>
      <c r="CM149" s="5">
        <f ca="1">IF(AND('Budgeting Model'!N75="",'Budgeting Model'!N75&lt;&gt;'Scratch Sheet'!N75),0,$CG$72)</f>
        <v>0.02</v>
      </c>
      <c r="CN149" s="5" t="s">
        <v>550</v>
      </c>
      <c r="CO149" s="5">
        <f ca="1">IF(AND('Budgeting Model'!P75&lt;&gt;"",ABS('Budgeting Model'!P75-'Scratch Sheet'!P75)&lt;0.01),$CG$72,0)</f>
        <v>0.02</v>
      </c>
      <c r="CP149" s="5">
        <f ca="1">IF(AND('Budgeting Model'!Q75&lt;&gt;"",ABS('Budgeting Model'!Q75-'Scratch Sheet'!Q75)&lt;0.01),$CG$72,0)</f>
        <v>0.02</v>
      </c>
      <c r="CQ149" s="5">
        <f ca="1">IF(AND('Budgeting Model'!R75&lt;&gt;"",ABS('Budgeting Model'!R75-'Scratch Sheet'!R75)&lt;0.01),$CG$72,0)</f>
        <v>0.02</v>
      </c>
      <c r="CR149" s="5">
        <f ca="1">IF(AND('Budgeting Model'!S75&lt;&gt;"",ABS('Budgeting Model'!S75-'Scratch Sheet'!S75)&lt;0.01),$CG$72,0)</f>
        <v>0.02</v>
      </c>
      <c r="CS149" s="5">
        <f ca="1">IF(AND('Budgeting Model'!T75&lt;&gt;"",ABS('Budgeting Model'!T75-'Scratch Sheet'!T75)&lt;0.01),$CG$72,0)</f>
        <v>0.02</v>
      </c>
      <c r="CT149" s="5">
        <f ca="1">IF(AND('Budgeting Model'!U75&lt;&gt;"",ABS('Budgeting Model'!U75-'Scratch Sheet'!U75)&lt;0.01),$CG$72,0)</f>
        <v>0.02</v>
      </c>
      <c r="CU149" s="5">
        <f ca="1">IF(AND('Budgeting Model'!V75&lt;&gt;"",ABS('Budgeting Model'!V75-'Scratch Sheet'!V75)&lt;0.01),$CG$72,0)</f>
        <v>0.02</v>
      </c>
      <c r="CV149" s="5" t="s">
        <v>550</v>
      </c>
      <c r="CW149" s="5" t="s">
        <v>550</v>
      </c>
      <c r="CX149" s="5">
        <f ca="1">IF(AND('Budgeting Model'!Y75&lt;&gt;"",ABS('Budgeting Model'!Y75-'Scratch Sheet'!Y75)&lt;0.01),$CG$72,0)</f>
        <v>0.02</v>
      </c>
      <c r="CY149" s="5" t="s">
        <v>550</v>
      </c>
      <c r="CZ149" s="5">
        <f ca="1">IF(AND('Budgeting Model'!AA75&lt;&gt;"",ABS('Budgeting Model'!AA75-'Scratch Sheet'!AA75)&lt;0.01),$CG$72,0)</f>
        <v>0.02</v>
      </c>
      <c r="DA149" s="5" t="s">
        <v>550</v>
      </c>
      <c r="DB149" s="5">
        <f ca="1">IF(AND('Budgeting Model'!AC75="",'Budgeting Model'!AC75&lt;&gt;'Scratch Sheet'!AC75),0,$CG$72)</f>
        <v>0.02</v>
      </c>
      <c r="DC149" s="5" t="s">
        <v>550</v>
      </c>
      <c r="DD149" s="5">
        <f ca="1">IF(AND('Budgeting Model'!AE75&lt;&gt;"",ABS('Budgeting Model'!AE75-'Scratch Sheet'!AE75)&lt;0.01),$CG$72,0)</f>
        <v>0.02</v>
      </c>
      <c r="DE149" s="5">
        <f ca="1">IF(AND('Budgeting Model'!AF75&lt;&gt;"",ABS('Budgeting Model'!AF75-'Scratch Sheet'!AF75)&lt;0.01),$CG$72,0)</f>
        <v>0.02</v>
      </c>
      <c r="DF149" s="5">
        <f ca="1">IF(AND('Budgeting Model'!AG75&lt;&gt;"",ABS('Budgeting Model'!AG75-'Scratch Sheet'!AG75)&lt;0.01),$CG$72,0)</f>
        <v>0.02</v>
      </c>
      <c r="DG149" s="5">
        <f ca="1">IF(AND('Budgeting Model'!AH75&lt;&gt;"",ABS('Budgeting Model'!AH75-'Scratch Sheet'!AH75)&lt;0.01),$CG$72,0)</f>
        <v>0.02</v>
      </c>
      <c r="DH149" s="5">
        <f ca="1">IF(AND('Budgeting Model'!AI75&lt;&gt;"",ABS('Budgeting Model'!AI75-'Scratch Sheet'!AI75)&lt;0.01),$CG$72,0)</f>
        <v>0.02</v>
      </c>
      <c r="DI149" s="5">
        <f ca="1">IF(AND('Budgeting Model'!AJ75&lt;&gt;"",ABS('Budgeting Model'!AJ75-'Scratch Sheet'!AJ75)&lt;0.01),$CG$72,0)</f>
        <v>0.02</v>
      </c>
      <c r="DJ149" s="5">
        <f ca="1">IF(AND('Budgeting Model'!AK75&lt;&gt;"",ABS('Budgeting Model'!AK75-'Scratch Sheet'!AK75)&lt;0.01),$CG$72,0)</f>
        <v>0.02</v>
      </c>
      <c r="DK149" s="5" t="s">
        <v>550</v>
      </c>
      <c r="DL149" s="5">
        <f ca="1">IF(AND('Budgeting Model'!AM75&lt;&gt;"",ABS('Budgeting Model'!AM75-'Scratch Sheet'!AM75)&lt;0.01),$CG$72,0)</f>
        <v>0.02</v>
      </c>
      <c r="DM149" s="5">
        <f ca="1">IF(AND('Budgeting Model'!AN75&lt;&gt;"",ABS('Budgeting Model'!AN75-'Scratch Sheet'!AN75)&lt;0.01),$CG$72,0)</f>
        <v>0.02</v>
      </c>
      <c r="DN149" s="5">
        <f ca="1">IF(AND('Budgeting Model'!AO75&lt;&gt;"",ABS('Budgeting Model'!AO75-'Scratch Sheet'!AO75)&lt;0.01),$CG$72,0)</f>
        <v>0.02</v>
      </c>
      <c r="DO149" s="5">
        <f ca="1">IF(AND('Budgeting Model'!AP75&lt;&gt;"",ABS('Budgeting Model'!AP75-'Scratch Sheet'!AP75)&lt;0.01),$CG$72,0)</f>
        <v>0.02</v>
      </c>
    </row>
    <row r="150" spans="79:119">
      <c r="CA150" s="5">
        <f>IF(AND('Budgeting Model'!B76&lt;&gt;"",'Budgeting Model'!B76='Scratch Sheet'!B76),$CG$72,0)</f>
        <v>0.02</v>
      </c>
      <c r="CB150" s="5">
        <f ca="1">IF(AND('Budgeting Model'!C76&lt;&gt;"",'Budgeting Model'!C76='Scratch Sheet'!C76),$CG$72,0)</f>
        <v>0.02</v>
      </c>
      <c r="CC150" s="5">
        <f>IF(AND('Budgeting Model'!D76&lt;&gt;"",'Budgeting Model'!D76='Scratch Sheet'!D76),$CG$72,0)</f>
        <v>0.02</v>
      </c>
      <c r="CD150" s="5">
        <f ca="1">IF(OR(AND('Budgeting Model'!E76="",'Budgeting Model'!D76&lt;&gt;"Vacant"),'Budgeting Model'!E76&lt;&gt;'Scratch Sheet'!E76),0,$CG$72)</f>
        <v>0.02</v>
      </c>
      <c r="CE150" s="5">
        <f ca="1">IF(AND('Budgeting Model'!F76&lt;&gt;"",'Budgeting Model'!F76='Scratch Sheet'!F76),$CG$72,0)</f>
        <v>0.02</v>
      </c>
      <c r="CF150" s="5">
        <f ca="1">IF(AND('Budgeting Model'!G76&lt;&gt;"",ABS('Budgeting Model'!G76-'Scratch Sheet'!G76)&lt;0.01),$CG$72,0)</f>
        <v>0.02</v>
      </c>
      <c r="CG150" s="5" t="s">
        <v>550</v>
      </c>
      <c r="CH150" s="5" t="s">
        <v>550</v>
      </c>
      <c r="CI150" s="5">
        <f ca="1">IF(AND('Budgeting Model'!J76&lt;&gt;"",ABS('Budgeting Model'!J76-'Scratch Sheet'!J76)&lt;0.01),$CG$72,0)</f>
        <v>0.02</v>
      </c>
      <c r="CJ150" s="5" t="s">
        <v>550</v>
      </c>
      <c r="CK150" s="5">
        <f ca="1">IF(AND('Budgeting Model'!L76&lt;&gt;"",ABS('Budgeting Model'!L76-'Scratch Sheet'!L76)&lt;0.01),$CG$72,0)</f>
        <v>0.02</v>
      </c>
      <c r="CL150" s="5" t="s">
        <v>550</v>
      </c>
      <c r="CM150" s="5">
        <f ca="1">IF(AND('Budgeting Model'!N76="",'Budgeting Model'!N76&lt;&gt;'Scratch Sheet'!N76),0,$CG$72)</f>
        <v>0.02</v>
      </c>
      <c r="CN150" s="5" t="s">
        <v>550</v>
      </c>
      <c r="CO150" s="5">
        <f ca="1">IF(AND('Budgeting Model'!P76&lt;&gt;"",ABS('Budgeting Model'!P76-'Scratch Sheet'!P76)&lt;0.01),$CG$72,0)</f>
        <v>0.02</v>
      </c>
      <c r="CP150" s="5">
        <f ca="1">IF(AND('Budgeting Model'!Q76&lt;&gt;"",ABS('Budgeting Model'!Q76-'Scratch Sheet'!Q76)&lt;0.01),$CG$72,0)</f>
        <v>0.02</v>
      </c>
      <c r="CQ150" s="5">
        <f ca="1">IF(AND('Budgeting Model'!R76&lt;&gt;"",ABS('Budgeting Model'!R76-'Scratch Sheet'!R76)&lt;0.01),$CG$72,0)</f>
        <v>0.02</v>
      </c>
      <c r="CR150" s="5">
        <f ca="1">IF(AND('Budgeting Model'!S76&lt;&gt;"",ABS('Budgeting Model'!S76-'Scratch Sheet'!S76)&lt;0.01),$CG$72,0)</f>
        <v>0.02</v>
      </c>
      <c r="CS150" s="5">
        <f ca="1">IF(AND('Budgeting Model'!T76&lt;&gt;"",ABS('Budgeting Model'!T76-'Scratch Sheet'!T76)&lt;0.01),$CG$72,0)</f>
        <v>0.02</v>
      </c>
      <c r="CT150" s="5">
        <f ca="1">IF(AND('Budgeting Model'!U76&lt;&gt;"",ABS('Budgeting Model'!U76-'Scratch Sheet'!U76)&lt;0.01),$CG$72,0)</f>
        <v>0.02</v>
      </c>
      <c r="CU150" s="5">
        <f ca="1">IF(AND('Budgeting Model'!V76&lt;&gt;"",ABS('Budgeting Model'!V76-'Scratch Sheet'!V76)&lt;0.01),$CG$72,0)</f>
        <v>0.02</v>
      </c>
      <c r="CV150" s="5" t="s">
        <v>550</v>
      </c>
      <c r="CW150" s="5" t="s">
        <v>550</v>
      </c>
      <c r="CX150" s="5">
        <f ca="1">IF(AND('Budgeting Model'!Y76&lt;&gt;"",ABS('Budgeting Model'!Y76-'Scratch Sheet'!Y76)&lt;0.01),$CG$72,0)</f>
        <v>0.02</v>
      </c>
      <c r="CY150" s="5" t="s">
        <v>550</v>
      </c>
      <c r="CZ150" s="5">
        <f ca="1">IF(AND('Budgeting Model'!AA76&lt;&gt;"",ABS('Budgeting Model'!AA76-'Scratch Sheet'!AA76)&lt;0.01),$CG$72,0)</f>
        <v>0.02</v>
      </c>
      <c r="DA150" s="5" t="s">
        <v>550</v>
      </c>
      <c r="DB150" s="5">
        <f ca="1">IF(AND('Budgeting Model'!AC76="",'Budgeting Model'!AC76&lt;&gt;'Scratch Sheet'!AC76),0,$CG$72)</f>
        <v>0.02</v>
      </c>
      <c r="DC150" s="5" t="s">
        <v>550</v>
      </c>
      <c r="DD150" s="5">
        <f ca="1">IF(AND('Budgeting Model'!AE76&lt;&gt;"",ABS('Budgeting Model'!AE76-'Scratch Sheet'!AE76)&lt;0.01),$CG$72,0)</f>
        <v>0.02</v>
      </c>
      <c r="DE150" s="5">
        <f ca="1">IF(AND('Budgeting Model'!AF76&lt;&gt;"",ABS('Budgeting Model'!AF76-'Scratch Sheet'!AF76)&lt;0.01),$CG$72,0)</f>
        <v>0.02</v>
      </c>
      <c r="DF150" s="5">
        <f ca="1">IF(AND('Budgeting Model'!AG76&lt;&gt;"",ABS('Budgeting Model'!AG76-'Scratch Sheet'!AG76)&lt;0.01),$CG$72,0)</f>
        <v>0.02</v>
      </c>
      <c r="DG150" s="5">
        <f ca="1">IF(AND('Budgeting Model'!AH76&lt;&gt;"",ABS('Budgeting Model'!AH76-'Scratch Sheet'!AH76)&lt;0.01),$CG$72,0)</f>
        <v>0.02</v>
      </c>
      <c r="DH150" s="5">
        <f ca="1">IF(AND('Budgeting Model'!AI76&lt;&gt;"",ABS('Budgeting Model'!AI76-'Scratch Sheet'!AI76)&lt;0.01),$CG$72,0)</f>
        <v>0.02</v>
      </c>
      <c r="DI150" s="5">
        <f ca="1">IF(AND('Budgeting Model'!AJ76&lt;&gt;"",ABS('Budgeting Model'!AJ76-'Scratch Sheet'!AJ76)&lt;0.01),$CG$72,0)</f>
        <v>0.02</v>
      </c>
      <c r="DJ150" s="5">
        <f ca="1">IF(AND('Budgeting Model'!AK76&lt;&gt;"",ABS('Budgeting Model'!AK76-'Scratch Sheet'!AK76)&lt;0.01),$CG$72,0)</f>
        <v>0.02</v>
      </c>
      <c r="DK150" s="5" t="s">
        <v>550</v>
      </c>
      <c r="DL150" s="5">
        <f ca="1">IF(AND('Budgeting Model'!AM76&lt;&gt;"",ABS('Budgeting Model'!AM76-'Scratch Sheet'!AM76)&lt;0.01),$CG$72,0)</f>
        <v>0.02</v>
      </c>
      <c r="DM150" s="5">
        <f ca="1">IF(AND('Budgeting Model'!AN76&lt;&gt;"",ABS('Budgeting Model'!AN76-'Scratch Sheet'!AN76)&lt;0.01),$CG$72,0)</f>
        <v>0.02</v>
      </c>
      <c r="DN150" s="5">
        <f ca="1">IF(AND('Budgeting Model'!AO76&lt;&gt;"",ABS('Budgeting Model'!AO76-'Scratch Sheet'!AO76)&lt;0.01),$CG$72,0)</f>
        <v>0.02</v>
      </c>
      <c r="DO150" s="5">
        <f ca="1">IF(AND('Budgeting Model'!AP76&lt;&gt;"",ABS('Budgeting Model'!AP76-'Scratch Sheet'!AP76)&lt;0.01),$CG$72,0)</f>
        <v>0.02</v>
      </c>
    </row>
    <row r="151" spans="79:119">
      <c r="CA151" s="5">
        <f>IF(AND('Budgeting Model'!B77&lt;&gt;"",'Budgeting Model'!B77='Scratch Sheet'!B77),$CG$72,0)</f>
        <v>0.02</v>
      </c>
      <c r="CB151" s="5">
        <f ca="1">IF(AND('Budgeting Model'!C77&lt;&gt;"",'Budgeting Model'!C77='Scratch Sheet'!C77),$CG$72,0)</f>
        <v>0.02</v>
      </c>
      <c r="CC151" s="5">
        <f>IF(AND('Budgeting Model'!D77&lt;&gt;"",'Budgeting Model'!D77='Scratch Sheet'!D77),$CG$72,0)</f>
        <v>0.02</v>
      </c>
      <c r="CD151" s="5">
        <f ca="1">IF(OR(AND('Budgeting Model'!E77="",'Budgeting Model'!D77&lt;&gt;"Vacant"),'Budgeting Model'!E77&lt;&gt;'Scratch Sheet'!E77),0,$CG$72)</f>
        <v>0.02</v>
      </c>
      <c r="CE151" s="5">
        <f ca="1">IF(AND('Budgeting Model'!F77&lt;&gt;"",'Budgeting Model'!F77='Scratch Sheet'!F77),$CG$72,0)</f>
        <v>0.02</v>
      </c>
      <c r="CF151" s="5">
        <f ca="1">IF(AND('Budgeting Model'!G77&lt;&gt;"",ABS('Budgeting Model'!G77-'Scratch Sheet'!G77)&lt;0.01),$CG$72,0)</f>
        <v>0.02</v>
      </c>
      <c r="CG151" s="5" t="s">
        <v>550</v>
      </c>
      <c r="CH151" s="5" t="s">
        <v>550</v>
      </c>
      <c r="CI151" s="5">
        <f ca="1">IF(AND('Budgeting Model'!J77&lt;&gt;"",ABS('Budgeting Model'!J77-'Scratch Sheet'!J77)&lt;0.01),$CG$72,0)</f>
        <v>0.02</v>
      </c>
      <c r="CJ151" s="5" t="s">
        <v>550</v>
      </c>
      <c r="CK151" s="5">
        <f ca="1">IF(AND('Budgeting Model'!L77&lt;&gt;"",ABS('Budgeting Model'!L77-'Scratch Sheet'!L77)&lt;0.01),$CG$72,0)</f>
        <v>0.02</v>
      </c>
      <c r="CL151" s="5" t="s">
        <v>550</v>
      </c>
      <c r="CM151" s="5">
        <f ca="1">IF(AND('Budgeting Model'!N77="",'Budgeting Model'!N77&lt;&gt;'Scratch Sheet'!N77),0,$CG$72)</f>
        <v>0.02</v>
      </c>
      <c r="CN151" s="5" t="s">
        <v>550</v>
      </c>
      <c r="CO151" s="5">
        <f ca="1">IF(AND('Budgeting Model'!P77&lt;&gt;"",ABS('Budgeting Model'!P77-'Scratch Sheet'!P77)&lt;0.01),$CG$72,0)</f>
        <v>0.02</v>
      </c>
      <c r="CP151" s="5">
        <f ca="1">IF(AND('Budgeting Model'!Q77&lt;&gt;"",ABS('Budgeting Model'!Q77-'Scratch Sheet'!Q77)&lt;0.01),$CG$72,0)</f>
        <v>0.02</v>
      </c>
      <c r="CQ151" s="5">
        <f ca="1">IF(AND('Budgeting Model'!R77&lt;&gt;"",ABS('Budgeting Model'!R77-'Scratch Sheet'!R77)&lt;0.01),$CG$72,0)</f>
        <v>0.02</v>
      </c>
      <c r="CR151" s="5">
        <f ca="1">IF(AND('Budgeting Model'!S77&lt;&gt;"",ABS('Budgeting Model'!S77-'Scratch Sheet'!S77)&lt;0.01),$CG$72,0)</f>
        <v>0.02</v>
      </c>
      <c r="CS151" s="5">
        <f ca="1">IF(AND('Budgeting Model'!T77&lt;&gt;"",ABS('Budgeting Model'!T77-'Scratch Sheet'!T77)&lt;0.01),$CG$72,0)</f>
        <v>0.02</v>
      </c>
      <c r="CT151" s="5">
        <f ca="1">IF(AND('Budgeting Model'!U77&lt;&gt;"",ABS('Budgeting Model'!U77-'Scratch Sheet'!U77)&lt;0.01),$CG$72,0)</f>
        <v>0.02</v>
      </c>
      <c r="CU151" s="5">
        <f ca="1">IF(AND('Budgeting Model'!V77&lt;&gt;"",ABS('Budgeting Model'!V77-'Scratch Sheet'!V77)&lt;0.01),$CG$72,0)</f>
        <v>0.02</v>
      </c>
      <c r="CV151" s="5" t="s">
        <v>550</v>
      </c>
      <c r="CW151" s="5" t="s">
        <v>550</v>
      </c>
      <c r="CX151" s="5">
        <f ca="1">IF(AND('Budgeting Model'!Y77&lt;&gt;"",ABS('Budgeting Model'!Y77-'Scratch Sheet'!Y77)&lt;0.01),$CG$72,0)</f>
        <v>0.02</v>
      </c>
      <c r="CY151" s="5" t="s">
        <v>550</v>
      </c>
      <c r="CZ151" s="5">
        <f ca="1">IF(AND('Budgeting Model'!AA77&lt;&gt;"",ABS('Budgeting Model'!AA77-'Scratch Sheet'!AA77)&lt;0.01),$CG$72,0)</f>
        <v>0.02</v>
      </c>
      <c r="DA151" s="5" t="s">
        <v>550</v>
      </c>
      <c r="DB151" s="5">
        <f ca="1">IF(AND('Budgeting Model'!AC77="",'Budgeting Model'!AC77&lt;&gt;'Scratch Sheet'!AC77),0,$CG$72)</f>
        <v>0.02</v>
      </c>
      <c r="DC151" s="5" t="s">
        <v>550</v>
      </c>
      <c r="DD151" s="5">
        <f ca="1">IF(AND('Budgeting Model'!AE77&lt;&gt;"",ABS('Budgeting Model'!AE77-'Scratch Sheet'!AE77)&lt;0.01),$CG$72,0)</f>
        <v>0.02</v>
      </c>
      <c r="DE151" s="5">
        <f ca="1">IF(AND('Budgeting Model'!AF77&lt;&gt;"",ABS('Budgeting Model'!AF77-'Scratch Sheet'!AF77)&lt;0.01),$CG$72,0)</f>
        <v>0.02</v>
      </c>
      <c r="DF151" s="5">
        <f ca="1">IF(AND('Budgeting Model'!AG77&lt;&gt;"",ABS('Budgeting Model'!AG77-'Scratch Sheet'!AG77)&lt;0.01),$CG$72,0)</f>
        <v>0.02</v>
      </c>
      <c r="DG151" s="5">
        <f ca="1">IF(AND('Budgeting Model'!AH77&lt;&gt;"",ABS('Budgeting Model'!AH77-'Scratch Sheet'!AH77)&lt;0.01),$CG$72,0)</f>
        <v>0.02</v>
      </c>
      <c r="DH151" s="5">
        <f ca="1">IF(AND('Budgeting Model'!AI77&lt;&gt;"",ABS('Budgeting Model'!AI77-'Scratch Sheet'!AI77)&lt;0.01),$CG$72,0)</f>
        <v>0.02</v>
      </c>
      <c r="DI151" s="5">
        <f ca="1">IF(AND('Budgeting Model'!AJ77&lt;&gt;"",ABS('Budgeting Model'!AJ77-'Scratch Sheet'!AJ77)&lt;0.01),$CG$72,0)</f>
        <v>0.02</v>
      </c>
      <c r="DJ151" s="5">
        <f ca="1">IF(AND('Budgeting Model'!AK77&lt;&gt;"",ABS('Budgeting Model'!AK77-'Scratch Sheet'!AK77)&lt;0.01),$CG$72,0)</f>
        <v>0.02</v>
      </c>
      <c r="DK151" s="5" t="s">
        <v>550</v>
      </c>
      <c r="DL151" s="5">
        <f ca="1">IF(AND('Budgeting Model'!AM77&lt;&gt;"",ABS('Budgeting Model'!AM77-'Scratch Sheet'!AM77)&lt;0.01),$CG$72,0)</f>
        <v>0.02</v>
      </c>
      <c r="DM151" s="5">
        <f ca="1">IF(AND('Budgeting Model'!AN77&lt;&gt;"",ABS('Budgeting Model'!AN77-'Scratch Sheet'!AN77)&lt;0.01),$CG$72,0)</f>
        <v>0.02</v>
      </c>
      <c r="DN151" s="5">
        <f ca="1">IF(AND('Budgeting Model'!AO77&lt;&gt;"",ABS('Budgeting Model'!AO77-'Scratch Sheet'!AO77)&lt;0.01),$CG$72,0)</f>
        <v>0.02</v>
      </c>
      <c r="DO151" s="5">
        <f ca="1">IF(AND('Budgeting Model'!AP77&lt;&gt;"",ABS('Budgeting Model'!AP77-'Scratch Sheet'!AP77)&lt;0.01),$CG$72,0)</f>
        <v>0.02</v>
      </c>
    </row>
    <row r="152" spans="79:119">
      <c r="CA152" s="5">
        <f>IF(AND('Budgeting Model'!B78&lt;&gt;"",'Budgeting Model'!B78='Scratch Sheet'!B78),$CG$72,0)</f>
        <v>0.02</v>
      </c>
      <c r="CB152" s="5">
        <f ca="1">IF(AND('Budgeting Model'!C78&lt;&gt;"",'Budgeting Model'!C78='Scratch Sheet'!C78),$CG$72,0)</f>
        <v>0.02</v>
      </c>
      <c r="CC152" s="5">
        <f>IF(AND('Budgeting Model'!D78&lt;&gt;"",'Budgeting Model'!D78='Scratch Sheet'!D78),$CG$72,0)</f>
        <v>0.02</v>
      </c>
      <c r="CD152" s="5">
        <f ca="1">IF(OR(AND('Budgeting Model'!E78="",'Budgeting Model'!D78&lt;&gt;"Vacant"),'Budgeting Model'!E78&lt;&gt;'Scratch Sheet'!E78),0,$CG$72)</f>
        <v>0.02</v>
      </c>
      <c r="CE152" s="5">
        <f ca="1">IF(AND('Budgeting Model'!F78&lt;&gt;"",'Budgeting Model'!F78='Scratch Sheet'!F78),$CG$72,0)</f>
        <v>0.02</v>
      </c>
      <c r="CF152" s="5">
        <f ca="1">IF(AND('Budgeting Model'!G78&lt;&gt;"",ABS('Budgeting Model'!G78-'Scratch Sheet'!G78)&lt;0.01),$CG$72,0)</f>
        <v>0.02</v>
      </c>
      <c r="CG152" s="5" t="s">
        <v>550</v>
      </c>
      <c r="CH152" s="5" t="s">
        <v>550</v>
      </c>
      <c r="CI152" s="5">
        <f ca="1">IF(AND('Budgeting Model'!J78&lt;&gt;"",ABS('Budgeting Model'!J78-'Scratch Sheet'!J78)&lt;0.01),$CG$72,0)</f>
        <v>0.02</v>
      </c>
      <c r="CJ152" s="5" t="s">
        <v>550</v>
      </c>
      <c r="CK152" s="5">
        <f ca="1">IF(AND('Budgeting Model'!L78&lt;&gt;"",ABS('Budgeting Model'!L78-'Scratch Sheet'!L78)&lt;0.01),$CG$72,0)</f>
        <v>0.02</v>
      </c>
      <c r="CL152" s="5" t="s">
        <v>550</v>
      </c>
      <c r="CM152" s="5">
        <f ca="1">IF(AND('Budgeting Model'!N78="",'Budgeting Model'!N78&lt;&gt;'Scratch Sheet'!N78),0,$CG$72)</f>
        <v>0.02</v>
      </c>
      <c r="CN152" s="5" t="s">
        <v>550</v>
      </c>
      <c r="CO152" s="5">
        <f ca="1">IF(AND('Budgeting Model'!P78&lt;&gt;"",ABS('Budgeting Model'!P78-'Scratch Sheet'!P78)&lt;0.01),$CG$72,0)</f>
        <v>0.02</v>
      </c>
      <c r="CP152" s="5">
        <f ca="1">IF(AND('Budgeting Model'!Q78&lt;&gt;"",ABS('Budgeting Model'!Q78-'Scratch Sheet'!Q78)&lt;0.01),$CG$72,0)</f>
        <v>0.02</v>
      </c>
      <c r="CQ152" s="5">
        <f ca="1">IF(AND('Budgeting Model'!R78&lt;&gt;"",ABS('Budgeting Model'!R78-'Scratch Sheet'!R78)&lt;0.01),$CG$72,0)</f>
        <v>0.02</v>
      </c>
      <c r="CR152" s="5">
        <f ca="1">IF(AND('Budgeting Model'!S78&lt;&gt;"",ABS('Budgeting Model'!S78-'Scratch Sheet'!S78)&lt;0.01),$CG$72,0)</f>
        <v>0.02</v>
      </c>
      <c r="CS152" s="5">
        <f ca="1">IF(AND('Budgeting Model'!T78&lt;&gt;"",ABS('Budgeting Model'!T78-'Scratch Sheet'!T78)&lt;0.01),$CG$72,0)</f>
        <v>0.02</v>
      </c>
      <c r="CT152" s="5">
        <f ca="1">IF(AND('Budgeting Model'!U78&lt;&gt;"",ABS('Budgeting Model'!U78-'Scratch Sheet'!U78)&lt;0.01),$CG$72,0)</f>
        <v>0.02</v>
      </c>
      <c r="CU152" s="5">
        <f ca="1">IF(AND('Budgeting Model'!V78&lt;&gt;"",ABS('Budgeting Model'!V78-'Scratch Sheet'!V78)&lt;0.01),$CG$72,0)</f>
        <v>0.02</v>
      </c>
      <c r="CV152" s="5" t="s">
        <v>550</v>
      </c>
      <c r="CW152" s="5" t="s">
        <v>550</v>
      </c>
      <c r="CX152" s="5">
        <f ca="1">IF(AND('Budgeting Model'!Y78&lt;&gt;"",ABS('Budgeting Model'!Y78-'Scratch Sheet'!Y78)&lt;0.01),$CG$72,0)</f>
        <v>0.02</v>
      </c>
      <c r="CY152" s="5" t="s">
        <v>550</v>
      </c>
      <c r="CZ152" s="5">
        <f ca="1">IF(AND('Budgeting Model'!AA78&lt;&gt;"",ABS('Budgeting Model'!AA78-'Scratch Sheet'!AA78)&lt;0.01),$CG$72,0)</f>
        <v>0.02</v>
      </c>
      <c r="DA152" s="5" t="s">
        <v>550</v>
      </c>
      <c r="DB152" s="5">
        <f ca="1">IF(AND('Budgeting Model'!AC78="",'Budgeting Model'!AC78&lt;&gt;'Scratch Sheet'!AC78),0,$CG$72)</f>
        <v>0.02</v>
      </c>
      <c r="DC152" s="5" t="s">
        <v>550</v>
      </c>
      <c r="DD152" s="5">
        <f ca="1">IF(AND('Budgeting Model'!AE78&lt;&gt;"",ABS('Budgeting Model'!AE78-'Scratch Sheet'!AE78)&lt;0.01),$CG$72,0)</f>
        <v>0.02</v>
      </c>
      <c r="DE152" s="5">
        <f ca="1">IF(AND('Budgeting Model'!AF78&lt;&gt;"",ABS('Budgeting Model'!AF78-'Scratch Sheet'!AF78)&lt;0.01),$CG$72,0)</f>
        <v>0.02</v>
      </c>
      <c r="DF152" s="5">
        <f ca="1">IF(AND('Budgeting Model'!AG78&lt;&gt;"",ABS('Budgeting Model'!AG78-'Scratch Sheet'!AG78)&lt;0.01),$CG$72,0)</f>
        <v>0.02</v>
      </c>
      <c r="DG152" s="5">
        <f ca="1">IF(AND('Budgeting Model'!AH78&lt;&gt;"",ABS('Budgeting Model'!AH78-'Scratch Sheet'!AH78)&lt;0.01),$CG$72,0)</f>
        <v>0.02</v>
      </c>
      <c r="DH152" s="5">
        <f ca="1">IF(AND('Budgeting Model'!AI78&lt;&gt;"",ABS('Budgeting Model'!AI78-'Scratch Sheet'!AI78)&lt;0.01),$CG$72,0)</f>
        <v>0.02</v>
      </c>
      <c r="DI152" s="5">
        <f ca="1">IF(AND('Budgeting Model'!AJ78&lt;&gt;"",ABS('Budgeting Model'!AJ78-'Scratch Sheet'!AJ78)&lt;0.01),$CG$72,0)</f>
        <v>0.02</v>
      </c>
      <c r="DJ152" s="5">
        <f ca="1">IF(AND('Budgeting Model'!AK78&lt;&gt;"",ABS('Budgeting Model'!AK78-'Scratch Sheet'!AK78)&lt;0.01),$CG$72,0)</f>
        <v>0.02</v>
      </c>
      <c r="DK152" s="5" t="s">
        <v>550</v>
      </c>
      <c r="DL152" s="5">
        <f ca="1">IF(AND('Budgeting Model'!AM78&lt;&gt;"",ABS('Budgeting Model'!AM78-'Scratch Sheet'!AM78)&lt;0.01),$CG$72,0)</f>
        <v>0.02</v>
      </c>
      <c r="DM152" s="5">
        <f ca="1">IF(AND('Budgeting Model'!AN78&lt;&gt;"",ABS('Budgeting Model'!AN78-'Scratch Sheet'!AN78)&lt;0.01),$CG$72,0)</f>
        <v>0.02</v>
      </c>
      <c r="DN152" s="5">
        <f ca="1">IF(AND('Budgeting Model'!AO78&lt;&gt;"",ABS('Budgeting Model'!AO78-'Scratch Sheet'!AO78)&lt;0.01),$CG$72,0)</f>
        <v>0.02</v>
      </c>
      <c r="DO152" s="5">
        <f ca="1">IF(AND('Budgeting Model'!AP78&lt;&gt;"",ABS('Budgeting Model'!AP78-'Scratch Sheet'!AP78)&lt;0.01),$CG$72,0)</f>
        <v>0.02</v>
      </c>
    </row>
    <row r="153" spans="79:119">
      <c r="CA153" s="5">
        <f>IF(AND('Budgeting Model'!B79&lt;&gt;"",'Budgeting Model'!B79='Scratch Sheet'!B79),$CG$72,0)</f>
        <v>0.02</v>
      </c>
      <c r="CB153" s="5">
        <f ca="1">IF(AND('Budgeting Model'!C79&lt;&gt;"",'Budgeting Model'!C79='Scratch Sheet'!C79),$CG$72,0)</f>
        <v>0.02</v>
      </c>
      <c r="CC153" s="5">
        <f>IF(AND('Budgeting Model'!D79&lt;&gt;"",'Budgeting Model'!D79='Scratch Sheet'!D79),$CG$72,0)</f>
        <v>0.02</v>
      </c>
      <c r="CD153" s="5">
        <f ca="1">IF(OR(AND('Budgeting Model'!E79="",'Budgeting Model'!D79&lt;&gt;"Vacant"),'Budgeting Model'!E79&lt;&gt;'Scratch Sheet'!E79),0,$CG$72)</f>
        <v>0.02</v>
      </c>
      <c r="CE153" s="5">
        <f ca="1">IF(AND('Budgeting Model'!F79&lt;&gt;"",'Budgeting Model'!F79='Scratch Sheet'!F79),$CG$72,0)</f>
        <v>0.02</v>
      </c>
      <c r="CF153" s="5">
        <f ca="1">IF(AND('Budgeting Model'!G79&lt;&gt;"",ABS('Budgeting Model'!G79-'Scratch Sheet'!G79)&lt;0.01),$CG$72,0)</f>
        <v>0.02</v>
      </c>
      <c r="CG153" s="5" t="s">
        <v>550</v>
      </c>
      <c r="CH153" s="5" t="s">
        <v>550</v>
      </c>
      <c r="CI153" s="5">
        <f ca="1">IF(AND('Budgeting Model'!J79&lt;&gt;"",ABS('Budgeting Model'!J79-'Scratch Sheet'!J79)&lt;0.01),$CG$72,0)</f>
        <v>0.02</v>
      </c>
      <c r="CJ153" s="5" t="s">
        <v>550</v>
      </c>
      <c r="CK153" s="5">
        <f ca="1">IF(AND('Budgeting Model'!L79&lt;&gt;"",ABS('Budgeting Model'!L79-'Scratch Sheet'!L79)&lt;0.01),$CG$72,0)</f>
        <v>0.02</v>
      </c>
      <c r="CL153" s="5" t="s">
        <v>550</v>
      </c>
      <c r="CM153" s="5">
        <f ca="1">IF(AND('Budgeting Model'!N79="",'Budgeting Model'!N79&lt;&gt;'Scratch Sheet'!N79),0,$CG$72)</f>
        <v>0.02</v>
      </c>
      <c r="CN153" s="5" t="s">
        <v>550</v>
      </c>
      <c r="CO153" s="5">
        <f ca="1">IF(AND('Budgeting Model'!P79&lt;&gt;"",ABS('Budgeting Model'!P79-'Scratch Sheet'!P79)&lt;0.01),$CG$72,0)</f>
        <v>0.02</v>
      </c>
      <c r="CP153" s="5">
        <f ca="1">IF(AND('Budgeting Model'!Q79&lt;&gt;"",ABS('Budgeting Model'!Q79-'Scratch Sheet'!Q79)&lt;0.01),$CG$72,0)</f>
        <v>0.02</v>
      </c>
      <c r="CQ153" s="5">
        <f ca="1">IF(AND('Budgeting Model'!R79&lt;&gt;"",ABS('Budgeting Model'!R79-'Scratch Sheet'!R79)&lt;0.01),$CG$72,0)</f>
        <v>0.02</v>
      </c>
      <c r="CR153" s="5">
        <f ca="1">IF(AND('Budgeting Model'!S79&lt;&gt;"",ABS('Budgeting Model'!S79-'Scratch Sheet'!S79)&lt;0.01),$CG$72,0)</f>
        <v>0.02</v>
      </c>
      <c r="CS153" s="5">
        <f ca="1">IF(AND('Budgeting Model'!T79&lt;&gt;"",ABS('Budgeting Model'!T79-'Scratch Sheet'!T79)&lt;0.01),$CG$72,0)</f>
        <v>0.02</v>
      </c>
      <c r="CT153" s="5">
        <f ca="1">IF(AND('Budgeting Model'!U79&lt;&gt;"",ABS('Budgeting Model'!U79-'Scratch Sheet'!U79)&lt;0.01),$CG$72,0)</f>
        <v>0.02</v>
      </c>
      <c r="CU153" s="5">
        <f ca="1">IF(AND('Budgeting Model'!V79&lt;&gt;"",ABS('Budgeting Model'!V79-'Scratch Sheet'!V79)&lt;0.01),$CG$72,0)</f>
        <v>0.02</v>
      </c>
      <c r="CV153" s="5" t="s">
        <v>550</v>
      </c>
      <c r="CW153" s="5" t="s">
        <v>550</v>
      </c>
      <c r="CX153" s="5">
        <f ca="1">IF(AND('Budgeting Model'!Y79&lt;&gt;"",ABS('Budgeting Model'!Y79-'Scratch Sheet'!Y79)&lt;0.01),$CG$72,0)</f>
        <v>0.02</v>
      </c>
      <c r="CY153" s="5" t="s">
        <v>550</v>
      </c>
      <c r="CZ153" s="5">
        <f ca="1">IF(AND('Budgeting Model'!AA79&lt;&gt;"",ABS('Budgeting Model'!AA79-'Scratch Sheet'!AA79)&lt;0.01),$CG$72,0)</f>
        <v>0.02</v>
      </c>
      <c r="DA153" s="5" t="s">
        <v>550</v>
      </c>
      <c r="DB153" s="5">
        <f ca="1">IF(AND('Budgeting Model'!AC79="",'Budgeting Model'!AC79&lt;&gt;'Scratch Sheet'!AC79),0,$CG$72)</f>
        <v>0.02</v>
      </c>
      <c r="DC153" s="5" t="s">
        <v>550</v>
      </c>
      <c r="DD153" s="5">
        <f ca="1">IF(AND('Budgeting Model'!AE79&lt;&gt;"",ABS('Budgeting Model'!AE79-'Scratch Sheet'!AE79)&lt;0.01),$CG$72,0)</f>
        <v>0.02</v>
      </c>
      <c r="DE153" s="5">
        <f ca="1">IF(AND('Budgeting Model'!AF79&lt;&gt;"",ABS('Budgeting Model'!AF79-'Scratch Sheet'!AF79)&lt;0.01),$CG$72,0)</f>
        <v>0.02</v>
      </c>
      <c r="DF153" s="5">
        <f ca="1">IF(AND('Budgeting Model'!AG79&lt;&gt;"",ABS('Budgeting Model'!AG79-'Scratch Sheet'!AG79)&lt;0.01),$CG$72,0)</f>
        <v>0.02</v>
      </c>
      <c r="DG153" s="5">
        <f ca="1">IF(AND('Budgeting Model'!AH79&lt;&gt;"",ABS('Budgeting Model'!AH79-'Scratch Sheet'!AH79)&lt;0.01),$CG$72,0)</f>
        <v>0.02</v>
      </c>
      <c r="DH153" s="5">
        <f ca="1">IF(AND('Budgeting Model'!AI79&lt;&gt;"",ABS('Budgeting Model'!AI79-'Scratch Sheet'!AI79)&lt;0.01),$CG$72,0)</f>
        <v>0.02</v>
      </c>
      <c r="DI153" s="5">
        <f ca="1">IF(AND('Budgeting Model'!AJ79&lt;&gt;"",ABS('Budgeting Model'!AJ79-'Scratch Sheet'!AJ79)&lt;0.01),$CG$72,0)</f>
        <v>0.02</v>
      </c>
      <c r="DJ153" s="5">
        <f ca="1">IF(AND('Budgeting Model'!AK79&lt;&gt;"",ABS('Budgeting Model'!AK79-'Scratch Sheet'!AK79)&lt;0.01),$CG$72,0)</f>
        <v>0.02</v>
      </c>
      <c r="DK153" s="5" t="s">
        <v>550</v>
      </c>
      <c r="DL153" s="5">
        <f ca="1">IF(AND('Budgeting Model'!AM79&lt;&gt;"",ABS('Budgeting Model'!AM79-'Scratch Sheet'!AM79)&lt;0.01),$CG$72,0)</f>
        <v>0.02</v>
      </c>
      <c r="DM153" s="5">
        <f ca="1">IF(AND('Budgeting Model'!AN79&lt;&gt;"",ABS('Budgeting Model'!AN79-'Scratch Sheet'!AN79)&lt;0.01),$CG$72,0)</f>
        <v>0.02</v>
      </c>
      <c r="DN153" s="5">
        <f ca="1">IF(AND('Budgeting Model'!AO79&lt;&gt;"",ABS('Budgeting Model'!AO79-'Scratch Sheet'!AO79)&lt;0.01),$CG$72,0)</f>
        <v>0.02</v>
      </c>
      <c r="DO153" s="5">
        <f ca="1">IF(AND('Budgeting Model'!AP79&lt;&gt;"",ABS('Budgeting Model'!AP79-'Scratch Sheet'!AP79)&lt;0.01),$CG$72,0)</f>
        <v>0.02</v>
      </c>
    </row>
    <row r="154" spans="79:119">
      <c r="CA154" s="5">
        <f>IF(AND('Budgeting Model'!B80&lt;&gt;"",'Budgeting Model'!B80='Scratch Sheet'!B80),$CG$72,0)</f>
        <v>0.02</v>
      </c>
      <c r="CB154" s="5">
        <f ca="1">IF(AND('Budgeting Model'!C80&lt;&gt;"",'Budgeting Model'!C80='Scratch Sheet'!C80),$CG$72,0)</f>
        <v>0.02</v>
      </c>
      <c r="CC154" s="5">
        <f>IF(AND('Budgeting Model'!D80&lt;&gt;"",'Budgeting Model'!D80='Scratch Sheet'!D80),$CG$72,0)</f>
        <v>0.02</v>
      </c>
      <c r="CD154" s="5">
        <f ca="1">IF(OR(AND('Budgeting Model'!E80="",'Budgeting Model'!D80&lt;&gt;"Vacant"),'Budgeting Model'!E80&lt;&gt;'Scratch Sheet'!E80),0,$CG$72)</f>
        <v>0.02</v>
      </c>
      <c r="CE154" s="5">
        <f ca="1">IF(AND('Budgeting Model'!F80&lt;&gt;"",'Budgeting Model'!F80='Scratch Sheet'!F80),$CG$72,0)</f>
        <v>0.02</v>
      </c>
      <c r="CF154" s="5">
        <f ca="1">IF(AND('Budgeting Model'!G80&lt;&gt;"",ABS('Budgeting Model'!G80-'Scratch Sheet'!G80)&lt;0.01),$CG$72,0)</f>
        <v>0.02</v>
      </c>
      <c r="CG154" s="5" t="s">
        <v>550</v>
      </c>
      <c r="CH154" s="5" t="s">
        <v>550</v>
      </c>
      <c r="CI154" s="5">
        <f ca="1">IF(AND('Budgeting Model'!J80&lt;&gt;"",ABS('Budgeting Model'!J80-'Scratch Sheet'!J80)&lt;0.01),$CG$72,0)</f>
        <v>0.02</v>
      </c>
      <c r="CJ154" s="5" t="s">
        <v>550</v>
      </c>
      <c r="CK154" s="5">
        <f ca="1">IF(AND('Budgeting Model'!L80&lt;&gt;"",ABS('Budgeting Model'!L80-'Scratch Sheet'!L80)&lt;0.01),$CG$72,0)</f>
        <v>0.02</v>
      </c>
      <c r="CL154" s="5" t="s">
        <v>550</v>
      </c>
      <c r="CM154" s="5">
        <f ca="1">IF(AND('Budgeting Model'!N80="",'Budgeting Model'!N80&lt;&gt;'Scratch Sheet'!N80),0,$CG$72)</f>
        <v>0.02</v>
      </c>
      <c r="CN154" s="5" t="s">
        <v>550</v>
      </c>
      <c r="CO154" s="5">
        <f ca="1">IF(AND('Budgeting Model'!P80&lt;&gt;"",ABS('Budgeting Model'!P80-'Scratch Sheet'!P80)&lt;0.01),$CG$72,0)</f>
        <v>0.02</v>
      </c>
      <c r="CP154" s="5">
        <f ca="1">IF(AND('Budgeting Model'!Q80&lt;&gt;"",ABS('Budgeting Model'!Q80-'Scratch Sheet'!Q80)&lt;0.01),$CG$72,0)</f>
        <v>0.02</v>
      </c>
      <c r="CQ154" s="5">
        <f ca="1">IF(AND('Budgeting Model'!R80&lt;&gt;"",ABS('Budgeting Model'!R80-'Scratch Sheet'!R80)&lt;0.01),$CG$72,0)</f>
        <v>0.02</v>
      </c>
      <c r="CR154" s="5">
        <f ca="1">IF(AND('Budgeting Model'!S80&lt;&gt;"",ABS('Budgeting Model'!S80-'Scratch Sheet'!S80)&lt;0.01),$CG$72,0)</f>
        <v>0.02</v>
      </c>
      <c r="CS154" s="5">
        <f ca="1">IF(AND('Budgeting Model'!T80&lt;&gt;"",ABS('Budgeting Model'!T80-'Scratch Sheet'!T80)&lt;0.01),$CG$72,0)</f>
        <v>0.02</v>
      </c>
      <c r="CT154" s="5">
        <f ca="1">IF(AND('Budgeting Model'!U80&lt;&gt;"",ABS('Budgeting Model'!U80-'Scratch Sheet'!U80)&lt;0.01),$CG$72,0)</f>
        <v>0.02</v>
      </c>
      <c r="CU154" s="5">
        <f ca="1">IF(AND('Budgeting Model'!V80&lt;&gt;"",ABS('Budgeting Model'!V80-'Scratch Sheet'!V80)&lt;0.01),$CG$72,0)</f>
        <v>0.02</v>
      </c>
      <c r="CV154" s="5" t="s">
        <v>550</v>
      </c>
      <c r="CW154" s="5" t="s">
        <v>550</v>
      </c>
      <c r="CX154" s="5">
        <f ca="1">IF(AND('Budgeting Model'!Y80&lt;&gt;"",ABS('Budgeting Model'!Y80-'Scratch Sheet'!Y80)&lt;0.01),$CG$72,0)</f>
        <v>0.02</v>
      </c>
      <c r="CY154" s="5" t="s">
        <v>550</v>
      </c>
      <c r="CZ154" s="5">
        <f ca="1">IF(AND('Budgeting Model'!AA80&lt;&gt;"",ABS('Budgeting Model'!AA80-'Scratch Sheet'!AA80)&lt;0.01),$CG$72,0)</f>
        <v>0.02</v>
      </c>
      <c r="DA154" s="5" t="s">
        <v>550</v>
      </c>
      <c r="DB154" s="5">
        <f ca="1">IF(AND('Budgeting Model'!AC80="",'Budgeting Model'!AC80&lt;&gt;'Scratch Sheet'!AC80),0,$CG$72)</f>
        <v>0.02</v>
      </c>
      <c r="DC154" s="5" t="s">
        <v>550</v>
      </c>
      <c r="DD154" s="5">
        <f ca="1">IF(AND('Budgeting Model'!AE80&lt;&gt;"",ABS('Budgeting Model'!AE80-'Scratch Sheet'!AE80)&lt;0.01),$CG$72,0)</f>
        <v>0.02</v>
      </c>
      <c r="DE154" s="5">
        <f ca="1">IF(AND('Budgeting Model'!AF80&lt;&gt;"",ABS('Budgeting Model'!AF80-'Scratch Sheet'!AF80)&lt;0.01),$CG$72,0)</f>
        <v>0.02</v>
      </c>
      <c r="DF154" s="5">
        <f ca="1">IF(AND('Budgeting Model'!AG80&lt;&gt;"",ABS('Budgeting Model'!AG80-'Scratch Sheet'!AG80)&lt;0.01),$CG$72,0)</f>
        <v>0.02</v>
      </c>
      <c r="DG154" s="5">
        <f ca="1">IF(AND('Budgeting Model'!AH80&lt;&gt;"",ABS('Budgeting Model'!AH80-'Scratch Sheet'!AH80)&lt;0.01),$CG$72,0)</f>
        <v>0.02</v>
      </c>
      <c r="DH154" s="5">
        <f ca="1">IF(AND('Budgeting Model'!AI80&lt;&gt;"",ABS('Budgeting Model'!AI80-'Scratch Sheet'!AI80)&lt;0.01),$CG$72,0)</f>
        <v>0.02</v>
      </c>
      <c r="DI154" s="5">
        <f ca="1">IF(AND('Budgeting Model'!AJ80&lt;&gt;"",ABS('Budgeting Model'!AJ80-'Scratch Sheet'!AJ80)&lt;0.01),$CG$72,0)</f>
        <v>0.02</v>
      </c>
      <c r="DJ154" s="5">
        <f ca="1">IF(AND('Budgeting Model'!AK80&lt;&gt;"",ABS('Budgeting Model'!AK80-'Scratch Sheet'!AK80)&lt;0.01),$CG$72,0)</f>
        <v>0.02</v>
      </c>
      <c r="DK154" s="5" t="s">
        <v>550</v>
      </c>
      <c r="DL154" s="5">
        <f ca="1">IF(AND('Budgeting Model'!AM80&lt;&gt;"",ABS('Budgeting Model'!AM80-'Scratch Sheet'!AM80)&lt;0.01),$CG$72,0)</f>
        <v>0.02</v>
      </c>
      <c r="DM154" s="5">
        <f ca="1">IF(AND('Budgeting Model'!AN80&lt;&gt;"",ABS('Budgeting Model'!AN80-'Scratch Sheet'!AN80)&lt;0.01),$CG$72,0)</f>
        <v>0.02</v>
      </c>
      <c r="DN154" s="5">
        <f ca="1">IF(AND('Budgeting Model'!AO80&lt;&gt;"",ABS('Budgeting Model'!AO80-'Scratch Sheet'!AO80)&lt;0.01),$CG$72,0)</f>
        <v>0.02</v>
      </c>
      <c r="DO154" s="5">
        <f ca="1">IF(AND('Budgeting Model'!AP80&lt;&gt;"",ABS('Budgeting Model'!AP80-'Scratch Sheet'!AP80)&lt;0.01),$CG$72,0)</f>
        <v>0.02</v>
      </c>
    </row>
    <row r="155" spans="79:119">
      <c r="CA155" s="5">
        <f>IF(AND('Budgeting Model'!B81&lt;&gt;"",'Budgeting Model'!B81='Scratch Sheet'!B81),$CG$72,0)</f>
        <v>0.02</v>
      </c>
      <c r="CB155" s="5">
        <f ca="1">IF(AND('Budgeting Model'!C81&lt;&gt;"",'Budgeting Model'!C81='Scratch Sheet'!C81),$CG$72,0)</f>
        <v>0.02</v>
      </c>
      <c r="CC155" s="5">
        <f>IF(AND('Budgeting Model'!D81&lt;&gt;"",'Budgeting Model'!D81='Scratch Sheet'!D81),$CG$72,0)</f>
        <v>0.02</v>
      </c>
      <c r="CD155" s="5">
        <f ca="1">IF(OR(AND('Budgeting Model'!E81="",'Budgeting Model'!D81&lt;&gt;"Vacant"),'Budgeting Model'!E81&lt;&gt;'Scratch Sheet'!E81),0,$CG$72)</f>
        <v>0.02</v>
      </c>
      <c r="CE155" s="5">
        <f ca="1">IF(AND('Budgeting Model'!F81&lt;&gt;"",'Budgeting Model'!F81='Scratch Sheet'!F81),$CG$72,0)</f>
        <v>0.02</v>
      </c>
      <c r="CF155" s="5">
        <f ca="1">IF(AND('Budgeting Model'!G81&lt;&gt;"",ABS('Budgeting Model'!G81-'Scratch Sheet'!G81)&lt;0.01),$CG$72,0)</f>
        <v>0.02</v>
      </c>
      <c r="CG155" s="5" t="s">
        <v>550</v>
      </c>
      <c r="CH155" s="5" t="s">
        <v>550</v>
      </c>
      <c r="CI155" s="5">
        <f ca="1">IF(AND('Budgeting Model'!J81&lt;&gt;"",ABS('Budgeting Model'!J81-'Scratch Sheet'!J81)&lt;0.01),$CG$72,0)</f>
        <v>0.02</v>
      </c>
      <c r="CJ155" s="5" t="s">
        <v>550</v>
      </c>
      <c r="CK155" s="5">
        <f ca="1">IF(AND('Budgeting Model'!L81&lt;&gt;"",ABS('Budgeting Model'!L81-'Scratch Sheet'!L81)&lt;0.01),$CG$72,0)</f>
        <v>0.02</v>
      </c>
      <c r="CL155" s="5" t="s">
        <v>550</v>
      </c>
      <c r="CM155" s="5">
        <f ca="1">IF(AND('Budgeting Model'!N81="",'Budgeting Model'!N81&lt;&gt;'Scratch Sheet'!N81),0,$CG$72)</f>
        <v>0.02</v>
      </c>
      <c r="CN155" s="5" t="s">
        <v>550</v>
      </c>
      <c r="CO155" s="5">
        <f ca="1">IF(AND('Budgeting Model'!P81&lt;&gt;"",ABS('Budgeting Model'!P81-'Scratch Sheet'!P81)&lt;0.01),$CG$72,0)</f>
        <v>0.02</v>
      </c>
      <c r="CP155" s="5">
        <f ca="1">IF(AND('Budgeting Model'!Q81&lt;&gt;"",ABS('Budgeting Model'!Q81-'Scratch Sheet'!Q81)&lt;0.01),$CG$72,0)</f>
        <v>0.02</v>
      </c>
      <c r="CQ155" s="5">
        <f ca="1">IF(AND('Budgeting Model'!R81&lt;&gt;"",ABS('Budgeting Model'!R81-'Scratch Sheet'!R81)&lt;0.01),$CG$72,0)</f>
        <v>0.02</v>
      </c>
      <c r="CR155" s="5">
        <f ca="1">IF(AND('Budgeting Model'!S81&lt;&gt;"",ABS('Budgeting Model'!S81-'Scratch Sheet'!S81)&lt;0.01),$CG$72,0)</f>
        <v>0.02</v>
      </c>
      <c r="CS155" s="5">
        <f ca="1">IF(AND('Budgeting Model'!T81&lt;&gt;"",ABS('Budgeting Model'!T81-'Scratch Sheet'!T81)&lt;0.01),$CG$72,0)</f>
        <v>0.02</v>
      </c>
      <c r="CT155" s="5">
        <f ca="1">IF(AND('Budgeting Model'!U81&lt;&gt;"",ABS('Budgeting Model'!U81-'Scratch Sheet'!U81)&lt;0.01),$CG$72,0)</f>
        <v>0.02</v>
      </c>
      <c r="CU155" s="5">
        <f ca="1">IF(AND('Budgeting Model'!V81&lt;&gt;"",ABS('Budgeting Model'!V81-'Scratch Sheet'!V81)&lt;0.01),$CG$72,0)</f>
        <v>0.02</v>
      </c>
      <c r="CV155" s="5" t="s">
        <v>550</v>
      </c>
      <c r="CW155" s="5" t="s">
        <v>550</v>
      </c>
      <c r="CX155" s="5">
        <f ca="1">IF(AND('Budgeting Model'!Y81&lt;&gt;"",ABS('Budgeting Model'!Y81-'Scratch Sheet'!Y81)&lt;0.01),$CG$72,0)</f>
        <v>0.02</v>
      </c>
      <c r="CY155" s="5" t="s">
        <v>550</v>
      </c>
      <c r="CZ155" s="5">
        <f ca="1">IF(AND('Budgeting Model'!AA81&lt;&gt;"",ABS('Budgeting Model'!AA81-'Scratch Sheet'!AA81)&lt;0.01),$CG$72,0)</f>
        <v>0.02</v>
      </c>
      <c r="DA155" s="5" t="s">
        <v>550</v>
      </c>
      <c r="DB155" s="5">
        <f ca="1">IF(AND('Budgeting Model'!AC81="",'Budgeting Model'!AC81&lt;&gt;'Scratch Sheet'!AC81),0,$CG$72)</f>
        <v>0.02</v>
      </c>
      <c r="DC155" s="5" t="s">
        <v>550</v>
      </c>
      <c r="DD155" s="5">
        <f ca="1">IF(AND('Budgeting Model'!AE81&lt;&gt;"",ABS('Budgeting Model'!AE81-'Scratch Sheet'!AE81)&lt;0.01),$CG$72,0)</f>
        <v>0.02</v>
      </c>
      <c r="DE155" s="5">
        <f ca="1">IF(AND('Budgeting Model'!AF81&lt;&gt;"",ABS('Budgeting Model'!AF81-'Scratch Sheet'!AF81)&lt;0.01),$CG$72,0)</f>
        <v>0.02</v>
      </c>
      <c r="DF155" s="5">
        <f ca="1">IF(AND('Budgeting Model'!AG81&lt;&gt;"",ABS('Budgeting Model'!AG81-'Scratch Sheet'!AG81)&lt;0.01),$CG$72,0)</f>
        <v>0.02</v>
      </c>
      <c r="DG155" s="5">
        <f ca="1">IF(AND('Budgeting Model'!AH81&lt;&gt;"",ABS('Budgeting Model'!AH81-'Scratch Sheet'!AH81)&lt;0.01),$CG$72,0)</f>
        <v>0.02</v>
      </c>
      <c r="DH155" s="5">
        <f ca="1">IF(AND('Budgeting Model'!AI81&lt;&gt;"",ABS('Budgeting Model'!AI81-'Scratch Sheet'!AI81)&lt;0.01),$CG$72,0)</f>
        <v>0.02</v>
      </c>
      <c r="DI155" s="5">
        <f ca="1">IF(AND('Budgeting Model'!AJ81&lt;&gt;"",ABS('Budgeting Model'!AJ81-'Scratch Sheet'!AJ81)&lt;0.01),$CG$72,0)</f>
        <v>0.02</v>
      </c>
      <c r="DJ155" s="5">
        <f ca="1">IF(AND('Budgeting Model'!AK81&lt;&gt;"",ABS('Budgeting Model'!AK81-'Scratch Sheet'!AK81)&lt;0.01),$CG$72,0)</f>
        <v>0.02</v>
      </c>
      <c r="DK155" s="5" t="s">
        <v>550</v>
      </c>
      <c r="DL155" s="5">
        <f ca="1">IF(AND('Budgeting Model'!AM81&lt;&gt;"",ABS('Budgeting Model'!AM81-'Scratch Sheet'!AM81)&lt;0.01),$CG$72,0)</f>
        <v>0.02</v>
      </c>
      <c r="DM155" s="5">
        <f ca="1">IF(AND('Budgeting Model'!AN81&lt;&gt;"",ABS('Budgeting Model'!AN81-'Scratch Sheet'!AN81)&lt;0.01),$CG$72,0)</f>
        <v>0.02</v>
      </c>
      <c r="DN155" s="5">
        <f ca="1">IF(AND('Budgeting Model'!AO81&lt;&gt;"",ABS('Budgeting Model'!AO81-'Scratch Sheet'!AO81)&lt;0.01),$CG$72,0)</f>
        <v>0.02</v>
      </c>
      <c r="DO155" s="5">
        <f ca="1">IF(AND('Budgeting Model'!AP81&lt;&gt;"",ABS('Budgeting Model'!AP81-'Scratch Sheet'!AP81)&lt;0.01),$CG$72,0)</f>
        <v>0.02</v>
      </c>
    </row>
    <row r="156" spans="79:119">
      <c r="CA156" s="5">
        <f>IF(AND('Budgeting Model'!B82&lt;&gt;"",'Budgeting Model'!B82='Scratch Sheet'!B82),$CG$72,0)</f>
        <v>0.02</v>
      </c>
      <c r="CB156" s="5">
        <f ca="1">IF(AND('Budgeting Model'!C82&lt;&gt;"",'Budgeting Model'!C82='Scratch Sheet'!C82),$CG$72,0)</f>
        <v>0.02</v>
      </c>
      <c r="CC156" s="5">
        <f>IF(AND('Budgeting Model'!D82&lt;&gt;"",'Budgeting Model'!D82='Scratch Sheet'!D82),$CG$72,0)</f>
        <v>0.02</v>
      </c>
      <c r="CD156" s="5">
        <f ca="1">IF(OR(AND('Budgeting Model'!E82="",'Budgeting Model'!D82&lt;&gt;"Vacant"),'Budgeting Model'!E82&lt;&gt;'Scratch Sheet'!E82),0,$CG$72)</f>
        <v>0.02</v>
      </c>
      <c r="CE156" s="5">
        <f ca="1">IF(AND('Budgeting Model'!F82&lt;&gt;"",'Budgeting Model'!F82='Scratch Sheet'!F82),$CG$72,0)</f>
        <v>0.02</v>
      </c>
      <c r="CF156" s="5">
        <f ca="1">IF(AND('Budgeting Model'!G82&lt;&gt;"",ABS('Budgeting Model'!G82-'Scratch Sheet'!G82)&lt;0.01),$CG$72,0)</f>
        <v>0.02</v>
      </c>
      <c r="CG156" s="5" t="s">
        <v>550</v>
      </c>
      <c r="CH156" s="5" t="s">
        <v>550</v>
      </c>
      <c r="CI156" s="5">
        <f ca="1">IF(AND('Budgeting Model'!J82&lt;&gt;"",ABS('Budgeting Model'!J82-'Scratch Sheet'!J82)&lt;0.01),$CG$72,0)</f>
        <v>0.02</v>
      </c>
      <c r="CJ156" s="5" t="s">
        <v>550</v>
      </c>
      <c r="CK156" s="5">
        <f ca="1">IF(AND('Budgeting Model'!L82&lt;&gt;"",ABS('Budgeting Model'!L82-'Scratch Sheet'!L82)&lt;0.01),$CG$72,0)</f>
        <v>0.02</v>
      </c>
      <c r="CL156" s="5" t="s">
        <v>550</v>
      </c>
      <c r="CM156" s="5">
        <f ca="1">IF(AND('Budgeting Model'!N82="",'Budgeting Model'!N82&lt;&gt;'Scratch Sheet'!N82),0,$CG$72)</f>
        <v>0.02</v>
      </c>
      <c r="CN156" s="5" t="s">
        <v>550</v>
      </c>
      <c r="CO156" s="5">
        <f ca="1">IF(AND('Budgeting Model'!P82&lt;&gt;"",ABS('Budgeting Model'!P82-'Scratch Sheet'!P82)&lt;0.01),$CG$72,0)</f>
        <v>0.02</v>
      </c>
      <c r="CP156" s="5">
        <f ca="1">IF(AND('Budgeting Model'!Q82&lt;&gt;"",ABS('Budgeting Model'!Q82-'Scratch Sheet'!Q82)&lt;0.01),$CG$72,0)</f>
        <v>0.02</v>
      </c>
      <c r="CQ156" s="5">
        <f ca="1">IF(AND('Budgeting Model'!R82&lt;&gt;"",ABS('Budgeting Model'!R82-'Scratch Sheet'!R82)&lt;0.01),$CG$72,0)</f>
        <v>0.02</v>
      </c>
      <c r="CR156" s="5">
        <f ca="1">IF(AND('Budgeting Model'!S82&lt;&gt;"",ABS('Budgeting Model'!S82-'Scratch Sheet'!S82)&lt;0.01),$CG$72,0)</f>
        <v>0.02</v>
      </c>
      <c r="CS156" s="5">
        <f ca="1">IF(AND('Budgeting Model'!T82&lt;&gt;"",ABS('Budgeting Model'!T82-'Scratch Sheet'!T82)&lt;0.01),$CG$72,0)</f>
        <v>0.02</v>
      </c>
      <c r="CT156" s="5">
        <f ca="1">IF(AND('Budgeting Model'!U82&lt;&gt;"",ABS('Budgeting Model'!U82-'Scratch Sheet'!U82)&lt;0.01),$CG$72,0)</f>
        <v>0.02</v>
      </c>
      <c r="CU156" s="5">
        <f ca="1">IF(AND('Budgeting Model'!V82&lt;&gt;"",ABS('Budgeting Model'!V82-'Scratch Sheet'!V82)&lt;0.01),$CG$72,0)</f>
        <v>0.02</v>
      </c>
      <c r="CV156" s="5" t="s">
        <v>550</v>
      </c>
      <c r="CW156" s="5" t="s">
        <v>550</v>
      </c>
      <c r="CX156" s="5">
        <f ca="1">IF(AND('Budgeting Model'!Y82&lt;&gt;"",ABS('Budgeting Model'!Y82-'Scratch Sheet'!Y82)&lt;0.01),$CG$72,0)</f>
        <v>0.02</v>
      </c>
      <c r="CY156" s="5" t="s">
        <v>550</v>
      </c>
      <c r="CZ156" s="5">
        <f ca="1">IF(AND('Budgeting Model'!AA82&lt;&gt;"",ABS('Budgeting Model'!AA82-'Scratch Sheet'!AA82)&lt;0.01),$CG$72,0)</f>
        <v>0.02</v>
      </c>
      <c r="DA156" s="5" t="s">
        <v>550</v>
      </c>
      <c r="DB156" s="5">
        <f ca="1">IF(AND('Budgeting Model'!AC82="",'Budgeting Model'!AC82&lt;&gt;'Scratch Sheet'!AC82),0,$CG$72)</f>
        <v>0.02</v>
      </c>
      <c r="DC156" s="5" t="s">
        <v>550</v>
      </c>
      <c r="DD156" s="5">
        <f ca="1">IF(AND('Budgeting Model'!AE82&lt;&gt;"",ABS('Budgeting Model'!AE82-'Scratch Sheet'!AE82)&lt;0.01),$CG$72,0)</f>
        <v>0.02</v>
      </c>
      <c r="DE156" s="5">
        <f ca="1">IF(AND('Budgeting Model'!AF82&lt;&gt;"",ABS('Budgeting Model'!AF82-'Scratch Sheet'!AF82)&lt;0.01),$CG$72,0)</f>
        <v>0.02</v>
      </c>
      <c r="DF156" s="5">
        <f ca="1">IF(AND('Budgeting Model'!AG82&lt;&gt;"",ABS('Budgeting Model'!AG82-'Scratch Sheet'!AG82)&lt;0.01),$CG$72,0)</f>
        <v>0.02</v>
      </c>
      <c r="DG156" s="5">
        <f ca="1">IF(AND('Budgeting Model'!AH82&lt;&gt;"",ABS('Budgeting Model'!AH82-'Scratch Sheet'!AH82)&lt;0.01),$CG$72,0)</f>
        <v>0.02</v>
      </c>
      <c r="DH156" s="5">
        <f ca="1">IF(AND('Budgeting Model'!AI82&lt;&gt;"",ABS('Budgeting Model'!AI82-'Scratch Sheet'!AI82)&lt;0.01),$CG$72,0)</f>
        <v>0.02</v>
      </c>
      <c r="DI156" s="5">
        <f ca="1">IF(AND('Budgeting Model'!AJ82&lt;&gt;"",ABS('Budgeting Model'!AJ82-'Scratch Sheet'!AJ82)&lt;0.01),$CG$72,0)</f>
        <v>0.02</v>
      </c>
      <c r="DJ156" s="5">
        <f ca="1">IF(AND('Budgeting Model'!AK82&lt;&gt;"",ABS('Budgeting Model'!AK82-'Scratch Sheet'!AK82)&lt;0.01),$CG$72,0)</f>
        <v>0.02</v>
      </c>
      <c r="DK156" s="5" t="s">
        <v>550</v>
      </c>
      <c r="DL156" s="5">
        <f ca="1">IF(AND('Budgeting Model'!AM82&lt;&gt;"",ABS('Budgeting Model'!AM82-'Scratch Sheet'!AM82)&lt;0.01),$CG$72,0)</f>
        <v>0.02</v>
      </c>
      <c r="DM156" s="5">
        <f ca="1">IF(AND('Budgeting Model'!AN82&lt;&gt;"",ABS('Budgeting Model'!AN82-'Scratch Sheet'!AN82)&lt;0.01),$CG$72,0)</f>
        <v>0.02</v>
      </c>
      <c r="DN156" s="5">
        <f ca="1">IF(AND('Budgeting Model'!AO82&lt;&gt;"",ABS('Budgeting Model'!AO82-'Scratch Sheet'!AO82)&lt;0.01),$CG$72,0)</f>
        <v>0.02</v>
      </c>
      <c r="DO156" s="5">
        <f ca="1">IF(AND('Budgeting Model'!AP82&lt;&gt;"",ABS('Budgeting Model'!AP82-'Scratch Sheet'!AP82)&lt;0.01),$CG$72,0)</f>
        <v>0.02</v>
      </c>
    </row>
    <row r="157" spans="79:119">
      <c r="CA157" s="5">
        <f>IF(AND('Budgeting Model'!B83&lt;&gt;"",'Budgeting Model'!B83='Scratch Sheet'!B83),$CG$72,0)</f>
        <v>0.02</v>
      </c>
      <c r="CB157" s="5">
        <f ca="1">IF(AND('Budgeting Model'!C83&lt;&gt;"",'Budgeting Model'!C83='Scratch Sheet'!C83),$CG$72,0)</f>
        <v>0.02</v>
      </c>
      <c r="CC157" s="5">
        <f>IF(AND('Budgeting Model'!D83&lt;&gt;"",'Budgeting Model'!D83='Scratch Sheet'!D83),$CG$72,0)</f>
        <v>0.02</v>
      </c>
      <c r="CD157" s="5">
        <f ca="1">IF(OR(AND('Budgeting Model'!E83="",'Budgeting Model'!D83&lt;&gt;"Vacant"),'Budgeting Model'!E83&lt;&gt;'Scratch Sheet'!E83),0,$CG$72)</f>
        <v>0.02</v>
      </c>
      <c r="CE157" s="5">
        <f ca="1">IF(AND('Budgeting Model'!F83&lt;&gt;"",'Budgeting Model'!F83='Scratch Sheet'!F83),$CG$72,0)</f>
        <v>0.02</v>
      </c>
      <c r="CF157" s="5">
        <f ca="1">IF(AND('Budgeting Model'!G83&lt;&gt;"",ABS('Budgeting Model'!G83-'Scratch Sheet'!G83)&lt;0.01),$CG$72,0)</f>
        <v>0.02</v>
      </c>
      <c r="CG157" s="5" t="s">
        <v>550</v>
      </c>
      <c r="CH157" s="5" t="s">
        <v>550</v>
      </c>
      <c r="CI157" s="5">
        <f ca="1">IF(AND('Budgeting Model'!J83&lt;&gt;"",ABS('Budgeting Model'!J83-'Scratch Sheet'!J83)&lt;0.01),$CG$72,0)</f>
        <v>0.02</v>
      </c>
      <c r="CJ157" s="5" t="s">
        <v>550</v>
      </c>
      <c r="CK157" s="5">
        <f ca="1">IF(AND('Budgeting Model'!L83&lt;&gt;"",ABS('Budgeting Model'!L83-'Scratch Sheet'!L83)&lt;0.01),$CG$72,0)</f>
        <v>0.02</v>
      </c>
      <c r="CL157" s="5" t="s">
        <v>550</v>
      </c>
      <c r="CM157" s="5">
        <f ca="1">IF(AND('Budgeting Model'!N83="",'Budgeting Model'!N83&lt;&gt;'Scratch Sheet'!N83),0,$CG$72)</f>
        <v>0.02</v>
      </c>
      <c r="CN157" s="5" t="s">
        <v>550</v>
      </c>
      <c r="CO157" s="5">
        <f ca="1">IF(AND('Budgeting Model'!P83&lt;&gt;"",ABS('Budgeting Model'!P83-'Scratch Sheet'!P83)&lt;0.01),$CG$72,0)</f>
        <v>0.02</v>
      </c>
      <c r="CP157" s="5">
        <f ca="1">IF(AND('Budgeting Model'!Q83&lt;&gt;"",ABS('Budgeting Model'!Q83-'Scratch Sheet'!Q83)&lt;0.01),$CG$72,0)</f>
        <v>0.02</v>
      </c>
      <c r="CQ157" s="5">
        <f ca="1">IF(AND('Budgeting Model'!R83&lt;&gt;"",ABS('Budgeting Model'!R83-'Scratch Sheet'!R83)&lt;0.01),$CG$72,0)</f>
        <v>0.02</v>
      </c>
      <c r="CR157" s="5">
        <f ca="1">IF(AND('Budgeting Model'!S83&lt;&gt;"",ABS('Budgeting Model'!S83-'Scratch Sheet'!S83)&lt;0.01),$CG$72,0)</f>
        <v>0.02</v>
      </c>
      <c r="CS157" s="5">
        <f ca="1">IF(AND('Budgeting Model'!T83&lt;&gt;"",ABS('Budgeting Model'!T83-'Scratch Sheet'!T83)&lt;0.01),$CG$72,0)</f>
        <v>0.02</v>
      </c>
      <c r="CT157" s="5">
        <f ca="1">IF(AND('Budgeting Model'!U83&lt;&gt;"",ABS('Budgeting Model'!U83-'Scratch Sheet'!U83)&lt;0.01),$CG$72,0)</f>
        <v>0.02</v>
      </c>
      <c r="CU157" s="5">
        <f ca="1">IF(AND('Budgeting Model'!V83&lt;&gt;"",ABS('Budgeting Model'!V83-'Scratch Sheet'!V83)&lt;0.01),$CG$72,0)</f>
        <v>0.02</v>
      </c>
      <c r="CV157" s="5" t="s">
        <v>550</v>
      </c>
      <c r="CW157" s="5" t="s">
        <v>550</v>
      </c>
      <c r="CX157" s="5">
        <f ca="1">IF(AND('Budgeting Model'!Y83&lt;&gt;"",ABS('Budgeting Model'!Y83-'Scratch Sheet'!Y83)&lt;0.01),$CG$72,0)</f>
        <v>0.02</v>
      </c>
      <c r="CY157" s="5" t="s">
        <v>550</v>
      </c>
      <c r="CZ157" s="5">
        <f ca="1">IF(AND('Budgeting Model'!AA83&lt;&gt;"",ABS('Budgeting Model'!AA83-'Scratch Sheet'!AA83)&lt;0.01),$CG$72,0)</f>
        <v>0.02</v>
      </c>
      <c r="DA157" s="5" t="s">
        <v>550</v>
      </c>
      <c r="DB157" s="5">
        <f ca="1">IF(AND('Budgeting Model'!AC83="",'Budgeting Model'!AC83&lt;&gt;'Scratch Sheet'!AC83),0,$CG$72)</f>
        <v>0.02</v>
      </c>
      <c r="DC157" s="5" t="s">
        <v>550</v>
      </c>
      <c r="DD157" s="5">
        <f ca="1">IF(AND('Budgeting Model'!AE83&lt;&gt;"",ABS('Budgeting Model'!AE83-'Scratch Sheet'!AE83)&lt;0.01),$CG$72,0)</f>
        <v>0.02</v>
      </c>
      <c r="DE157" s="5">
        <f ca="1">IF(AND('Budgeting Model'!AF83&lt;&gt;"",ABS('Budgeting Model'!AF83-'Scratch Sheet'!AF83)&lt;0.01),$CG$72,0)</f>
        <v>0.02</v>
      </c>
      <c r="DF157" s="5">
        <f ca="1">IF(AND('Budgeting Model'!AG83&lt;&gt;"",ABS('Budgeting Model'!AG83-'Scratch Sheet'!AG83)&lt;0.01),$CG$72,0)</f>
        <v>0.02</v>
      </c>
      <c r="DG157" s="5">
        <f ca="1">IF(AND('Budgeting Model'!AH83&lt;&gt;"",ABS('Budgeting Model'!AH83-'Scratch Sheet'!AH83)&lt;0.01),$CG$72,0)</f>
        <v>0.02</v>
      </c>
      <c r="DH157" s="5">
        <f ca="1">IF(AND('Budgeting Model'!AI83&lt;&gt;"",ABS('Budgeting Model'!AI83-'Scratch Sheet'!AI83)&lt;0.01),$CG$72,0)</f>
        <v>0.02</v>
      </c>
      <c r="DI157" s="5">
        <f ca="1">IF(AND('Budgeting Model'!AJ83&lt;&gt;"",ABS('Budgeting Model'!AJ83-'Scratch Sheet'!AJ83)&lt;0.01),$CG$72,0)</f>
        <v>0.02</v>
      </c>
      <c r="DJ157" s="5">
        <f ca="1">IF(AND('Budgeting Model'!AK83&lt;&gt;"",ABS('Budgeting Model'!AK83-'Scratch Sheet'!AK83)&lt;0.01),$CG$72,0)</f>
        <v>0.02</v>
      </c>
      <c r="DK157" s="5" t="s">
        <v>550</v>
      </c>
      <c r="DL157" s="5">
        <f ca="1">IF(AND('Budgeting Model'!AM83&lt;&gt;"",ABS('Budgeting Model'!AM83-'Scratch Sheet'!AM83)&lt;0.01),$CG$72,0)</f>
        <v>0.02</v>
      </c>
      <c r="DM157" s="5">
        <f ca="1">IF(AND('Budgeting Model'!AN83&lt;&gt;"",ABS('Budgeting Model'!AN83-'Scratch Sheet'!AN83)&lt;0.01),$CG$72,0)</f>
        <v>0.02</v>
      </c>
      <c r="DN157" s="5">
        <f ca="1">IF(AND('Budgeting Model'!AO83&lt;&gt;"",ABS('Budgeting Model'!AO83-'Scratch Sheet'!AO83)&lt;0.01),$CG$72,0)</f>
        <v>0.02</v>
      </c>
      <c r="DO157" s="5">
        <f ca="1">IF(AND('Budgeting Model'!AP83&lt;&gt;"",ABS('Budgeting Model'!AP83-'Scratch Sheet'!AP83)&lt;0.01),$CG$72,0)</f>
        <v>0.02</v>
      </c>
    </row>
    <row r="158" spans="79:119">
      <c r="CA158" s="5">
        <f>IF(AND('Budgeting Model'!B84&lt;&gt;"",'Budgeting Model'!B84='Scratch Sheet'!B84),$CG$72,0)</f>
        <v>0.02</v>
      </c>
      <c r="CB158" s="5">
        <f ca="1">IF(AND('Budgeting Model'!C84&lt;&gt;"",'Budgeting Model'!C84='Scratch Sheet'!C84),$CG$72,0)</f>
        <v>0.02</v>
      </c>
      <c r="CC158" s="5">
        <f>IF(AND('Budgeting Model'!D84&lt;&gt;"",'Budgeting Model'!D84='Scratch Sheet'!D84),$CG$72,0)</f>
        <v>0.02</v>
      </c>
      <c r="CD158" s="5">
        <f ca="1">IF(OR(AND('Budgeting Model'!E84="",'Budgeting Model'!D84&lt;&gt;"Vacant"),'Budgeting Model'!E84&lt;&gt;'Scratch Sheet'!E84),0,$CG$72)</f>
        <v>0.02</v>
      </c>
      <c r="CE158" s="5">
        <f ca="1">IF(AND('Budgeting Model'!F84&lt;&gt;"",'Budgeting Model'!F84='Scratch Sheet'!F84),$CG$72,0)</f>
        <v>0.02</v>
      </c>
      <c r="CF158" s="5">
        <f ca="1">IF(AND('Budgeting Model'!G84&lt;&gt;"",ABS('Budgeting Model'!G84-'Scratch Sheet'!G84)&lt;0.01),$CG$72,0)</f>
        <v>0.02</v>
      </c>
      <c r="CG158" s="5" t="s">
        <v>550</v>
      </c>
      <c r="CH158" s="5" t="s">
        <v>550</v>
      </c>
      <c r="CI158" s="5">
        <f ca="1">IF(AND('Budgeting Model'!J84&lt;&gt;"",ABS('Budgeting Model'!J84-'Scratch Sheet'!J84)&lt;0.01),$CG$72,0)</f>
        <v>0.02</v>
      </c>
      <c r="CJ158" s="5" t="s">
        <v>550</v>
      </c>
      <c r="CK158" s="5">
        <f ca="1">IF(AND('Budgeting Model'!L84&lt;&gt;"",ABS('Budgeting Model'!L84-'Scratch Sheet'!L84)&lt;0.01),$CG$72,0)</f>
        <v>0.02</v>
      </c>
      <c r="CL158" s="5" t="s">
        <v>550</v>
      </c>
      <c r="CM158" s="5">
        <f ca="1">IF(AND('Budgeting Model'!N84="",'Budgeting Model'!N84&lt;&gt;'Scratch Sheet'!N84),0,$CG$72)</f>
        <v>0.02</v>
      </c>
      <c r="CN158" s="5" t="s">
        <v>550</v>
      </c>
      <c r="CO158" s="5">
        <f ca="1">IF(AND('Budgeting Model'!P84&lt;&gt;"",ABS('Budgeting Model'!P84-'Scratch Sheet'!P84)&lt;0.01),$CG$72,0)</f>
        <v>0.02</v>
      </c>
      <c r="CP158" s="5">
        <f ca="1">IF(AND('Budgeting Model'!Q84&lt;&gt;"",ABS('Budgeting Model'!Q84-'Scratch Sheet'!Q84)&lt;0.01),$CG$72,0)</f>
        <v>0.02</v>
      </c>
      <c r="CQ158" s="5">
        <f ca="1">IF(AND('Budgeting Model'!R84&lt;&gt;"",ABS('Budgeting Model'!R84-'Scratch Sheet'!R84)&lt;0.01),$CG$72,0)</f>
        <v>0.02</v>
      </c>
      <c r="CR158" s="5">
        <f ca="1">IF(AND('Budgeting Model'!S84&lt;&gt;"",ABS('Budgeting Model'!S84-'Scratch Sheet'!S84)&lt;0.01),$CG$72,0)</f>
        <v>0.02</v>
      </c>
      <c r="CS158" s="5">
        <f ca="1">IF(AND('Budgeting Model'!T84&lt;&gt;"",ABS('Budgeting Model'!T84-'Scratch Sheet'!T84)&lt;0.01),$CG$72,0)</f>
        <v>0.02</v>
      </c>
      <c r="CT158" s="5">
        <f ca="1">IF(AND('Budgeting Model'!U84&lt;&gt;"",ABS('Budgeting Model'!U84-'Scratch Sheet'!U84)&lt;0.01),$CG$72,0)</f>
        <v>0.02</v>
      </c>
      <c r="CU158" s="5">
        <f ca="1">IF(AND('Budgeting Model'!V84&lt;&gt;"",ABS('Budgeting Model'!V84-'Scratch Sheet'!V84)&lt;0.01),$CG$72,0)</f>
        <v>0.02</v>
      </c>
      <c r="CV158" s="5" t="s">
        <v>550</v>
      </c>
      <c r="CW158" s="5" t="s">
        <v>550</v>
      </c>
      <c r="CX158" s="5">
        <f ca="1">IF(AND('Budgeting Model'!Y84&lt;&gt;"",ABS('Budgeting Model'!Y84-'Scratch Sheet'!Y84)&lt;0.01),$CG$72,0)</f>
        <v>0.02</v>
      </c>
      <c r="CY158" s="5" t="s">
        <v>550</v>
      </c>
      <c r="CZ158" s="5">
        <f ca="1">IF(AND('Budgeting Model'!AA84&lt;&gt;"",ABS('Budgeting Model'!AA84-'Scratch Sheet'!AA84)&lt;0.01),$CG$72,0)</f>
        <v>0.02</v>
      </c>
      <c r="DA158" s="5" t="s">
        <v>550</v>
      </c>
      <c r="DB158" s="5">
        <f ca="1">IF(AND('Budgeting Model'!AC84="",'Budgeting Model'!AC84&lt;&gt;'Scratch Sheet'!AC84),0,$CG$72)</f>
        <v>0.02</v>
      </c>
      <c r="DC158" s="5" t="s">
        <v>550</v>
      </c>
      <c r="DD158" s="5">
        <f ca="1">IF(AND('Budgeting Model'!AE84&lt;&gt;"",ABS('Budgeting Model'!AE84-'Scratch Sheet'!AE84)&lt;0.01),$CG$72,0)</f>
        <v>0.02</v>
      </c>
      <c r="DE158" s="5">
        <f ca="1">IF(AND('Budgeting Model'!AF84&lt;&gt;"",ABS('Budgeting Model'!AF84-'Scratch Sheet'!AF84)&lt;0.01),$CG$72,0)</f>
        <v>0.02</v>
      </c>
      <c r="DF158" s="5">
        <f ca="1">IF(AND('Budgeting Model'!AG84&lt;&gt;"",ABS('Budgeting Model'!AG84-'Scratch Sheet'!AG84)&lt;0.01),$CG$72,0)</f>
        <v>0.02</v>
      </c>
      <c r="DG158" s="5">
        <f ca="1">IF(AND('Budgeting Model'!AH84&lt;&gt;"",ABS('Budgeting Model'!AH84-'Scratch Sheet'!AH84)&lt;0.01),$CG$72,0)</f>
        <v>0.02</v>
      </c>
      <c r="DH158" s="5">
        <f ca="1">IF(AND('Budgeting Model'!AI84&lt;&gt;"",ABS('Budgeting Model'!AI84-'Scratch Sheet'!AI84)&lt;0.01),$CG$72,0)</f>
        <v>0.02</v>
      </c>
      <c r="DI158" s="5">
        <f ca="1">IF(AND('Budgeting Model'!AJ84&lt;&gt;"",ABS('Budgeting Model'!AJ84-'Scratch Sheet'!AJ84)&lt;0.01),$CG$72,0)</f>
        <v>0.02</v>
      </c>
      <c r="DJ158" s="5">
        <f ca="1">IF(AND('Budgeting Model'!AK84&lt;&gt;"",ABS('Budgeting Model'!AK84-'Scratch Sheet'!AK84)&lt;0.01),$CG$72,0)</f>
        <v>0.02</v>
      </c>
      <c r="DK158" s="5" t="s">
        <v>550</v>
      </c>
      <c r="DL158" s="5">
        <f ca="1">IF(AND('Budgeting Model'!AM84&lt;&gt;"",ABS('Budgeting Model'!AM84-'Scratch Sheet'!AM84)&lt;0.01),$CG$72,0)</f>
        <v>0.02</v>
      </c>
      <c r="DM158" s="5">
        <f ca="1">IF(AND('Budgeting Model'!AN84&lt;&gt;"",ABS('Budgeting Model'!AN84-'Scratch Sheet'!AN84)&lt;0.01),$CG$72,0)</f>
        <v>0.02</v>
      </c>
      <c r="DN158" s="5">
        <f ca="1">IF(AND('Budgeting Model'!AO84&lt;&gt;"",ABS('Budgeting Model'!AO84-'Scratch Sheet'!AO84)&lt;0.01),$CG$72,0)</f>
        <v>0.02</v>
      </c>
      <c r="DO158" s="5">
        <f ca="1">IF(AND('Budgeting Model'!AP84&lt;&gt;"",ABS('Budgeting Model'!AP84-'Scratch Sheet'!AP84)&lt;0.01),$CG$72,0)</f>
        <v>0.02</v>
      </c>
    </row>
    <row r="159" spans="79:119">
      <c r="CA159" s="5">
        <f>IF(AND('Budgeting Model'!B85&lt;&gt;"",'Budgeting Model'!B85='Scratch Sheet'!B85),$CG$72,0)</f>
        <v>0.02</v>
      </c>
      <c r="CB159" s="5">
        <f ca="1">IF(AND('Budgeting Model'!C85&lt;&gt;"",'Budgeting Model'!C85='Scratch Sheet'!C85),$CG$72,0)</f>
        <v>0.02</v>
      </c>
      <c r="CC159" s="5">
        <f>IF(AND('Budgeting Model'!D85&lt;&gt;"",'Budgeting Model'!D85='Scratch Sheet'!D85),$CG$72,0)</f>
        <v>0.02</v>
      </c>
      <c r="CD159" s="5">
        <f ca="1">IF(OR(AND('Budgeting Model'!E85="",'Budgeting Model'!D85&lt;&gt;"Vacant"),'Budgeting Model'!E85&lt;&gt;'Scratch Sheet'!E85),0,$CG$72)</f>
        <v>0.02</v>
      </c>
      <c r="CE159" s="5">
        <f ca="1">IF(AND('Budgeting Model'!F85&lt;&gt;"",'Budgeting Model'!F85='Scratch Sheet'!F85),$CG$72,0)</f>
        <v>0.02</v>
      </c>
      <c r="CF159" s="5">
        <f ca="1">IF(AND('Budgeting Model'!G85&lt;&gt;"",ABS('Budgeting Model'!G85-'Scratch Sheet'!G85)&lt;0.01),$CG$72,0)</f>
        <v>0.02</v>
      </c>
      <c r="CG159" s="5" t="s">
        <v>550</v>
      </c>
      <c r="CH159" s="5" t="s">
        <v>550</v>
      </c>
      <c r="CI159" s="5">
        <f ca="1">IF(AND('Budgeting Model'!J85&lt;&gt;"",ABS('Budgeting Model'!J85-'Scratch Sheet'!J85)&lt;0.01),$CG$72,0)</f>
        <v>0.02</v>
      </c>
      <c r="CJ159" s="5" t="s">
        <v>550</v>
      </c>
      <c r="CK159" s="5">
        <f ca="1">IF(AND('Budgeting Model'!L85&lt;&gt;"",ABS('Budgeting Model'!L85-'Scratch Sheet'!L85)&lt;0.01),$CG$72,0)</f>
        <v>0.02</v>
      </c>
      <c r="CL159" s="5" t="s">
        <v>550</v>
      </c>
      <c r="CM159" s="5">
        <f ca="1">IF(AND('Budgeting Model'!N85="",'Budgeting Model'!N85&lt;&gt;'Scratch Sheet'!N85),0,$CG$72)</f>
        <v>0.02</v>
      </c>
      <c r="CN159" s="5" t="s">
        <v>550</v>
      </c>
      <c r="CO159" s="5">
        <f ca="1">IF(AND('Budgeting Model'!P85&lt;&gt;"",ABS('Budgeting Model'!P85-'Scratch Sheet'!P85)&lt;0.01),$CG$72,0)</f>
        <v>0.02</v>
      </c>
      <c r="CP159" s="5">
        <f ca="1">IF(AND('Budgeting Model'!Q85&lt;&gt;"",ABS('Budgeting Model'!Q85-'Scratch Sheet'!Q85)&lt;0.01),$CG$72,0)</f>
        <v>0.02</v>
      </c>
      <c r="CQ159" s="5">
        <f ca="1">IF(AND('Budgeting Model'!R85&lt;&gt;"",ABS('Budgeting Model'!R85-'Scratch Sheet'!R85)&lt;0.01),$CG$72,0)</f>
        <v>0.02</v>
      </c>
      <c r="CR159" s="5">
        <f ca="1">IF(AND('Budgeting Model'!S85&lt;&gt;"",ABS('Budgeting Model'!S85-'Scratch Sheet'!S85)&lt;0.01),$CG$72,0)</f>
        <v>0.02</v>
      </c>
      <c r="CS159" s="5">
        <f ca="1">IF(AND('Budgeting Model'!T85&lt;&gt;"",ABS('Budgeting Model'!T85-'Scratch Sheet'!T85)&lt;0.01),$CG$72,0)</f>
        <v>0.02</v>
      </c>
      <c r="CT159" s="5">
        <f ca="1">IF(AND('Budgeting Model'!U85&lt;&gt;"",ABS('Budgeting Model'!U85-'Scratch Sheet'!U85)&lt;0.01),$CG$72,0)</f>
        <v>0.02</v>
      </c>
      <c r="CU159" s="5">
        <f ca="1">IF(AND('Budgeting Model'!V85&lt;&gt;"",ABS('Budgeting Model'!V85-'Scratch Sheet'!V85)&lt;0.01),$CG$72,0)</f>
        <v>0.02</v>
      </c>
      <c r="CV159" s="5" t="s">
        <v>550</v>
      </c>
      <c r="CW159" s="5" t="s">
        <v>550</v>
      </c>
      <c r="CX159" s="5">
        <f ca="1">IF(AND('Budgeting Model'!Y85&lt;&gt;"",ABS('Budgeting Model'!Y85-'Scratch Sheet'!Y85)&lt;0.01),$CG$72,0)</f>
        <v>0.02</v>
      </c>
      <c r="CY159" s="5" t="s">
        <v>550</v>
      </c>
      <c r="CZ159" s="5">
        <f ca="1">IF(AND('Budgeting Model'!AA85&lt;&gt;"",ABS('Budgeting Model'!AA85-'Scratch Sheet'!AA85)&lt;0.01),$CG$72,0)</f>
        <v>0.02</v>
      </c>
      <c r="DA159" s="5" t="s">
        <v>550</v>
      </c>
      <c r="DB159" s="5">
        <f ca="1">IF(AND('Budgeting Model'!AC85="",'Budgeting Model'!AC85&lt;&gt;'Scratch Sheet'!AC85),0,$CG$72)</f>
        <v>0.02</v>
      </c>
      <c r="DC159" s="5" t="s">
        <v>550</v>
      </c>
      <c r="DD159" s="5">
        <f ca="1">IF(AND('Budgeting Model'!AE85&lt;&gt;"",ABS('Budgeting Model'!AE85-'Scratch Sheet'!AE85)&lt;0.01),$CG$72,0)</f>
        <v>0.02</v>
      </c>
      <c r="DE159" s="5">
        <f ca="1">IF(AND('Budgeting Model'!AF85&lt;&gt;"",ABS('Budgeting Model'!AF85-'Scratch Sheet'!AF85)&lt;0.01),$CG$72,0)</f>
        <v>0.02</v>
      </c>
      <c r="DF159" s="5">
        <f ca="1">IF(AND('Budgeting Model'!AG85&lt;&gt;"",ABS('Budgeting Model'!AG85-'Scratch Sheet'!AG85)&lt;0.01),$CG$72,0)</f>
        <v>0.02</v>
      </c>
      <c r="DG159" s="5">
        <f ca="1">IF(AND('Budgeting Model'!AH85&lt;&gt;"",ABS('Budgeting Model'!AH85-'Scratch Sheet'!AH85)&lt;0.01),$CG$72,0)</f>
        <v>0.02</v>
      </c>
      <c r="DH159" s="5">
        <f ca="1">IF(AND('Budgeting Model'!AI85&lt;&gt;"",ABS('Budgeting Model'!AI85-'Scratch Sheet'!AI85)&lt;0.01),$CG$72,0)</f>
        <v>0.02</v>
      </c>
      <c r="DI159" s="5">
        <f ca="1">IF(AND('Budgeting Model'!AJ85&lt;&gt;"",ABS('Budgeting Model'!AJ85-'Scratch Sheet'!AJ85)&lt;0.01),$CG$72,0)</f>
        <v>0.02</v>
      </c>
      <c r="DJ159" s="5">
        <f ca="1">IF(AND('Budgeting Model'!AK85&lt;&gt;"",ABS('Budgeting Model'!AK85-'Scratch Sheet'!AK85)&lt;0.01),$CG$72,0)</f>
        <v>0.02</v>
      </c>
      <c r="DK159" s="5" t="s">
        <v>550</v>
      </c>
      <c r="DL159" s="5">
        <f ca="1">IF(AND('Budgeting Model'!AM85&lt;&gt;"",ABS('Budgeting Model'!AM85-'Scratch Sheet'!AM85)&lt;0.01),$CG$72,0)</f>
        <v>0.02</v>
      </c>
      <c r="DM159" s="5">
        <f ca="1">IF(AND('Budgeting Model'!AN85&lt;&gt;"",ABS('Budgeting Model'!AN85-'Scratch Sheet'!AN85)&lt;0.01),$CG$72,0)</f>
        <v>0.02</v>
      </c>
      <c r="DN159" s="5">
        <f ca="1">IF(AND('Budgeting Model'!AO85&lt;&gt;"",ABS('Budgeting Model'!AO85-'Scratch Sheet'!AO85)&lt;0.01),$CG$72,0)</f>
        <v>0.02</v>
      </c>
      <c r="DO159" s="5">
        <f ca="1">IF(AND('Budgeting Model'!AP85&lt;&gt;"",ABS('Budgeting Model'!AP85-'Scratch Sheet'!AP85)&lt;0.01),$CG$72,0)</f>
        <v>0.02</v>
      </c>
    </row>
    <row r="160" spans="79:119">
      <c r="CA160" s="5">
        <f>IF(AND('Budgeting Model'!B86&lt;&gt;"",'Budgeting Model'!B86='Scratch Sheet'!B86),$CG$72,0)</f>
        <v>0.02</v>
      </c>
      <c r="CB160" s="5">
        <f ca="1">IF(AND('Budgeting Model'!C86&lt;&gt;"",'Budgeting Model'!C86='Scratch Sheet'!C86),$CG$72,0)</f>
        <v>0.02</v>
      </c>
      <c r="CC160" s="5">
        <f>IF(AND('Budgeting Model'!D86&lt;&gt;"",'Budgeting Model'!D86='Scratch Sheet'!D86),$CG$72,0)</f>
        <v>0.02</v>
      </c>
      <c r="CD160" s="5">
        <f ca="1">IF(OR(AND('Budgeting Model'!E86="",'Budgeting Model'!D86&lt;&gt;"Vacant"),'Budgeting Model'!E86&lt;&gt;'Scratch Sheet'!E86),0,$CG$72)</f>
        <v>0.02</v>
      </c>
      <c r="CE160" s="5">
        <f ca="1">IF(AND('Budgeting Model'!F86&lt;&gt;"",'Budgeting Model'!F86='Scratch Sheet'!F86),$CG$72,0)</f>
        <v>0.02</v>
      </c>
      <c r="CF160" s="5">
        <f ca="1">IF(AND('Budgeting Model'!G86&lt;&gt;"",ABS('Budgeting Model'!G86-'Scratch Sheet'!G86)&lt;0.01),$CG$72,0)</f>
        <v>0.02</v>
      </c>
      <c r="CG160" s="5" t="s">
        <v>550</v>
      </c>
      <c r="CH160" s="5" t="s">
        <v>550</v>
      </c>
      <c r="CI160" s="5">
        <f ca="1">IF(AND('Budgeting Model'!J86&lt;&gt;"",ABS('Budgeting Model'!J86-'Scratch Sheet'!J86)&lt;0.01),$CG$72,0)</f>
        <v>0.02</v>
      </c>
      <c r="CJ160" s="5" t="s">
        <v>550</v>
      </c>
      <c r="CK160" s="5">
        <f ca="1">IF(AND('Budgeting Model'!L86&lt;&gt;"",ABS('Budgeting Model'!L86-'Scratch Sheet'!L86)&lt;0.01),$CG$72,0)</f>
        <v>0.02</v>
      </c>
      <c r="CL160" s="5" t="s">
        <v>550</v>
      </c>
      <c r="CM160" s="5">
        <f ca="1">IF(AND('Budgeting Model'!N86="",'Budgeting Model'!N86&lt;&gt;'Scratch Sheet'!N86),0,$CG$72)</f>
        <v>0.02</v>
      </c>
      <c r="CN160" s="5" t="s">
        <v>550</v>
      </c>
      <c r="CO160" s="5">
        <f ca="1">IF(AND('Budgeting Model'!P86&lt;&gt;"",ABS('Budgeting Model'!P86-'Scratch Sheet'!P86)&lt;0.01),$CG$72,0)</f>
        <v>0.02</v>
      </c>
      <c r="CP160" s="5">
        <f ca="1">IF(AND('Budgeting Model'!Q86&lt;&gt;"",ABS('Budgeting Model'!Q86-'Scratch Sheet'!Q86)&lt;0.01),$CG$72,0)</f>
        <v>0.02</v>
      </c>
      <c r="CQ160" s="5">
        <f ca="1">IF(AND('Budgeting Model'!R86&lt;&gt;"",ABS('Budgeting Model'!R86-'Scratch Sheet'!R86)&lt;0.01),$CG$72,0)</f>
        <v>0.02</v>
      </c>
      <c r="CR160" s="5">
        <f ca="1">IF(AND('Budgeting Model'!S86&lt;&gt;"",ABS('Budgeting Model'!S86-'Scratch Sheet'!S86)&lt;0.01),$CG$72,0)</f>
        <v>0.02</v>
      </c>
      <c r="CS160" s="5">
        <f ca="1">IF(AND('Budgeting Model'!T86&lt;&gt;"",ABS('Budgeting Model'!T86-'Scratch Sheet'!T86)&lt;0.01),$CG$72,0)</f>
        <v>0.02</v>
      </c>
      <c r="CT160" s="5">
        <f ca="1">IF(AND('Budgeting Model'!U86&lt;&gt;"",ABS('Budgeting Model'!U86-'Scratch Sheet'!U86)&lt;0.01),$CG$72,0)</f>
        <v>0.02</v>
      </c>
      <c r="CU160" s="5">
        <f ca="1">IF(AND('Budgeting Model'!V86&lt;&gt;"",ABS('Budgeting Model'!V86-'Scratch Sheet'!V86)&lt;0.01),$CG$72,0)</f>
        <v>0.02</v>
      </c>
      <c r="CV160" s="5" t="s">
        <v>550</v>
      </c>
      <c r="CW160" s="5" t="s">
        <v>550</v>
      </c>
      <c r="CX160" s="5">
        <f ca="1">IF(AND('Budgeting Model'!Y86&lt;&gt;"",ABS('Budgeting Model'!Y86-'Scratch Sheet'!Y86)&lt;0.01),$CG$72,0)</f>
        <v>0.02</v>
      </c>
      <c r="CY160" s="5" t="s">
        <v>550</v>
      </c>
      <c r="CZ160" s="5">
        <f ca="1">IF(AND('Budgeting Model'!AA86&lt;&gt;"",ABS('Budgeting Model'!AA86-'Scratch Sheet'!AA86)&lt;0.01),$CG$72,0)</f>
        <v>0.02</v>
      </c>
      <c r="DA160" s="5" t="s">
        <v>550</v>
      </c>
      <c r="DB160" s="5">
        <f ca="1">IF(AND('Budgeting Model'!AC86="",'Budgeting Model'!AC86&lt;&gt;'Scratch Sheet'!AC86),0,$CG$72)</f>
        <v>0.02</v>
      </c>
      <c r="DC160" s="5" t="s">
        <v>550</v>
      </c>
      <c r="DD160" s="5">
        <f ca="1">IF(AND('Budgeting Model'!AE86&lt;&gt;"",ABS('Budgeting Model'!AE86-'Scratch Sheet'!AE86)&lt;0.01),$CG$72,0)</f>
        <v>0.02</v>
      </c>
      <c r="DE160" s="5">
        <f ca="1">IF(AND('Budgeting Model'!AF86&lt;&gt;"",ABS('Budgeting Model'!AF86-'Scratch Sheet'!AF86)&lt;0.01),$CG$72,0)</f>
        <v>0.02</v>
      </c>
      <c r="DF160" s="5">
        <f ca="1">IF(AND('Budgeting Model'!AG86&lt;&gt;"",ABS('Budgeting Model'!AG86-'Scratch Sheet'!AG86)&lt;0.01),$CG$72,0)</f>
        <v>0.02</v>
      </c>
      <c r="DG160" s="5">
        <f ca="1">IF(AND('Budgeting Model'!AH86&lt;&gt;"",ABS('Budgeting Model'!AH86-'Scratch Sheet'!AH86)&lt;0.01),$CG$72,0)</f>
        <v>0.02</v>
      </c>
      <c r="DH160" s="5">
        <f ca="1">IF(AND('Budgeting Model'!AI86&lt;&gt;"",ABS('Budgeting Model'!AI86-'Scratch Sheet'!AI86)&lt;0.01),$CG$72,0)</f>
        <v>0.02</v>
      </c>
      <c r="DI160" s="5">
        <f ca="1">IF(AND('Budgeting Model'!AJ86&lt;&gt;"",ABS('Budgeting Model'!AJ86-'Scratch Sheet'!AJ86)&lt;0.01),$CG$72,0)</f>
        <v>0.02</v>
      </c>
      <c r="DJ160" s="5">
        <f ca="1">IF(AND('Budgeting Model'!AK86&lt;&gt;"",ABS('Budgeting Model'!AK86-'Scratch Sheet'!AK86)&lt;0.01),$CG$72,0)</f>
        <v>0.02</v>
      </c>
      <c r="DK160" s="5" t="s">
        <v>550</v>
      </c>
      <c r="DL160" s="5">
        <f ca="1">IF(AND('Budgeting Model'!AM86&lt;&gt;"",ABS('Budgeting Model'!AM86-'Scratch Sheet'!AM86)&lt;0.01),$CG$72,0)</f>
        <v>0.02</v>
      </c>
      <c r="DM160" s="5">
        <f ca="1">IF(AND('Budgeting Model'!AN86&lt;&gt;"",ABS('Budgeting Model'!AN86-'Scratch Sheet'!AN86)&lt;0.01),$CG$72,0)</f>
        <v>0.02</v>
      </c>
      <c r="DN160" s="5">
        <f ca="1">IF(AND('Budgeting Model'!AO86&lt;&gt;"",ABS('Budgeting Model'!AO86-'Scratch Sheet'!AO86)&lt;0.01),$CG$72,0)</f>
        <v>0.02</v>
      </c>
      <c r="DO160" s="5">
        <f ca="1">IF(AND('Budgeting Model'!AP86&lt;&gt;"",ABS('Budgeting Model'!AP86-'Scratch Sheet'!AP86)&lt;0.01),$CG$72,0)</f>
        <v>0.02</v>
      </c>
    </row>
    <row r="161" spans="79:119">
      <c r="CA161" s="5">
        <f>IF(AND('Budgeting Model'!B87&lt;&gt;"",'Budgeting Model'!B87='Scratch Sheet'!B87),$CG$72,0)</f>
        <v>0.02</v>
      </c>
      <c r="CB161" s="5">
        <f ca="1">IF(AND('Budgeting Model'!C87&lt;&gt;"",'Budgeting Model'!C87='Scratch Sheet'!C87),$CG$72,0)</f>
        <v>0.02</v>
      </c>
      <c r="CC161" s="5">
        <f>IF(AND('Budgeting Model'!D87&lt;&gt;"",'Budgeting Model'!D87='Scratch Sheet'!D87),$CG$72,0)</f>
        <v>0.02</v>
      </c>
      <c r="CD161" s="5">
        <f ca="1">IF(OR(AND('Budgeting Model'!E87="",'Budgeting Model'!D87&lt;&gt;"Vacant"),'Budgeting Model'!E87&lt;&gt;'Scratch Sheet'!E87),0,$CG$72)</f>
        <v>0.02</v>
      </c>
      <c r="CE161" s="5">
        <f ca="1">IF(AND('Budgeting Model'!F87&lt;&gt;"",'Budgeting Model'!F87='Scratch Sheet'!F87),$CG$72,0)</f>
        <v>0.02</v>
      </c>
      <c r="CF161" s="5">
        <f ca="1">IF(AND('Budgeting Model'!G87&lt;&gt;"",ABS('Budgeting Model'!G87-'Scratch Sheet'!G87)&lt;0.01),$CG$72,0)</f>
        <v>0.02</v>
      </c>
      <c r="CG161" s="5" t="s">
        <v>550</v>
      </c>
      <c r="CH161" s="5" t="s">
        <v>550</v>
      </c>
      <c r="CI161" s="5">
        <f ca="1">IF(AND('Budgeting Model'!J87&lt;&gt;"",ABS('Budgeting Model'!J87-'Scratch Sheet'!J87)&lt;0.01),$CG$72,0)</f>
        <v>0.02</v>
      </c>
      <c r="CJ161" s="5" t="s">
        <v>550</v>
      </c>
      <c r="CK161" s="5">
        <f ca="1">IF(AND('Budgeting Model'!L87&lt;&gt;"",ABS('Budgeting Model'!L87-'Scratch Sheet'!L87)&lt;0.01),$CG$72,0)</f>
        <v>0.02</v>
      </c>
      <c r="CL161" s="5" t="s">
        <v>550</v>
      </c>
      <c r="CM161" s="5">
        <f ca="1">IF(AND('Budgeting Model'!N87="",'Budgeting Model'!N87&lt;&gt;'Scratch Sheet'!N87),0,$CG$72)</f>
        <v>0.02</v>
      </c>
      <c r="CN161" s="5" t="s">
        <v>550</v>
      </c>
      <c r="CO161" s="5">
        <f ca="1">IF(AND('Budgeting Model'!P87&lt;&gt;"",ABS('Budgeting Model'!P87-'Scratch Sheet'!P87)&lt;0.01),$CG$72,0)</f>
        <v>0.02</v>
      </c>
      <c r="CP161" s="5">
        <f ca="1">IF(AND('Budgeting Model'!Q87&lt;&gt;"",ABS('Budgeting Model'!Q87-'Scratch Sheet'!Q87)&lt;0.01),$CG$72,0)</f>
        <v>0.02</v>
      </c>
      <c r="CQ161" s="5">
        <f ca="1">IF(AND('Budgeting Model'!R87&lt;&gt;"",ABS('Budgeting Model'!R87-'Scratch Sheet'!R87)&lt;0.01),$CG$72,0)</f>
        <v>0.02</v>
      </c>
      <c r="CR161" s="5">
        <f ca="1">IF(AND('Budgeting Model'!S87&lt;&gt;"",ABS('Budgeting Model'!S87-'Scratch Sheet'!S87)&lt;0.01),$CG$72,0)</f>
        <v>0.02</v>
      </c>
      <c r="CS161" s="5">
        <f ca="1">IF(AND('Budgeting Model'!T87&lt;&gt;"",ABS('Budgeting Model'!T87-'Scratch Sheet'!T87)&lt;0.01),$CG$72,0)</f>
        <v>0.02</v>
      </c>
      <c r="CT161" s="5">
        <f ca="1">IF(AND('Budgeting Model'!U87&lt;&gt;"",ABS('Budgeting Model'!U87-'Scratch Sheet'!U87)&lt;0.01),$CG$72,0)</f>
        <v>0.02</v>
      </c>
      <c r="CU161" s="5">
        <f ca="1">IF(AND('Budgeting Model'!V87&lt;&gt;"",ABS('Budgeting Model'!V87-'Scratch Sheet'!V87)&lt;0.01),$CG$72,0)</f>
        <v>0.02</v>
      </c>
      <c r="CV161" s="5" t="s">
        <v>550</v>
      </c>
      <c r="CW161" s="5" t="s">
        <v>550</v>
      </c>
      <c r="CX161" s="5">
        <f ca="1">IF(AND('Budgeting Model'!Y87&lt;&gt;"",ABS('Budgeting Model'!Y87-'Scratch Sheet'!Y87)&lt;0.01),$CG$72,0)</f>
        <v>0.02</v>
      </c>
      <c r="CY161" s="5" t="s">
        <v>550</v>
      </c>
      <c r="CZ161" s="5">
        <f ca="1">IF(AND('Budgeting Model'!AA87&lt;&gt;"",ABS('Budgeting Model'!AA87-'Scratch Sheet'!AA87)&lt;0.01),$CG$72,0)</f>
        <v>0.02</v>
      </c>
      <c r="DA161" s="5" t="s">
        <v>550</v>
      </c>
      <c r="DB161" s="5">
        <f ca="1">IF(AND('Budgeting Model'!AC87="",'Budgeting Model'!AC87&lt;&gt;'Scratch Sheet'!AC87),0,$CG$72)</f>
        <v>0.02</v>
      </c>
      <c r="DC161" s="5" t="s">
        <v>550</v>
      </c>
      <c r="DD161" s="5">
        <f ca="1">IF(AND('Budgeting Model'!AE87&lt;&gt;"",ABS('Budgeting Model'!AE87-'Scratch Sheet'!AE87)&lt;0.01),$CG$72,0)</f>
        <v>0.02</v>
      </c>
      <c r="DE161" s="5">
        <f ca="1">IF(AND('Budgeting Model'!AF87&lt;&gt;"",ABS('Budgeting Model'!AF87-'Scratch Sheet'!AF87)&lt;0.01),$CG$72,0)</f>
        <v>0.02</v>
      </c>
      <c r="DF161" s="5">
        <f ca="1">IF(AND('Budgeting Model'!AG87&lt;&gt;"",ABS('Budgeting Model'!AG87-'Scratch Sheet'!AG87)&lt;0.01),$CG$72,0)</f>
        <v>0.02</v>
      </c>
      <c r="DG161" s="5">
        <f ca="1">IF(AND('Budgeting Model'!AH87&lt;&gt;"",ABS('Budgeting Model'!AH87-'Scratch Sheet'!AH87)&lt;0.01),$CG$72,0)</f>
        <v>0.02</v>
      </c>
      <c r="DH161" s="5">
        <f ca="1">IF(AND('Budgeting Model'!AI87&lt;&gt;"",ABS('Budgeting Model'!AI87-'Scratch Sheet'!AI87)&lt;0.01),$CG$72,0)</f>
        <v>0.02</v>
      </c>
      <c r="DI161" s="5">
        <f ca="1">IF(AND('Budgeting Model'!AJ87&lt;&gt;"",ABS('Budgeting Model'!AJ87-'Scratch Sheet'!AJ87)&lt;0.01),$CG$72,0)</f>
        <v>0.02</v>
      </c>
      <c r="DJ161" s="5">
        <f ca="1">IF(AND('Budgeting Model'!AK87&lt;&gt;"",ABS('Budgeting Model'!AK87-'Scratch Sheet'!AK87)&lt;0.01),$CG$72,0)</f>
        <v>0.02</v>
      </c>
      <c r="DK161" s="5" t="s">
        <v>550</v>
      </c>
      <c r="DL161" s="5">
        <f ca="1">IF(AND('Budgeting Model'!AM87&lt;&gt;"",ABS('Budgeting Model'!AM87-'Scratch Sheet'!AM87)&lt;0.01),$CG$72,0)</f>
        <v>0.02</v>
      </c>
      <c r="DM161" s="5">
        <f ca="1">IF(AND('Budgeting Model'!AN87&lt;&gt;"",ABS('Budgeting Model'!AN87-'Scratch Sheet'!AN87)&lt;0.01),$CG$72,0)</f>
        <v>0.02</v>
      </c>
      <c r="DN161" s="5">
        <f ca="1">IF(AND('Budgeting Model'!AO87&lt;&gt;"",ABS('Budgeting Model'!AO87-'Scratch Sheet'!AO87)&lt;0.01),$CG$72,0)</f>
        <v>0.02</v>
      </c>
      <c r="DO161" s="5">
        <f ca="1">IF(AND('Budgeting Model'!AP87&lt;&gt;"",ABS('Budgeting Model'!AP87-'Scratch Sheet'!AP87)&lt;0.01),$CG$72,0)</f>
        <v>0.02</v>
      </c>
    </row>
    <row r="162" spans="79:119">
      <c r="CA162" s="5">
        <f>IF(AND('Budgeting Model'!B88&lt;&gt;"",'Budgeting Model'!B88='Scratch Sheet'!B88),$CG$72,0)</f>
        <v>0.02</v>
      </c>
      <c r="CB162" s="5">
        <f ca="1">IF(AND('Budgeting Model'!C88&lt;&gt;"",'Budgeting Model'!C88='Scratch Sheet'!C88),$CG$72,0)</f>
        <v>0.02</v>
      </c>
      <c r="CC162" s="5">
        <f>IF(AND('Budgeting Model'!D88&lt;&gt;"",'Budgeting Model'!D88='Scratch Sheet'!D88),$CG$72,0)</f>
        <v>0.02</v>
      </c>
      <c r="CD162" s="5">
        <f ca="1">IF(OR(AND('Budgeting Model'!E88="",'Budgeting Model'!D88&lt;&gt;"Vacant"),'Budgeting Model'!E88&lt;&gt;'Scratch Sheet'!E88),0,$CG$72)</f>
        <v>0.02</v>
      </c>
      <c r="CE162" s="5">
        <f ca="1">IF(AND('Budgeting Model'!F88&lt;&gt;"",'Budgeting Model'!F88='Scratch Sheet'!F88),$CG$72,0)</f>
        <v>0.02</v>
      </c>
      <c r="CF162" s="5">
        <f ca="1">IF(AND('Budgeting Model'!G88&lt;&gt;"",ABS('Budgeting Model'!G88-'Scratch Sheet'!G88)&lt;0.01),$CG$72,0)</f>
        <v>0.02</v>
      </c>
      <c r="CG162" s="5" t="s">
        <v>550</v>
      </c>
      <c r="CH162" s="5" t="s">
        <v>550</v>
      </c>
      <c r="CI162" s="5">
        <f ca="1">IF(AND('Budgeting Model'!J88&lt;&gt;"",ABS('Budgeting Model'!J88-'Scratch Sheet'!J88)&lt;0.01),$CG$72,0)</f>
        <v>0.02</v>
      </c>
      <c r="CJ162" s="5" t="s">
        <v>550</v>
      </c>
      <c r="CK162" s="5">
        <f ca="1">IF(AND('Budgeting Model'!L88&lt;&gt;"",ABS('Budgeting Model'!L88-'Scratch Sheet'!L88)&lt;0.01),$CG$72,0)</f>
        <v>0.02</v>
      </c>
      <c r="CL162" s="5" t="s">
        <v>550</v>
      </c>
      <c r="CM162" s="5">
        <f ca="1">IF(AND('Budgeting Model'!N88="",'Budgeting Model'!N88&lt;&gt;'Scratch Sheet'!N88),0,$CG$72)</f>
        <v>0.02</v>
      </c>
      <c r="CN162" s="5" t="s">
        <v>550</v>
      </c>
      <c r="CO162" s="5">
        <f ca="1">IF(AND('Budgeting Model'!P88&lt;&gt;"",ABS('Budgeting Model'!P88-'Scratch Sheet'!P88)&lt;0.01),$CG$72,0)</f>
        <v>0.02</v>
      </c>
      <c r="CP162" s="5">
        <f ca="1">IF(AND('Budgeting Model'!Q88&lt;&gt;"",ABS('Budgeting Model'!Q88-'Scratch Sheet'!Q88)&lt;0.01),$CG$72,0)</f>
        <v>0.02</v>
      </c>
      <c r="CQ162" s="5">
        <f ca="1">IF(AND('Budgeting Model'!R88&lt;&gt;"",ABS('Budgeting Model'!R88-'Scratch Sheet'!R88)&lt;0.01),$CG$72,0)</f>
        <v>0.02</v>
      </c>
      <c r="CR162" s="5">
        <f ca="1">IF(AND('Budgeting Model'!S88&lt;&gt;"",ABS('Budgeting Model'!S88-'Scratch Sheet'!S88)&lt;0.01),$CG$72,0)</f>
        <v>0.02</v>
      </c>
      <c r="CS162" s="5">
        <f ca="1">IF(AND('Budgeting Model'!T88&lt;&gt;"",ABS('Budgeting Model'!T88-'Scratch Sheet'!T88)&lt;0.01),$CG$72,0)</f>
        <v>0.02</v>
      </c>
      <c r="CT162" s="5">
        <f ca="1">IF(AND('Budgeting Model'!U88&lt;&gt;"",ABS('Budgeting Model'!U88-'Scratch Sheet'!U88)&lt;0.01),$CG$72,0)</f>
        <v>0.02</v>
      </c>
      <c r="CU162" s="5">
        <f ca="1">IF(AND('Budgeting Model'!V88&lt;&gt;"",ABS('Budgeting Model'!V88-'Scratch Sheet'!V88)&lt;0.01),$CG$72,0)</f>
        <v>0.02</v>
      </c>
      <c r="CV162" s="5" t="s">
        <v>550</v>
      </c>
      <c r="CW162" s="5" t="s">
        <v>550</v>
      </c>
      <c r="CX162" s="5">
        <f ca="1">IF(AND('Budgeting Model'!Y88&lt;&gt;"",ABS('Budgeting Model'!Y88-'Scratch Sheet'!Y88)&lt;0.01),$CG$72,0)</f>
        <v>0.02</v>
      </c>
      <c r="CY162" s="5" t="s">
        <v>550</v>
      </c>
      <c r="CZ162" s="5">
        <f>IF(AND('Budgeting Model'!AA88&lt;&gt;"",ABS('Budgeting Model'!AA88-'Scratch Sheet'!AA88)&lt;0.01),$CG$72,0)</f>
        <v>0.02</v>
      </c>
      <c r="DA162" s="5" t="s">
        <v>550</v>
      </c>
      <c r="DB162" s="5">
        <f ca="1">IF(AND('Budgeting Model'!AC88="",'Budgeting Model'!AC88&lt;&gt;'Scratch Sheet'!AC88),0,$CG$72)</f>
        <v>0.02</v>
      </c>
      <c r="DC162" s="5" t="s">
        <v>550</v>
      </c>
      <c r="DD162" s="5">
        <f ca="1">IF(AND('Budgeting Model'!AE88&lt;&gt;"",ABS('Budgeting Model'!AE88-'Scratch Sheet'!AE88)&lt;0.01),$CG$72,0)</f>
        <v>0.02</v>
      </c>
      <c r="DE162" s="5">
        <f ca="1">IF(AND('Budgeting Model'!AF88&lt;&gt;"",ABS('Budgeting Model'!AF88-'Scratch Sheet'!AF88)&lt;0.01),$CG$72,0)</f>
        <v>0.02</v>
      </c>
      <c r="DF162" s="5">
        <f ca="1">IF(AND('Budgeting Model'!AG88&lt;&gt;"",ABS('Budgeting Model'!AG88-'Scratch Sheet'!AG88)&lt;0.01),$CG$72,0)</f>
        <v>0.02</v>
      </c>
      <c r="DG162" s="5">
        <f ca="1">IF(AND('Budgeting Model'!AH88&lt;&gt;"",ABS('Budgeting Model'!AH88-'Scratch Sheet'!AH88)&lt;0.01),$CG$72,0)</f>
        <v>0.02</v>
      </c>
      <c r="DH162" s="5">
        <f ca="1">IF(AND('Budgeting Model'!AI88&lt;&gt;"",ABS('Budgeting Model'!AI88-'Scratch Sheet'!AI88)&lt;0.01),$CG$72,0)</f>
        <v>0.02</v>
      </c>
      <c r="DI162" s="5">
        <f ca="1">IF(AND('Budgeting Model'!AJ88&lt;&gt;"",ABS('Budgeting Model'!AJ88-'Scratch Sheet'!AJ88)&lt;0.01),$CG$72,0)</f>
        <v>0.02</v>
      </c>
      <c r="DJ162" s="5">
        <f ca="1">IF(AND('Budgeting Model'!AK88&lt;&gt;"",ABS('Budgeting Model'!AK88-'Scratch Sheet'!AK88)&lt;0.01),$CG$72,0)</f>
        <v>0.02</v>
      </c>
      <c r="DK162" s="5" t="s">
        <v>550</v>
      </c>
      <c r="DL162" s="5">
        <f ca="1">IF(AND('Budgeting Model'!AM88&lt;&gt;"",ABS('Budgeting Model'!AM88-'Scratch Sheet'!AM88)&lt;0.01),$CG$72,0)</f>
        <v>0.02</v>
      </c>
      <c r="DM162" s="5">
        <f ca="1">IF(AND('Budgeting Model'!AN88&lt;&gt;"",ABS('Budgeting Model'!AN88-'Scratch Sheet'!AN88)&lt;0.01),$CG$72,0)</f>
        <v>0.02</v>
      </c>
      <c r="DN162" s="5">
        <f ca="1">IF(AND('Budgeting Model'!AO88&lt;&gt;"",ABS('Budgeting Model'!AO88-'Scratch Sheet'!AO88)&lt;0.01),$CG$72,0)</f>
        <v>0.02</v>
      </c>
      <c r="DO162" s="5">
        <f ca="1">IF(AND('Budgeting Model'!AP88&lt;&gt;"",ABS('Budgeting Model'!AP88-'Scratch Sheet'!AP88)&lt;0.01),$CG$72,0)</f>
        <v>0.02</v>
      </c>
    </row>
    <row r="163" spans="79:119">
      <c r="CA163" s="5">
        <f>IF(AND('Budgeting Model'!B89&lt;&gt;"",'Budgeting Model'!B89='Scratch Sheet'!B89),$CG$72,0)</f>
        <v>0.02</v>
      </c>
      <c r="CB163" s="5">
        <f ca="1">IF(AND('Budgeting Model'!C89&lt;&gt;"",'Budgeting Model'!C89='Scratch Sheet'!C89),$CG$72,0)</f>
        <v>0.02</v>
      </c>
      <c r="CC163" s="5">
        <f>IF(AND('Budgeting Model'!D89&lt;&gt;"",'Budgeting Model'!D89='Scratch Sheet'!D89),$CG$72,0)</f>
        <v>0.02</v>
      </c>
      <c r="CD163" s="5">
        <f ca="1">IF(OR(AND('Budgeting Model'!E89="",'Budgeting Model'!D89&lt;&gt;"Vacant"),'Budgeting Model'!E89&lt;&gt;'Scratch Sheet'!E89),0,$CG$72)</f>
        <v>0.02</v>
      </c>
      <c r="CE163" s="5">
        <f ca="1">IF(AND('Budgeting Model'!F89&lt;&gt;"",'Budgeting Model'!F89='Scratch Sheet'!F89),$CG$72,0)</f>
        <v>0.02</v>
      </c>
      <c r="CF163" s="5">
        <f ca="1">IF(AND('Budgeting Model'!G89&lt;&gt;"",ABS('Budgeting Model'!G89-'Scratch Sheet'!G89)&lt;0.01),$CG$72,0)</f>
        <v>0.02</v>
      </c>
      <c r="CG163" s="5" t="s">
        <v>550</v>
      </c>
      <c r="CH163" s="5" t="s">
        <v>550</v>
      </c>
      <c r="CI163" s="5">
        <f ca="1">IF(AND('Budgeting Model'!J89&lt;&gt;"",ABS('Budgeting Model'!J89-'Scratch Sheet'!J89)&lt;0.01),$CG$72,0)</f>
        <v>0.02</v>
      </c>
      <c r="CJ163" s="5" t="s">
        <v>550</v>
      </c>
      <c r="CK163" s="5">
        <f ca="1">IF(AND('Budgeting Model'!L89&lt;&gt;"",ABS('Budgeting Model'!L89-'Scratch Sheet'!L89)&lt;0.01),$CG$72,0)</f>
        <v>0.02</v>
      </c>
      <c r="CL163" s="5" t="s">
        <v>550</v>
      </c>
      <c r="CM163" s="5">
        <f ca="1">IF(AND('Budgeting Model'!N89="",'Budgeting Model'!N89&lt;&gt;'Scratch Sheet'!N89),0,$CG$72)</f>
        <v>0.02</v>
      </c>
      <c r="CN163" s="5" t="s">
        <v>550</v>
      </c>
      <c r="CO163" s="5">
        <f ca="1">IF(AND('Budgeting Model'!P89&lt;&gt;"",ABS('Budgeting Model'!P89-'Scratch Sheet'!P89)&lt;0.01),$CG$72,0)</f>
        <v>0.02</v>
      </c>
      <c r="CP163" s="5">
        <f ca="1">IF(AND('Budgeting Model'!Q89&lt;&gt;"",ABS('Budgeting Model'!Q89-'Scratch Sheet'!Q89)&lt;0.01),$CG$72,0)</f>
        <v>0.02</v>
      </c>
      <c r="CQ163" s="5">
        <f ca="1">IF(AND('Budgeting Model'!R89&lt;&gt;"",ABS('Budgeting Model'!R89-'Scratch Sheet'!R89)&lt;0.01),$CG$72,0)</f>
        <v>0.02</v>
      </c>
      <c r="CR163" s="5">
        <f ca="1">IF(AND('Budgeting Model'!S89&lt;&gt;"",ABS('Budgeting Model'!S89-'Scratch Sheet'!S89)&lt;0.01),$CG$72,0)</f>
        <v>0.02</v>
      </c>
      <c r="CS163" s="5">
        <f ca="1">IF(AND('Budgeting Model'!T89&lt;&gt;"",ABS('Budgeting Model'!T89-'Scratch Sheet'!T89)&lt;0.01),$CG$72,0)</f>
        <v>0.02</v>
      </c>
      <c r="CT163" s="5">
        <f ca="1">IF(AND('Budgeting Model'!U89&lt;&gt;"",ABS('Budgeting Model'!U89-'Scratch Sheet'!U89)&lt;0.01),$CG$72,0)</f>
        <v>0.02</v>
      </c>
      <c r="CU163" s="5">
        <f ca="1">IF(AND('Budgeting Model'!V89&lt;&gt;"",ABS('Budgeting Model'!V89-'Scratch Sheet'!V89)&lt;0.01),$CG$72,0)</f>
        <v>0.02</v>
      </c>
      <c r="CV163" s="5" t="s">
        <v>550</v>
      </c>
      <c r="CW163" s="5" t="s">
        <v>550</v>
      </c>
      <c r="CX163" s="5">
        <f ca="1">IF(AND('Budgeting Model'!Y89&lt;&gt;"",ABS('Budgeting Model'!Y89-'Scratch Sheet'!Y89)&lt;0.01),$CG$72,0)</f>
        <v>0.02</v>
      </c>
      <c r="CY163" s="5" t="s">
        <v>550</v>
      </c>
      <c r="CZ163" s="5">
        <f>IF(AND('Budgeting Model'!AA89&lt;&gt;"",ABS('Budgeting Model'!AA89-'Scratch Sheet'!AA89)&lt;0.01),$CG$72,0)</f>
        <v>0.02</v>
      </c>
      <c r="DA163" s="5" t="s">
        <v>550</v>
      </c>
      <c r="DB163" s="5">
        <f ca="1">IF(AND('Budgeting Model'!AC89="",'Budgeting Model'!AC89&lt;&gt;'Scratch Sheet'!AC89),0,$CG$72)</f>
        <v>0.02</v>
      </c>
      <c r="DC163" s="5" t="s">
        <v>550</v>
      </c>
      <c r="DD163" s="5">
        <f ca="1">IF(AND('Budgeting Model'!AE89&lt;&gt;"",ABS('Budgeting Model'!AE89-'Scratch Sheet'!AE89)&lt;0.01),$CG$72,0)</f>
        <v>0.02</v>
      </c>
      <c r="DE163" s="5">
        <f ca="1">IF(AND('Budgeting Model'!AF89&lt;&gt;"",ABS('Budgeting Model'!AF89-'Scratch Sheet'!AF89)&lt;0.01),$CG$72,0)</f>
        <v>0.02</v>
      </c>
      <c r="DF163" s="5">
        <f ca="1">IF(AND('Budgeting Model'!AG89&lt;&gt;"",ABS('Budgeting Model'!AG89-'Scratch Sheet'!AG89)&lt;0.01),$CG$72,0)</f>
        <v>0.02</v>
      </c>
      <c r="DG163" s="5">
        <f ca="1">IF(AND('Budgeting Model'!AH89&lt;&gt;"",ABS('Budgeting Model'!AH89-'Scratch Sheet'!AH89)&lt;0.01),$CG$72,0)</f>
        <v>0.02</v>
      </c>
      <c r="DH163" s="5">
        <f ca="1">IF(AND('Budgeting Model'!AI89&lt;&gt;"",ABS('Budgeting Model'!AI89-'Scratch Sheet'!AI89)&lt;0.01),$CG$72,0)</f>
        <v>0.02</v>
      </c>
      <c r="DI163" s="5">
        <f ca="1">IF(AND('Budgeting Model'!AJ89&lt;&gt;"",ABS('Budgeting Model'!AJ89-'Scratch Sheet'!AJ89)&lt;0.01),$CG$72,0)</f>
        <v>0.02</v>
      </c>
      <c r="DJ163" s="5">
        <f ca="1">IF(AND('Budgeting Model'!AK89&lt;&gt;"",ABS('Budgeting Model'!AK89-'Scratch Sheet'!AK89)&lt;0.01),$CG$72,0)</f>
        <v>0.02</v>
      </c>
      <c r="DK163" s="5" t="s">
        <v>550</v>
      </c>
      <c r="DL163" s="5">
        <f ca="1">IF(AND('Budgeting Model'!AM89&lt;&gt;"",ABS('Budgeting Model'!AM89-'Scratch Sheet'!AM89)&lt;0.01),$CG$72,0)</f>
        <v>0.02</v>
      </c>
      <c r="DM163" s="5">
        <f ca="1">IF(AND('Budgeting Model'!AN89&lt;&gt;"",ABS('Budgeting Model'!AN89-'Scratch Sheet'!AN89)&lt;0.01),$CG$72,0)</f>
        <v>0.02</v>
      </c>
      <c r="DN163" s="5">
        <f ca="1">IF(AND('Budgeting Model'!AO89&lt;&gt;"",ABS('Budgeting Model'!AO89-'Scratch Sheet'!AO89)&lt;0.01),$CG$72,0)</f>
        <v>0.02</v>
      </c>
      <c r="DO163" s="5">
        <f ca="1">IF(AND('Budgeting Model'!AP89&lt;&gt;"",ABS('Budgeting Model'!AP89-'Scratch Sheet'!AP89)&lt;0.01),$CG$72,0)</f>
        <v>0.02</v>
      </c>
    </row>
    <row r="164" spans="79:119">
      <c r="CA164" s="5">
        <f>IF(AND('Budgeting Model'!B90&lt;&gt;"",'Budgeting Model'!B90='Scratch Sheet'!B90),$CG$72,0)</f>
        <v>0.02</v>
      </c>
      <c r="CB164" s="5">
        <f ca="1">IF(AND('Budgeting Model'!C90&lt;&gt;"",'Budgeting Model'!C90='Scratch Sheet'!C90),$CG$72,0)</f>
        <v>0.02</v>
      </c>
      <c r="CC164" s="5">
        <f>IF(AND('Budgeting Model'!D90&lt;&gt;"",'Budgeting Model'!D90='Scratch Sheet'!D90),$CG$72,0)</f>
        <v>0.02</v>
      </c>
      <c r="CD164" s="5">
        <f ca="1">IF(OR(AND('Budgeting Model'!E90="",'Budgeting Model'!D90&lt;&gt;"Vacant"),'Budgeting Model'!E90&lt;&gt;'Scratch Sheet'!E90),0,$CG$72)</f>
        <v>0.02</v>
      </c>
      <c r="CE164" s="5">
        <f ca="1">IF(AND('Budgeting Model'!F90&lt;&gt;"",'Budgeting Model'!F90='Scratch Sheet'!F90),$CG$72,0)</f>
        <v>0.02</v>
      </c>
      <c r="CF164" s="5">
        <f ca="1">IF(AND('Budgeting Model'!G90&lt;&gt;"",ABS('Budgeting Model'!G90-'Scratch Sheet'!G90)&lt;0.01),$CG$72,0)</f>
        <v>0.02</v>
      </c>
      <c r="CG164" s="5" t="s">
        <v>550</v>
      </c>
      <c r="CH164" s="5" t="s">
        <v>550</v>
      </c>
      <c r="CI164" s="5">
        <f ca="1">IF(AND('Budgeting Model'!J90&lt;&gt;"",ABS('Budgeting Model'!J90-'Scratch Sheet'!J90)&lt;0.01),$CG$72,0)</f>
        <v>0.02</v>
      </c>
      <c r="CJ164" s="5" t="s">
        <v>550</v>
      </c>
      <c r="CK164" s="5">
        <f ca="1">IF(AND('Budgeting Model'!L90&lt;&gt;"",ABS('Budgeting Model'!L90-'Scratch Sheet'!L90)&lt;0.01),$CG$72,0)</f>
        <v>0.02</v>
      </c>
      <c r="CL164" s="5" t="s">
        <v>550</v>
      </c>
      <c r="CM164" s="5">
        <f ca="1">IF(AND('Budgeting Model'!N90="",'Budgeting Model'!N90&lt;&gt;'Scratch Sheet'!N90),0,$CG$72)</f>
        <v>0.02</v>
      </c>
      <c r="CN164" s="5" t="s">
        <v>550</v>
      </c>
      <c r="CO164" s="5">
        <f ca="1">IF(AND('Budgeting Model'!P90&lt;&gt;"",ABS('Budgeting Model'!P90-'Scratch Sheet'!P90)&lt;0.01),$CG$72,0)</f>
        <v>0.02</v>
      </c>
      <c r="CP164" s="5">
        <f ca="1">IF(AND('Budgeting Model'!Q90&lt;&gt;"",ABS('Budgeting Model'!Q90-'Scratch Sheet'!Q90)&lt;0.01),$CG$72,0)</f>
        <v>0.02</v>
      </c>
      <c r="CQ164" s="5">
        <f ca="1">IF(AND('Budgeting Model'!R90&lt;&gt;"",ABS('Budgeting Model'!R90-'Scratch Sheet'!R90)&lt;0.01),$CG$72,0)</f>
        <v>0.02</v>
      </c>
      <c r="CR164" s="5">
        <f ca="1">IF(AND('Budgeting Model'!S90&lt;&gt;"",ABS('Budgeting Model'!S90-'Scratch Sheet'!S90)&lt;0.01),$CG$72,0)</f>
        <v>0.02</v>
      </c>
      <c r="CS164" s="5">
        <f ca="1">IF(AND('Budgeting Model'!T90&lt;&gt;"",ABS('Budgeting Model'!T90-'Scratch Sheet'!T90)&lt;0.01),$CG$72,0)</f>
        <v>0.02</v>
      </c>
      <c r="CT164" s="5">
        <f ca="1">IF(AND('Budgeting Model'!U90&lt;&gt;"",ABS('Budgeting Model'!U90-'Scratch Sheet'!U90)&lt;0.01),$CG$72,0)</f>
        <v>0.02</v>
      </c>
      <c r="CU164" s="5">
        <f ca="1">IF(AND('Budgeting Model'!V90&lt;&gt;"",ABS('Budgeting Model'!V90-'Scratch Sheet'!V90)&lt;0.01),$CG$72,0)</f>
        <v>0.02</v>
      </c>
      <c r="CV164" s="5" t="s">
        <v>550</v>
      </c>
      <c r="CW164" s="5" t="s">
        <v>550</v>
      </c>
      <c r="CX164" s="5">
        <f ca="1">IF(AND('Budgeting Model'!Y90&lt;&gt;"",ABS('Budgeting Model'!Y90-'Scratch Sheet'!Y90)&lt;0.01),$CG$72,0)</f>
        <v>0.02</v>
      </c>
      <c r="CY164" s="5" t="s">
        <v>550</v>
      </c>
      <c r="CZ164" s="5">
        <f>IF(AND('Budgeting Model'!AA90&lt;&gt;"",ABS('Budgeting Model'!AA90-'Scratch Sheet'!AA90)&lt;0.01),$CG$72,0)</f>
        <v>0.02</v>
      </c>
      <c r="DA164" s="5" t="s">
        <v>550</v>
      </c>
      <c r="DB164" s="5">
        <f>IF(AND('Budgeting Model'!AC90="",'Budgeting Model'!AC90&lt;&gt;'Scratch Sheet'!AC90),0,$CG$72)</f>
        <v>0.02</v>
      </c>
      <c r="DC164" s="5" t="s">
        <v>550</v>
      </c>
      <c r="DD164" s="5">
        <f ca="1">IF(AND('Budgeting Model'!AE90&lt;&gt;"",ABS('Budgeting Model'!AE90-'Scratch Sheet'!AE90)&lt;0.01),$CG$72,0)</f>
        <v>0.02</v>
      </c>
      <c r="DE164" s="5">
        <f>IF(AND('Budgeting Model'!AF90&lt;&gt;"",ABS('Budgeting Model'!AF90-'Scratch Sheet'!AF90)&lt;0.01),$CG$72,0)</f>
        <v>0.02</v>
      </c>
      <c r="DF164" s="5">
        <f ca="1">IF(AND('Budgeting Model'!AG90&lt;&gt;"",ABS('Budgeting Model'!AG90-'Scratch Sheet'!AG90)&lt;0.01),$CG$72,0)</f>
        <v>0.02</v>
      </c>
      <c r="DG164" s="5">
        <f ca="1">IF(AND('Budgeting Model'!AH90&lt;&gt;"",ABS('Budgeting Model'!AH90-'Scratch Sheet'!AH90)&lt;0.01),$CG$72,0)</f>
        <v>0.02</v>
      </c>
      <c r="DH164" s="5">
        <f ca="1">IF(AND('Budgeting Model'!AI90&lt;&gt;"",ABS('Budgeting Model'!AI90-'Scratch Sheet'!AI90)&lt;0.01),$CG$72,0)</f>
        <v>0.02</v>
      </c>
      <c r="DI164" s="5">
        <f ca="1">IF(AND('Budgeting Model'!AJ90&lt;&gt;"",ABS('Budgeting Model'!AJ90-'Scratch Sheet'!AJ90)&lt;0.01),$CG$72,0)</f>
        <v>0.02</v>
      </c>
      <c r="DJ164" s="5">
        <f ca="1">IF(AND('Budgeting Model'!AK90&lt;&gt;"",ABS('Budgeting Model'!AK90-'Scratch Sheet'!AK90)&lt;0.01),$CG$72,0)</f>
        <v>0.02</v>
      </c>
      <c r="DK164" s="5" t="s">
        <v>550</v>
      </c>
      <c r="DL164" s="5">
        <f ca="1">IF(AND('Budgeting Model'!AM90&lt;&gt;"",ABS('Budgeting Model'!AM90-'Scratch Sheet'!AM90)&lt;0.01),$CG$72,0)</f>
        <v>0.02</v>
      </c>
      <c r="DM164" s="5">
        <f ca="1">IF(AND('Budgeting Model'!AN90&lt;&gt;"",ABS('Budgeting Model'!AN90-'Scratch Sheet'!AN90)&lt;0.01),$CG$72,0)</f>
        <v>0.02</v>
      </c>
      <c r="DN164" s="5">
        <f ca="1">IF(AND('Budgeting Model'!AO90&lt;&gt;"",ABS('Budgeting Model'!AO90-'Scratch Sheet'!AO90)&lt;0.01),$CG$72,0)</f>
        <v>0.02</v>
      </c>
      <c r="DO164" s="5">
        <f ca="1">IF(AND('Budgeting Model'!AP90&lt;&gt;"",ABS('Budgeting Model'!AP90-'Scratch Sheet'!AP90)&lt;0.01),$CG$72,0)</f>
        <v>0.02</v>
      </c>
    </row>
    <row r="165" spans="79:119">
      <c r="CA165" s="5">
        <f>IF(AND('Budgeting Model'!B91&lt;&gt;"",'Budgeting Model'!B91='Scratch Sheet'!B91),$CG$72,0)</f>
        <v>0.02</v>
      </c>
      <c r="CB165" s="5">
        <f ca="1">IF(AND('Budgeting Model'!C91&lt;&gt;"",'Budgeting Model'!C91='Scratch Sheet'!C91),$CG$72,0)</f>
        <v>0.02</v>
      </c>
      <c r="CC165" s="5">
        <f>IF(AND('Budgeting Model'!D91&lt;&gt;"",'Budgeting Model'!D91='Scratch Sheet'!D91),$CG$72,0)</f>
        <v>0.02</v>
      </c>
      <c r="CD165" s="5">
        <f ca="1">IF(OR(AND('Budgeting Model'!E91="",'Budgeting Model'!D91&lt;&gt;"Vacant"),'Budgeting Model'!E91&lt;&gt;'Scratch Sheet'!E91),0,$CG$72)</f>
        <v>0.02</v>
      </c>
      <c r="CE165" s="5">
        <f ca="1">IF(AND('Budgeting Model'!F91&lt;&gt;"",'Budgeting Model'!F91='Scratch Sheet'!F91),$CG$72,0)</f>
        <v>0.02</v>
      </c>
      <c r="CF165" s="5">
        <f ca="1">IF(AND('Budgeting Model'!G91&lt;&gt;"",ABS('Budgeting Model'!G91-'Scratch Sheet'!G91)&lt;0.01),$CG$72,0)</f>
        <v>0.02</v>
      </c>
      <c r="CG165" s="5" t="s">
        <v>550</v>
      </c>
      <c r="CH165" s="5" t="s">
        <v>550</v>
      </c>
      <c r="CI165" s="5">
        <f ca="1">IF(AND('Budgeting Model'!J91&lt;&gt;"",ABS('Budgeting Model'!J91-'Scratch Sheet'!J91)&lt;0.01),$CG$72,0)</f>
        <v>0.02</v>
      </c>
      <c r="CJ165" s="5" t="s">
        <v>550</v>
      </c>
      <c r="CK165" s="5">
        <f ca="1">IF(AND('Budgeting Model'!L91&lt;&gt;"",ABS('Budgeting Model'!L91-'Scratch Sheet'!L91)&lt;0.01),$CG$72,0)</f>
        <v>0.02</v>
      </c>
      <c r="CL165" s="5" t="s">
        <v>550</v>
      </c>
      <c r="CM165" s="5">
        <f ca="1">IF(AND('Budgeting Model'!N91="",'Budgeting Model'!N91&lt;&gt;'Scratch Sheet'!N91),0,$CG$72)</f>
        <v>0.02</v>
      </c>
      <c r="CN165" s="5" t="s">
        <v>550</v>
      </c>
      <c r="CO165" s="5">
        <f>IF(AND('Budgeting Model'!P91&lt;&gt;"",ABS('Budgeting Model'!P91-'Scratch Sheet'!P91)&lt;0.01),$CG$72,0)</f>
        <v>0.02</v>
      </c>
      <c r="CP165" s="5">
        <f ca="1">IF(AND('Budgeting Model'!Q91&lt;&gt;"",ABS('Budgeting Model'!Q91-'Scratch Sheet'!Q91)&lt;0.01),$CG$72,0)</f>
        <v>0.02</v>
      </c>
      <c r="CQ165" s="5">
        <f ca="1">IF(AND('Budgeting Model'!R91&lt;&gt;"",ABS('Budgeting Model'!R91-'Scratch Sheet'!R91)&lt;0.01),$CG$72,0)</f>
        <v>0.02</v>
      </c>
      <c r="CR165" s="5">
        <f ca="1">IF(AND('Budgeting Model'!S91&lt;&gt;"",ABS('Budgeting Model'!S91-'Scratch Sheet'!S91)&lt;0.01),$CG$72,0)</f>
        <v>0.02</v>
      </c>
      <c r="CS165" s="5">
        <f ca="1">IF(AND('Budgeting Model'!T91&lt;&gt;"",ABS('Budgeting Model'!T91-'Scratch Sheet'!T91)&lt;0.01),$CG$72,0)</f>
        <v>0.02</v>
      </c>
      <c r="CT165" s="5">
        <f ca="1">IF(AND('Budgeting Model'!U91&lt;&gt;"",ABS('Budgeting Model'!U91-'Scratch Sheet'!U91)&lt;0.01),$CG$72,0)</f>
        <v>0.02</v>
      </c>
      <c r="CU165" s="5">
        <f ca="1">IF(AND('Budgeting Model'!V91&lt;&gt;"",ABS('Budgeting Model'!V91-'Scratch Sheet'!V91)&lt;0.01),$CG$72,0)</f>
        <v>0.02</v>
      </c>
      <c r="CV165" s="5" t="s">
        <v>550</v>
      </c>
      <c r="CW165" s="5" t="s">
        <v>550</v>
      </c>
      <c r="CX165" s="5">
        <f ca="1">IF(AND('Budgeting Model'!Y91&lt;&gt;"",ABS('Budgeting Model'!Y91-'Scratch Sheet'!Y91)&lt;0.01),$CG$72,0)</f>
        <v>0.02</v>
      </c>
      <c r="CY165" s="5" t="s">
        <v>550</v>
      </c>
      <c r="CZ165" s="5">
        <f>IF(AND('Budgeting Model'!AA91&lt;&gt;"",ABS('Budgeting Model'!AA91-'Scratch Sheet'!AA91)&lt;0.01),$CG$72,0)</f>
        <v>0.02</v>
      </c>
      <c r="DA165" s="5" t="s">
        <v>550</v>
      </c>
      <c r="DB165" s="5">
        <f ca="1">IF(AND('Budgeting Model'!AC91="",'Budgeting Model'!AC91&lt;&gt;'Scratch Sheet'!AC91),0,$CG$72)</f>
        <v>0.02</v>
      </c>
      <c r="DC165" s="5" t="s">
        <v>550</v>
      </c>
      <c r="DD165" s="5">
        <f ca="1">IF(AND('Budgeting Model'!AE91&lt;&gt;"",ABS('Budgeting Model'!AE91-'Scratch Sheet'!AE91)&lt;0.01),$CG$72,0)</f>
        <v>0.02</v>
      </c>
      <c r="DE165" s="5">
        <f ca="1">IF(AND('Budgeting Model'!AF91&lt;&gt;"",ABS('Budgeting Model'!AF91-'Scratch Sheet'!AF91)&lt;0.01),$CG$72,0)</f>
        <v>0.02</v>
      </c>
      <c r="DF165" s="5">
        <f ca="1">IF(AND('Budgeting Model'!AG91&lt;&gt;"",ABS('Budgeting Model'!AG91-'Scratch Sheet'!AG91)&lt;0.01),$CG$72,0)</f>
        <v>0.02</v>
      </c>
      <c r="DG165" s="5">
        <f ca="1">IF(AND('Budgeting Model'!AH91&lt;&gt;"",ABS('Budgeting Model'!AH91-'Scratch Sheet'!AH91)&lt;0.01),$CG$72,0)</f>
        <v>0.02</v>
      </c>
      <c r="DH165" s="5">
        <f ca="1">IF(AND('Budgeting Model'!AI91&lt;&gt;"",ABS('Budgeting Model'!AI91-'Scratch Sheet'!AI91)&lt;0.01),$CG$72,0)</f>
        <v>0.02</v>
      </c>
      <c r="DI165" s="5">
        <f ca="1">IF(AND('Budgeting Model'!AJ91&lt;&gt;"",ABS('Budgeting Model'!AJ91-'Scratch Sheet'!AJ91)&lt;0.01),$CG$72,0)</f>
        <v>0.02</v>
      </c>
      <c r="DJ165" s="5">
        <f ca="1">IF(AND('Budgeting Model'!AK91&lt;&gt;"",ABS('Budgeting Model'!AK91-'Scratch Sheet'!AK91)&lt;0.01),$CG$72,0)</f>
        <v>0.02</v>
      </c>
      <c r="DK165" s="5" t="s">
        <v>550</v>
      </c>
      <c r="DL165" s="5">
        <f ca="1">IF(AND('Budgeting Model'!AM91&lt;&gt;"",ABS('Budgeting Model'!AM91-'Scratch Sheet'!AM91)&lt;0.01),$CG$72,0)</f>
        <v>0.02</v>
      </c>
      <c r="DM165" s="5">
        <f ca="1">IF(AND('Budgeting Model'!AN91&lt;&gt;"",ABS('Budgeting Model'!AN91-'Scratch Sheet'!AN91)&lt;0.01),$CG$72,0)</f>
        <v>0.02</v>
      </c>
      <c r="DN165" s="5">
        <f ca="1">IF(AND('Budgeting Model'!AO91&lt;&gt;"",ABS('Budgeting Model'!AO91-'Scratch Sheet'!AO91)&lt;0.01),$CG$72,0)</f>
        <v>0.02</v>
      </c>
      <c r="DO165" s="5">
        <f ca="1">IF(AND('Budgeting Model'!AP91&lt;&gt;"",ABS('Budgeting Model'!AP91-'Scratch Sheet'!AP91)&lt;0.01),$CG$72,0)</f>
        <v>0.02</v>
      </c>
    </row>
    <row r="166" spans="79:119">
      <c r="CA166" s="5">
        <f>IF(AND('Budgeting Model'!B92&lt;&gt;"",'Budgeting Model'!B92='Scratch Sheet'!B92),$CG$72,0)</f>
        <v>0.02</v>
      </c>
      <c r="CB166" s="5">
        <f ca="1">IF(AND('Budgeting Model'!C92&lt;&gt;"",'Budgeting Model'!C92='Scratch Sheet'!C92),$CG$72,0)</f>
        <v>0.02</v>
      </c>
      <c r="CC166" s="5">
        <f>IF(AND('Budgeting Model'!D92&lt;&gt;"",'Budgeting Model'!D92='Scratch Sheet'!D92),$CG$72,0)</f>
        <v>0.02</v>
      </c>
      <c r="CD166" s="5">
        <f ca="1">IF(OR(AND('Budgeting Model'!E92="",'Budgeting Model'!D92&lt;&gt;"Vacant"),'Budgeting Model'!E92&lt;&gt;'Scratch Sheet'!E92),0,$CG$72)</f>
        <v>0.02</v>
      </c>
      <c r="CE166" s="5">
        <f ca="1">IF(AND('Budgeting Model'!F92&lt;&gt;"",'Budgeting Model'!F92='Scratch Sheet'!F92),$CG$72,0)</f>
        <v>0.02</v>
      </c>
      <c r="CF166" s="5">
        <f ca="1">IF(AND('Budgeting Model'!G92&lt;&gt;"",ABS('Budgeting Model'!G92-'Scratch Sheet'!G92)&lt;0.01),$CG$72,0)</f>
        <v>0.02</v>
      </c>
      <c r="CG166" s="5" t="s">
        <v>550</v>
      </c>
      <c r="CH166" s="5" t="s">
        <v>550</v>
      </c>
      <c r="CI166" s="5">
        <f ca="1">IF(AND('Budgeting Model'!J92&lt;&gt;"",ABS('Budgeting Model'!J92-'Scratch Sheet'!J92)&lt;0.01),$CG$72,0)</f>
        <v>0.02</v>
      </c>
      <c r="CJ166" s="5" t="s">
        <v>550</v>
      </c>
      <c r="CK166" s="5">
        <f ca="1">IF(AND('Budgeting Model'!L92&lt;&gt;"",ABS('Budgeting Model'!L92-'Scratch Sheet'!L92)&lt;0.01),$CG$72,0)</f>
        <v>0.02</v>
      </c>
      <c r="CL166" s="5" t="s">
        <v>550</v>
      </c>
      <c r="CM166" s="5">
        <f ca="1">IF(AND('Budgeting Model'!N92="",'Budgeting Model'!N92&lt;&gt;'Scratch Sheet'!N92),0,$CG$72)</f>
        <v>0.02</v>
      </c>
      <c r="CN166" s="5" t="s">
        <v>550</v>
      </c>
      <c r="CO166" s="5">
        <f ca="1">IF(AND('Budgeting Model'!P92&lt;&gt;"",ABS('Budgeting Model'!P92-'Scratch Sheet'!P92)&lt;0.01),$CG$72,0)</f>
        <v>0.02</v>
      </c>
      <c r="CP166" s="5">
        <f ca="1">IF(AND('Budgeting Model'!Q92&lt;&gt;"",ABS('Budgeting Model'!Q92-'Scratch Sheet'!Q92)&lt;0.01),$CG$72,0)</f>
        <v>0.02</v>
      </c>
      <c r="CQ166" s="5">
        <f ca="1">IF(AND('Budgeting Model'!R92&lt;&gt;"",ABS('Budgeting Model'!R92-'Scratch Sheet'!R92)&lt;0.01),$CG$72,0)</f>
        <v>0.02</v>
      </c>
      <c r="CR166" s="5">
        <f ca="1">IF(AND('Budgeting Model'!S92&lt;&gt;"",ABS('Budgeting Model'!S92-'Scratch Sheet'!S92)&lt;0.01),$CG$72,0)</f>
        <v>0.02</v>
      </c>
      <c r="CS166" s="5">
        <f ca="1">IF(AND('Budgeting Model'!T92&lt;&gt;"",ABS('Budgeting Model'!T92-'Scratch Sheet'!T92)&lt;0.01),$CG$72,0)</f>
        <v>0.02</v>
      </c>
      <c r="CT166" s="5">
        <f ca="1">IF(AND('Budgeting Model'!U92&lt;&gt;"",ABS('Budgeting Model'!U92-'Scratch Sheet'!U92)&lt;0.01),$CG$72,0)</f>
        <v>0.02</v>
      </c>
      <c r="CU166" s="5">
        <f ca="1">IF(AND('Budgeting Model'!V92&lt;&gt;"",ABS('Budgeting Model'!V92-'Scratch Sheet'!V92)&lt;0.01),$CG$72,0)</f>
        <v>0.02</v>
      </c>
      <c r="CV166" s="5" t="s">
        <v>550</v>
      </c>
      <c r="CW166" s="5" t="s">
        <v>550</v>
      </c>
      <c r="CX166" s="5">
        <f ca="1">IF(AND('Budgeting Model'!Y92&lt;&gt;"",ABS('Budgeting Model'!Y92-'Scratch Sheet'!Y92)&lt;0.01),$CG$72,0)</f>
        <v>0.02</v>
      </c>
      <c r="CY166" s="5" t="s">
        <v>550</v>
      </c>
      <c r="CZ166" s="5">
        <f ca="1">IF(AND('Budgeting Model'!AA92&lt;&gt;"",ABS('Budgeting Model'!AA92-'Scratch Sheet'!AA92)&lt;0.01),$CG$72,0)</f>
        <v>0.02</v>
      </c>
      <c r="DA166" s="5" t="s">
        <v>550</v>
      </c>
      <c r="DB166" s="5">
        <f ca="1">IF(AND('Budgeting Model'!AC92="",'Budgeting Model'!AC92&lt;&gt;'Scratch Sheet'!AC92),0,$CG$72)</f>
        <v>0.02</v>
      </c>
      <c r="DC166" s="5" t="s">
        <v>550</v>
      </c>
      <c r="DD166" s="5">
        <f ca="1">IF(AND('Budgeting Model'!AE92&lt;&gt;"",ABS('Budgeting Model'!AE92-'Scratch Sheet'!AE92)&lt;0.01),$CG$72,0)</f>
        <v>0.02</v>
      </c>
      <c r="DE166" s="5">
        <f ca="1">IF(AND('Budgeting Model'!AF92&lt;&gt;"",ABS('Budgeting Model'!AF92-'Scratch Sheet'!AF92)&lt;0.01),$CG$72,0)</f>
        <v>0.02</v>
      </c>
      <c r="DF166" s="5">
        <f ca="1">IF(AND('Budgeting Model'!AG92&lt;&gt;"",ABS('Budgeting Model'!AG92-'Scratch Sheet'!AG92)&lt;0.01),$CG$72,0)</f>
        <v>0.02</v>
      </c>
      <c r="DG166" s="5">
        <f ca="1">IF(AND('Budgeting Model'!AH92&lt;&gt;"",ABS('Budgeting Model'!AH92-'Scratch Sheet'!AH92)&lt;0.01),$CG$72,0)</f>
        <v>0.02</v>
      </c>
      <c r="DH166" s="5">
        <f ca="1">IF(AND('Budgeting Model'!AI92&lt;&gt;"",ABS('Budgeting Model'!AI92-'Scratch Sheet'!AI92)&lt;0.01),$CG$72,0)</f>
        <v>0.02</v>
      </c>
      <c r="DI166" s="5">
        <f ca="1">IF(AND('Budgeting Model'!AJ92&lt;&gt;"",ABS('Budgeting Model'!AJ92-'Scratch Sheet'!AJ92)&lt;0.01),$CG$72,0)</f>
        <v>0.02</v>
      </c>
      <c r="DJ166" s="5">
        <f ca="1">IF(AND('Budgeting Model'!AK92&lt;&gt;"",ABS('Budgeting Model'!AK92-'Scratch Sheet'!AK92)&lt;0.01),$CG$72,0)</f>
        <v>0.02</v>
      </c>
      <c r="DK166" s="5" t="s">
        <v>550</v>
      </c>
      <c r="DL166" s="5">
        <f ca="1">IF(AND('Budgeting Model'!AM92&lt;&gt;"",ABS('Budgeting Model'!AM92-'Scratch Sheet'!AM92)&lt;0.01),$CG$72,0)</f>
        <v>0.02</v>
      </c>
      <c r="DM166" s="5">
        <f ca="1">IF(AND('Budgeting Model'!AN92&lt;&gt;"",ABS('Budgeting Model'!AN92-'Scratch Sheet'!AN92)&lt;0.01),$CG$72,0)</f>
        <v>0.02</v>
      </c>
      <c r="DN166" s="5">
        <f ca="1">IF(AND('Budgeting Model'!AO92&lt;&gt;"",ABS('Budgeting Model'!AO92-'Scratch Sheet'!AO92)&lt;0.01),$CG$72,0)</f>
        <v>0.02</v>
      </c>
      <c r="DO166" s="5">
        <f ca="1">IF(AND('Budgeting Model'!AP92&lt;&gt;"",ABS('Budgeting Model'!AP92-'Scratch Sheet'!AP92)&lt;0.01),$CG$72,0)</f>
        <v>0.02</v>
      </c>
    </row>
    <row r="167" spans="79:119">
      <c r="CA167" s="5">
        <f>IF(AND('Budgeting Model'!B93&lt;&gt;"",'Budgeting Model'!B93='Scratch Sheet'!B93),$CG$72,0)</f>
        <v>0.02</v>
      </c>
      <c r="CB167" s="5">
        <f ca="1">IF(AND('Budgeting Model'!C93&lt;&gt;"",'Budgeting Model'!C93='Scratch Sheet'!C93),$CG$72,0)</f>
        <v>0.02</v>
      </c>
      <c r="CC167" s="5">
        <f>IF(AND('Budgeting Model'!D93&lt;&gt;"",'Budgeting Model'!D93='Scratch Sheet'!D93),$CG$72,0)</f>
        <v>0.02</v>
      </c>
      <c r="CD167" s="5">
        <f ca="1">IF(OR(AND('Budgeting Model'!E93="",'Budgeting Model'!D93&lt;&gt;"Vacant"),'Budgeting Model'!E93&lt;&gt;'Scratch Sheet'!E93),0,$CG$72)</f>
        <v>0.02</v>
      </c>
      <c r="CE167" s="5">
        <f ca="1">IF(AND('Budgeting Model'!F93&lt;&gt;"",'Budgeting Model'!F93='Scratch Sheet'!F93),$CG$72,0)</f>
        <v>0.02</v>
      </c>
      <c r="CF167" s="5">
        <f ca="1">IF(AND('Budgeting Model'!G93&lt;&gt;"",ABS('Budgeting Model'!G93-'Scratch Sheet'!G93)&lt;0.01),$CG$72,0)</f>
        <v>0.02</v>
      </c>
      <c r="CG167" s="5" t="s">
        <v>550</v>
      </c>
      <c r="CH167" s="5" t="s">
        <v>550</v>
      </c>
      <c r="CI167" s="5">
        <f ca="1">IF(AND('Budgeting Model'!J93&lt;&gt;"",ABS('Budgeting Model'!J93-'Scratch Sheet'!J93)&lt;0.01),$CG$72,0)</f>
        <v>0.02</v>
      </c>
      <c r="CJ167" s="5" t="s">
        <v>550</v>
      </c>
      <c r="CK167" s="5">
        <f ca="1">IF(AND('Budgeting Model'!L93&lt;&gt;"",ABS('Budgeting Model'!L93-'Scratch Sheet'!L93)&lt;0.01),$CG$72,0)</f>
        <v>0.02</v>
      </c>
      <c r="CL167" s="5" t="s">
        <v>550</v>
      </c>
      <c r="CM167" s="5">
        <f ca="1">IF(AND('Budgeting Model'!N93="",'Budgeting Model'!N93&lt;&gt;'Scratch Sheet'!N93),0,$CG$72)</f>
        <v>0.02</v>
      </c>
      <c r="CN167" s="5" t="s">
        <v>550</v>
      </c>
      <c r="CO167" s="5">
        <f ca="1">IF(AND('Budgeting Model'!P93&lt;&gt;"",ABS('Budgeting Model'!P93-'Scratch Sheet'!P93)&lt;0.01),$CG$72,0)</f>
        <v>0.02</v>
      </c>
      <c r="CP167" s="5">
        <f ca="1">IF(AND('Budgeting Model'!Q93&lt;&gt;"",ABS('Budgeting Model'!Q93-'Scratch Sheet'!Q93)&lt;0.01),$CG$72,0)</f>
        <v>0.02</v>
      </c>
      <c r="CQ167" s="5">
        <f ca="1">IF(AND('Budgeting Model'!R93&lt;&gt;"",ABS('Budgeting Model'!R93-'Scratch Sheet'!R93)&lt;0.01),$CG$72,0)</f>
        <v>0.02</v>
      </c>
      <c r="CR167" s="5">
        <f ca="1">IF(AND('Budgeting Model'!S93&lt;&gt;"",ABS('Budgeting Model'!S93-'Scratch Sheet'!S93)&lt;0.01),$CG$72,0)</f>
        <v>0.02</v>
      </c>
      <c r="CS167" s="5">
        <f ca="1">IF(AND('Budgeting Model'!T93&lt;&gt;"",ABS('Budgeting Model'!T93-'Scratch Sheet'!T93)&lt;0.01),$CG$72,0)</f>
        <v>0.02</v>
      </c>
      <c r="CT167" s="5">
        <f ca="1">IF(AND('Budgeting Model'!U93&lt;&gt;"",ABS('Budgeting Model'!U93-'Scratch Sheet'!U93)&lt;0.01),$CG$72,0)</f>
        <v>0.02</v>
      </c>
      <c r="CU167" s="5">
        <f ca="1">IF(AND('Budgeting Model'!V93&lt;&gt;"",ABS('Budgeting Model'!V93-'Scratch Sheet'!V93)&lt;0.01),$CG$72,0)</f>
        <v>0.02</v>
      </c>
      <c r="CV167" s="5" t="s">
        <v>550</v>
      </c>
      <c r="CW167" s="5" t="s">
        <v>550</v>
      </c>
      <c r="CX167" s="5">
        <f ca="1">IF(AND('Budgeting Model'!Y93&lt;&gt;"",ABS('Budgeting Model'!Y93-'Scratch Sheet'!Y93)&lt;0.01),$CG$72,0)</f>
        <v>0.02</v>
      </c>
      <c r="CY167" s="5" t="s">
        <v>550</v>
      </c>
      <c r="CZ167" s="5">
        <f>IF(AND('Budgeting Model'!AA93&lt;&gt;"",ABS('Budgeting Model'!AA93-'Scratch Sheet'!AA93)&lt;0.01),$CG$72,0)</f>
        <v>0.02</v>
      </c>
      <c r="DA167" s="5" t="s">
        <v>550</v>
      </c>
      <c r="DB167" s="5">
        <f ca="1">IF(AND('Budgeting Model'!AC93="",'Budgeting Model'!AC93&lt;&gt;'Scratch Sheet'!AC93),0,$CG$72)</f>
        <v>0.02</v>
      </c>
      <c r="DC167" s="5" t="s">
        <v>550</v>
      </c>
      <c r="DD167" s="5">
        <f ca="1">IF(AND('Budgeting Model'!AE93&lt;&gt;"",ABS('Budgeting Model'!AE93-'Scratch Sheet'!AE93)&lt;0.01),$CG$72,0)</f>
        <v>0.02</v>
      </c>
      <c r="DE167" s="5">
        <f ca="1">IF(AND('Budgeting Model'!AF93&lt;&gt;"",ABS('Budgeting Model'!AF93-'Scratch Sheet'!AF93)&lt;0.01),$CG$72,0)</f>
        <v>0.02</v>
      </c>
      <c r="DF167" s="5">
        <f ca="1">IF(AND('Budgeting Model'!AG93&lt;&gt;"",ABS('Budgeting Model'!AG93-'Scratch Sheet'!AG93)&lt;0.01),$CG$72,0)</f>
        <v>0.02</v>
      </c>
      <c r="DG167" s="5">
        <f ca="1">IF(AND('Budgeting Model'!AH93&lt;&gt;"",ABS('Budgeting Model'!AH93-'Scratch Sheet'!AH93)&lt;0.01),$CG$72,0)</f>
        <v>0.02</v>
      </c>
      <c r="DH167" s="5">
        <f ca="1">IF(AND('Budgeting Model'!AI93&lt;&gt;"",ABS('Budgeting Model'!AI93-'Scratch Sheet'!AI93)&lt;0.01),$CG$72,0)</f>
        <v>0.02</v>
      </c>
      <c r="DI167" s="5">
        <f ca="1">IF(AND('Budgeting Model'!AJ93&lt;&gt;"",ABS('Budgeting Model'!AJ93-'Scratch Sheet'!AJ93)&lt;0.01),$CG$72,0)</f>
        <v>0.02</v>
      </c>
      <c r="DJ167" s="5">
        <f ca="1">IF(AND('Budgeting Model'!AK93&lt;&gt;"",ABS('Budgeting Model'!AK93-'Scratch Sheet'!AK93)&lt;0.01),$CG$72,0)</f>
        <v>0.02</v>
      </c>
      <c r="DK167" s="5" t="s">
        <v>550</v>
      </c>
      <c r="DL167" s="5">
        <f ca="1">IF(AND('Budgeting Model'!AM93&lt;&gt;"",ABS('Budgeting Model'!AM93-'Scratch Sheet'!AM93)&lt;0.01),$CG$72,0)</f>
        <v>0.02</v>
      </c>
      <c r="DM167" s="5">
        <f ca="1">IF(AND('Budgeting Model'!AN93&lt;&gt;"",ABS('Budgeting Model'!AN93-'Scratch Sheet'!AN93)&lt;0.01),$CG$72,0)</f>
        <v>0.02</v>
      </c>
      <c r="DN167" s="5">
        <f ca="1">IF(AND('Budgeting Model'!AO93&lt;&gt;"",ABS('Budgeting Model'!AO93-'Scratch Sheet'!AO93)&lt;0.01),$CG$72,0)</f>
        <v>0.02</v>
      </c>
      <c r="DO167" s="5">
        <f ca="1">IF(AND('Budgeting Model'!AP93&lt;&gt;"",ABS('Budgeting Model'!AP93-'Scratch Sheet'!AP93)&lt;0.01),$CG$72,0)</f>
        <v>0.02</v>
      </c>
    </row>
    <row r="168" spans="79:119">
      <c r="CA168" s="5">
        <f>IF(AND('Budgeting Model'!B94&lt;&gt;"",'Budgeting Model'!B94='Scratch Sheet'!B94),$CG$72,0)</f>
        <v>0.02</v>
      </c>
      <c r="CB168" s="5">
        <f ca="1">IF(AND('Budgeting Model'!C94&lt;&gt;"",'Budgeting Model'!C94='Scratch Sheet'!C94),$CG$72,0)</f>
        <v>0.02</v>
      </c>
      <c r="CC168" s="5">
        <f>IF(AND('Budgeting Model'!D94&lt;&gt;"",'Budgeting Model'!D94='Scratch Sheet'!D94),$CG$72,0)</f>
        <v>0.02</v>
      </c>
      <c r="CD168" s="5">
        <f ca="1">IF(OR(AND('Budgeting Model'!E94="",'Budgeting Model'!D94&lt;&gt;"Vacant"),'Budgeting Model'!E94&lt;&gt;'Scratch Sheet'!E94),0,$CG$72)</f>
        <v>0.02</v>
      </c>
      <c r="CE168" s="5">
        <f ca="1">IF(AND('Budgeting Model'!F94&lt;&gt;"",'Budgeting Model'!F94='Scratch Sheet'!F94),$CG$72,0)</f>
        <v>0.02</v>
      </c>
      <c r="CF168" s="5">
        <f ca="1">IF(AND('Budgeting Model'!G94&lt;&gt;"",ABS('Budgeting Model'!G94-'Scratch Sheet'!G94)&lt;0.01),$CG$72,0)</f>
        <v>0.02</v>
      </c>
      <c r="CG168" s="5" t="s">
        <v>550</v>
      </c>
      <c r="CH168" s="5" t="s">
        <v>550</v>
      </c>
      <c r="CI168" s="5">
        <f ca="1">IF(AND('Budgeting Model'!J94&lt;&gt;"",ABS('Budgeting Model'!J94-'Scratch Sheet'!J94)&lt;0.01),$CG$72,0)</f>
        <v>0.02</v>
      </c>
      <c r="CJ168" s="5" t="s">
        <v>550</v>
      </c>
      <c r="CK168" s="5">
        <f ca="1">IF(AND('Budgeting Model'!L94&lt;&gt;"",ABS('Budgeting Model'!L94-'Scratch Sheet'!L94)&lt;0.01),$CG$72,0)</f>
        <v>0.02</v>
      </c>
      <c r="CL168" s="5" t="s">
        <v>550</v>
      </c>
      <c r="CM168" s="5">
        <f ca="1">IF(AND('Budgeting Model'!N94="",'Budgeting Model'!N94&lt;&gt;'Scratch Sheet'!N94),0,$CG$72)</f>
        <v>0.02</v>
      </c>
      <c r="CN168" s="5" t="s">
        <v>550</v>
      </c>
      <c r="CO168" s="5">
        <f ca="1">IF(AND('Budgeting Model'!P94&lt;&gt;"",ABS('Budgeting Model'!P94-'Scratch Sheet'!P94)&lt;0.01),$CG$72,0)</f>
        <v>0.02</v>
      </c>
      <c r="CP168" s="5">
        <f ca="1">IF(AND('Budgeting Model'!Q94&lt;&gt;"",ABS('Budgeting Model'!Q94-'Scratch Sheet'!Q94)&lt;0.01),$CG$72,0)</f>
        <v>0.02</v>
      </c>
      <c r="CQ168" s="5">
        <f ca="1">IF(AND('Budgeting Model'!R94&lt;&gt;"",ABS('Budgeting Model'!R94-'Scratch Sheet'!R94)&lt;0.01),$CG$72,0)</f>
        <v>0.02</v>
      </c>
      <c r="CR168" s="5">
        <f ca="1">IF(AND('Budgeting Model'!S94&lt;&gt;"",ABS('Budgeting Model'!S94-'Scratch Sheet'!S94)&lt;0.01),$CG$72,0)</f>
        <v>0.02</v>
      </c>
      <c r="CS168" s="5">
        <f ca="1">IF(AND('Budgeting Model'!T94&lt;&gt;"",ABS('Budgeting Model'!T94-'Scratch Sheet'!T94)&lt;0.01),$CG$72,0)</f>
        <v>0.02</v>
      </c>
      <c r="CT168" s="5">
        <f ca="1">IF(AND('Budgeting Model'!U94&lt;&gt;"",ABS('Budgeting Model'!U94-'Scratch Sheet'!U94)&lt;0.01),$CG$72,0)</f>
        <v>0.02</v>
      </c>
      <c r="CU168" s="5">
        <f ca="1">IF(AND('Budgeting Model'!V94&lt;&gt;"",ABS('Budgeting Model'!V94-'Scratch Sheet'!V94)&lt;0.01),$CG$72,0)</f>
        <v>0.02</v>
      </c>
      <c r="CV168" s="5" t="s">
        <v>550</v>
      </c>
      <c r="CW168" s="5" t="s">
        <v>550</v>
      </c>
      <c r="CX168" s="5">
        <f ca="1">IF(AND('Budgeting Model'!Y94&lt;&gt;"",ABS('Budgeting Model'!Y94-'Scratch Sheet'!Y94)&lt;0.01),$CG$72,0)</f>
        <v>0.02</v>
      </c>
      <c r="CY168" s="5" t="s">
        <v>550</v>
      </c>
      <c r="CZ168" s="5">
        <f>IF(AND('Budgeting Model'!AA94&lt;&gt;"",ABS('Budgeting Model'!AA94-'Scratch Sheet'!AA94)&lt;0.01),$CG$72,0)</f>
        <v>0.02</v>
      </c>
      <c r="DA168" s="5" t="s">
        <v>550</v>
      </c>
      <c r="DB168" s="5">
        <f ca="1">IF(AND('Budgeting Model'!AC94="",'Budgeting Model'!AC94&lt;&gt;'Scratch Sheet'!AC94),0,$CG$72)</f>
        <v>0.02</v>
      </c>
      <c r="DC168" s="5" t="s">
        <v>550</v>
      </c>
      <c r="DD168" s="5">
        <f ca="1">IF(AND('Budgeting Model'!AE94&lt;&gt;"",ABS('Budgeting Model'!AE94-'Scratch Sheet'!AE94)&lt;0.01),$CG$72,0)</f>
        <v>0.02</v>
      </c>
      <c r="DE168" s="5">
        <f ca="1">IF(AND('Budgeting Model'!AF94&lt;&gt;"",ABS('Budgeting Model'!AF94-'Scratch Sheet'!AF94)&lt;0.01),$CG$72,0)</f>
        <v>0.02</v>
      </c>
      <c r="DF168" s="5">
        <f ca="1">IF(AND('Budgeting Model'!AG94&lt;&gt;"",ABS('Budgeting Model'!AG94-'Scratch Sheet'!AG94)&lt;0.01),$CG$72,0)</f>
        <v>0.02</v>
      </c>
      <c r="DG168" s="5">
        <f ca="1">IF(AND('Budgeting Model'!AH94&lt;&gt;"",ABS('Budgeting Model'!AH94-'Scratch Sheet'!AH94)&lt;0.01),$CG$72,0)</f>
        <v>0.02</v>
      </c>
      <c r="DH168" s="5">
        <f ca="1">IF(AND('Budgeting Model'!AI94&lt;&gt;"",ABS('Budgeting Model'!AI94-'Scratch Sheet'!AI94)&lt;0.01),$CG$72,0)</f>
        <v>0.02</v>
      </c>
      <c r="DI168" s="5">
        <f ca="1">IF(AND('Budgeting Model'!AJ94&lt;&gt;"",ABS('Budgeting Model'!AJ94-'Scratch Sheet'!AJ94)&lt;0.01),$CG$72,0)</f>
        <v>0.02</v>
      </c>
      <c r="DJ168" s="5">
        <f ca="1">IF(AND('Budgeting Model'!AK94&lt;&gt;"",ABS('Budgeting Model'!AK94-'Scratch Sheet'!AK94)&lt;0.01),$CG$72,0)</f>
        <v>0.02</v>
      </c>
      <c r="DK168" s="5" t="s">
        <v>550</v>
      </c>
      <c r="DL168" s="5">
        <f ca="1">IF(AND('Budgeting Model'!AM94&lt;&gt;"",ABS('Budgeting Model'!AM94-'Scratch Sheet'!AM94)&lt;0.01),$CG$72,0)</f>
        <v>0.02</v>
      </c>
      <c r="DM168" s="5">
        <f ca="1">IF(AND('Budgeting Model'!AN94&lt;&gt;"",ABS('Budgeting Model'!AN94-'Scratch Sheet'!AN94)&lt;0.01),$CG$72,0)</f>
        <v>0.02</v>
      </c>
      <c r="DN168" s="5">
        <f ca="1">IF(AND('Budgeting Model'!AO94&lt;&gt;"",ABS('Budgeting Model'!AO94-'Scratch Sheet'!AO94)&lt;0.01),$CG$72,0)</f>
        <v>0.02</v>
      </c>
      <c r="DO168" s="5">
        <f ca="1">IF(AND('Budgeting Model'!AP94&lt;&gt;"",ABS('Budgeting Model'!AP94-'Scratch Sheet'!AP94)&lt;0.01),$CG$72,0)</f>
        <v>0.02</v>
      </c>
    </row>
    <row r="169" spans="79:119">
      <c r="CA169" s="5">
        <f>IF(AND('Budgeting Model'!B95&lt;&gt;"",'Budgeting Model'!B95='Scratch Sheet'!B95),$CG$72,0)</f>
        <v>0.02</v>
      </c>
      <c r="CB169" s="5">
        <f ca="1">IF(AND('Budgeting Model'!C95&lt;&gt;"",'Budgeting Model'!C95='Scratch Sheet'!C95),$CG$72,0)</f>
        <v>0.02</v>
      </c>
      <c r="CC169" s="5">
        <f>IF(AND('Budgeting Model'!D95&lt;&gt;"",'Budgeting Model'!D95='Scratch Sheet'!D95),$CG$72,0)</f>
        <v>0.02</v>
      </c>
      <c r="CD169" s="5">
        <f ca="1">IF(OR(AND('Budgeting Model'!E95="",'Budgeting Model'!D95&lt;&gt;"Vacant"),'Budgeting Model'!E95&lt;&gt;'Scratch Sheet'!E95),0,$CG$72)</f>
        <v>0.02</v>
      </c>
      <c r="CE169" s="5">
        <f ca="1">IF(AND('Budgeting Model'!F95&lt;&gt;"",'Budgeting Model'!F95='Scratch Sheet'!F95),$CG$72,0)</f>
        <v>0.02</v>
      </c>
      <c r="CF169" s="5">
        <f ca="1">IF(AND('Budgeting Model'!G95&lt;&gt;"",ABS('Budgeting Model'!G95-'Scratch Sheet'!G95)&lt;0.01),$CG$72,0)</f>
        <v>0.02</v>
      </c>
      <c r="CG169" s="5" t="s">
        <v>550</v>
      </c>
      <c r="CH169" s="5" t="s">
        <v>550</v>
      </c>
      <c r="CI169" s="5">
        <f ca="1">IF(AND('Budgeting Model'!J95&lt;&gt;"",ABS('Budgeting Model'!J95-'Scratch Sheet'!J95)&lt;0.01),$CG$72,0)</f>
        <v>0.02</v>
      </c>
      <c r="CJ169" s="5" t="s">
        <v>550</v>
      </c>
      <c r="CK169" s="5">
        <f ca="1">IF(AND('Budgeting Model'!L95&lt;&gt;"",ABS('Budgeting Model'!L95-'Scratch Sheet'!L95)&lt;0.01),$CG$72,0)</f>
        <v>0.02</v>
      </c>
      <c r="CL169" s="5" t="s">
        <v>550</v>
      </c>
      <c r="CM169" s="5">
        <f ca="1">IF(AND('Budgeting Model'!N95="",'Budgeting Model'!N95&lt;&gt;'Scratch Sheet'!N95),0,$CG$72)</f>
        <v>0.02</v>
      </c>
      <c r="CN169" s="5" t="s">
        <v>550</v>
      </c>
      <c r="CO169" s="5">
        <f ca="1">IF(AND('Budgeting Model'!P95&lt;&gt;"",ABS('Budgeting Model'!P95-'Scratch Sheet'!P95)&lt;0.01),$CG$72,0)</f>
        <v>0.02</v>
      </c>
      <c r="CP169" s="5">
        <f ca="1">IF(AND('Budgeting Model'!Q95&lt;&gt;"",ABS('Budgeting Model'!Q95-'Scratch Sheet'!Q95)&lt;0.01),$CG$72,0)</f>
        <v>0.02</v>
      </c>
      <c r="CQ169" s="5">
        <f ca="1">IF(AND('Budgeting Model'!R95&lt;&gt;"",ABS('Budgeting Model'!R95-'Scratch Sheet'!R95)&lt;0.01),$CG$72,0)</f>
        <v>0.02</v>
      </c>
      <c r="CR169" s="5">
        <f ca="1">IF(AND('Budgeting Model'!S95&lt;&gt;"",ABS('Budgeting Model'!S95-'Scratch Sheet'!S95)&lt;0.01),$CG$72,0)</f>
        <v>0.02</v>
      </c>
      <c r="CS169" s="5">
        <f ca="1">IF(AND('Budgeting Model'!T95&lt;&gt;"",ABS('Budgeting Model'!T95-'Scratch Sheet'!T95)&lt;0.01),$CG$72,0)</f>
        <v>0.02</v>
      </c>
      <c r="CT169" s="5">
        <f ca="1">IF(AND('Budgeting Model'!U95&lt;&gt;"",ABS('Budgeting Model'!U95-'Scratch Sheet'!U95)&lt;0.01),$CG$72,0)</f>
        <v>0.02</v>
      </c>
      <c r="CU169" s="5">
        <f ca="1">IF(AND('Budgeting Model'!V95&lt;&gt;"",ABS('Budgeting Model'!V95-'Scratch Sheet'!V95)&lt;0.01),$CG$72,0)</f>
        <v>0.02</v>
      </c>
      <c r="CV169" s="5" t="s">
        <v>550</v>
      </c>
      <c r="CW169" s="5" t="s">
        <v>550</v>
      </c>
      <c r="CX169" s="5">
        <f ca="1">IF(AND('Budgeting Model'!Y95&lt;&gt;"",ABS('Budgeting Model'!Y95-'Scratch Sheet'!Y95)&lt;0.01),$CG$72,0)</f>
        <v>0.02</v>
      </c>
      <c r="CY169" s="5" t="s">
        <v>550</v>
      </c>
      <c r="CZ169" s="5">
        <f ca="1">IF(AND('Budgeting Model'!AA95&lt;&gt;"",ABS('Budgeting Model'!AA95-'Scratch Sheet'!AA95)&lt;0.01),$CG$72,0)</f>
        <v>0.02</v>
      </c>
      <c r="DA169" s="5" t="s">
        <v>550</v>
      </c>
      <c r="DB169" s="5">
        <f ca="1">IF(AND('Budgeting Model'!AC95="",'Budgeting Model'!AC95&lt;&gt;'Scratch Sheet'!AC95),0,$CG$72)</f>
        <v>0.02</v>
      </c>
      <c r="DC169" s="5" t="s">
        <v>550</v>
      </c>
      <c r="DD169" s="5">
        <f ca="1">IF(AND('Budgeting Model'!AE95&lt;&gt;"",ABS('Budgeting Model'!AE95-'Scratch Sheet'!AE95)&lt;0.01),$CG$72,0)</f>
        <v>0.02</v>
      </c>
      <c r="DE169" s="5">
        <f ca="1">IF(AND('Budgeting Model'!AF95&lt;&gt;"",ABS('Budgeting Model'!AF95-'Scratch Sheet'!AF95)&lt;0.01),$CG$72,0)</f>
        <v>0.02</v>
      </c>
      <c r="DF169" s="5">
        <f ca="1">IF(AND('Budgeting Model'!AG95&lt;&gt;"",ABS('Budgeting Model'!AG95-'Scratch Sheet'!AG95)&lt;0.01),$CG$72,0)</f>
        <v>0.02</v>
      </c>
      <c r="DG169" s="5">
        <f ca="1">IF(AND('Budgeting Model'!AH95&lt;&gt;"",ABS('Budgeting Model'!AH95-'Scratch Sheet'!AH95)&lt;0.01),$CG$72,0)</f>
        <v>0.02</v>
      </c>
      <c r="DH169" s="5">
        <f ca="1">IF(AND('Budgeting Model'!AI95&lt;&gt;"",ABS('Budgeting Model'!AI95-'Scratch Sheet'!AI95)&lt;0.01),$CG$72,0)</f>
        <v>0.02</v>
      </c>
      <c r="DI169" s="5">
        <f ca="1">IF(AND('Budgeting Model'!AJ95&lt;&gt;"",ABS('Budgeting Model'!AJ95-'Scratch Sheet'!AJ95)&lt;0.01),$CG$72,0)</f>
        <v>0.02</v>
      </c>
      <c r="DJ169" s="5">
        <f ca="1">IF(AND('Budgeting Model'!AK95&lt;&gt;"",ABS('Budgeting Model'!AK95-'Scratch Sheet'!AK95)&lt;0.01),$CG$72,0)</f>
        <v>0.02</v>
      </c>
      <c r="DK169" s="5" t="s">
        <v>550</v>
      </c>
      <c r="DL169" s="5">
        <f ca="1">IF(AND('Budgeting Model'!AM95&lt;&gt;"",ABS('Budgeting Model'!AM95-'Scratch Sheet'!AM95)&lt;0.01),$CG$72,0)</f>
        <v>0.02</v>
      </c>
      <c r="DM169" s="5">
        <f ca="1">IF(AND('Budgeting Model'!AN95&lt;&gt;"",ABS('Budgeting Model'!AN95-'Scratch Sheet'!AN95)&lt;0.01),$CG$72,0)</f>
        <v>0.02</v>
      </c>
      <c r="DN169" s="5">
        <f ca="1">IF(AND('Budgeting Model'!AO95&lt;&gt;"",ABS('Budgeting Model'!AO95-'Scratch Sheet'!AO95)&lt;0.01),$CG$72,0)</f>
        <v>0.02</v>
      </c>
      <c r="DO169" s="5">
        <f ca="1">IF(AND('Budgeting Model'!AP95&lt;&gt;"",ABS('Budgeting Model'!AP95-'Scratch Sheet'!AP95)&lt;0.01),$CG$72,0)</f>
        <v>0.02</v>
      </c>
    </row>
    <row r="170" spans="79:119">
      <c r="CA170" s="5">
        <f>IF(AND('Budgeting Model'!B96&lt;&gt;"",'Budgeting Model'!B96='Scratch Sheet'!B96),$CG$72,0)</f>
        <v>0.02</v>
      </c>
      <c r="CB170" s="5">
        <f ca="1">IF(AND('Budgeting Model'!C96&lt;&gt;"",'Budgeting Model'!C96='Scratch Sheet'!C96),$CG$72,0)</f>
        <v>0.02</v>
      </c>
      <c r="CC170" s="5">
        <f>IF(AND('Budgeting Model'!D96&lt;&gt;"",'Budgeting Model'!D96='Scratch Sheet'!D96),$CG$72,0)</f>
        <v>0.02</v>
      </c>
      <c r="CD170" s="5">
        <f ca="1">IF(OR(AND('Budgeting Model'!E96="",'Budgeting Model'!D96&lt;&gt;"Vacant"),'Budgeting Model'!E96&lt;&gt;'Scratch Sheet'!E96),0,$CG$72)</f>
        <v>0.02</v>
      </c>
      <c r="CE170" s="5">
        <f ca="1">IF(AND('Budgeting Model'!F96&lt;&gt;"",'Budgeting Model'!F96='Scratch Sheet'!F96),$CG$72,0)</f>
        <v>0.02</v>
      </c>
      <c r="CF170" s="5">
        <f ca="1">IF(AND('Budgeting Model'!G96&lt;&gt;"",ABS('Budgeting Model'!G96-'Scratch Sheet'!G96)&lt;0.01),$CG$72,0)</f>
        <v>0.02</v>
      </c>
      <c r="CG170" s="5" t="s">
        <v>550</v>
      </c>
      <c r="CH170" s="5" t="s">
        <v>550</v>
      </c>
      <c r="CI170" s="5">
        <f ca="1">IF(AND('Budgeting Model'!J96&lt;&gt;"",ABS('Budgeting Model'!J96-'Scratch Sheet'!J96)&lt;0.01),$CG$72,0)</f>
        <v>0.02</v>
      </c>
      <c r="CJ170" s="5" t="s">
        <v>550</v>
      </c>
      <c r="CK170" s="5">
        <f ca="1">IF(AND('Budgeting Model'!L96&lt;&gt;"",ABS('Budgeting Model'!L96-'Scratch Sheet'!L96)&lt;0.01),$CG$72,0)</f>
        <v>0.02</v>
      </c>
      <c r="CL170" s="5" t="s">
        <v>550</v>
      </c>
      <c r="CM170" s="5">
        <f ca="1">IF(AND('Budgeting Model'!N96="",'Budgeting Model'!N96&lt;&gt;'Scratch Sheet'!N96),0,$CG$72)</f>
        <v>0.02</v>
      </c>
      <c r="CN170" s="5" t="s">
        <v>550</v>
      </c>
      <c r="CO170" s="5">
        <f ca="1">IF(AND('Budgeting Model'!P96&lt;&gt;"",ABS('Budgeting Model'!P96-'Scratch Sheet'!P96)&lt;0.01),$CG$72,0)</f>
        <v>0.02</v>
      </c>
      <c r="CP170" s="5">
        <f ca="1">IF(AND('Budgeting Model'!Q96&lt;&gt;"",ABS('Budgeting Model'!Q96-'Scratch Sheet'!Q96)&lt;0.01),$CG$72,0)</f>
        <v>0.02</v>
      </c>
      <c r="CQ170" s="5">
        <f ca="1">IF(AND('Budgeting Model'!R96&lt;&gt;"",ABS('Budgeting Model'!R96-'Scratch Sheet'!R96)&lt;0.01),$CG$72,0)</f>
        <v>0.02</v>
      </c>
      <c r="CR170" s="5">
        <f ca="1">IF(AND('Budgeting Model'!S96&lt;&gt;"",ABS('Budgeting Model'!S96-'Scratch Sheet'!S96)&lt;0.01),$CG$72,0)</f>
        <v>0.02</v>
      </c>
      <c r="CS170" s="5">
        <f ca="1">IF(AND('Budgeting Model'!T96&lt;&gt;"",ABS('Budgeting Model'!T96-'Scratch Sheet'!T96)&lt;0.01),$CG$72,0)</f>
        <v>0.02</v>
      </c>
      <c r="CT170" s="5">
        <f ca="1">IF(AND('Budgeting Model'!U96&lt;&gt;"",ABS('Budgeting Model'!U96-'Scratch Sheet'!U96)&lt;0.01),$CG$72,0)</f>
        <v>0.02</v>
      </c>
      <c r="CU170" s="5">
        <f ca="1">IF(AND('Budgeting Model'!V96&lt;&gt;"",ABS('Budgeting Model'!V96-'Scratch Sheet'!V96)&lt;0.01),$CG$72,0)</f>
        <v>0.02</v>
      </c>
      <c r="CV170" s="5" t="s">
        <v>550</v>
      </c>
      <c r="CW170" s="5" t="s">
        <v>550</v>
      </c>
      <c r="CX170" s="5">
        <f ca="1">IF(AND('Budgeting Model'!Y96&lt;&gt;"",ABS('Budgeting Model'!Y96-'Scratch Sheet'!Y96)&lt;0.01),$CG$72,0)</f>
        <v>0.02</v>
      </c>
      <c r="CY170" s="5" t="s">
        <v>550</v>
      </c>
      <c r="CZ170" s="5">
        <f ca="1">IF(AND('Budgeting Model'!AA96&lt;&gt;"",ABS('Budgeting Model'!AA96-'Scratch Sheet'!AA96)&lt;0.01),$CG$72,0)</f>
        <v>0.02</v>
      </c>
      <c r="DA170" s="5" t="s">
        <v>550</v>
      </c>
      <c r="DB170" s="5">
        <f ca="1">IF(AND('Budgeting Model'!AC96="",'Budgeting Model'!AC96&lt;&gt;'Scratch Sheet'!AC96),0,$CG$72)</f>
        <v>0.02</v>
      </c>
      <c r="DC170" s="5" t="s">
        <v>550</v>
      </c>
      <c r="DD170" s="5">
        <f ca="1">IF(AND('Budgeting Model'!AE96&lt;&gt;"",ABS('Budgeting Model'!AE96-'Scratch Sheet'!AE96)&lt;0.01),$CG$72,0)</f>
        <v>0.02</v>
      </c>
      <c r="DE170" s="5">
        <f ca="1">IF(AND('Budgeting Model'!AF96&lt;&gt;"",ABS('Budgeting Model'!AF96-'Scratch Sheet'!AF96)&lt;0.01),$CG$72,0)</f>
        <v>0.02</v>
      </c>
      <c r="DF170" s="5">
        <f ca="1">IF(AND('Budgeting Model'!AG96&lt;&gt;"",ABS('Budgeting Model'!AG96-'Scratch Sheet'!AG96)&lt;0.01),$CG$72,0)</f>
        <v>0.02</v>
      </c>
      <c r="DG170" s="5">
        <f ca="1">IF(AND('Budgeting Model'!AH96&lt;&gt;"",ABS('Budgeting Model'!AH96-'Scratch Sheet'!AH96)&lt;0.01),$CG$72,0)</f>
        <v>0.02</v>
      </c>
      <c r="DH170" s="5">
        <f ca="1">IF(AND('Budgeting Model'!AI96&lt;&gt;"",ABS('Budgeting Model'!AI96-'Scratch Sheet'!AI96)&lt;0.01),$CG$72,0)</f>
        <v>0.02</v>
      </c>
      <c r="DI170" s="5">
        <f ca="1">IF(AND('Budgeting Model'!AJ96&lt;&gt;"",ABS('Budgeting Model'!AJ96-'Scratch Sheet'!AJ96)&lt;0.01),$CG$72,0)</f>
        <v>0.02</v>
      </c>
      <c r="DJ170" s="5">
        <f ca="1">IF(AND('Budgeting Model'!AK96&lt;&gt;"",ABS('Budgeting Model'!AK96-'Scratch Sheet'!AK96)&lt;0.01),$CG$72,0)</f>
        <v>0.02</v>
      </c>
      <c r="DK170" s="5" t="s">
        <v>550</v>
      </c>
      <c r="DL170" s="5">
        <f ca="1">IF(AND('Budgeting Model'!AM96&lt;&gt;"",ABS('Budgeting Model'!AM96-'Scratch Sheet'!AM96)&lt;0.01),$CG$72,0)</f>
        <v>0.02</v>
      </c>
      <c r="DM170" s="5">
        <f ca="1">IF(AND('Budgeting Model'!AN96&lt;&gt;"",ABS('Budgeting Model'!AN96-'Scratch Sheet'!AN96)&lt;0.01),$CG$72,0)</f>
        <v>0.02</v>
      </c>
      <c r="DN170" s="5">
        <f ca="1">IF(AND('Budgeting Model'!AO96&lt;&gt;"",ABS('Budgeting Model'!AO96-'Scratch Sheet'!AO96)&lt;0.01),$CG$72,0)</f>
        <v>0.02</v>
      </c>
      <c r="DO170" s="5">
        <f ca="1">IF(AND('Budgeting Model'!AP96&lt;&gt;"",ABS('Budgeting Model'!AP96-'Scratch Sheet'!AP96)&lt;0.01),$CG$72,0)</f>
        <v>0.02</v>
      </c>
    </row>
    <row r="171" spans="79:119">
      <c r="CA171" s="5">
        <f>IF(AND('Budgeting Model'!B97&lt;&gt;"",'Budgeting Model'!B97='Scratch Sheet'!B97),$CG$72,0)</f>
        <v>0.02</v>
      </c>
      <c r="CB171" s="5">
        <f ca="1">IF(AND('Budgeting Model'!C97&lt;&gt;"",'Budgeting Model'!C97='Scratch Sheet'!C97),$CG$72,0)</f>
        <v>0.02</v>
      </c>
      <c r="CC171" s="5">
        <f>IF(AND('Budgeting Model'!D97&lt;&gt;"",'Budgeting Model'!D97='Scratch Sheet'!D97),$CG$72,0)</f>
        <v>0.02</v>
      </c>
      <c r="CD171" s="5">
        <f ca="1">IF(OR(AND('Budgeting Model'!E97="",'Budgeting Model'!D97&lt;&gt;"Vacant"),'Budgeting Model'!E97&lt;&gt;'Scratch Sheet'!E97),0,$CG$72)</f>
        <v>0.02</v>
      </c>
      <c r="CE171" s="5">
        <f ca="1">IF(AND('Budgeting Model'!F97&lt;&gt;"",'Budgeting Model'!F97='Scratch Sheet'!F97),$CG$72,0)</f>
        <v>0.02</v>
      </c>
      <c r="CF171" s="5">
        <f ca="1">IF(AND('Budgeting Model'!G97&lt;&gt;"",ABS('Budgeting Model'!G97-'Scratch Sheet'!G97)&lt;0.01),$CG$72,0)</f>
        <v>0.02</v>
      </c>
      <c r="CG171" s="5" t="s">
        <v>550</v>
      </c>
      <c r="CH171" s="5" t="s">
        <v>550</v>
      </c>
      <c r="CI171" s="5">
        <f ca="1">IF(AND('Budgeting Model'!J97&lt;&gt;"",ABS('Budgeting Model'!J97-'Scratch Sheet'!J97)&lt;0.01),$CG$72,0)</f>
        <v>0.02</v>
      </c>
      <c r="CJ171" s="5" t="s">
        <v>550</v>
      </c>
      <c r="CK171" s="5">
        <f ca="1">IF(AND('Budgeting Model'!L97&lt;&gt;"",ABS('Budgeting Model'!L97-'Scratch Sheet'!L97)&lt;0.01),$CG$72,0)</f>
        <v>0.02</v>
      </c>
      <c r="CL171" s="5" t="s">
        <v>550</v>
      </c>
      <c r="CM171" s="5">
        <f ca="1">IF(AND('Budgeting Model'!N97="",'Budgeting Model'!N97&lt;&gt;'Scratch Sheet'!N97),0,$CG$72)</f>
        <v>0.02</v>
      </c>
      <c r="CN171" s="5" t="s">
        <v>550</v>
      </c>
      <c r="CO171" s="5">
        <f ca="1">IF(AND('Budgeting Model'!P97&lt;&gt;"",ABS('Budgeting Model'!P97-'Scratch Sheet'!P97)&lt;0.01),$CG$72,0)</f>
        <v>0.02</v>
      </c>
      <c r="CP171" s="5">
        <f ca="1">IF(AND('Budgeting Model'!Q97&lt;&gt;"",ABS('Budgeting Model'!Q97-'Scratch Sheet'!Q97)&lt;0.01),$CG$72,0)</f>
        <v>0.02</v>
      </c>
      <c r="CQ171" s="5">
        <f ca="1">IF(AND('Budgeting Model'!R97&lt;&gt;"",ABS('Budgeting Model'!R97-'Scratch Sheet'!R97)&lt;0.01),$CG$72,0)</f>
        <v>0.02</v>
      </c>
      <c r="CR171" s="5">
        <f ca="1">IF(AND('Budgeting Model'!S97&lt;&gt;"",ABS('Budgeting Model'!S97-'Scratch Sheet'!S97)&lt;0.01),$CG$72,0)</f>
        <v>0.02</v>
      </c>
      <c r="CS171" s="5">
        <f ca="1">IF(AND('Budgeting Model'!T97&lt;&gt;"",ABS('Budgeting Model'!T97-'Scratch Sheet'!T97)&lt;0.01),$CG$72,0)</f>
        <v>0.02</v>
      </c>
      <c r="CT171" s="5">
        <f ca="1">IF(AND('Budgeting Model'!U97&lt;&gt;"",ABS('Budgeting Model'!U97-'Scratch Sheet'!U97)&lt;0.01),$CG$72,0)</f>
        <v>0.02</v>
      </c>
      <c r="CU171" s="5">
        <f ca="1">IF(AND('Budgeting Model'!V97&lt;&gt;"",ABS('Budgeting Model'!V97-'Scratch Sheet'!V97)&lt;0.01),$CG$72,0)</f>
        <v>0.02</v>
      </c>
      <c r="CV171" s="5" t="s">
        <v>550</v>
      </c>
      <c r="CW171" s="5" t="s">
        <v>550</v>
      </c>
      <c r="CX171" s="5">
        <f ca="1">IF(AND('Budgeting Model'!Y97&lt;&gt;"",ABS('Budgeting Model'!Y97-'Scratch Sheet'!Y97)&lt;0.01),$CG$72,0)</f>
        <v>0.02</v>
      </c>
      <c r="CY171" s="5" t="s">
        <v>550</v>
      </c>
      <c r="CZ171" s="5">
        <f ca="1">IF(AND('Budgeting Model'!AA97&lt;&gt;"",ABS('Budgeting Model'!AA97-'Scratch Sheet'!AA97)&lt;0.01),$CG$72,0)</f>
        <v>0.02</v>
      </c>
      <c r="DA171" s="5" t="s">
        <v>550</v>
      </c>
      <c r="DB171" s="5">
        <f ca="1">IF(AND('Budgeting Model'!AC97="",'Budgeting Model'!AC97&lt;&gt;'Scratch Sheet'!AC97),0,$CG$72)</f>
        <v>0.02</v>
      </c>
      <c r="DC171" s="5" t="s">
        <v>550</v>
      </c>
      <c r="DD171" s="5">
        <f ca="1">IF(AND('Budgeting Model'!AE97&lt;&gt;"",ABS('Budgeting Model'!AE97-'Scratch Sheet'!AE97)&lt;0.01),$CG$72,0)</f>
        <v>0.02</v>
      </c>
      <c r="DE171" s="5">
        <f ca="1">IF(AND('Budgeting Model'!AF97&lt;&gt;"",ABS('Budgeting Model'!AF97-'Scratch Sheet'!AF97)&lt;0.01),$CG$72,0)</f>
        <v>0.02</v>
      </c>
      <c r="DF171" s="5">
        <f ca="1">IF(AND('Budgeting Model'!AG97&lt;&gt;"",ABS('Budgeting Model'!AG97-'Scratch Sheet'!AG97)&lt;0.01),$CG$72,0)</f>
        <v>0.02</v>
      </c>
      <c r="DG171" s="5">
        <f ca="1">IF(AND('Budgeting Model'!AH97&lt;&gt;"",ABS('Budgeting Model'!AH97-'Scratch Sheet'!AH97)&lt;0.01),$CG$72,0)</f>
        <v>0.02</v>
      </c>
      <c r="DH171" s="5">
        <f ca="1">IF(AND('Budgeting Model'!AI97&lt;&gt;"",ABS('Budgeting Model'!AI97-'Scratch Sheet'!AI97)&lt;0.01),$CG$72,0)</f>
        <v>0.02</v>
      </c>
      <c r="DI171" s="5">
        <f ca="1">IF(AND('Budgeting Model'!AJ97&lt;&gt;"",ABS('Budgeting Model'!AJ97-'Scratch Sheet'!AJ97)&lt;0.01),$CG$72,0)</f>
        <v>0.02</v>
      </c>
      <c r="DJ171" s="5">
        <f ca="1">IF(AND('Budgeting Model'!AK97&lt;&gt;"",ABS('Budgeting Model'!AK97-'Scratch Sheet'!AK97)&lt;0.01),$CG$72,0)</f>
        <v>0.02</v>
      </c>
      <c r="DK171" s="5" t="s">
        <v>550</v>
      </c>
      <c r="DL171" s="5">
        <f ca="1">IF(AND('Budgeting Model'!AM97&lt;&gt;"",ABS('Budgeting Model'!AM97-'Scratch Sheet'!AM97)&lt;0.01),$CG$72,0)</f>
        <v>0.02</v>
      </c>
      <c r="DM171" s="5">
        <f ca="1">IF(AND('Budgeting Model'!AN97&lt;&gt;"",ABS('Budgeting Model'!AN97-'Scratch Sheet'!AN97)&lt;0.01),$CG$72,0)</f>
        <v>0.02</v>
      </c>
      <c r="DN171" s="5">
        <f ca="1">IF(AND('Budgeting Model'!AO97&lt;&gt;"",ABS('Budgeting Model'!AO97-'Scratch Sheet'!AO97)&lt;0.01),$CG$72,0)</f>
        <v>0.02</v>
      </c>
      <c r="DO171" s="5">
        <f ca="1">IF(AND('Budgeting Model'!AP97&lt;&gt;"",ABS('Budgeting Model'!AP97-'Scratch Sheet'!AP97)&lt;0.01),$CG$72,0)</f>
        <v>0.02</v>
      </c>
    </row>
    <row r="172" spans="79:119">
      <c r="CA172" s="5">
        <f>IF(AND('Budgeting Model'!B98&lt;&gt;"",'Budgeting Model'!B98='Scratch Sheet'!B98),$CG$72,0)</f>
        <v>0.02</v>
      </c>
      <c r="CB172" s="5">
        <f ca="1">IF(AND('Budgeting Model'!C98&lt;&gt;"",'Budgeting Model'!C98='Scratch Sheet'!C98),$CG$72,0)</f>
        <v>0.02</v>
      </c>
      <c r="CC172" s="5">
        <f>IF(AND('Budgeting Model'!D98&lt;&gt;"",'Budgeting Model'!D98='Scratch Sheet'!D98),$CG$72,0)</f>
        <v>0.02</v>
      </c>
      <c r="CD172" s="5">
        <f ca="1">IF(OR(AND('Budgeting Model'!E98="",'Budgeting Model'!D98&lt;&gt;"Vacant"),'Budgeting Model'!E98&lt;&gt;'Scratch Sheet'!E98),0,$CG$72)</f>
        <v>0.02</v>
      </c>
      <c r="CE172" s="5">
        <f ca="1">IF(AND('Budgeting Model'!F98&lt;&gt;"",'Budgeting Model'!F98='Scratch Sheet'!F98),$CG$72,0)</f>
        <v>0.02</v>
      </c>
      <c r="CF172" s="5">
        <f ca="1">IF(AND('Budgeting Model'!G98&lt;&gt;"",ABS('Budgeting Model'!G98-'Scratch Sheet'!G98)&lt;0.01),$CG$72,0)</f>
        <v>0.02</v>
      </c>
      <c r="CG172" s="5" t="s">
        <v>550</v>
      </c>
      <c r="CH172" s="5" t="s">
        <v>550</v>
      </c>
      <c r="CI172" s="5">
        <f ca="1">IF(AND('Budgeting Model'!J98&lt;&gt;"",ABS('Budgeting Model'!J98-'Scratch Sheet'!J98)&lt;0.01),$CG$72,0)</f>
        <v>0.02</v>
      </c>
      <c r="CJ172" s="5" t="s">
        <v>550</v>
      </c>
      <c r="CK172" s="5">
        <f ca="1">IF(AND('Budgeting Model'!L98&lt;&gt;"",ABS('Budgeting Model'!L98-'Scratch Sheet'!L98)&lt;0.01),$CG$72,0)</f>
        <v>0.02</v>
      </c>
      <c r="CL172" s="5" t="s">
        <v>550</v>
      </c>
      <c r="CM172" s="5">
        <f ca="1">IF(AND('Budgeting Model'!N98="",'Budgeting Model'!N98&lt;&gt;'Scratch Sheet'!N98),0,$CG$72)</f>
        <v>0.02</v>
      </c>
      <c r="CN172" s="5" t="s">
        <v>550</v>
      </c>
      <c r="CO172" s="5">
        <f ca="1">IF(AND('Budgeting Model'!P98&lt;&gt;"",ABS('Budgeting Model'!P98-'Scratch Sheet'!P98)&lt;0.01),$CG$72,0)</f>
        <v>0.02</v>
      </c>
      <c r="CP172" s="5">
        <f ca="1">IF(AND('Budgeting Model'!Q98&lt;&gt;"",ABS('Budgeting Model'!Q98-'Scratch Sheet'!Q98)&lt;0.01),$CG$72,0)</f>
        <v>0.02</v>
      </c>
      <c r="CQ172" s="5">
        <f ca="1">IF(AND('Budgeting Model'!R98&lt;&gt;"",ABS('Budgeting Model'!R98-'Scratch Sheet'!R98)&lt;0.01),$CG$72,0)</f>
        <v>0.02</v>
      </c>
      <c r="CR172" s="5">
        <f ca="1">IF(AND('Budgeting Model'!S98&lt;&gt;"",ABS('Budgeting Model'!S98-'Scratch Sheet'!S98)&lt;0.01),$CG$72,0)</f>
        <v>0.02</v>
      </c>
      <c r="CS172" s="5">
        <f ca="1">IF(AND('Budgeting Model'!T98&lt;&gt;"",ABS('Budgeting Model'!T98-'Scratch Sheet'!T98)&lt;0.01),$CG$72,0)</f>
        <v>0.02</v>
      </c>
      <c r="CT172" s="5">
        <f ca="1">IF(AND('Budgeting Model'!U98&lt;&gt;"",ABS('Budgeting Model'!U98-'Scratch Sheet'!U98)&lt;0.01),$CG$72,0)</f>
        <v>0.02</v>
      </c>
      <c r="CU172" s="5">
        <f ca="1">IF(AND('Budgeting Model'!V98&lt;&gt;"",ABS('Budgeting Model'!V98-'Scratch Sheet'!V98)&lt;0.01),$CG$72,0)</f>
        <v>0.02</v>
      </c>
      <c r="CV172" s="5" t="s">
        <v>550</v>
      </c>
      <c r="CW172" s="5" t="s">
        <v>550</v>
      </c>
      <c r="CX172" s="5">
        <f ca="1">IF(AND('Budgeting Model'!Y98&lt;&gt;"",ABS('Budgeting Model'!Y98-'Scratch Sheet'!Y98)&lt;0.01),$CG$72,0)</f>
        <v>0.02</v>
      </c>
      <c r="CY172" s="5" t="s">
        <v>550</v>
      </c>
      <c r="CZ172" s="5">
        <f ca="1">IF(AND('Budgeting Model'!AA98&lt;&gt;"",ABS('Budgeting Model'!AA98-'Scratch Sheet'!AA98)&lt;0.01),$CG$72,0)</f>
        <v>0.02</v>
      </c>
      <c r="DA172" s="5" t="s">
        <v>550</v>
      </c>
      <c r="DB172" s="5">
        <f ca="1">IF(AND('Budgeting Model'!AC98="",'Budgeting Model'!AC98&lt;&gt;'Scratch Sheet'!AC98),0,$CG$72)</f>
        <v>0.02</v>
      </c>
      <c r="DC172" s="5" t="s">
        <v>550</v>
      </c>
      <c r="DD172" s="5">
        <f ca="1">IF(AND('Budgeting Model'!AE98&lt;&gt;"",ABS('Budgeting Model'!AE98-'Scratch Sheet'!AE98)&lt;0.01),$CG$72,0)</f>
        <v>0.02</v>
      </c>
      <c r="DE172" s="5">
        <f ca="1">IF(AND('Budgeting Model'!AF98&lt;&gt;"",ABS('Budgeting Model'!AF98-'Scratch Sheet'!AF98)&lt;0.01),$CG$72,0)</f>
        <v>0.02</v>
      </c>
      <c r="DF172" s="5">
        <f ca="1">IF(AND('Budgeting Model'!AG98&lt;&gt;"",ABS('Budgeting Model'!AG98-'Scratch Sheet'!AG98)&lt;0.01),$CG$72,0)</f>
        <v>0.02</v>
      </c>
      <c r="DG172" s="5">
        <f ca="1">IF(AND('Budgeting Model'!AH98&lt;&gt;"",ABS('Budgeting Model'!AH98-'Scratch Sheet'!AH98)&lt;0.01),$CG$72,0)</f>
        <v>0.02</v>
      </c>
      <c r="DH172" s="5">
        <f ca="1">IF(AND('Budgeting Model'!AI98&lt;&gt;"",ABS('Budgeting Model'!AI98-'Scratch Sheet'!AI98)&lt;0.01),$CG$72,0)</f>
        <v>0.02</v>
      </c>
      <c r="DI172" s="5">
        <f ca="1">IF(AND('Budgeting Model'!AJ98&lt;&gt;"",ABS('Budgeting Model'!AJ98-'Scratch Sheet'!AJ98)&lt;0.01),$CG$72,0)</f>
        <v>0.02</v>
      </c>
      <c r="DJ172" s="5">
        <f ca="1">IF(AND('Budgeting Model'!AK98&lt;&gt;"",ABS('Budgeting Model'!AK98-'Scratch Sheet'!AK98)&lt;0.01),$CG$72,0)</f>
        <v>0.02</v>
      </c>
      <c r="DK172" s="5" t="s">
        <v>550</v>
      </c>
      <c r="DL172" s="5">
        <f ca="1">IF(AND('Budgeting Model'!AM98&lt;&gt;"",ABS('Budgeting Model'!AM98-'Scratch Sheet'!AM98)&lt;0.01),$CG$72,0)</f>
        <v>0.02</v>
      </c>
      <c r="DM172" s="5">
        <f ca="1">IF(AND('Budgeting Model'!AN98&lt;&gt;"",ABS('Budgeting Model'!AN98-'Scratch Sheet'!AN98)&lt;0.01),$CG$72,0)</f>
        <v>0.02</v>
      </c>
      <c r="DN172" s="5">
        <f ca="1">IF(AND('Budgeting Model'!AO98&lt;&gt;"",ABS('Budgeting Model'!AO98-'Scratch Sheet'!AO98)&lt;0.01),$CG$72,0)</f>
        <v>0.02</v>
      </c>
      <c r="DO172" s="5">
        <f ca="1">IF(AND('Budgeting Model'!AP98&lt;&gt;"",ABS('Budgeting Model'!AP98-'Scratch Sheet'!AP98)&lt;0.01),$CG$72,0)</f>
        <v>0.02</v>
      </c>
    </row>
    <row r="173" spans="79:119">
      <c r="CA173" s="5">
        <f>IF(AND('Budgeting Model'!B99&lt;&gt;"",'Budgeting Model'!B99='Scratch Sheet'!B99),$CG$72,0)</f>
        <v>0.02</v>
      </c>
      <c r="CB173" s="5">
        <f ca="1">IF(AND('Budgeting Model'!C99&lt;&gt;"",'Budgeting Model'!C99='Scratch Sheet'!C99),$CG$72,0)</f>
        <v>0.02</v>
      </c>
      <c r="CC173" s="5">
        <f>IF(AND('Budgeting Model'!D99&lt;&gt;"",'Budgeting Model'!D99='Scratch Sheet'!D99),$CG$72,0)</f>
        <v>0.02</v>
      </c>
      <c r="CD173" s="5">
        <f ca="1">IF(OR(AND('Budgeting Model'!E99="",'Budgeting Model'!D99&lt;&gt;"Vacant"),'Budgeting Model'!E99&lt;&gt;'Scratch Sheet'!E99),0,$CG$72)</f>
        <v>0.02</v>
      </c>
      <c r="CE173" s="5">
        <f ca="1">IF(AND('Budgeting Model'!F99&lt;&gt;"",'Budgeting Model'!F99='Scratch Sheet'!F99),$CG$72,0)</f>
        <v>0.02</v>
      </c>
      <c r="CF173" s="5">
        <f ca="1">IF(AND('Budgeting Model'!G99&lt;&gt;"",ABS('Budgeting Model'!G99-'Scratch Sheet'!G99)&lt;0.01),$CG$72,0)</f>
        <v>0.02</v>
      </c>
      <c r="CG173" s="5" t="s">
        <v>550</v>
      </c>
      <c r="CH173" s="5" t="s">
        <v>550</v>
      </c>
      <c r="CI173" s="5">
        <f ca="1">IF(AND('Budgeting Model'!J99&lt;&gt;"",ABS('Budgeting Model'!J99-'Scratch Sheet'!J99)&lt;0.01),$CG$72,0)</f>
        <v>0.02</v>
      </c>
      <c r="CJ173" s="5" t="s">
        <v>550</v>
      </c>
      <c r="CK173" s="5">
        <f ca="1">IF(AND('Budgeting Model'!L99&lt;&gt;"",ABS('Budgeting Model'!L99-'Scratch Sheet'!L99)&lt;0.01),$CG$72,0)</f>
        <v>0.02</v>
      </c>
      <c r="CL173" s="5" t="s">
        <v>550</v>
      </c>
      <c r="CM173" s="5">
        <f ca="1">IF(AND('Budgeting Model'!N99="",'Budgeting Model'!N99&lt;&gt;'Scratch Sheet'!N99),0,$CG$72)</f>
        <v>0.02</v>
      </c>
      <c r="CN173" s="5" t="s">
        <v>550</v>
      </c>
      <c r="CO173" s="5">
        <f ca="1">IF(AND('Budgeting Model'!P99&lt;&gt;"",ABS('Budgeting Model'!P99-'Scratch Sheet'!P99)&lt;0.01),$CG$72,0)</f>
        <v>0.02</v>
      </c>
      <c r="CP173" s="5">
        <f ca="1">IF(AND('Budgeting Model'!Q99&lt;&gt;"",ABS('Budgeting Model'!Q99-'Scratch Sheet'!Q99)&lt;0.01),$CG$72,0)</f>
        <v>0.02</v>
      </c>
      <c r="CQ173" s="5">
        <f ca="1">IF(AND('Budgeting Model'!R99&lt;&gt;"",ABS('Budgeting Model'!R99-'Scratch Sheet'!R99)&lt;0.01),$CG$72,0)</f>
        <v>0.02</v>
      </c>
      <c r="CR173" s="5">
        <f ca="1">IF(AND('Budgeting Model'!S99&lt;&gt;"",ABS('Budgeting Model'!S99-'Scratch Sheet'!S99)&lt;0.01),$CG$72,0)</f>
        <v>0.02</v>
      </c>
      <c r="CS173" s="5">
        <f ca="1">IF(AND('Budgeting Model'!T99&lt;&gt;"",ABS('Budgeting Model'!T99-'Scratch Sheet'!T99)&lt;0.01),$CG$72,0)</f>
        <v>0.02</v>
      </c>
      <c r="CT173" s="5">
        <f ca="1">IF(AND('Budgeting Model'!U99&lt;&gt;"",ABS('Budgeting Model'!U99-'Scratch Sheet'!U99)&lt;0.01),$CG$72,0)</f>
        <v>0.02</v>
      </c>
      <c r="CU173" s="5">
        <f ca="1">IF(AND('Budgeting Model'!V99&lt;&gt;"",ABS('Budgeting Model'!V99-'Scratch Sheet'!V99)&lt;0.01),$CG$72,0)</f>
        <v>0.02</v>
      </c>
      <c r="CV173" s="5" t="s">
        <v>550</v>
      </c>
      <c r="CW173" s="5" t="s">
        <v>550</v>
      </c>
      <c r="CX173" s="5">
        <f ca="1">IF(AND('Budgeting Model'!Y99&lt;&gt;"",ABS('Budgeting Model'!Y99-'Scratch Sheet'!Y99)&lt;0.01),$CG$72,0)</f>
        <v>0.02</v>
      </c>
      <c r="CY173" s="5" t="s">
        <v>550</v>
      </c>
      <c r="CZ173" s="5">
        <f ca="1">IF(AND('Budgeting Model'!AA99&lt;&gt;"",ABS('Budgeting Model'!AA99-'Scratch Sheet'!AA99)&lt;0.01),$CG$72,0)</f>
        <v>0.02</v>
      </c>
      <c r="DA173" s="5" t="s">
        <v>550</v>
      </c>
      <c r="DB173" s="5">
        <f ca="1">IF(AND('Budgeting Model'!AC99="",'Budgeting Model'!AC99&lt;&gt;'Scratch Sheet'!AC99),0,$CG$72)</f>
        <v>0.02</v>
      </c>
      <c r="DC173" s="5" t="s">
        <v>550</v>
      </c>
      <c r="DD173" s="5">
        <f ca="1">IF(AND('Budgeting Model'!AE99&lt;&gt;"",ABS('Budgeting Model'!AE99-'Scratch Sheet'!AE99)&lt;0.01),$CG$72,0)</f>
        <v>0.02</v>
      </c>
      <c r="DE173" s="5">
        <f ca="1">IF(AND('Budgeting Model'!AF99&lt;&gt;"",ABS('Budgeting Model'!AF99-'Scratch Sheet'!AF99)&lt;0.01),$CG$72,0)</f>
        <v>0.02</v>
      </c>
      <c r="DF173" s="5">
        <f ca="1">IF(AND('Budgeting Model'!AG99&lt;&gt;"",ABS('Budgeting Model'!AG99-'Scratch Sheet'!AG99)&lt;0.01),$CG$72,0)</f>
        <v>0.02</v>
      </c>
      <c r="DG173" s="5">
        <f ca="1">IF(AND('Budgeting Model'!AH99&lt;&gt;"",ABS('Budgeting Model'!AH99-'Scratch Sheet'!AH99)&lt;0.01),$CG$72,0)</f>
        <v>0.02</v>
      </c>
      <c r="DH173" s="5">
        <f ca="1">IF(AND('Budgeting Model'!AI99&lt;&gt;"",ABS('Budgeting Model'!AI99-'Scratch Sheet'!AI99)&lt;0.01),$CG$72,0)</f>
        <v>0.02</v>
      </c>
      <c r="DI173" s="5">
        <f ca="1">IF(AND('Budgeting Model'!AJ99&lt;&gt;"",ABS('Budgeting Model'!AJ99-'Scratch Sheet'!AJ99)&lt;0.01),$CG$72,0)</f>
        <v>0.02</v>
      </c>
      <c r="DJ173" s="5">
        <f ca="1">IF(AND('Budgeting Model'!AK99&lt;&gt;"",ABS('Budgeting Model'!AK99-'Scratch Sheet'!AK99)&lt;0.01),$CG$72,0)</f>
        <v>0.02</v>
      </c>
      <c r="DK173" s="5" t="s">
        <v>550</v>
      </c>
      <c r="DL173" s="5">
        <f ca="1">IF(AND('Budgeting Model'!AM99&lt;&gt;"",ABS('Budgeting Model'!AM99-'Scratch Sheet'!AM99)&lt;0.01),$CG$72,0)</f>
        <v>0.02</v>
      </c>
      <c r="DM173" s="5">
        <f ca="1">IF(AND('Budgeting Model'!AN99&lt;&gt;"",ABS('Budgeting Model'!AN99-'Scratch Sheet'!AN99)&lt;0.01),$CG$72,0)</f>
        <v>0.02</v>
      </c>
      <c r="DN173" s="5">
        <f ca="1">IF(AND('Budgeting Model'!AO99&lt;&gt;"",ABS('Budgeting Model'!AO99-'Scratch Sheet'!AO99)&lt;0.01),$CG$72,0)</f>
        <v>0.02</v>
      </c>
      <c r="DO173" s="5">
        <f ca="1">IF(AND('Budgeting Model'!AP99&lt;&gt;"",ABS('Budgeting Model'!AP99-'Scratch Sheet'!AP99)&lt;0.01),$CG$72,0)</f>
        <v>0.02</v>
      </c>
    </row>
    <row r="174" spans="79:119">
      <c r="CA174" s="5">
        <f>IF(AND('Budgeting Model'!B100&lt;&gt;"",'Budgeting Model'!B100='Scratch Sheet'!B100),$CG$72,0)</f>
        <v>0.02</v>
      </c>
      <c r="CB174" s="5">
        <f ca="1">IF(AND('Budgeting Model'!C100&lt;&gt;"",'Budgeting Model'!C100='Scratch Sheet'!C100),$CG$72,0)</f>
        <v>0.02</v>
      </c>
      <c r="CC174" s="5">
        <f>IF(AND('Budgeting Model'!D100&lt;&gt;"",'Budgeting Model'!D100='Scratch Sheet'!D100),$CG$72,0)</f>
        <v>0.02</v>
      </c>
      <c r="CD174" s="5">
        <f ca="1">IF(OR(AND('Budgeting Model'!E100="",'Budgeting Model'!D100&lt;&gt;"Vacant"),'Budgeting Model'!E100&lt;&gt;'Scratch Sheet'!E100),0,$CG$72)</f>
        <v>0.02</v>
      </c>
      <c r="CE174" s="5">
        <f ca="1">IF(AND('Budgeting Model'!F100&lt;&gt;"",'Budgeting Model'!F100='Scratch Sheet'!F100),$CG$72,0)</f>
        <v>0.02</v>
      </c>
      <c r="CF174" s="5">
        <f ca="1">IF(AND('Budgeting Model'!G100&lt;&gt;"",ABS('Budgeting Model'!G100-'Scratch Sheet'!G100)&lt;0.01),$CG$72,0)</f>
        <v>0.02</v>
      </c>
      <c r="CG174" s="5" t="s">
        <v>550</v>
      </c>
      <c r="CH174" s="5" t="s">
        <v>550</v>
      </c>
      <c r="CI174" s="5">
        <f ca="1">IF(AND('Budgeting Model'!J100&lt;&gt;"",ABS('Budgeting Model'!J100-'Scratch Sheet'!J100)&lt;0.01),$CG$72,0)</f>
        <v>0.02</v>
      </c>
      <c r="CJ174" s="5" t="s">
        <v>550</v>
      </c>
      <c r="CK174" s="5">
        <f ca="1">IF(AND('Budgeting Model'!L100&lt;&gt;"",ABS('Budgeting Model'!L100-'Scratch Sheet'!L100)&lt;0.01),$CG$72,0)</f>
        <v>0.02</v>
      </c>
      <c r="CL174" s="5" t="s">
        <v>550</v>
      </c>
      <c r="CM174" s="5">
        <f ca="1">IF(AND('Budgeting Model'!N100="",'Budgeting Model'!N100&lt;&gt;'Scratch Sheet'!N100),0,$CG$72)</f>
        <v>0.02</v>
      </c>
      <c r="CN174" s="5" t="s">
        <v>550</v>
      </c>
      <c r="CO174" s="5">
        <f ca="1">IF(AND('Budgeting Model'!P100&lt;&gt;"",ABS('Budgeting Model'!P100-'Scratch Sheet'!P100)&lt;0.01),$CG$72,0)</f>
        <v>0.02</v>
      </c>
      <c r="CP174" s="5">
        <f ca="1">IF(AND('Budgeting Model'!Q100&lt;&gt;"",ABS('Budgeting Model'!Q100-'Scratch Sheet'!Q100)&lt;0.01),$CG$72,0)</f>
        <v>0.02</v>
      </c>
      <c r="CQ174" s="5">
        <f ca="1">IF(AND('Budgeting Model'!R100&lt;&gt;"",ABS('Budgeting Model'!R100-'Scratch Sheet'!R100)&lt;0.01),$CG$72,0)</f>
        <v>0.02</v>
      </c>
      <c r="CR174" s="5">
        <f ca="1">IF(AND('Budgeting Model'!S100&lt;&gt;"",ABS('Budgeting Model'!S100-'Scratch Sheet'!S100)&lt;0.01),$CG$72,0)</f>
        <v>0.02</v>
      </c>
      <c r="CS174" s="5">
        <f ca="1">IF(AND('Budgeting Model'!T100&lt;&gt;"",ABS('Budgeting Model'!T100-'Scratch Sheet'!T100)&lt;0.01),$CG$72,0)</f>
        <v>0.02</v>
      </c>
      <c r="CT174" s="5">
        <f ca="1">IF(AND('Budgeting Model'!U100&lt;&gt;"",ABS('Budgeting Model'!U100-'Scratch Sheet'!U100)&lt;0.01),$CG$72,0)</f>
        <v>0.02</v>
      </c>
      <c r="CU174" s="5">
        <f ca="1">IF(AND('Budgeting Model'!V100&lt;&gt;"",ABS('Budgeting Model'!V100-'Scratch Sheet'!V100)&lt;0.01),$CG$72,0)</f>
        <v>0.02</v>
      </c>
      <c r="CV174" s="5" t="s">
        <v>550</v>
      </c>
      <c r="CW174" s="5" t="s">
        <v>550</v>
      </c>
      <c r="CX174" s="5">
        <f ca="1">IF(AND('Budgeting Model'!Y100&lt;&gt;"",ABS('Budgeting Model'!Y100-'Scratch Sheet'!Y100)&lt;0.01),$CG$72,0)</f>
        <v>0.02</v>
      </c>
      <c r="CY174" s="5" t="s">
        <v>550</v>
      </c>
      <c r="CZ174" s="5">
        <f ca="1">IF(AND('Budgeting Model'!AA100&lt;&gt;"",ABS('Budgeting Model'!AA100-'Scratch Sheet'!AA100)&lt;0.01),$CG$72,0)</f>
        <v>0.02</v>
      </c>
      <c r="DA174" s="5" t="s">
        <v>550</v>
      </c>
      <c r="DB174" s="5">
        <f ca="1">IF(AND('Budgeting Model'!AC100="",'Budgeting Model'!AC100&lt;&gt;'Scratch Sheet'!AC100),0,$CG$72)</f>
        <v>0.02</v>
      </c>
      <c r="DC174" s="5" t="s">
        <v>550</v>
      </c>
      <c r="DD174" s="5">
        <f ca="1">IF(AND('Budgeting Model'!AE100&lt;&gt;"",ABS('Budgeting Model'!AE100-'Scratch Sheet'!AE100)&lt;0.01),$CG$72,0)</f>
        <v>0.02</v>
      </c>
      <c r="DE174" s="5">
        <f ca="1">IF(AND('Budgeting Model'!AF100&lt;&gt;"",ABS('Budgeting Model'!AF100-'Scratch Sheet'!AF100)&lt;0.01),$CG$72,0)</f>
        <v>0.02</v>
      </c>
      <c r="DF174" s="5">
        <f ca="1">IF(AND('Budgeting Model'!AG100&lt;&gt;"",ABS('Budgeting Model'!AG100-'Scratch Sheet'!AG100)&lt;0.01),$CG$72,0)</f>
        <v>0.02</v>
      </c>
      <c r="DG174" s="5">
        <f ca="1">IF(AND('Budgeting Model'!AH100&lt;&gt;"",ABS('Budgeting Model'!AH100-'Scratch Sheet'!AH100)&lt;0.01),$CG$72,0)</f>
        <v>0.02</v>
      </c>
      <c r="DH174" s="5">
        <f ca="1">IF(AND('Budgeting Model'!AI100&lt;&gt;"",ABS('Budgeting Model'!AI100-'Scratch Sheet'!AI100)&lt;0.01),$CG$72,0)</f>
        <v>0.02</v>
      </c>
      <c r="DI174" s="5">
        <f ca="1">IF(AND('Budgeting Model'!AJ100&lt;&gt;"",ABS('Budgeting Model'!AJ100-'Scratch Sheet'!AJ100)&lt;0.01),$CG$72,0)</f>
        <v>0.02</v>
      </c>
      <c r="DJ174" s="5">
        <f ca="1">IF(AND('Budgeting Model'!AK100&lt;&gt;"",ABS('Budgeting Model'!AK100-'Scratch Sheet'!AK100)&lt;0.01),$CG$72,0)</f>
        <v>0.02</v>
      </c>
      <c r="DK174" s="5" t="s">
        <v>550</v>
      </c>
      <c r="DL174" s="5">
        <f ca="1">IF(AND('Budgeting Model'!AM100&lt;&gt;"",ABS('Budgeting Model'!AM100-'Scratch Sheet'!AM100)&lt;0.01),$CG$72,0)</f>
        <v>0.02</v>
      </c>
      <c r="DM174" s="5">
        <f ca="1">IF(AND('Budgeting Model'!AN100&lt;&gt;"",ABS('Budgeting Model'!AN100-'Scratch Sheet'!AN100)&lt;0.01),$CG$72,0)</f>
        <v>0.02</v>
      </c>
      <c r="DN174" s="5">
        <f ca="1">IF(AND('Budgeting Model'!AO100&lt;&gt;"",ABS('Budgeting Model'!AO100-'Scratch Sheet'!AO100)&lt;0.01),$CG$72,0)</f>
        <v>0.02</v>
      </c>
      <c r="DO174" s="5">
        <f ca="1">IF(AND('Budgeting Model'!AP100&lt;&gt;"",ABS('Budgeting Model'!AP100-'Scratch Sheet'!AP100)&lt;0.01),$CG$72,0)</f>
        <v>0.02</v>
      </c>
    </row>
    <row r="175" spans="79:119">
      <c r="CA175" s="5"/>
      <c r="CB175" s="17"/>
      <c r="CC175" s="33"/>
      <c r="CD175" s="31"/>
      <c r="CK175" s="34"/>
      <c r="CL175" s="34"/>
      <c r="CM175" s="34"/>
      <c r="CN175" s="34"/>
      <c r="CO175" s="34"/>
      <c r="CQ175" s="34"/>
      <c r="CR175" s="34"/>
    </row>
    <row r="176" spans="79:119">
      <c r="CA176" s="5"/>
      <c r="CB176" s="17"/>
      <c r="CC176" s="33"/>
      <c r="CD176" s="31"/>
      <c r="CK176" s="34"/>
      <c r="CL176" s="34"/>
      <c r="CM176" s="34"/>
      <c r="CN176" s="34"/>
      <c r="CO176" s="34"/>
      <c r="CQ176" s="34"/>
      <c r="CR176" s="34"/>
    </row>
    <row r="177" spans="79:99">
      <c r="CA177" s="5"/>
      <c r="CB177" s="17"/>
      <c r="CC177" s="33"/>
      <c r="CD177" s="31"/>
      <c r="CK177" s="34"/>
      <c r="CL177" s="34"/>
      <c r="CM177" s="34"/>
      <c r="CN177" s="34"/>
      <c r="CO177" s="34"/>
      <c r="CQ177" s="34"/>
      <c r="CR177" s="34"/>
    </row>
    <row r="178" spans="79:99">
      <c r="CA178" s="5"/>
      <c r="CB178" s="17"/>
      <c r="CC178" s="33"/>
      <c r="CD178" s="31"/>
      <c r="CK178" s="34"/>
      <c r="CL178" s="34"/>
      <c r="CM178" s="34"/>
      <c r="CN178" s="34"/>
      <c r="CO178" s="34"/>
      <c r="CQ178" s="34"/>
      <c r="CR178" s="34"/>
    </row>
    <row r="179" spans="79:99">
      <c r="CA179" s="5"/>
      <c r="CB179" s="17"/>
      <c r="CC179" s="33"/>
      <c r="CD179" s="31"/>
      <c r="CK179" s="34"/>
      <c r="CL179" s="34"/>
      <c r="CM179" s="34"/>
      <c r="CN179" s="34"/>
      <c r="CO179" s="34"/>
      <c r="CP179" s="34"/>
      <c r="CQ179" s="34"/>
      <c r="CR179" s="34"/>
    </row>
    <row r="180" spans="79:99">
      <c r="CA180" s="5"/>
      <c r="CB180" s="17"/>
      <c r="CC180" s="33"/>
      <c r="CD180" s="31"/>
      <c r="CK180" s="34"/>
      <c r="CL180" s="34"/>
      <c r="CM180" s="34"/>
      <c r="CN180" s="34"/>
      <c r="CO180" s="34"/>
      <c r="CQ180" s="34"/>
      <c r="CR180" s="34"/>
    </row>
    <row r="181" spans="79:99">
      <c r="CA181" s="5"/>
      <c r="CB181" s="17"/>
      <c r="CC181" s="33"/>
      <c r="CD181" s="31"/>
      <c r="CK181" s="34"/>
      <c r="CL181" s="34"/>
      <c r="CM181" s="34"/>
      <c r="CN181" s="34"/>
      <c r="CO181" s="34"/>
      <c r="CQ181" s="34"/>
      <c r="CR181" s="112"/>
      <c r="CS181" s="112"/>
      <c r="CT181" s="112"/>
    </row>
    <row r="182" spans="79:99">
      <c r="CA182" s="5"/>
      <c r="CB182" s="17"/>
      <c r="CC182" s="33"/>
      <c r="CD182" s="31"/>
      <c r="CK182" s="34"/>
      <c r="CL182" s="34"/>
      <c r="CM182" s="34"/>
      <c r="CN182" s="34"/>
      <c r="CO182" s="34"/>
      <c r="CQ182" s="34"/>
      <c r="CR182" s="113"/>
      <c r="CT182" s="112"/>
      <c r="CU182" s="112"/>
    </row>
    <row r="183" spans="79:99">
      <c r="CA183" s="5"/>
      <c r="CB183" s="17"/>
      <c r="CD183" s="31"/>
      <c r="CH183" s="21"/>
      <c r="CI183" s="21"/>
      <c r="CJ183" s="21"/>
      <c r="CK183" s="21"/>
      <c r="CL183" s="21"/>
    </row>
    <row r="184" spans="79:99">
      <c r="CA184" s="5"/>
      <c r="CB184" s="17"/>
      <c r="CD184" s="31"/>
      <c r="CH184" s="21"/>
      <c r="CI184" s="21"/>
      <c r="CJ184" s="21"/>
      <c r="CK184" s="21"/>
      <c r="CL184" s="21"/>
    </row>
    <row r="185" spans="79:99">
      <c r="CA185" s="5"/>
      <c r="CB185" s="17"/>
      <c r="CD185" s="31"/>
      <c r="CH185" s="21"/>
      <c r="CI185" s="21"/>
      <c r="CJ185" s="21"/>
      <c r="CK185" s="21"/>
      <c r="CL185" s="21"/>
    </row>
    <row r="186" spans="79:99">
      <c r="CA186" s="5"/>
      <c r="CB186" s="17"/>
      <c r="CC186" s="5"/>
      <c r="CD186" s="31"/>
    </row>
    <row r="187" spans="79:99">
      <c r="CA187" s="5"/>
      <c r="CB187" s="17"/>
      <c r="CC187" s="5"/>
      <c r="CD187" s="31"/>
    </row>
    <row r="188" spans="79:99">
      <c r="CA188" s="5"/>
      <c r="CB188" s="17"/>
      <c r="CC188" s="5"/>
      <c r="CD188" s="31"/>
    </row>
    <row r="189" spans="79:99">
      <c r="CA189" s="5"/>
      <c r="CB189" s="17"/>
      <c r="CC189" s="5"/>
      <c r="CD189" s="31"/>
    </row>
    <row r="190" spans="79:99">
      <c r="CA190" s="5"/>
      <c r="CB190" s="17"/>
      <c r="CC190" s="5"/>
      <c r="CD190" s="31"/>
    </row>
    <row r="191" spans="79:99">
      <c r="CA191" s="5"/>
      <c r="CB191" s="17"/>
    </row>
    <row r="192" spans="79:99">
      <c r="CB192" s="17"/>
    </row>
    <row r="193" spans="80:80">
      <c r="CB193" s="17"/>
    </row>
    <row r="194" spans="80:80">
      <c r="CB19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ENTER SFAM ID</vt:lpstr>
      <vt:lpstr>INTRO</vt:lpstr>
      <vt:lpstr>Developing Model</vt:lpstr>
      <vt:lpstr>Budgeting Model</vt:lpstr>
      <vt:lpstr>Summary Report</vt:lpstr>
      <vt:lpstr>Ad hoc Analysis</vt:lpstr>
      <vt:lpstr>Next Year Budget</vt:lpstr>
      <vt:lpstr>Position Master</vt:lpstr>
      <vt:lpstr>Employee Master</vt:lpstr>
      <vt:lpstr>Scratch Sheet</vt:lpstr>
      <vt:lpstr>X</vt:lpstr>
      <vt:lpstr>Column</vt:lpstr>
      <vt:lpstr>'Budgeting Model'!Print_Area</vt:lpstr>
      <vt:lpstr>'Employee Master'!Print_Area</vt:lpstr>
      <vt:lpstr>Total_work_days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Horwitz</dc:creator>
  <cp:lastModifiedBy>CHRISTOPHER GUZMAN SILVA</cp:lastModifiedBy>
  <cp:lastPrinted>2020-02-03T18:27:08Z</cp:lastPrinted>
  <dcterms:created xsi:type="dcterms:W3CDTF">2019-04-12T12:27:47Z</dcterms:created>
  <dcterms:modified xsi:type="dcterms:W3CDTF">2023-04-26T00:21:35Z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2022-09-22T17:43:50Z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b34b5000-d044-455d-8cae-0f092fe65d59</vt:lpwstr>
  </property>
  <property fmtid="{D5CDD505-2E9C-101B-9397-08002B2CF9AE}" pid="8" name="MSIP_Label_fa1855b2-0a05-4494-a903-f3f23f3f98e0_ContentBits">
    <vt:lpwstr>0</vt:lpwstr>
  </property>
</Properties>
</file>