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302ddf5b7bcef28c/Desktop/Excel class/case6/"/>
    </mc:Choice>
  </mc:AlternateContent>
  <xr:revisionPtr revIDLastSave="452" documentId="13_ncr:1_{078AFCAD-D543-437D-A7B9-06A59FECB4FA}" xr6:coauthVersionLast="47" xr6:coauthVersionMax="47" xr10:uidLastSave="{531879DF-7D74-40D1-BF75-F747E444C62B}"/>
  <workbookProtection workbookAlgorithmName="SHA-512" workbookHashValue="f0yYJ/n9zQpohGj5DgSmN+9iUp/f9BxaeX0XxnPuBDN1mxlC/VKBRoWQntjvz9iE5rq3sgiHIikMr6GHZ8vLFA==" workbookSaltValue="ZYSEdEXZS+IZmGxDJzE/KQ==" workbookSpinCount="100000" lockStructure="1"/>
  <bookViews>
    <workbookView xWindow="11955" yWindow="690" windowWidth="18300" windowHeight="19125" firstSheet="1" activeTab="1" xr2:uid="{032B0ECF-B458-EE42-BCF3-2ED224899F29}"/>
  </bookViews>
  <sheets>
    <sheet name="ENTER EMPLOYEE ID" sheetId="10" r:id="rId1"/>
    <sheet name="Introduction" sheetId="11" r:id="rId2"/>
    <sheet name="Elasticity" sheetId="5" r:id="rId3"/>
    <sheet name="Company Stores" sheetId="3" r:id="rId4"/>
    <sheet name="Company Website" sheetId="2" r:id="rId5"/>
    <sheet name="Model" sheetId="1" r:id="rId6"/>
    <sheet name="Scratch" sheetId="6" state="hidden" r:id="rId7"/>
    <sheet name="X" sheetId="12" state="hidden" r:id="rId8"/>
    <sheet name="Potential changs" sheetId="7" state="hidden" r:id="rId9"/>
  </sheets>
  <definedNames>
    <definedName name="solver_adj" localSheetId="5" hidden="1">Model!$F$39:$I$42</definedName>
    <definedName name="solver_cvg" localSheetId="5" hidden="1">0.0001</definedName>
    <definedName name="solver_drv" localSheetId="5" hidden="1">1</definedName>
    <definedName name="solver_eng" localSheetId="1" hidden="1">1</definedName>
    <definedName name="solver_eng" localSheetId="5" hidden="1">1</definedName>
    <definedName name="solver_eng" localSheetId="6" hidden="1">1</definedName>
    <definedName name="solver_itr" localSheetId="5" hidden="1">2147483647</definedName>
    <definedName name="solver_lhs1" localSheetId="5" hidden="1">Model!$F$39:$I$42</definedName>
    <definedName name="solver_lhs10" localSheetId="5" hidden="1">Model!$H$61</definedName>
    <definedName name="solver_lhs11" localSheetId="5" hidden="1">Model!$H$62</definedName>
    <definedName name="solver_lhs12" localSheetId="5" hidden="1">Model!$H$64</definedName>
    <definedName name="solver_lhs13" localSheetId="5" hidden="1">Model!$H$65</definedName>
    <definedName name="solver_lhs14" localSheetId="5" hidden="1">Model!$I$61</definedName>
    <definedName name="solver_lhs15" localSheetId="5" hidden="1">Model!$I$62</definedName>
    <definedName name="solver_lhs16" localSheetId="5" hidden="1">Model!$I$64</definedName>
    <definedName name="solver_lhs17" localSheetId="5" hidden="1">Model!$I$65</definedName>
    <definedName name="solver_lhs2" localSheetId="5" hidden="1">Model!$F$39:$I$42</definedName>
    <definedName name="solver_lhs3" localSheetId="5" hidden="1">Model!$F$64</definedName>
    <definedName name="solver_lhs4" localSheetId="5" hidden="1">Model!$F$65</definedName>
    <definedName name="solver_lhs5" localSheetId="5" hidden="1">Model!$G$61</definedName>
    <definedName name="solver_lhs6" localSheetId="5" hidden="1">Model!$G$62</definedName>
    <definedName name="solver_lhs7" localSheetId="5" hidden="1">Model!$G$64</definedName>
    <definedName name="solver_lhs8" localSheetId="5" hidden="1">Model!$G$64</definedName>
    <definedName name="solver_lhs9" localSheetId="5" hidden="1">Model!$G$65</definedName>
    <definedName name="solver_lin" localSheetId="1" hidden="1">2</definedName>
    <definedName name="solver_lin" localSheetId="5" hidden="1">2</definedName>
    <definedName name="solver_lin" localSheetId="6" hidden="1">2</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1" hidden="1">1</definedName>
    <definedName name="solver_neg" localSheetId="5" hidden="1">2</definedName>
    <definedName name="solver_neg" localSheetId="6" hidden="1">1</definedName>
    <definedName name="solver_nod" localSheetId="5" hidden="1">2147483647</definedName>
    <definedName name="solver_num" localSheetId="1" hidden="1">0</definedName>
    <definedName name="solver_num" localSheetId="5" hidden="1">2</definedName>
    <definedName name="solver_num" localSheetId="6" hidden="1">0</definedName>
    <definedName name="solver_opt" localSheetId="1" hidden="1">Introduction!$B$322</definedName>
    <definedName name="solver_opt" localSheetId="5" hidden="1">Model!$K$86</definedName>
    <definedName name="solver_pre" localSheetId="5" hidden="1">0.000001</definedName>
    <definedName name="solver_rbv" localSheetId="5" hidden="1">1</definedName>
    <definedName name="solver_rel1" localSheetId="5" hidden="1">1</definedName>
    <definedName name="solver_rel10" localSheetId="5" hidden="1">3</definedName>
    <definedName name="solver_rel11" localSheetId="5" hidden="1">3</definedName>
    <definedName name="solver_rel12" localSheetId="5" hidden="1">3</definedName>
    <definedName name="solver_rel13" localSheetId="5" hidden="1">3</definedName>
    <definedName name="solver_rel14" localSheetId="5" hidden="1">3</definedName>
    <definedName name="solver_rel15" localSheetId="5" hidden="1">3</definedName>
    <definedName name="solver_rel16" localSheetId="5" hidden="1">3</definedName>
    <definedName name="solver_rel17" localSheetId="5" hidden="1">3</definedName>
    <definedName name="solver_rel2" localSheetId="5" hidden="1">3</definedName>
    <definedName name="solver_rel3" localSheetId="5" hidden="1">3</definedName>
    <definedName name="solver_rel4" localSheetId="5" hidden="1">3</definedName>
    <definedName name="solver_rel5" localSheetId="5" hidden="1">3</definedName>
    <definedName name="solver_rel6" localSheetId="5" hidden="1">3</definedName>
    <definedName name="solver_rel7" localSheetId="5" hidden="1">3</definedName>
    <definedName name="solver_rel8" localSheetId="5" hidden="1">3</definedName>
    <definedName name="solver_rel9" localSheetId="5" hidden="1">3</definedName>
    <definedName name="solver_rhs1" localSheetId="5" hidden="1">Model!$P$41</definedName>
    <definedName name="solver_rhs10" localSheetId="5" hidden="1">0</definedName>
    <definedName name="solver_rhs11" localSheetId="5" hidden="1">0</definedName>
    <definedName name="solver_rhs12" localSheetId="5" hidden="1">0</definedName>
    <definedName name="solver_rhs13" localSheetId="5" hidden="1">0</definedName>
    <definedName name="solver_rhs14" localSheetId="5" hidden="1">0</definedName>
    <definedName name="solver_rhs15" localSheetId="5" hidden="1">0</definedName>
    <definedName name="solver_rhs16" localSheetId="5" hidden="1">0</definedName>
    <definedName name="solver_rhs17" localSheetId="5" hidden="1">0</definedName>
    <definedName name="solver_rhs2" localSheetId="5" hidden="1">Model!$P$40</definedName>
    <definedName name="solver_rhs3" localSheetId="5" hidden="1">0</definedName>
    <definedName name="solver_rhs4" localSheetId="5" hidden="1">0</definedName>
    <definedName name="solver_rhs5" localSheetId="5" hidden="1">0</definedName>
    <definedName name="solver_rhs6" localSheetId="5" hidden="1">0</definedName>
    <definedName name="solver_rhs7" localSheetId="5" hidden="1">0</definedName>
    <definedName name="solver_rhs8" localSheetId="5" hidden="1">0</definedName>
    <definedName name="solver_rhs9" localSheetId="5" hidden="1">0</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1" hidden="1">1</definedName>
    <definedName name="solver_typ" localSheetId="5" hidden="1">1</definedName>
    <definedName name="solver_typ" localSheetId="6" hidden="1">1</definedName>
    <definedName name="solver_val" localSheetId="1" hidden="1">0</definedName>
    <definedName name="solver_val" localSheetId="5" hidden="1">0</definedName>
    <definedName name="solver_val" localSheetId="6" hidden="1">0</definedName>
    <definedName name="solver_ver" localSheetId="1" hidden="1">2</definedName>
    <definedName name="solver_ver" localSheetId="5" hidden="1">2</definedName>
    <definedName name="solver_ver" localSheetId="6"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2" i="1" l="1"/>
  <c r="F72" i="1"/>
  <c r="D82" i="1" l="1"/>
  <c r="J77" i="1"/>
  <c r="F76" i="1"/>
  <c r="G76" i="1"/>
  <c r="H76" i="1"/>
  <c r="I76" i="1"/>
  <c r="F75" i="1"/>
  <c r="G75" i="1"/>
  <c r="H75" i="1"/>
  <c r="I75" i="1"/>
  <c r="F73" i="1"/>
  <c r="G73" i="1"/>
  <c r="H73" i="1"/>
  <c r="I73" i="1"/>
  <c r="G72" i="1"/>
  <c r="H72" i="1"/>
  <c r="I72" i="1"/>
  <c r="E55" i="1"/>
  <c r="F55" i="1"/>
  <c r="G55" i="1"/>
  <c r="H55" i="1"/>
  <c r="I55" i="1"/>
  <c r="D55" i="1"/>
  <c r="G49" i="1"/>
  <c r="H49" i="1"/>
  <c r="I49" i="1"/>
  <c r="F49" i="1"/>
  <c r="G48" i="1"/>
  <c r="H48" i="1"/>
  <c r="I48" i="1"/>
  <c r="F48" i="1"/>
  <c r="G47" i="1"/>
  <c r="H47" i="1"/>
  <c r="I47" i="1"/>
  <c r="F47" i="1"/>
  <c r="G46" i="1"/>
  <c r="H46" i="1"/>
  <c r="I46" i="1"/>
  <c r="F46" i="1"/>
  <c r="C27" i="1"/>
  <c r="D21" i="1"/>
  <c r="E21" i="1"/>
  <c r="F21" i="1"/>
  <c r="G21" i="1"/>
  <c r="C21" i="1"/>
  <c r="D20" i="1"/>
  <c r="E20" i="1"/>
  <c r="F20" i="1"/>
  <c r="G20" i="1"/>
  <c r="C20" i="1"/>
  <c r="D15" i="1"/>
  <c r="Q15" i="6" s="1"/>
  <c r="E15" i="1"/>
  <c r="R15" i="6" s="1"/>
  <c r="F15" i="1"/>
  <c r="S15" i="6" s="1"/>
  <c r="G15" i="1"/>
  <c r="C15" i="1"/>
  <c r="P15" i="6" s="1"/>
  <c r="C28" i="6"/>
  <c r="T15" i="6"/>
  <c r="E29" i="12" l="1"/>
  <c r="CD64" i="12"/>
  <c r="E64" i="12" s="1"/>
  <c r="B64" i="12" s="1"/>
  <c r="CD63" i="12"/>
  <c r="E63" i="12" s="1"/>
  <c r="B63" i="12" s="1"/>
  <c r="T20" i="6"/>
  <c r="S20" i="6"/>
  <c r="R20" i="6"/>
  <c r="Q20" i="6"/>
  <c r="P20" i="6"/>
  <c r="E30" i="12" s="1"/>
  <c r="E28" i="12"/>
  <c r="E27" i="12"/>
  <c r="E26" i="12"/>
  <c r="E25" i="12"/>
  <c r="E24" i="12"/>
  <c r="CD28" i="12"/>
  <c r="CD27" i="12"/>
  <c r="CD24" i="12"/>
  <c r="CD25" i="12"/>
  <c r="CD26" i="12"/>
  <c r="CD23" i="12"/>
  <c r="E23" i="12" s="1"/>
  <c r="D64" i="12"/>
  <c r="D63" i="12"/>
  <c r="D62" i="12"/>
  <c r="D58" i="12"/>
  <c r="D59" i="12"/>
  <c r="D60" i="12"/>
  <c r="D61" i="12"/>
  <c r="D57" i="12"/>
  <c r="D53" i="12"/>
  <c r="D54" i="12"/>
  <c r="D55" i="12"/>
  <c r="D56" i="12"/>
  <c r="D52" i="12"/>
  <c r="D50" i="12"/>
  <c r="D51" i="12"/>
  <c r="D49" i="12"/>
  <c r="D48" i="12"/>
  <c r="D47" i="12"/>
  <c r="D46" i="12"/>
  <c r="D45" i="12"/>
  <c r="D41" i="12"/>
  <c r="D42" i="12"/>
  <c r="D43" i="12"/>
  <c r="D44" i="12"/>
  <c r="D40" i="12"/>
  <c r="D37" i="12"/>
  <c r="D38" i="12"/>
  <c r="D39" i="12"/>
  <c r="D36" i="12"/>
  <c r="D33" i="12"/>
  <c r="D34" i="12"/>
  <c r="D35" i="12"/>
  <c r="D32" i="12"/>
  <c r="D31" i="12"/>
  <c r="D30" i="12"/>
  <c r="D29" i="12"/>
  <c r="D28" i="12"/>
  <c r="D27" i="12"/>
  <c r="D24" i="12"/>
  <c r="D25" i="12"/>
  <c r="D26" i="12"/>
  <c r="D23" i="12"/>
  <c r="A332" i="11" l="1"/>
  <c r="A318" i="11"/>
  <c r="A296" i="11" l="1"/>
  <c r="C263" i="11"/>
  <c r="C224" i="11"/>
  <c r="A223" i="11"/>
  <c r="A194" i="11"/>
  <c r="A168" i="11"/>
  <c r="A160" i="11"/>
  <c r="A4" i="1"/>
  <c r="A4" i="2"/>
  <c r="A4" i="3"/>
  <c r="A4" i="5"/>
  <c r="A4" i="11"/>
  <c r="B20" i="12" l="1"/>
  <c r="B18" i="12"/>
  <c r="B14" i="12"/>
  <c r="CC1" i="12"/>
  <c r="CB15" i="12"/>
  <c r="A4" i="10"/>
  <c r="CB11" i="12" l="1"/>
  <c r="B28" i="12"/>
  <c r="CB14" i="12"/>
  <c r="B15" i="12"/>
  <c r="B13" i="12" s="1"/>
  <c r="B26" i="12"/>
  <c r="CB3" i="12"/>
  <c r="CB7" i="12"/>
  <c r="B30" i="12"/>
  <c r="CB10" i="12"/>
  <c r="B23" i="12"/>
  <c r="CB4" i="12"/>
  <c r="CB2" i="12"/>
  <c r="CC2" i="12" s="1"/>
  <c r="CB8" i="12"/>
  <c r="B27" i="12"/>
  <c r="CB6" i="12"/>
  <c r="CB13" i="12"/>
  <c r="CB9" i="12"/>
  <c r="CB12" i="12"/>
  <c r="CB5" i="12"/>
  <c r="B24" i="12"/>
  <c r="B25" i="12"/>
  <c r="B19" i="12" l="1"/>
  <c r="CC3" i="12"/>
  <c r="CD2" i="12" s="1"/>
  <c r="CC4" i="12" l="1"/>
  <c r="CE2" i="12" s="1"/>
  <c r="CD3" i="12"/>
  <c r="CE3" i="12" l="1"/>
  <c r="CE4" i="12"/>
  <c r="CC5" i="12"/>
  <c r="CF2" i="12" s="1"/>
  <c r="CF3" i="12" l="1"/>
  <c r="CC6" i="12"/>
  <c r="CG5" i="12" s="1"/>
  <c r="CF4" i="12"/>
  <c r="CF5" i="12"/>
  <c r="CG4" i="12" l="1"/>
  <c r="CG6" i="12"/>
  <c r="CG3" i="12"/>
  <c r="CG2" i="12"/>
  <c r="CC7" i="12"/>
  <c r="P40" i="1"/>
  <c r="P41" i="1"/>
  <c r="CH7" i="12" l="1"/>
  <c r="CH2" i="12"/>
  <c r="CH5" i="12"/>
  <c r="CC8" i="12"/>
  <c r="CI2" i="12" s="1"/>
  <c r="CH3" i="12"/>
  <c r="CH6" i="12"/>
  <c r="CH4" i="12"/>
  <c r="K58" i="1"/>
  <c r="CI5" i="12" l="1"/>
  <c r="CI7" i="12"/>
  <c r="CI8" i="12"/>
  <c r="CI3" i="12"/>
  <c r="CI6" i="12"/>
  <c r="CI4" i="12"/>
  <c r="CC9" i="12"/>
  <c r="F74" i="6"/>
  <c r="G74" i="6"/>
  <c r="H74" i="6"/>
  <c r="I74" i="6"/>
  <c r="E74" i="6"/>
  <c r="CJ9" i="12" l="1"/>
  <c r="CC10" i="12"/>
  <c r="CK7" i="12" s="1"/>
  <c r="CJ7" i="12"/>
  <c r="CJ4" i="12"/>
  <c r="CJ3" i="12"/>
  <c r="CJ6" i="12"/>
  <c r="CJ2" i="12"/>
  <c r="CJ5" i="12"/>
  <c r="CJ8" i="12"/>
  <c r="CK8" i="12" l="1"/>
  <c r="CK3" i="12"/>
  <c r="CK4" i="12"/>
  <c r="CK2" i="12"/>
  <c r="CK9" i="12"/>
  <c r="CK5" i="12"/>
  <c r="CK10" i="12"/>
  <c r="CC11" i="12"/>
  <c r="CL7" i="12" s="1"/>
  <c r="CK6" i="12"/>
  <c r="C69" i="6"/>
  <c r="C62" i="6"/>
  <c r="C73" i="6" s="1"/>
  <c r="C81" i="6" s="1"/>
  <c r="C63" i="6"/>
  <c r="C74" i="6" s="1"/>
  <c r="C82" i="6" s="1"/>
  <c r="C64" i="6"/>
  <c r="C75" i="6" s="1"/>
  <c r="C83" i="6" s="1"/>
  <c r="C65" i="6"/>
  <c r="C76" i="6" s="1"/>
  <c r="C84" i="6" s="1"/>
  <c r="C66" i="6"/>
  <c r="C77" i="6" s="1"/>
  <c r="C85" i="6" s="1"/>
  <c r="C67" i="6"/>
  <c r="C68" i="6"/>
  <c r="C61" i="6"/>
  <c r="C72" i="6" s="1"/>
  <c r="C80" i="6" s="1"/>
  <c r="CL8" i="12" l="1"/>
  <c r="CL10" i="12"/>
  <c r="CL11" i="12"/>
  <c r="CC12" i="12"/>
  <c r="CM9" i="12" s="1"/>
  <c r="CL3" i="12"/>
  <c r="CL2" i="12"/>
  <c r="CL6" i="12"/>
  <c r="CL4" i="12"/>
  <c r="CL5" i="12"/>
  <c r="CL9" i="12"/>
  <c r="O34" i="1"/>
  <c r="CM7" i="12" l="1"/>
  <c r="CM12" i="12"/>
  <c r="CC13" i="12"/>
  <c r="CN9" i="12" s="1"/>
  <c r="CM2" i="12"/>
  <c r="CM3" i="12"/>
  <c r="CM10" i="12"/>
  <c r="CM8" i="12"/>
  <c r="CM11" i="12"/>
  <c r="CM4" i="12"/>
  <c r="CM6" i="12"/>
  <c r="CM5" i="12"/>
  <c r="G20" i="6"/>
  <c r="CN13" i="12" l="1"/>
  <c r="CC14" i="12"/>
  <c r="CN2" i="12"/>
  <c r="CN3" i="12"/>
  <c r="CN6" i="12"/>
  <c r="CN4" i="12"/>
  <c r="CN5" i="12"/>
  <c r="CN8" i="12"/>
  <c r="CN11" i="12"/>
  <c r="CN7" i="12"/>
  <c r="CN12" i="12"/>
  <c r="CN10" i="12"/>
  <c r="C13" i="6"/>
  <c r="D13" i="6"/>
  <c r="E13" i="6"/>
  <c r="F13" i="6"/>
  <c r="G13" i="6"/>
  <c r="C14" i="6"/>
  <c r="D14" i="6"/>
  <c r="E14" i="6"/>
  <c r="F14" i="6"/>
  <c r="G14" i="6"/>
  <c r="G16" i="6"/>
  <c r="C17" i="6"/>
  <c r="D17" i="6"/>
  <c r="E17" i="6"/>
  <c r="F17" i="6"/>
  <c r="G17" i="6"/>
  <c r="C18" i="6"/>
  <c r="D18" i="6"/>
  <c r="E18" i="6"/>
  <c r="F18" i="6"/>
  <c r="G18" i="6"/>
  <c r="C19" i="6"/>
  <c r="D19" i="6"/>
  <c r="E19" i="6"/>
  <c r="F19" i="6"/>
  <c r="G19" i="6"/>
  <c r="CO14" i="12" l="1"/>
  <c r="CC15" i="12"/>
  <c r="CP11" i="12" s="1"/>
  <c r="CO2" i="12"/>
  <c r="CO3" i="12"/>
  <c r="CO4" i="12"/>
  <c r="CO5" i="12"/>
  <c r="CO6" i="12"/>
  <c r="CO12" i="12"/>
  <c r="CO11" i="12"/>
  <c r="CO13" i="12"/>
  <c r="CO9" i="12"/>
  <c r="CO7" i="12"/>
  <c r="CO10" i="12"/>
  <c r="CO8" i="12"/>
  <c r="C15" i="6"/>
  <c r="E15" i="6"/>
  <c r="G15" i="6"/>
  <c r="D15" i="6"/>
  <c r="F15" i="6"/>
  <c r="CP10" i="12" l="1"/>
  <c r="CP9" i="12"/>
  <c r="CP15" i="12"/>
  <c r="CP2" i="12"/>
  <c r="CP3" i="12"/>
  <c r="CP7" i="12"/>
  <c r="CP6" i="12"/>
  <c r="CP5" i="12"/>
  <c r="CP4" i="12"/>
  <c r="CP8" i="12"/>
  <c r="CP14" i="12"/>
  <c r="CP13" i="12"/>
  <c r="CP12" i="12"/>
  <c r="O51" i="6"/>
  <c r="N51" i="6"/>
  <c r="O50" i="6"/>
  <c r="N50" i="6"/>
  <c r="O49" i="6"/>
  <c r="O48" i="6"/>
  <c r="O47" i="6"/>
  <c r="O46" i="6"/>
  <c r="K35" i="6"/>
  <c r="O51" i="1"/>
  <c r="O50" i="1"/>
  <c r="P51" i="1"/>
  <c r="B29" i="12" l="1"/>
  <c r="G21" i="6"/>
  <c r="T21" i="6" l="1"/>
  <c r="J77" i="6"/>
  <c r="C16" i="1"/>
  <c r="C20" i="6" l="1"/>
  <c r="C16" i="6"/>
  <c r="P50" i="1"/>
  <c r="P49" i="1"/>
  <c r="P48" i="1"/>
  <c r="P47" i="1"/>
  <c r="P46" i="1"/>
  <c r="I47" i="6" l="1"/>
  <c r="G47" i="6"/>
  <c r="F47" i="6"/>
  <c r="H47" i="6"/>
  <c r="F49" i="6"/>
  <c r="S49" i="6" s="1"/>
  <c r="G49" i="6"/>
  <c r="I49" i="6"/>
  <c r="V49" i="6" s="1"/>
  <c r="H49" i="6"/>
  <c r="C21" i="6"/>
  <c r="P21" i="6" s="1"/>
  <c r="H46" i="6"/>
  <c r="I46" i="6"/>
  <c r="F46" i="6"/>
  <c r="G46" i="6"/>
  <c r="T46" i="6" s="1"/>
  <c r="I48" i="6"/>
  <c r="F48" i="6"/>
  <c r="G48" i="6"/>
  <c r="H48" i="6"/>
  <c r="U48" i="6" s="1"/>
  <c r="T48" i="6" l="1"/>
  <c r="S46" i="6"/>
  <c r="V46" i="6"/>
  <c r="V47" i="6"/>
  <c r="S48" i="6"/>
  <c r="V48" i="6"/>
  <c r="T47" i="6"/>
  <c r="U47" i="6"/>
  <c r="U49" i="6"/>
  <c r="U46" i="6"/>
  <c r="T49" i="6"/>
  <c r="S47" i="6"/>
  <c r="E72" i="1"/>
  <c r="D72" i="6"/>
  <c r="G72" i="6"/>
  <c r="H72" i="6"/>
  <c r="F72" i="6"/>
  <c r="S72" i="6" s="1"/>
  <c r="D72" i="1"/>
  <c r="I72" i="6"/>
  <c r="E72" i="6"/>
  <c r="A11" i="3"/>
  <c r="A12" i="3" s="1"/>
  <c r="A13" i="3" s="1"/>
  <c r="A14" i="3" s="1"/>
  <c r="A15" i="3" s="1"/>
  <c r="A16" i="3" s="1"/>
  <c r="A17" i="3" s="1"/>
  <c r="A18" i="3" s="1"/>
  <c r="A19" i="3" s="1"/>
  <c r="A20" i="3" s="1"/>
  <c r="A21" i="3" s="1"/>
  <c r="A22" i="3" s="1"/>
  <c r="A23" i="3" s="1"/>
  <c r="A24" i="3" s="1"/>
  <c r="K8" i="5"/>
  <c r="C17" i="5" s="1"/>
  <c r="E39" i="12" l="1"/>
  <c r="B39" i="12" s="1"/>
  <c r="E38" i="12"/>
  <c r="B38" i="12" s="1"/>
  <c r="E37" i="12"/>
  <c r="B37" i="12" s="1"/>
  <c r="E36" i="12"/>
  <c r="B36" i="12" s="1"/>
  <c r="Q72" i="6"/>
  <c r="R72" i="6"/>
  <c r="U72" i="6"/>
  <c r="T72" i="6"/>
  <c r="V72" i="6"/>
  <c r="M25" i="3"/>
  <c r="E52" i="12" l="1"/>
  <c r="B52" i="12" s="1"/>
  <c r="L25" i="3"/>
  <c r="K25" i="3"/>
  <c r="F16" i="1" l="1"/>
  <c r="F20" i="6" l="1"/>
  <c r="F16" i="6"/>
  <c r="E16" i="1"/>
  <c r="D16" i="1"/>
  <c r="E20" i="6" l="1"/>
  <c r="D16" i="6"/>
  <c r="D20" i="6"/>
  <c r="S21" i="6"/>
  <c r="F21" i="6"/>
  <c r="E16" i="6"/>
  <c r="R55" i="6" l="1"/>
  <c r="T55" i="6"/>
  <c r="V55" i="6"/>
  <c r="U55" i="6"/>
  <c r="E76" i="1"/>
  <c r="D76" i="1"/>
  <c r="E76" i="6"/>
  <c r="D76" i="6"/>
  <c r="H76" i="6"/>
  <c r="U76" i="6" s="1"/>
  <c r="F76" i="6"/>
  <c r="G76" i="6"/>
  <c r="I76" i="6"/>
  <c r="V76" i="6" s="1"/>
  <c r="E21" i="6"/>
  <c r="D21" i="6"/>
  <c r="Q21" i="6"/>
  <c r="Q76" i="6" l="1"/>
  <c r="S55" i="6"/>
  <c r="R76" i="6"/>
  <c r="R21" i="6"/>
  <c r="E31" i="12"/>
  <c r="B31" i="12" s="1"/>
  <c r="T76" i="6"/>
  <c r="S76" i="6"/>
  <c r="E56" i="12" s="1"/>
  <c r="B56" i="12" s="1"/>
  <c r="H73" i="6"/>
  <c r="F75" i="6"/>
  <c r="D75" i="1"/>
  <c r="E75" i="6"/>
  <c r="E75" i="1"/>
  <c r="G75" i="6"/>
  <c r="H75" i="6"/>
  <c r="U75" i="6" s="1"/>
  <c r="D75" i="6"/>
  <c r="I75" i="6"/>
  <c r="V75" i="6" s="1"/>
  <c r="D74" i="6"/>
  <c r="D74" i="1"/>
  <c r="D73" i="1"/>
  <c r="E73" i="1"/>
  <c r="G73" i="6"/>
  <c r="D73" i="6"/>
  <c r="E73" i="6"/>
  <c r="F73" i="6"/>
  <c r="I73" i="6"/>
  <c r="Q75" i="6" l="1"/>
  <c r="T75" i="6"/>
  <c r="S75" i="6"/>
  <c r="Q73" i="6"/>
  <c r="R75" i="6"/>
  <c r="Q74" i="6"/>
  <c r="E54" i="12" s="1"/>
  <c r="B54" i="12" s="1"/>
  <c r="Q82" i="6"/>
  <c r="E55" i="12" l="1"/>
  <c r="B55" i="12" s="1"/>
  <c r="E53" i="12"/>
  <c r="B53" i="12" s="1"/>
  <c r="E59" i="12"/>
  <c r="B59" i="12" s="1"/>
  <c r="K35" i="1" l="1"/>
  <c r="K82" i="1" l="1"/>
  <c r="K66" i="6" l="1"/>
  <c r="J85" i="6"/>
  <c r="J67" i="6"/>
  <c r="W67" i="6" s="1"/>
  <c r="K66" i="1"/>
  <c r="J67" i="1"/>
  <c r="K85" i="6" l="1"/>
  <c r="J86" i="6"/>
  <c r="K85" i="1"/>
  <c r="W86" i="6" l="1"/>
  <c r="J27" i="1" l="1"/>
  <c r="J28" i="1" s="1"/>
  <c r="I27" i="1"/>
  <c r="I28" i="1" s="1"/>
  <c r="G27" i="1"/>
  <c r="G28" i="1" s="1"/>
  <c r="H27" i="1"/>
  <c r="H55" i="6" s="1"/>
  <c r="H28" i="1"/>
  <c r="F27" i="1"/>
  <c r="F28" i="1" s="1"/>
  <c r="C27" i="6"/>
  <c r="I27" i="6" s="1"/>
  <c r="I28" i="6" s="1"/>
  <c r="E27" i="1"/>
  <c r="E55" i="6" s="1"/>
  <c r="D63" i="6"/>
  <c r="K63" i="6" s="1"/>
  <c r="D27" i="1"/>
  <c r="D55" i="6" s="1"/>
  <c r="G32" i="1" l="1"/>
  <c r="G54" i="1" s="1"/>
  <c r="G34" i="1"/>
  <c r="G57" i="1" s="1"/>
  <c r="G31" i="1"/>
  <c r="G53" i="1" s="1"/>
  <c r="G33" i="1"/>
  <c r="G56" i="1" s="1"/>
  <c r="I31" i="1"/>
  <c r="I53" i="1" s="1"/>
  <c r="I32" i="1"/>
  <c r="I54" i="1" s="1"/>
  <c r="I34" i="1"/>
  <c r="I57" i="1" s="1"/>
  <c r="I33" i="1"/>
  <c r="I56" i="1" s="1"/>
  <c r="F32" i="1"/>
  <c r="F54" i="1" s="1"/>
  <c r="F34" i="1"/>
  <c r="F57" i="1" s="1"/>
  <c r="F31" i="1"/>
  <c r="F53" i="1" s="1"/>
  <c r="F33" i="1"/>
  <c r="F56" i="1" s="1"/>
  <c r="H33" i="6"/>
  <c r="H34" i="1"/>
  <c r="H57" i="1" s="1"/>
  <c r="H31" i="1"/>
  <c r="H53" i="1" s="1"/>
  <c r="H33" i="1"/>
  <c r="H56" i="1" s="1"/>
  <c r="H32" i="1"/>
  <c r="H54" i="1" s="1"/>
  <c r="I55" i="6"/>
  <c r="G34" i="6"/>
  <c r="G32" i="6"/>
  <c r="G31" i="6"/>
  <c r="G33" i="6"/>
  <c r="I34" i="6"/>
  <c r="I33" i="6"/>
  <c r="I32" i="6"/>
  <c r="I31" i="6"/>
  <c r="F31" i="6"/>
  <c r="F33" i="6"/>
  <c r="F34" i="6"/>
  <c r="F32" i="6"/>
  <c r="G55" i="6"/>
  <c r="E28" i="1"/>
  <c r="H31" i="6"/>
  <c r="J27" i="6"/>
  <c r="J28" i="6" s="1"/>
  <c r="H34" i="6"/>
  <c r="H32" i="6"/>
  <c r="H27" i="6"/>
  <c r="H28" i="6" s="1"/>
  <c r="F55" i="6"/>
  <c r="G27" i="6"/>
  <c r="G28" i="6" s="1"/>
  <c r="D27" i="6"/>
  <c r="K27" i="1"/>
  <c r="D28" i="1"/>
  <c r="E27" i="6"/>
  <c r="E28" i="6" s="1"/>
  <c r="F27" i="6"/>
  <c r="F28" i="6" s="1"/>
  <c r="H64" i="1" l="1"/>
  <c r="H64" i="6"/>
  <c r="I64" i="1"/>
  <c r="I64" i="6"/>
  <c r="F64" i="1"/>
  <c r="F64" i="6"/>
  <c r="G64" i="1"/>
  <c r="G64" i="6"/>
  <c r="V33" i="6"/>
  <c r="I56" i="6"/>
  <c r="V56" i="6" s="1"/>
  <c r="I54" i="6"/>
  <c r="V54" i="6" s="1"/>
  <c r="V32" i="6"/>
  <c r="I53" i="6"/>
  <c r="V53" i="6" s="1"/>
  <c r="V31" i="6"/>
  <c r="I36" i="1"/>
  <c r="U33" i="6"/>
  <c r="H56" i="6"/>
  <c r="U56" i="6" s="1"/>
  <c r="V34" i="6"/>
  <c r="I57" i="6"/>
  <c r="V57" i="6" s="1"/>
  <c r="S33" i="6"/>
  <c r="F56" i="6"/>
  <c r="S56" i="6" s="1"/>
  <c r="T33" i="6"/>
  <c r="G56" i="6"/>
  <c r="T56" i="6" s="1"/>
  <c r="H53" i="6"/>
  <c r="U53" i="6" s="1"/>
  <c r="U31" i="6"/>
  <c r="H36" i="1"/>
  <c r="F53" i="6"/>
  <c r="S53" i="6" s="1"/>
  <c r="S31" i="6"/>
  <c r="F36" i="1"/>
  <c r="T31" i="6"/>
  <c r="G36" i="1"/>
  <c r="G53" i="6"/>
  <c r="T53" i="6" s="1"/>
  <c r="U34" i="6"/>
  <c r="H57" i="6"/>
  <c r="U57" i="6" s="1"/>
  <c r="F57" i="6"/>
  <c r="S57" i="6" s="1"/>
  <c r="S34" i="6"/>
  <c r="T34" i="6"/>
  <c r="G57" i="6"/>
  <c r="T57" i="6" s="1"/>
  <c r="I36" i="6"/>
  <c r="U32" i="6"/>
  <c r="H54" i="6"/>
  <c r="U54" i="6" s="1"/>
  <c r="S32" i="6"/>
  <c r="F54" i="6"/>
  <c r="S54" i="6" s="1"/>
  <c r="T32" i="6"/>
  <c r="G54" i="6"/>
  <c r="T54" i="6" s="1"/>
  <c r="F36" i="6"/>
  <c r="D33" i="1"/>
  <c r="D56" i="1" s="1"/>
  <c r="D34" i="1"/>
  <c r="D57" i="1" s="1"/>
  <c r="D31" i="1"/>
  <c r="D53" i="1" s="1"/>
  <c r="D32" i="1"/>
  <c r="D54" i="1" s="1"/>
  <c r="K28" i="1"/>
  <c r="E34" i="6"/>
  <c r="E31" i="6"/>
  <c r="E33" i="6"/>
  <c r="E32" i="6"/>
  <c r="E34" i="1"/>
  <c r="E57" i="1" s="1"/>
  <c r="E33" i="1"/>
  <c r="E32" i="1"/>
  <c r="E54" i="1" s="1"/>
  <c r="E31" i="1"/>
  <c r="E53" i="1" s="1"/>
  <c r="H36" i="6"/>
  <c r="G36" i="6"/>
  <c r="D28" i="6"/>
  <c r="K27" i="6"/>
  <c r="E35" i="12" l="1"/>
  <c r="B35" i="12" s="1"/>
  <c r="E32" i="12"/>
  <c r="B32" i="12" s="1"/>
  <c r="G83" i="1"/>
  <c r="T64" i="6"/>
  <c r="G83" i="6"/>
  <c r="K54" i="1"/>
  <c r="F83" i="1"/>
  <c r="S64" i="6"/>
  <c r="F83" i="6"/>
  <c r="E56" i="6"/>
  <c r="E56" i="1"/>
  <c r="K56" i="1" s="1"/>
  <c r="K53" i="1"/>
  <c r="D64" i="6"/>
  <c r="D64" i="1"/>
  <c r="I83" i="1"/>
  <c r="V64" i="6"/>
  <c r="I83" i="6"/>
  <c r="K57" i="1"/>
  <c r="H83" i="1"/>
  <c r="U64" i="6"/>
  <c r="H83" i="6"/>
  <c r="E34" i="12"/>
  <c r="B34" i="12" s="1"/>
  <c r="E33" i="12"/>
  <c r="B33" i="12" s="1"/>
  <c r="E61" i="1"/>
  <c r="E80" i="1" s="1"/>
  <c r="E36" i="1"/>
  <c r="E61" i="6"/>
  <c r="E53" i="6"/>
  <c r="R53" i="6" s="1"/>
  <c r="D62" i="1"/>
  <c r="D81" i="1" s="1"/>
  <c r="D62" i="6"/>
  <c r="D54" i="6"/>
  <c r="Q54" i="6" s="1"/>
  <c r="E41" i="12" s="1"/>
  <c r="B41" i="12" s="1"/>
  <c r="K32" i="1"/>
  <c r="E36" i="6"/>
  <c r="E62" i="6"/>
  <c r="E62" i="1"/>
  <c r="E54" i="6"/>
  <c r="R54" i="6" s="1"/>
  <c r="D61" i="6"/>
  <c r="D53" i="6"/>
  <c r="Q53" i="6" s="1"/>
  <c r="E40" i="12" s="1"/>
  <c r="B40" i="12" s="1"/>
  <c r="D61" i="1"/>
  <c r="D80" i="1" s="1"/>
  <c r="K31" i="1"/>
  <c r="D36" i="1"/>
  <c r="D65" i="1"/>
  <c r="D84" i="1" s="1"/>
  <c r="D57" i="6"/>
  <c r="Q57" i="6" s="1"/>
  <c r="K34" i="1"/>
  <c r="D65" i="6"/>
  <c r="D32" i="6"/>
  <c r="K32" i="6" s="1"/>
  <c r="D31" i="6"/>
  <c r="D33" i="6"/>
  <c r="K33" i="6" s="1"/>
  <c r="K28" i="6"/>
  <c r="D34" i="6"/>
  <c r="K34" i="6" s="1"/>
  <c r="E65" i="1"/>
  <c r="E57" i="6"/>
  <c r="R57" i="6" s="1"/>
  <c r="E65" i="6"/>
  <c r="K33" i="1"/>
  <c r="S83" i="6" l="1"/>
  <c r="E47" i="12"/>
  <c r="B47" i="12" s="1"/>
  <c r="V83" i="6"/>
  <c r="U83" i="6"/>
  <c r="E44" i="12"/>
  <c r="B44" i="12" s="1"/>
  <c r="D83" i="1"/>
  <c r="D83" i="6"/>
  <c r="E64" i="6"/>
  <c r="K64" i="6" s="1"/>
  <c r="E64" i="1"/>
  <c r="E67" i="1" s="1"/>
  <c r="E84" i="6"/>
  <c r="E84" i="1"/>
  <c r="E81" i="6"/>
  <c r="E81" i="1"/>
  <c r="R56" i="6"/>
  <c r="T83" i="6"/>
  <c r="K36" i="1"/>
  <c r="D81" i="6"/>
  <c r="Q81" i="6" s="1"/>
  <c r="D80" i="6"/>
  <c r="D84" i="6"/>
  <c r="Q84" i="6" s="1"/>
  <c r="K31" i="6"/>
  <c r="D36" i="6"/>
  <c r="K36" i="6" s="1"/>
  <c r="E80" i="6"/>
  <c r="R80" i="6" s="1"/>
  <c r="E67" i="6" l="1"/>
  <c r="R67" i="6" s="1"/>
  <c r="R81" i="6"/>
  <c r="Q83" i="6"/>
  <c r="D86" i="1"/>
  <c r="E83" i="1"/>
  <c r="E83" i="6"/>
  <c r="R83" i="6" s="1"/>
  <c r="E86" i="6"/>
  <c r="E86" i="1"/>
  <c r="R84" i="6"/>
  <c r="K64" i="1"/>
  <c r="Q55" i="6"/>
  <c r="E42" i="12" s="1"/>
  <c r="D67" i="6"/>
  <c r="D63" i="1"/>
  <c r="D67" i="1" s="1"/>
  <c r="D56" i="6"/>
  <c r="Q56" i="6" s="1"/>
  <c r="E43" i="12" s="1"/>
  <c r="B43" i="12" s="1"/>
  <c r="K55" i="1"/>
  <c r="K59" i="1" s="1"/>
  <c r="R86" i="6" l="1"/>
  <c r="E60" i="12"/>
  <c r="B60" i="12" s="1"/>
  <c r="K63" i="1"/>
  <c r="D82" i="6"/>
  <c r="K82" i="6" s="1"/>
  <c r="D68" i="6"/>
  <c r="Q67" i="6"/>
  <c r="D68" i="1"/>
  <c r="B42" i="12"/>
  <c r="D69" i="1" l="1"/>
  <c r="E68" i="1"/>
  <c r="F61" i="1" s="1"/>
  <c r="D69" i="6"/>
  <c r="E68" i="6"/>
  <c r="Q69" i="6" l="1"/>
  <c r="E69" i="6"/>
  <c r="E69" i="1"/>
  <c r="R68" i="6"/>
  <c r="D86" i="6"/>
  <c r="Q80" i="6"/>
  <c r="Q86" i="6" l="1"/>
  <c r="F65" i="1"/>
  <c r="F62" i="1"/>
  <c r="R69" i="6"/>
  <c r="F62" i="6"/>
  <c r="F61" i="6"/>
  <c r="S61" i="6" s="1"/>
  <c r="F80" i="1"/>
  <c r="F80" i="6"/>
  <c r="F67" i="1" l="1"/>
  <c r="F68" i="1" s="1"/>
  <c r="G61" i="1" s="1"/>
  <c r="F65" i="6"/>
  <c r="S65" i="6" s="1"/>
  <c r="F67" i="6"/>
  <c r="S80" i="6"/>
  <c r="F81" i="1"/>
  <c r="S62" i="6"/>
  <c r="F81" i="6"/>
  <c r="F84" i="1"/>
  <c r="F84" i="6"/>
  <c r="S67" i="6" l="1"/>
  <c r="F68" i="6"/>
  <c r="S68" i="6" s="1"/>
  <c r="F69" i="6"/>
  <c r="F86" i="1"/>
  <c r="F86" i="6"/>
  <c r="F69" i="1"/>
  <c r="S84" i="6"/>
  <c r="S81" i="6"/>
  <c r="S86" i="6" l="1"/>
  <c r="G80" i="1"/>
  <c r="G80" i="6"/>
  <c r="G62" i="1"/>
  <c r="G65" i="6" s="1"/>
  <c r="G65" i="1"/>
  <c r="S69" i="6"/>
  <c r="G62" i="6"/>
  <c r="G61" i="6"/>
  <c r="G67" i="6" l="1"/>
  <c r="T65" i="6"/>
  <c r="G67" i="1"/>
  <c r="T80" i="6"/>
  <c r="T61" i="6"/>
  <c r="G84" i="1"/>
  <c r="G84" i="6"/>
  <c r="G81" i="1"/>
  <c r="T62" i="6"/>
  <c r="G81" i="6"/>
  <c r="G86" i="1" l="1"/>
  <c r="T67" i="6"/>
  <c r="T81" i="6"/>
  <c r="G86" i="6"/>
  <c r="G68" i="1"/>
  <c r="H61" i="1" s="1"/>
  <c r="G68" i="6"/>
  <c r="G69" i="6"/>
  <c r="T84" i="6"/>
  <c r="G69" i="1" l="1"/>
  <c r="T68" i="6"/>
  <c r="T86" i="6"/>
  <c r="H80" i="1" l="1"/>
  <c r="H80" i="6"/>
  <c r="H62" i="1"/>
  <c r="H65" i="1"/>
  <c r="T69" i="6"/>
  <c r="H62" i="6"/>
  <c r="H61" i="6"/>
  <c r="U61" i="6" s="1"/>
  <c r="H81" i="1" l="1"/>
  <c r="U62" i="6"/>
  <c r="H81" i="6"/>
  <c r="H67" i="1"/>
  <c r="U80" i="6"/>
  <c r="H67" i="6"/>
  <c r="H65" i="6"/>
  <c r="H84" i="1"/>
  <c r="H84" i="6"/>
  <c r="H86" i="6" l="1"/>
  <c r="H86" i="1"/>
  <c r="U67" i="6"/>
  <c r="U81" i="6"/>
  <c r="U84" i="6"/>
  <c r="H68" i="1"/>
  <c r="I61" i="1" s="1"/>
  <c r="H68" i="6"/>
  <c r="H69" i="6"/>
  <c r="U65" i="6"/>
  <c r="U86" i="6" l="1"/>
  <c r="H69" i="1"/>
  <c r="U68" i="6"/>
  <c r="I80" i="1" l="1"/>
  <c r="I80" i="6"/>
  <c r="K61" i="1"/>
  <c r="I62" i="1"/>
  <c r="I65" i="6" s="1"/>
  <c r="K65" i="6" s="1"/>
  <c r="I65" i="1"/>
  <c r="U69" i="6"/>
  <c r="I62" i="6"/>
  <c r="I61" i="6"/>
  <c r="I67" i="6" l="1"/>
  <c r="I84" i="1"/>
  <c r="K84" i="1" s="1"/>
  <c r="V65" i="6"/>
  <c r="E48" i="12" s="1"/>
  <c r="B48" i="12" s="1"/>
  <c r="I84" i="6"/>
  <c r="K65" i="1"/>
  <c r="V61" i="6"/>
  <c r="K61" i="6"/>
  <c r="I67" i="1"/>
  <c r="V80" i="6"/>
  <c r="E57" i="12" s="1"/>
  <c r="B57" i="12" s="1"/>
  <c r="K80" i="6"/>
  <c r="I81" i="1"/>
  <c r="K81" i="1" s="1"/>
  <c r="I81" i="6"/>
  <c r="K62" i="1"/>
  <c r="V62" i="6"/>
  <c r="E46" i="12" s="1"/>
  <c r="B46" i="12" s="1"/>
  <c r="K62" i="6"/>
  <c r="K80" i="1"/>
  <c r="K67" i="1" l="1"/>
  <c r="I86" i="6"/>
  <c r="K86" i="6" s="1"/>
  <c r="K67" i="6"/>
  <c r="V81" i="6"/>
  <c r="E58" i="12" s="1"/>
  <c r="B58" i="12" s="1"/>
  <c r="K81" i="6"/>
  <c r="I68" i="1"/>
  <c r="I68" i="6"/>
  <c r="I69" i="6"/>
  <c r="E45" i="12"/>
  <c r="V84" i="6"/>
  <c r="E61" i="12" s="1"/>
  <c r="B61" i="12" s="1"/>
  <c r="K84" i="6"/>
  <c r="I86" i="1"/>
  <c r="K86" i="1" s="1"/>
  <c r="K39" i="1" s="1"/>
  <c r="V67" i="6"/>
  <c r="E49" i="12" s="1"/>
  <c r="B49" i="12" s="1"/>
  <c r="V68" i="6" l="1"/>
  <c r="I69" i="1"/>
  <c r="J68" i="1"/>
  <c r="J68" i="6"/>
  <c r="B45" i="12"/>
  <c r="V86" i="6"/>
  <c r="E62" i="12" s="1"/>
  <c r="B62" i="12" s="1"/>
  <c r="J69" i="1" l="1"/>
  <c r="W68" i="6"/>
  <c r="E50" i="12" s="1"/>
  <c r="V69" i="6"/>
  <c r="J69" i="6"/>
  <c r="C7" i="1" l="1"/>
  <c r="C9" i="1"/>
  <c r="C8" i="1"/>
  <c r="B50" i="12"/>
  <c r="W69" i="6"/>
  <c r="E51" i="12" s="1"/>
  <c r="B51" i="12" s="1"/>
  <c r="A6" i="1" l="1"/>
  <c r="B17" i="12"/>
</calcChain>
</file>

<file path=xl/sharedStrings.xml><?xml version="1.0" encoding="utf-8"?>
<sst xmlns="http://schemas.openxmlformats.org/spreadsheetml/2006/main" count="647" uniqueCount="448">
  <si>
    <t>March</t>
  </si>
  <si>
    <t>April</t>
  </si>
  <si>
    <t>May</t>
  </si>
  <si>
    <t>June</t>
  </si>
  <si>
    <t>July</t>
  </si>
  <si>
    <t>August</t>
  </si>
  <si>
    <t>September</t>
  </si>
  <si>
    <t>Liquidation</t>
  </si>
  <si>
    <t>Discount</t>
  </si>
  <si>
    <t>Unit Share</t>
  </si>
  <si>
    <t>Store</t>
  </si>
  <si>
    <t>New York</t>
  </si>
  <si>
    <t>Boston</t>
  </si>
  <si>
    <t xml:space="preserve">Washington </t>
  </si>
  <si>
    <t>Chicago</t>
  </si>
  <si>
    <t>Los Angeles</t>
  </si>
  <si>
    <t>Dallas</t>
  </si>
  <si>
    <t>Atlanta</t>
  </si>
  <si>
    <t>Miami</t>
  </si>
  <si>
    <t>Denver</t>
  </si>
  <si>
    <t>Seattle</t>
  </si>
  <si>
    <t>San Francisco</t>
  </si>
  <si>
    <t>Cleveland</t>
  </si>
  <si>
    <t>Houston</t>
  </si>
  <si>
    <t>St Louis</t>
  </si>
  <si>
    <t>Pittsburg</t>
  </si>
  <si>
    <t>Product A</t>
  </si>
  <si>
    <t>Product B</t>
  </si>
  <si>
    <t>Product C</t>
  </si>
  <si>
    <t>Enter the Price Elasticity of Demand of Each Channel</t>
  </si>
  <si>
    <t>Results of Selected Store Discounts on Sales Volumes</t>
  </si>
  <si>
    <t>Total</t>
  </si>
  <si>
    <t>Expected Unit Sales (Before Discounts)</t>
  </si>
  <si>
    <t>Actual Unit Sales</t>
  </si>
  <si>
    <t>Third-Party eCommerce Websites' Discount Rates</t>
  </si>
  <si>
    <t>Company eCommerce Website Discount Rates</t>
  </si>
  <si>
    <t>Note: This is how you should read the chart above.</t>
  </si>
  <si>
    <t>Company eCommerce Website Unit Sales After Discounts for Product D</t>
  </si>
  <si>
    <t>Company eCommerce Website</t>
  </si>
  <si>
    <t>Company Brick &amp; Mortar Stores</t>
  </si>
  <si>
    <t>Third-Party Brick &amp; Mortar Stores</t>
  </si>
  <si>
    <t>Third-Party eCommerce Websites</t>
  </si>
  <si>
    <t>Forecast</t>
  </si>
  <si>
    <t>Retail Price</t>
  </si>
  <si>
    <t>Freight</t>
  </si>
  <si>
    <t>Financial Model</t>
  </si>
  <si>
    <t>Total Sales</t>
  </si>
  <si>
    <t>Cumulative Sales</t>
  </si>
  <si>
    <t>Total Demand</t>
  </si>
  <si>
    <t>Total Contribution</t>
  </si>
  <si>
    <t>Elasticity Multiplier by Channel by Month</t>
  </si>
  <si>
    <t>Sales by Channel by Month</t>
  </si>
  <si>
    <t>Contribution by Channel by Month</t>
  </si>
  <si>
    <t>By Channel</t>
  </si>
  <si>
    <t>Seasonality</t>
  </si>
  <si>
    <t>Baseline Demand by Channel by Month</t>
  </si>
  <si>
    <t>Actual</t>
  </si>
  <si>
    <t>Actual Demand by Channel by Month</t>
  </si>
  <si>
    <t>Residual Supply</t>
  </si>
  <si>
    <t>Demand by Month</t>
  </si>
  <si>
    <t>Unit Cost of Goods</t>
  </si>
  <si>
    <t>Handling Deliveries</t>
  </si>
  <si>
    <t>Handling Returns</t>
  </si>
  <si>
    <t>Elasticity</t>
  </si>
  <si>
    <t>Marginal Contribution</t>
  </si>
  <si>
    <t>Combined</t>
  </si>
  <si>
    <t>Marginal Contribution Post-Retail Discount by Channel by Month</t>
  </si>
  <si>
    <t>Third-Party eCommerce Website Unit Sales After Discounts for Product D</t>
  </si>
  <si>
    <t>If a Company eCommerce Website Discount is 10% and the Third-Party Websites Discount is 5%, then the Company sees unit sales of 115.</t>
  </si>
  <si>
    <t>This is greater than the unit sales the Company eCommerce Website sees when there is 0% discounting across the board -- 100 units.</t>
  </si>
  <si>
    <t>If a Company eCommerce Website Discount is 5% and the Third-Party Websites Discount is 15%, then the Third-Party Websites sees unit sales of 125.</t>
  </si>
  <si>
    <t>This is greater than the unit sales the Third-Party eCommerce Website sees when there is 0% discounting across the board -- 100 units.</t>
  </si>
  <si>
    <t xml:space="preserve">Column C presents the elasticity of demand of the Company eCommerce Website. </t>
  </si>
  <si>
    <t xml:space="preserve">Row 8 presents the elasticity of demand of the Third-Party Websites. </t>
  </si>
  <si>
    <t>Columns D through F add the cross elasticity relative to Third-Party eCommerce Websites.</t>
  </si>
  <si>
    <t>Rows 24 through 26 add the cross elasticity relative to the Company eCommerce Website.</t>
  </si>
  <si>
    <t>Enter the Cross Elasticity of Demand of Company Website with respect to Drop-ship Website discounts.</t>
  </si>
  <si>
    <t>Company Website Cross Elasticity to Third-Party Website Discounts</t>
  </si>
  <si>
    <t>Third-Party Website Cross Elasticity to Company Website Discounts</t>
  </si>
  <si>
    <t>Retail Premium (Discount) by Channel by Month</t>
  </si>
  <si>
    <t xml:space="preserve">        </t>
  </si>
  <si>
    <t xml:space="preserve"> </t>
  </si>
  <si>
    <t>Vairiable Costs</t>
  </si>
  <si>
    <t>Third-Party Brick &amp; Mortar Stores - Incremental</t>
  </si>
  <si>
    <t>Third-Party Brick &amp; Mortar Stores - Firm</t>
  </si>
  <si>
    <t>Shade errors in red on Elasticity sheet rather than message "Your answer is Correct" for consistency.</t>
  </si>
  <si>
    <t>Unit Revenues for Company</t>
  </si>
  <si>
    <t>Third-Party Discount</t>
  </si>
  <si>
    <t>Unit Price, Cost, Marginal Contribution by Channel</t>
  </si>
  <si>
    <t>Discounting</t>
  </si>
  <si>
    <t>Allocating</t>
  </si>
  <si>
    <t>Lower</t>
  </si>
  <si>
    <t>Upper</t>
  </si>
  <si>
    <t>Selected</t>
  </si>
  <si>
    <t>Discount/Premium Limit</t>
  </si>
  <si>
    <t>Elasticity of Demand</t>
  </si>
  <si>
    <t>Empty</t>
  </si>
  <si>
    <t>Correct</t>
  </si>
  <si>
    <t>Wrong</t>
  </si>
  <si>
    <t>Marginal Contribution After Retail Discount by Channel by Month</t>
  </si>
  <si>
    <t>What You Learn by Performing this Case</t>
  </si>
  <si>
    <t xml:space="preserve">Technical Skills: </t>
  </si>
  <si>
    <r>
      <t>·</t>
    </r>
    <r>
      <rPr>
        <sz val="7"/>
        <color theme="1"/>
        <rFont val="Times New Roman"/>
        <family val="1"/>
      </rPr>
      <t xml:space="preserve">       </t>
    </r>
    <r>
      <rPr>
        <sz val="10"/>
        <color theme="1"/>
        <rFont val="Times New Roman"/>
        <family val="1"/>
      </rPr>
      <t xml:space="preserve">You will compete with your fellow students to develop the best merchandising plan.  </t>
    </r>
  </si>
  <si>
    <r>
      <t>·</t>
    </r>
    <r>
      <rPr>
        <sz val="7"/>
        <color theme="1"/>
        <rFont val="Times New Roman"/>
        <family val="1"/>
      </rPr>
      <t xml:space="preserve">       </t>
    </r>
    <r>
      <rPr>
        <sz val="10"/>
        <color theme="1"/>
        <rFont val="Times New Roman"/>
        <family val="1"/>
      </rPr>
      <t>We will apply our “business simulator” to calculate the profitability of each students proposed plan.</t>
    </r>
  </si>
  <si>
    <t xml:space="preserve">Fundamental Analysis Skills: </t>
  </si>
  <si>
    <r>
      <t>·</t>
    </r>
    <r>
      <rPr>
        <sz val="7"/>
        <color theme="1"/>
        <rFont val="Times New Roman"/>
        <family val="1"/>
      </rPr>
      <t xml:space="preserve">       </t>
    </r>
    <r>
      <rPr>
        <sz val="10"/>
        <color theme="1"/>
        <rFont val="Times New Roman"/>
        <family val="1"/>
      </rPr>
      <t xml:space="preserve">This case’s chief emphasis is problem solving.  You are required to think through how to structure the model to achieve the correct answer.   There are many ways to solve this case and independent thinking is required. </t>
    </r>
  </si>
  <si>
    <r>
      <t>·</t>
    </r>
    <r>
      <rPr>
        <sz val="7"/>
        <color theme="1"/>
        <rFont val="Times New Roman"/>
        <family val="1"/>
      </rPr>
      <t xml:space="preserve">       </t>
    </r>
    <r>
      <rPr>
        <sz val="10"/>
        <color theme="1"/>
        <rFont val="Times New Roman"/>
        <family val="1"/>
      </rPr>
      <t>The model will forecast the lost variable margin of alternative allocation plans when there is a shortage of supply. (Reminder: variable costs are costs that rise and fall with unit sales.)</t>
    </r>
  </si>
  <si>
    <r>
      <t>·</t>
    </r>
    <r>
      <rPr>
        <sz val="7"/>
        <color theme="1"/>
        <rFont val="Times New Roman"/>
        <family val="1"/>
      </rPr>
      <t xml:space="preserve">       </t>
    </r>
    <r>
      <rPr>
        <sz val="10"/>
        <color theme="1"/>
        <rFont val="Times New Roman"/>
        <family val="1"/>
      </rPr>
      <t>The model will similarly forecast the lost variable margin of alternative discounting plans when there is an excess of supply.  (Aside: retailers lower prices to ‘move’ inventory that hasn’t sold, i.e., their excess supply.)</t>
    </r>
  </si>
  <si>
    <r>
      <t>·</t>
    </r>
    <r>
      <rPr>
        <sz val="7"/>
        <color theme="1"/>
        <rFont val="Times New Roman"/>
        <family val="1"/>
      </rPr>
      <t xml:space="preserve">       </t>
    </r>
    <r>
      <rPr>
        <sz val="10"/>
        <color theme="1"/>
        <rFont val="Times New Roman"/>
        <family val="1"/>
      </rPr>
      <t xml:space="preserve">You will use the model to </t>
    </r>
    <r>
      <rPr>
        <sz val="10"/>
        <color rgb="FF000000"/>
        <rFont val="Times New Roman"/>
        <family val="1"/>
      </rPr>
      <t>develop the best merchandising plan under both excess and short supply scenarios.</t>
    </r>
    <r>
      <rPr>
        <sz val="10"/>
        <color theme="1"/>
        <rFont val="Times New Roman"/>
        <family val="1"/>
      </rPr>
      <t xml:space="preserve">  </t>
    </r>
  </si>
  <si>
    <t>Case Description</t>
  </si>
  <si>
    <t>Your company is “omnichannel”, which means that you distribute your goods through every distribution channel:</t>
  </si>
  <si>
    <r>
      <t>·</t>
    </r>
    <r>
      <rPr>
        <sz val="7"/>
        <color theme="1"/>
        <rFont val="Times New Roman"/>
        <family val="1"/>
      </rPr>
      <t xml:space="preserve">       </t>
    </r>
    <r>
      <rPr>
        <sz val="10"/>
        <color theme="1"/>
        <rFont val="Times New Roman"/>
        <family val="1"/>
      </rPr>
      <t>Company Brick &amp; Mortar Stores – you operate a network of 15 company stores through which you distribute your products</t>
    </r>
  </si>
  <si>
    <r>
      <t>·</t>
    </r>
    <r>
      <rPr>
        <sz val="7"/>
        <color theme="1"/>
        <rFont val="Times New Roman"/>
        <family val="1"/>
      </rPr>
      <t xml:space="preserve">       </t>
    </r>
    <r>
      <rPr>
        <sz val="10"/>
        <color theme="1"/>
        <rFont val="Times New Roman"/>
        <family val="1"/>
      </rPr>
      <t>Company eCommerce Website – you operate a company-owned and branded website through which you distribute your products</t>
    </r>
  </si>
  <si>
    <r>
      <t>·</t>
    </r>
    <r>
      <rPr>
        <sz val="7"/>
        <color theme="1"/>
        <rFont val="Times New Roman"/>
        <family val="1"/>
      </rPr>
      <t xml:space="preserve">       </t>
    </r>
    <r>
      <rPr>
        <sz val="10"/>
        <color theme="1"/>
        <rFont val="Times New Roman"/>
        <family val="1"/>
      </rPr>
      <t>Third-Party Brick &amp; Mortar Stores – sales to third-party retailers, primarily department stores such as Saks, Neiman Marcus and Nordstrom.</t>
    </r>
  </si>
  <si>
    <r>
      <t>·</t>
    </r>
    <r>
      <rPr>
        <sz val="7"/>
        <color theme="1"/>
        <rFont val="Times New Roman"/>
        <family val="1"/>
      </rPr>
      <t xml:space="preserve">       </t>
    </r>
    <r>
      <rPr>
        <sz val="10"/>
        <color theme="1"/>
        <rFont val="Times New Roman"/>
        <family val="1"/>
      </rPr>
      <t xml:space="preserve">Liquidation – a variety of “liquidators” or odd-lot stores and websites that sell excess stock at distressed prices, such as Overstock.com, Gilt.com, Liquidation.com.  </t>
    </r>
  </si>
  <si>
    <t>Case Instructions</t>
  </si>
  <si>
    <t>The “Fun Frill Fashion Merchandising Plan” Workbook contains all of the required data, an “Elasticity” sheet on which you will enter your results of Phase I and a “Model” sheet on which you will develop your model in Phase II and complete your analyses in Phase III and IV.</t>
  </si>
  <si>
    <t xml:space="preserve">Phase I – Price Elasticity </t>
  </si>
  <si>
    <r>
      <t>·</t>
    </r>
    <r>
      <rPr>
        <sz val="7"/>
        <color theme="1"/>
        <rFont val="Times New Roman"/>
        <family val="1"/>
      </rPr>
      <t xml:space="preserve">       </t>
    </r>
    <r>
      <rPr>
        <sz val="10"/>
        <color theme="1"/>
        <rFont val="Times New Roman"/>
        <family val="1"/>
      </rPr>
      <t>If the marginal revenue were greater than the marginal cost the quantity transacted will increase to return the market to equilibrium</t>
    </r>
  </si>
  <si>
    <r>
      <t>·</t>
    </r>
    <r>
      <rPr>
        <sz val="7"/>
        <color theme="1"/>
        <rFont val="Times New Roman"/>
        <family val="1"/>
      </rPr>
      <t xml:space="preserve">       </t>
    </r>
    <r>
      <rPr>
        <sz val="10"/>
        <color theme="1"/>
        <rFont val="Times New Roman"/>
        <family val="1"/>
      </rPr>
      <t>If the marginal revenue were less than the marginal cost the quantity transacted will decline to return the market to equilibrium</t>
    </r>
  </si>
  <si>
    <t>Price Elasticity of Demand</t>
  </si>
  <si>
    <t>Price elasticity of demand is a measure of the change in the quantity purchased of a product in relation to a change in its price.</t>
  </si>
  <si>
    <t>Price Elasticity of Demand = (% Change in Quantity Demanded) / (% Change in Price)</t>
  </si>
  <si>
    <t>(% Change in Quantity Demanded) = (Price Elasticity of Demand) * (% Change in Price)</t>
  </si>
  <si>
    <t>Cross Elasticity of Demand</t>
  </si>
  <si>
    <t>The cross elasticity of demand refers to how sensitive the demand for a product is to changes in the price of another product.</t>
  </si>
  <si>
    <t>Cross Elasticity of Demand = (% Change in Quantity Demanded for A) / (% Change in Price of B)</t>
  </si>
  <si>
    <t xml:space="preserve"> (% Change in Quantity Demanded for A) = (Price Elasticity of Demand) *(% Change in Price of B)</t>
  </si>
  <si>
    <t>Data Provided</t>
  </si>
  <si>
    <r>
      <t>·</t>
    </r>
    <r>
      <rPr>
        <sz val="7"/>
        <color theme="1"/>
        <rFont val="Times New Roman"/>
        <family val="1"/>
      </rPr>
      <t xml:space="preserve">       </t>
    </r>
    <r>
      <rPr>
        <sz val="10"/>
        <color theme="1"/>
        <rFont val="Times New Roman"/>
        <family val="1"/>
      </rPr>
      <t>Company Stores sheet – Historical data on three products across 15 company stores that you will use to calculate the elasticity of demand for Company Brick &amp; Mortar Stores.</t>
    </r>
  </si>
  <si>
    <r>
      <t>·</t>
    </r>
    <r>
      <rPr>
        <sz val="7"/>
        <color theme="1"/>
        <rFont val="Times New Roman"/>
        <family val="1"/>
      </rPr>
      <t xml:space="preserve">       </t>
    </r>
    <r>
      <rPr>
        <sz val="10"/>
        <color theme="1"/>
        <rFont val="Times New Roman"/>
        <family val="1"/>
      </rPr>
      <t>Company Website sheet – Historical data that you will use to calculate the elasticity and cross-elasticity of demand across selected cohorts of customers what have strategically been selected to provide differing levels of retail discounts.</t>
    </r>
  </si>
  <si>
    <t>Calculating Elasticity of Demand</t>
  </si>
  <si>
    <t>Brick &amp; Mortar</t>
  </si>
  <si>
    <t>eCommerce</t>
  </si>
  <si>
    <t>Company Retail</t>
  </si>
  <si>
    <t>Third-Party Retail</t>
  </si>
  <si>
    <t>Price Elasticity of Supply</t>
  </si>
  <si>
    <t>In this case, total supply is “inelastic” because you have received the merchandise before the season began at a locked-in price.  There is no opportunity to increase supply by offering a higher price to the manufacturer in Asia.</t>
  </si>
  <si>
    <t>PRICE ELASTICITY</t>
  </si>
  <si>
    <t xml:space="preserve">Phase II – Profit Model </t>
  </si>
  <si>
    <r>
      <t>·</t>
    </r>
    <r>
      <rPr>
        <sz val="7"/>
        <color theme="1"/>
        <rFont val="Times New Roman"/>
        <family val="1"/>
      </rPr>
      <t xml:space="preserve">       </t>
    </r>
    <r>
      <rPr>
        <sz val="10"/>
        <color theme="1"/>
        <rFont val="Times New Roman"/>
        <family val="1"/>
      </rPr>
      <t>Unit Price, Cost, Marginal Contribution by Channel– this data is required to calculate the Marginal Contribution by Channel.  The components are:</t>
    </r>
  </si>
  <si>
    <r>
      <t>·</t>
    </r>
    <r>
      <rPr>
        <sz val="7"/>
        <color theme="1"/>
        <rFont val="Times New Roman"/>
        <family val="1"/>
      </rPr>
      <t xml:space="preserve">       </t>
    </r>
    <r>
      <rPr>
        <sz val="10"/>
        <color theme="1"/>
        <rFont val="Times New Roman"/>
        <family val="1"/>
      </rPr>
      <t>Seasonality – percent of total summer season sales typically purchased in each month prior to the influence of any retail discounting. The sum of the seasonal percentages is 100%.</t>
    </r>
  </si>
  <si>
    <r>
      <t>·</t>
    </r>
    <r>
      <rPr>
        <sz val="7"/>
        <color theme="1"/>
        <rFont val="Times New Roman"/>
        <family val="1"/>
      </rPr>
      <t xml:space="preserve">       </t>
    </r>
    <r>
      <rPr>
        <sz val="10"/>
        <color theme="1"/>
        <rFont val="Times New Roman"/>
        <family val="1"/>
      </rPr>
      <t>Unit Share by Channel – percentage of Baseline Demand typically purchased by each channel prior to the influence of any retail discounting. The sum of the unit share percentages is 100%.</t>
    </r>
  </si>
  <si>
    <t>Maximizing Contribution</t>
  </si>
  <si>
    <t>The Marginal Contribution is defined as the selling price per unit minus the variable cost per unit. The Contribution is the Marginal Contribution multiplied by the number of units sold.</t>
  </si>
  <si>
    <t>Details of Model</t>
  </si>
  <si>
    <t>The model you develop will calculate the Contribution of hypothetical merchandising plans by completing the following logical steps (more specific instructions are provided below):</t>
  </si>
  <si>
    <r>
      <t>·</t>
    </r>
    <r>
      <rPr>
        <sz val="7"/>
        <color rgb="FF000000"/>
        <rFont val="Times New Roman"/>
        <family val="1"/>
      </rPr>
      <t xml:space="preserve">       </t>
    </r>
    <r>
      <rPr>
        <sz val="10"/>
        <color theme="1"/>
        <rFont val="Times New Roman"/>
        <family val="1"/>
      </rPr>
      <t xml:space="preserve">Baseline Demand – the customer demand unaltered by retail </t>
    </r>
    <r>
      <rPr>
        <sz val="10"/>
        <color rgb="FF000000"/>
        <rFont val="Times New Roman"/>
        <family val="1"/>
      </rPr>
      <t xml:space="preserve">discounting. You must use Demand by Month and the Unit Share by Channel to determine the Baseline Demand by Channel by Month.  </t>
    </r>
  </si>
  <si>
    <r>
      <t>·</t>
    </r>
    <r>
      <rPr>
        <sz val="7"/>
        <color theme="1"/>
        <rFont val="Times New Roman"/>
        <family val="1"/>
      </rPr>
      <t xml:space="preserve">       </t>
    </r>
    <r>
      <rPr>
        <sz val="10"/>
        <color theme="1"/>
        <rFont val="Times New Roman"/>
        <family val="1"/>
      </rPr>
      <t>Actual Demand – the Retail Baseline Demand by Channel by Month adjusted for the Elasticity Multiplier.</t>
    </r>
  </si>
  <si>
    <r>
      <t>·</t>
    </r>
    <r>
      <rPr>
        <sz val="7"/>
        <color theme="1"/>
        <rFont val="Times New Roman"/>
        <family val="1"/>
      </rPr>
      <t xml:space="preserve">       </t>
    </r>
    <r>
      <rPr>
        <sz val="10"/>
        <color theme="1"/>
        <rFont val="Times New Roman"/>
        <family val="1"/>
      </rPr>
      <t>Sales – for each channel and month, the maximum of Actual Demand and Residual Supply (the quantity still available after allocations in previous months and allocations to higher Marginal Contribution channels in the same month.)</t>
    </r>
  </si>
  <si>
    <r>
      <t>·</t>
    </r>
    <r>
      <rPr>
        <sz val="7"/>
        <color theme="1"/>
        <rFont val="Times New Roman"/>
        <family val="1"/>
      </rPr>
      <t xml:space="preserve">       </t>
    </r>
    <r>
      <rPr>
        <sz val="10"/>
        <color theme="1"/>
        <rFont val="Times New Roman"/>
        <family val="1"/>
      </rPr>
      <t>Marginal Contribution – the difference between the price per unit and the variable costs per unit.  This is the impact of selling one additional unit.</t>
    </r>
  </si>
  <si>
    <r>
      <t>·</t>
    </r>
    <r>
      <rPr>
        <sz val="7"/>
        <color theme="1"/>
        <rFont val="Times New Roman"/>
        <family val="1"/>
      </rPr>
      <t xml:space="preserve">       </t>
    </r>
    <r>
      <rPr>
        <sz val="10"/>
        <color theme="1"/>
        <rFont val="Times New Roman"/>
        <family val="1"/>
      </rPr>
      <t>Contribution – the Marginal Contribution (per unit) multiplied by the Sales (in units)</t>
    </r>
  </si>
  <si>
    <t>You will structure that model to be driven by four user inputs:</t>
  </si>
  <si>
    <t>You will need to developing modeling logic to calculate the following:</t>
  </si>
  <si>
    <r>
      <t>·</t>
    </r>
    <r>
      <rPr>
        <sz val="7"/>
        <color theme="1"/>
        <rFont val="Times New Roman"/>
        <family val="1"/>
      </rPr>
      <t xml:space="preserve">       </t>
    </r>
    <r>
      <rPr>
        <sz val="10"/>
        <color theme="1"/>
        <rFont val="Times New Roman"/>
        <family val="1"/>
      </rPr>
      <t>Baseline Demand by Channel by Month – This represents the demand without any discounts and is calculated as the product of Demand by Month and the Unit Share by Channel.</t>
    </r>
  </si>
  <si>
    <r>
      <t>·</t>
    </r>
    <r>
      <rPr>
        <sz val="7"/>
        <color theme="1"/>
        <rFont val="Times New Roman"/>
        <family val="1"/>
      </rPr>
      <t xml:space="preserve">       </t>
    </r>
    <r>
      <rPr>
        <sz val="10"/>
        <color theme="1"/>
        <rFont val="Times New Roman"/>
        <family val="1"/>
      </rPr>
      <t>Total Demand by Month – sum of Demand by Channel by Month across all channels</t>
    </r>
  </si>
  <si>
    <r>
      <t>·</t>
    </r>
    <r>
      <rPr>
        <sz val="7"/>
        <color theme="1"/>
        <rFont val="Times New Roman"/>
        <family val="1"/>
      </rPr>
      <t xml:space="preserve">       </t>
    </r>
    <r>
      <rPr>
        <sz val="10"/>
        <color theme="1"/>
        <rFont val="Times New Roman"/>
        <family val="1"/>
      </rPr>
      <t>Retail Discount/Premium Limit – if Demand by Month is less than 100% then the Discount limit is in effect and if Demand by Month is greater than 100% then the Premium limit is in effect.</t>
    </r>
  </si>
  <si>
    <r>
      <t>·</t>
    </r>
    <r>
      <rPr>
        <sz val="7"/>
        <color theme="1"/>
        <rFont val="Times New Roman"/>
        <family val="1"/>
      </rPr>
      <t xml:space="preserve">       </t>
    </r>
    <r>
      <rPr>
        <sz val="10"/>
        <color theme="1"/>
        <rFont val="Times New Roman"/>
        <family val="1"/>
      </rPr>
      <t xml:space="preserve">Elasticity of Demand by Channel – calculated in Phase I of this case. </t>
    </r>
  </si>
  <si>
    <r>
      <t>·</t>
    </r>
    <r>
      <rPr>
        <sz val="7"/>
        <color theme="1"/>
        <rFont val="Times New Roman"/>
        <family val="1"/>
      </rPr>
      <t xml:space="preserve">       </t>
    </r>
    <r>
      <rPr>
        <sz val="10"/>
        <color theme="1"/>
        <rFont val="Times New Roman"/>
        <family val="1"/>
      </rPr>
      <t xml:space="preserve">Sales by Channel by Month – You will develop a formula that calculates the Sales (in units) by Channel by Month.  For each month it will be the smallest of the </t>
    </r>
  </si>
  <si>
    <t>(1) Actual Demand by Channel by Month,</t>
  </si>
  <si>
    <t xml:space="preserve">(2) the Residual Supply for each Channel by Month (see several points down). </t>
  </si>
  <si>
    <t>Hint: The MIN function will automatically ignore blank cells</t>
  </si>
  <si>
    <r>
      <t>·</t>
    </r>
    <r>
      <rPr>
        <sz val="7"/>
        <color theme="1"/>
        <rFont val="Times New Roman"/>
        <family val="1"/>
      </rPr>
      <t xml:space="preserve">       </t>
    </r>
    <r>
      <rPr>
        <sz val="10"/>
        <color theme="1"/>
        <rFont val="Times New Roman"/>
        <family val="1"/>
      </rPr>
      <t>Cumulative Sales by Month – for each month the Cumulative Sales is the sum of the Total Sales by Month beginning in March through that month.</t>
    </r>
  </si>
  <si>
    <r>
      <t>·</t>
    </r>
    <r>
      <rPr>
        <sz val="7"/>
        <color theme="1"/>
        <rFont val="Times New Roman"/>
        <family val="1"/>
      </rPr>
      <t xml:space="preserve">       </t>
    </r>
    <r>
      <rPr>
        <sz val="10"/>
        <color theme="1"/>
        <rFont val="Times New Roman"/>
        <family val="1"/>
      </rPr>
      <t>Residual Supply by Month – The total Supply (same as total Forecast) minus the Cumulative Sales by Month.</t>
    </r>
  </si>
  <si>
    <r>
      <t>·</t>
    </r>
    <r>
      <rPr>
        <sz val="7"/>
        <color theme="1"/>
        <rFont val="Times New Roman"/>
        <family val="1"/>
      </rPr>
      <t xml:space="preserve">       </t>
    </r>
    <r>
      <rPr>
        <sz val="10"/>
        <color theme="1"/>
        <rFont val="Times New Roman"/>
        <family val="1"/>
      </rPr>
      <t>Contribution by Channel by Month – the product of the Sales by Channel by Month and the Marginal Contribution Discount by Channel by Month. Third-Party Brick &amp; Mortar Store firm and incremental sales are treated as separate channels.</t>
    </r>
  </si>
  <si>
    <r>
      <t>·</t>
    </r>
    <r>
      <rPr>
        <sz val="7"/>
        <color theme="1"/>
        <rFont val="Times New Roman"/>
        <family val="1"/>
      </rPr>
      <t xml:space="preserve">       </t>
    </r>
    <r>
      <rPr>
        <sz val="10"/>
        <color theme="1"/>
        <rFont val="Times New Roman"/>
        <family val="1"/>
      </rPr>
      <t>Total Contribution by Month – the sum of the Contribution by Channel by Month across all of the channels.</t>
    </r>
  </si>
  <si>
    <r>
      <t>·</t>
    </r>
    <r>
      <rPr>
        <sz val="7"/>
        <color theme="1"/>
        <rFont val="Times New Roman"/>
        <family val="1"/>
      </rPr>
      <t xml:space="preserve">       </t>
    </r>
    <r>
      <rPr>
        <sz val="10"/>
        <color theme="1"/>
        <rFont val="Times New Roman"/>
        <family val="1"/>
      </rPr>
      <t>Total Contribution – the sum of the Total Contribution by Month across all months.</t>
    </r>
  </si>
  <si>
    <t>PROFIT MODEL</t>
  </si>
  <si>
    <t>If you cannot verify these two values you will not be able to complete the rest of the Case and you should reach out to us immediately after the above due date.</t>
  </si>
  <si>
    <t xml:space="preserve">Phase III – Optimize Allocating </t>
  </si>
  <si>
    <t xml:space="preserve">In the first two phases you have been developing a model.  In Phase III and IV you will apply the model to develop merchandising plans.  </t>
  </si>
  <si>
    <t xml:space="preserve">Phase IV – Optimize Discounting  </t>
  </si>
  <si>
    <t xml:space="preserve">We have already set up a model which tells Excel to Maximize the Total Contribution subject to the constraints that the Premium (Discount) is within the specified limits.  </t>
  </si>
  <si>
    <t>On the drop-down menu that is showing select “Solve” for Excel to automatically solve the problem with the “optimal” answer.  Not all problems can be structured to permit such automated solutions.</t>
  </si>
  <si>
    <t xml:space="preserve">You are a financial analyst working for the Executive Vice President of Sales and Marketing of Fun Frill Fashion, a high-flying women’s apparel brand company.  </t>
  </si>
  <si>
    <t xml:space="preserve">The fashion industry is extremely trendy and most of your styles have a single-season life.  </t>
  </si>
  <si>
    <t xml:space="preserve">You are at the end of April and you need to update your marketing plan for the summer season after several months of market sales.  </t>
  </si>
  <si>
    <r>
      <t>·</t>
    </r>
    <r>
      <rPr>
        <sz val="7"/>
        <color theme="1"/>
        <rFont val="Times New Roman"/>
        <family val="1"/>
      </rPr>
      <t xml:space="preserve">       </t>
    </r>
    <r>
      <rPr>
        <sz val="10"/>
        <color theme="1"/>
        <rFont val="Times New Roman"/>
        <family val="1"/>
      </rPr>
      <t xml:space="preserve">You will independently develop a model to help you solve the case. </t>
    </r>
  </si>
  <si>
    <r>
      <t>·</t>
    </r>
    <r>
      <rPr>
        <sz val="7"/>
        <color theme="1"/>
        <rFont val="Times New Roman"/>
        <family val="1"/>
      </rPr>
      <t xml:space="preserve">       </t>
    </r>
    <r>
      <rPr>
        <sz val="10"/>
        <color theme="1"/>
        <rFont val="Times New Roman"/>
        <family val="1"/>
      </rPr>
      <t xml:space="preserve">Third-Party eCommerce Websites – sales to third-party retailers that are eCommerce sites such as Amazon.com, SaksOffFifth.com, NeimanMarcus.com, Dillards.com, Target.com etc.  </t>
    </r>
  </si>
  <si>
    <t xml:space="preserve">In this channel, the Fun Frill Fashion drop ships directly to the consumer when the third-party website receives a purchase order. </t>
  </si>
  <si>
    <t xml:space="preserve">Your goods are manufactured in Asia and you must place orders and receive delivery well before the season begins. </t>
  </si>
  <si>
    <t xml:space="preserve">Therefore, there is no flexibility in adjusting the quantity of goods procured once the season begins, when you have better information on the popularity of specific styles.  </t>
  </si>
  <si>
    <t xml:space="preserve">Consequently, you have to make your best forecast of demand for each style well before you have any data on demand (i.e., popularity based on early sales).  </t>
  </si>
  <si>
    <t xml:space="preserve">If demand ultimately exceeds your forecast you will need to allocate scarce supply to each distribution channel to maximize your profits. </t>
  </si>
  <si>
    <t xml:space="preserve"> If demand ultimate falls short of your forecast you will need to discount the excess supply in each distribution channel to maximize your profits.  </t>
  </si>
  <si>
    <t xml:space="preserve">At the very end of the season you must liquidate any remaining inventory through your liquidation channel.  </t>
  </si>
  <si>
    <t xml:space="preserve">Liquidation is required because the merchandise is trendy and has a single-season life and you will be unable to sell it next season.  </t>
  </si>
  <si>
    <t xml:space="preserve">In the previous case we provided a correct answer so that you can know whether your solution was “right”.  </t>
  </si>
  <si>
    <t xml:space="preserve">We will only do that for the first two phases of this case.  </t>
  </si>
  <si>
    <t xml:space="preserve">When you develop your merchandising plans in the second two phases, we will evaluate it in our “business simulator” and you will compete against your classmates to develop the best solution — the most profitable one according to the simulator.  </t>
  </si>
  <si>
    <t xml:space="preserve">Enter the price elasticities and the cross elasticity in the yellow cells on the “Elasticity” Sheet.  </t>
  </si>
  <si>
    <t xml:space="preserve">Please develop your Profit Model.  Errors in the model will be highlighted in red to enable you to fix them.  </t>
  </si>
  <si>
    <r>
      <t>·</t>
    </r>
    <r>
      <rPr>
        <sz val="7"/>
        <color theme="1"/>
        <rFont val="Times New Roman"/>
        <family val="1"/>
      </rPr>
      <t xml:space="preserve">       </t>
    </r>
    <r>
      <rPr>
        <sz val="10"/>
        <color theme="1"/>
        <rFont val="Times New Roman"/>
        <family val="1"/>
      </rPr>
      <t>Setting Demand = 85%, setting all premium (discounts) to -10% and validating that the Total Contribution is $31,350</t>
    </r>
  </si>
  <si>
    <r>
      <t>·</t>
    </r>
    <r>
      <rPr>
        <sz val="7"/>
        <color theme="1"/>
        <rFont val="Times New Roman"/>
        <family val="1"/>
      </rPr>
      <t xml:space="preserve">       </t>
    </r>
    <r>
      <rPr>
        <sz val="10"/>
        <color theme="1"/>
        <rFont val="Times New Roman"/>
        <family val="1"/>
      </rPr>
      <t>Setting Demand = 115%, setting all premium (discounts) to 10% and validating that the Total Contribution is $36,485</t>
    </r>
  </si>
  <si>
    <t>Enter your SFAM ID (For CUNY enter your Employee Code)</t>
  </si>
  <si>
    <t>Warning:</t>
  </si>
  <si>
    <t>If you change your SFAM ID after you have begun working on the Workbook you will alter the randomization.</t>
  </si>
  <si>
    <t>As a result your answers will be wrong.</t>
  </si>
  <si>
    <t>Hidden sheets</t>
  </si>
  <si>
    <t>X</t>
  </si>
  <si>
    <t>Enter Employee numbers</t>
  </si>
  <si>
    <t>Empty cells</t>
  </si>
  <si>
    <t>Hide X</t>
  </si>
  <si>
    <t>Protect</t>
  </si>
  <si>
    <t>Copy X A-BZ to Grading Download pasting value column D</t>
  </si>
  <si>
    <t>Copy X C-D to Master Grading Presentation of Errors</t>
  </si>
  <si>
    <t>Delete AA-BZ</t>
  </si>
  <si>
    <t>Spellcheck</t>
  </si>
  <si>
    <t>Spaces</t>
  </si>
  <si>
    <t>NA</t>
  </si>
  <si>
    <t>New SFAM</t>
  </si>
  <si>
    <t>TURN BOOK BLACK AFTER DECEMBER 20</t>
  </si>
  <si>
    <t>Financial Modeling</t>
  </si>
  <si>
    <t>© All rights reserved, 2022, Richard Horwitz &amp; Mustapha Camara</t>
  </si>
  <si>
    <t>Section: Modeling with Excel</t>
  </si>
  <si>
    <t>Workbook 6: Fun Filled Fashion Merchandising Plan</t>
  </si>
  <si>
    <t>Part I Review (Workbook 1)</t>
  </si>
  <si>
    <t>Data Analysis (Workbook 2)</t>
  </si>
  <si>
    <t>A</t>
  </si>
  <si>
    <t>B</t>
  </si>
  <si>
    <t>C</t>
  </si>
  <si>
    <t>D</t>
  </si>
  <si>
    <t>E</t>
  </si>
  <si>
    <t>F</t>
  </si>
  <si>
    <t>G</t>
  </si>
  <si>
    <t>H</t>
  </si>
  <si>
    <t>I</t>
  </si>
  <si>
    <t>J</t>
  </si>
  <si>
    <t>K</t>
  </si>
  <si>
    <t>L</t>
  </si>
  <si>
    <t>M</t>
  </si>
  <si>
    <t>N</t>
  </si>
  <si>
    <t>O</t>
  </si>
  <si>
    <t>P</t>
  </si>
  <si>
    <t>Q</t>
  </si>
  <si>
    <t>R</t>
  </si>
  <si>
    <t>S</t>
  </si>
  <si>
    <t>T</t>
  </si>
  <si>
    <t>U</t>
  </si>
  <si>
    <t>V</t>
  </si>
  <si>
    <t>W</t>
  </si>
  <si>
    <t>Y</t>
  </si>
  <si>
    <t>Z</t>
  </si>
  <si>
    <t>Financial Statement Analysis (Workbook 3)</t>
  </si>
  <si>
    <t>Income Statement (Workbook 4)</t>
  </si>
  <si>
    <t>Balance Sheet (Workbook 5)</t>
  </si>
  <si>
    <t>Cash Flow Statement (Workbook 6)</t>
  </si>
  <si>
    <t>Developing a Model (Workbook 7)</t>
  </si>
  <si>
    <t>Forecasting (Workbook 8)</t>
  </si>
  <si>
    <t>Strategic Forecasting (Workbook 9)</t>
  </si>
  <si>
    <t>Forecasting Disruptions (Workbook 10)</t>
  </si>
  <si>
    <t>Equity Valuation (Workbook 11)</t>
  </si>
  <si>
    <t>Mergers &amp; Acquisitions (Workbook 12)</t>
  </si>
  <si>
    <t>Match</t>
  </si>
  <si>
    <t>Fixed Income Valuation (Workbook 13)</t>
  </si>
  <si>
    <t>Workbook #</t>
  </si>
  <si>
    <t>Risk Management (Workbook 14)</t>
  </si>
  <si>
    <t>SFAM ID</t>
  </si>
  <si>
    <t>Portfolio Construction (Workbook 15)</t>
  </si>
  <si>
    <t>Version</t>
  </si>
  <si>
    <t>Required Score</t>
  </si>
  <si>
    <t>Required Potential</t>
  </si>
  <si>
    <t>Financial Statement Analysis (Section III, Workbooks 3-6)</t>
  </si>
  <si>
    <t>Challenge Score</t>
  </si>
  <si>
    <t>Modeling &amp; Forecasting (Section IV, Workbooks 7-10)</t>
  </si>
  <si>
    <t>Challenge Potential</t>
  </si>
  <si>
    <t>Valuation &amp; Risk (Section V/VI, Workbooks 11-15)</t>
  </si>
  <si>
    <t>Student Save Time</t>
  </si>
  <si>
    <t>Processing Time</t>
  </si>
  <si>
    <r>
      <t>Elastic:</t>
    </r>
    <r>
      <rPr>
        <sz val="10"/>
        <color theme="1"/>
        <rFont val="Times New Roman"/>
        <family val="1"/>
      </rPr>
      <t xml:space="preserve">  When demand goes up when the price goes down, goods are considered to be elastic. </t>
    </r>
  </si>
  <si>
    <t xml:space="preserve">Similarly, goods are elastic if the demand goes down when prices go up.  This is always presented as a positive number.  </t>
  </si>
  <si>
    <t xml:space="preserve">If the coefficient (the absolute value) is greater than 1, a one unit increase in price will cause an even greater drop in demand. </t>
  </si>
  <si>
    <t xml:space="preserve">Goods with a positive elasticity of demand include: restaurant meals, cars and apparel. Luxury items are elastic (chocolate, entertainment, travel) because they are easier to cut out when the going gets tough. </t>
  </si>
  <si>
    <t xml:space="preserve"> If your product is elastic and faces a lot of competition (many similar substitutes), raising prices will most likely drive consumers away.</t>
  </si>
  <si>
    <r>
      <t>Inelastic:</t>
    </r>
    <r>
      <rPr>
        <sz val="10"/>
        <color theme="1"/>
        <rFont val="Times New Roman"/>
        <family val="1"/>
      </rPr>
      <t xml:space="preserve"> When demand does not change when the price goes down, goods are considered to be inelastic. </t>
    </r>
  </si>
  <si>
    <t xml:space="preserve">When goods are inelastic, the price elasticity of demand is less than 1.  </t>
  </si>
  <si>
    <t xml:space="preserve">That means a one unit decrease in price resulted in a less than one unit increase in demand. </t>
  </si>
  <si>
    <t>Similarly, a one unit increase in price results in less than one unit decrease in demand. Necessities tend to be inelastic such as gasoline, electricity, water, toilet paper, etc.</t>
  </si>
  <si>
    <r>
      <t>Positive Cross Elasticity:</t>
    </r>
    <r>
      <rPr>
        <sz val="10"/>
        <color theme="1"/>
        <rFont val="Times New Roman"/>
        <family val="1"/>
      </rPr>
      <t xml:space="preserve"> The cross elasticity of demand for substitute goods is always positive because the demand for the good increases when the price for the substitute good increases.  </t>
    </r>
  </si>
  <si>
    <t xml:space="preserve">Analogy: when the price of Starbucks coffee soars, demand for alternatives like Peets Coffee rises. Items may be weak substitutes, in which the two products have a positive but low cross elasticity of demand.  </t>
  </si>
  <si>
    <r>
      <t>Negative Cross Elasticity:</t>
    </r>
    <r>
      <rPr>
        <sz val="10"/>
        <color theme="1"/>
        <rFont val="Times New Roman"/>
        <family val="1"/>
      </rPr>
      <t xml:space="preserve"> Alternatively, the cross elasticity of demand for complementary goods is negative. </t>
    </r>
  </si>
  <si>
    <t>Analogy: if the price of tennis rackets goes up, fewer people will play tennis the demand for tennis balls, the complementary product, will decline.</t>
  </si>
  <si>
    <r>
      <t xml:space="preserve">Zero Cross Elasticity: </t>
    </r>
    <r>
      <rPr>
        <sz val="10"/>
        <color theme="1"/>
        <rFont val="Times New Roman"/>
        <family val="1"/>
      </rPr>
      <t>Items with a coefficient of 0 are unrelated items and are goods independent of each other. </t>
    </r>
  </si>
  <si>
    <t xml:space="preserve">Demand for automobiles is independent of the demand for coffee.  </t>
  </si>
  <si>
    <t xml:space="preserve">In this Phase you will develop a model of how demand in each distribution channel changes in response to price changes. </t>
  </si>
  <si>
    <t xml:space="preserve">You will also model the cross elasticity of demand – the relationship between discounts at Third-Party eCommerce Websites and the quantity sold on the Company eCommerce Website. </t>
  </si>
  <si>
    <t xml:space="preserve">The company distributes directly to consumers through Company Brick &amp; Mortar Stores and by the Company eCommerce Website, its fully owned branded website. </t>
  </si>
  <si>
    <t xml:space="preserve">The company also sells through third-parties via Third-Party Brick &amp; Mortar Stores (Saks, Nieman Marcus) and Third-Party eCommerce Websites (websites operated by its department store customers and those of others such as Amazon, Zappos, Stitch Fix, etc.). </t>
  </si>
  <si>
    <t xml:space="preserve">Company Brick &amp; Mortar Stores’ retail sales data may be used to estimate Third-Party Brick &amp; Mortar Stores and Company eCommerce Website sales may be used to estimate Third-Party eCommerce Website sales.   </t>
  </si>
  <si>
    <t xml:space="preserve">In this way you can reasonably model all four channels.  The Liquidation channel is much simpler as you can estimate that the Apparel Brand Merchandiser will liquidate 100% of its residual inventories at a very high discount. </t>
  </si>
  <si>
    <r>
      <t>1)</t>
    </r>
    <r>
      <rPr>
        <sz val="7"/>
        <color rgb="FF000000"/>
        <rFont val="Times New Roman"/>
        <family val="1"/>
      </rPr>
      <t xml:space="preserve">     </t>
    </r>
    <r>
      <rPr>
        <i/>
        <sz val="10"/>
        <color rgb="FF000000"/>
        <rFont val="Times New Roman"/>
        <family val="1"/>
      </rPr>
      <t xml:space="preserve">Calculate the Price Elasticity of Demand for Company Stores.  </t>
    </r>
  </si>
  <si>
    <t xml:space="preserve">As a top financial analyst, you have cleverly created pricing trials across Fun Frill Fashion 15 Company Brick &amp; Mortar Stores. </t>
  </si>
  <si>
    <t xml:space="preserve">The company has offered discounts in selected stores to measure how much it increases consumer demand, the price elasticity in this channel. </t>
  </si>
  <si>
    <t xml:space="preserve">For three different products (A, B and C) it offered discounts at selected stores. </t>
  </si>
  <si>
    <t xml:space="preserve">The results are presented in the “Company Stores” sheet of the “Fun Frill Fashion Merchandising Plan” workbook. </t>
  </si>
  <si>
    <t xml:space="preserve">You will use this Sheet to calculate the price elasticity of demand. </t>
  </si>
  <si>
    <t xml:space="preserve">In columns C-E you will see the expected Company Brick &amp; Mortar unit sales volume if no discounts were provided; these unit sales estimates are based on historic sales at each store. </t>
  </si>
  <si>
    <t xml:space="preserve"> In columns K-M you will see the “Actual Unit Sales” after discounts were offered for select products and locations. </t>
  </si>
  <si>
    <t xml:space="preserve">Based on this data, you will calculate the price elasticity of demand of the Company Brick &amp; Mortar Stores.  </t>
  </si>
  <si>
    <t xml:space="preserve">Remember that price elasticity is expressed as a positive number if though quantity increases when prices decline and visa versa, </t>
  </si>
  <si>
    <t xml:space="preserve">You will assume that the price elasticity of Third-Party Brick &amp; Mortar Stores is the same as that of the Company Stores. </t>
  </si>
  <si>
    <r>
      <t>2)</t>
    </r>
    <r>
      <rPr>
        <sz val="7"/>
        <color rgb="FF000000"/>
        <rFont val="Times New Roman"/>
        <family val="1"/>
      </rPr>
      <t xml:space="preserve">     </t>
    </r>
    <r>
      <rPr>
        <i/>
        <sz val="10"/>
        <color theme="1"/>
        <rFont val="Times New Roman"/>
        <family val="1"/>
      </rPr>
      <t>Calculate the price elasticity of the eCommerce business</t>
    </r>
    <r>
      <rPr>
        <sz val="10"/>
        <color theme="1"/>
        <rFont val="Times New Roman"/>
        <family val="1"/>
      </rPr>
      <t xml:space="preserve">. </t>
    </r>
  </si>
  <si>
    <t xml:space="preserve">You have similarly launched pricing trials that will permit you to measure the price elasticity of both your Company eCommerce Website and Third-Party eCommerce Websites. </t>
  </si>
  <si>
    <t>On your Company Website, you are able to control the pricing to specific customers and you have provided discounts to selected customers to quantify the price elasticity in this channel.</t>
  </si>
  <si>
    <t xml:space="preserve">You randomly selected three cohorts of 1,000 customers each.  </t>
  </si>
  <si>
    <t xml:space="preserve">For one of the most popular styles, you offered one cohort a 5% discount, a second a 10% discount and a third a 15% discount.  </t>
  </si>
  <si>
    <t xml:space="preserve">The results are presented in column C of the “Company Website” sheet of the “Fun Frill Fashion Merchandising Plan” workbook. </t>
  </si>
  <si>
    <t xml:space="preserve">You will use this Sheet to calculate the price elasticity of the eCommerce business. </t>
  </si>
  <si>
    <t xml:space="preserve">In doing so, assume that the price elasticity of Third-Party eCommerce Websites is equal to that of the Company Website. </t>
  </si>
  <si>
    <t xml:space="preserve">They should be similar because price discovery is easy; multiple websites report the prices of selected products across competitive eCommerce websites.  </t>
  </si>
  <si>
    <r>
      <t>3)</t>
    </r>
    <r>
      <rPr>
        <sz val="7"/>
        <color rgb="FF000000"/>
        <rFont val="Times New Roman"/>
        <family val="1"/>
      </rPr>
      <t xml:space="preserve">     </t>
    </r>
    <r>
      <rPr>
        <i/>
        <sz val="10"/>
        <color theme="1"/>
        <rFont val="Times New Roman"/>
        <family val="1"/>
      </rPr>
      <t>Calculate the cross elasticity of the Company eCommerce Website and the Third-Party eCommerce Websites.</t>
    </r>
    <r>
      <rPr>
        <sz val="10"/>
        <color theme="1"/>
        <rFont val="Times New Roman"/>
        <family val="1"/>
      </rPr>
      <t xml:space="preserve"> </t>
    </r>
  </si>
  <si>
    <t xml:space="preserve">Many customers compare eCommerce pricing across sites.  </t>
  </si>
  <si>
    <t xml:space="preserve">Because price discovery is so easy, discounts on Third-Party eCommerce Websites directly impact demand on your Company Website.  </t>
  </si>
  <si>
    <t xml:space="preserve">At times pricing may be comparable, but at other times the Third-Party eCommerce Websites may offer discounts above or below the Company’s pricing. </t>
  </si>
  <si>
    <t xml:space="preserve">In other words, eCommerce pricing is changing in real time as the players in the market look to maximize their unit sales volumes.  </t>
  </si>
  <si>
    <t xml:space="preserve">You have identified that the Third-Party eCommerce Websites often discount Product D.  </t>
  </si>
  <si>
    <t xml:space="preserve">The results of your analysis are presented in the “Company Website” Sheet of the “Fun Frill Fashion Merchandising Plan” workbook.  </t>
  </si>
  <si>
    <t xml:space="preserve">Note that Column C shows the results for the Company without third-party discounts – the price elasticity of demand (analyzed above). </t>
  </si>
  <si>
    <t xml:space="preserve">There is an equivalent price elasticity of supply.  </t>
  </si>
  <si>
    <t xml:space="preserve">Price elasticity of supply measures the change in the supply of a good or service (responsiveness) after a change in its price. </t>
  </si>
  <si>
    <t xml:space="preserve">According to basic economic theory, the supply of a good will increase when its price rises. </t>
  </si>
  <si>
    <t xml:space="preserve">Conversely, the supply of a good will decrease when its price decreases. </t>
  </si>
  <si>
    <t xml:space="preserve">The elasticity of supply is a function of several factors including the amount in stock, timing (order to delivery), availability of substitutes and production capacity. </t>
  </si>
  <si>
    <t xml:space="preserve">In this phase, you will develop a model of the sales and profit contribution of a product being analyzed. </t>
  </si>
  <si>
    <t xml:space="preserve">The model must be structured to be generic, such that a single model can analyze scenarios in which there is either a shortage (Baseline Demand greater than Forecast) or excess (Baseline Demand less than Forecast). </t>
  </si>
  <si>
    <t xml:space="preserve">You will then apply this model in Phase III and IV of this case (over the next couple of weeks) to develop specific merchandising plans that maximize contribution for products with both short-supply and excess-supply scenarios. </t>
  </si>
  <si>
    <t xml:space="preserve">Contribution is discussed in greater detail below, but, it represents the difference between Revenues and Variable Costs. </t>
  </si>
  <si>
    <r>
      <t>o</t>
    </r>
    <r>
      <rPr>
        <sz val="7"/>
        <color theme="1"/>
        <rFont val="Times New Roman"/>
        <family val="1"/>
      </rPr>
      <t xml:space="preserve">   </t>
    </r>
    <r>
      <rPr>
        <sz val="10"/>
        <color theme="1"/>
        <rFont val="Times New Roman"/>
        <family val="1"/>
      </rPr>
      <t xml:space="preserve">Retail Price – the price charged to the ultimate retail customer, either by the company in one of its stores or on its website or by a third-party store or website. </t>
    </r>
  </si>
  <si>
    <t xml:space="preserve">The company can publish a suggested retail price but antitrust laws prohibit the company from controlling the price offered by third-parties.  </t>
  </si>
  <si>
    <t xml:space="preserve">When a style is new it is typically sold by all channels at this price.  </t>
  </si>
  <si>
    <t xml:space="preserve">As time goes on, dependent on whether the style is in tight supply, the style will be discounted (Retail Discount) by the company or independent retailers that distribute the company’s goods.  </t>
  </si>
  <si>
    <t>The products being analyzed in this model have a suggested retail prices of $100.</t>
  </si>
  <si>
    <r>
      <t>o</t>
    </r>
    <r>
      <rPr>
        <sz val="7"/>
        <color theme="1"/>
        <rFont val="Times New Roman"/>
        <family val="1"/>
      </rPr>
      <t xml:space="preserve">   </t>
    </r>
    <r>
      <rPr>
        <sz val="10"/>
        <color theme="1"/>
        <rFont val="Times New Roman"/>
        <family val="1"/>
      </rPr>
      <t xml:space="preserve"> Discount – the discount provided by the company to third-party stores or websites who purchase the companies goods for resale. </t>
    </r>
  </si>
  <si>
    <t xml:space="preserve">Third-party websites are generally “drop ship” in that the company directly ships the goods from its central warehouse to the third-party’s retail customer.  </t>
  </si>
  <si>
    <t xml:space="preserve">However, in such a transaction the company invoices the third-party and the third-party invoices the customer.  </t>
  </si>
  <si>
    <t xml:space="preserve">The third-party is responsible for any bad debt. </t>
  </si>
  <si>
    <r>
      <t>o</t>
    </r>
    <r>
      <rPr>
        <sz val="7"/>
        <color theme="1"/>
        <rFont val="Times New Roman"/>
        <family val="1"/>
      </rPr>
      <t xml:space="preserve">   </t>
    </r>
    <r>
      <rPr>
        <sz val="10"/>
        <color theme="1"/>
        <rFont val="Times New Roman"/>
        <family val="1"/>
      </rPr>
      <t xml:space="preserve">Revenues – Although this subtotal does not appear in the table, third-party stores and websites customers will pay the company the suggested list price minus a negotiated Third-Party Discount, which will be recognized by the company as Revenues. </t>
    </r>
  </si>
  <si>
    <t xml:space="preserve"> The company will recognize the suggested list price minus any Retail Discounts as Revenues for direct sales by the company either through its stores or on its website. </t>
  </si>
  <si>
    <r>
      <t>o</t>
    </r>
    <r>
      <rPr>
        <sz val="7"/>
        <color theme="1"/>
        <rFont val="Times New Roman"/>
        <family val="1"/>
      </rPr>
      <t xml:space="preserve">   </t>
    </r>
    <r>
      <rPr>
        <sz val="10"/>
        <color theme="1"/>
        <rFont val="Times New Roman"/>
        <family val="1"/>
      </rPr>
      <t xml:space="preserve">Cost of Goods – the cost of procuring the goods (generically called Cost of Revenues but most often called the Cost of Goods or COGS for companies selling physical goods).  </t>
    </r>
  </si>
  <si>
    <t>This includes inbound freight and handling. The products being analyzed in this model have a COGS of $30.</t>
  </si>
  <si>
    <r>
      <t>o</t>
    </r>
    <r>
      <rPr>
        <sz val="7"/>
        <color theme="1"/>
        <rFont val="Times New Roman"/>
        <family val="1"/>
      </rPr>
      <t xml:space="preserve">   </t>
    </r>
    <r>
      <rPr>
        <sz val="10"/>
        <color theme="1"/>
        <rFont val="Times New Roman"/>
        <family val="1"/>
      </rPr>
      <t xml:space="preserve">Handling Deliveries – the cost incurred by the company of preparing and shipping customer orders. </t>
    </r>
  </si>
  <si>
    <t>The costs of handling and shipping an order on the company’s website or a drop-shipment (the company performs these functions for the third-party) related to orders placed on third-party websites are approximately the same.</t>
  </si>
  <si>
    <t xml:space="preserve">There is an extremely small cost of shipping goods to stores (either company or third-party), which we have ignored.  </t>
  </si>
  <si>
    <r>
      <t>o</t>
    </r>
    <r>
      <rPr>
        <sz val="7"/>
        <color theme="1"/>
        <rFont val="Times New Roman"/>
        <family val="1"/>
      </rPr>
      <t xml:space="preserve">   </t>
    </r>
    <r>
      <rPr>
        <sz val="10"/>
        <color theme="1"/>
        <rFont val="Times New Roman"/>
        <family val="1"/>
      </rPr>
      <t xml:space="preserve">Handling Returns – the cost of receiving and restocking customer returns. </t>
    </r>
  </si>
  <si>
    <t xml:space="preserve">The percentage of orders returned on the company’s website is significantly greater than that from orders on third-party websites. </t>
  </si>
  <si>
    <r>
      <t>o</t>
    </r>
    <r>
      <rPr>
        <sz val="7"/>
        <color theme="1"/>
        <rFont val="Times New Roman"/>
        <family val="1"/>
      </rPr>
      <t xml:space="preserve">   </t>
    </r>
    <r>
      <rPr>
        <sz val="10"/>
        <color theme="1"/>
        <rFont val="Times New Roman"/>
        <family val="1"/>
      </rPr>
      <t xml:space="preserve">Freight – there is a transportation cost of shipping an order placed on the company’s website (generally United Parcel Service, UPS, or United States Postal Service, USPS). </t>
    </r>
  </si>
  <si>
    <t xml:space="preserve"> Third-parties websites incur the cost of shipping orders placed on them.</t>
  </si>
  <si>
    <t xml:space="preserve">In the Bank Consolidation case there were 25 hypothesized scenarios and you analyzed all of them to find the best.  </t>
  </si>
  <si>
    <t>In this case there are an extremely large number of potential hypothesized scenarios and you will have to use common sense to identify a very good, if not optimal, answer.</t>
  </si>
  <si>
    <t xml:space="preserve">Fun Frill Fashion’s very popular Trend-setting Rihanna Blouse has been selling in March and April at 115% of Forecast.  </t>
  </si>
  <si>
    <t xml:space="preserve">You expect that to continue through the season.  </t>
  </si>
  <si>
    <t xml:space="preserve">You therefore expect to run out of supply before the end of the season (which ends in August) and you need to decide where to allocate scarce supply to.  </t>
  </si>
  <si>
    <t xml:space="preserve">Having created the Model in Phase II, you will now apply the model to develop the merchandising plan (a combination of discounts and allocations) that results in the greatest Contribution.  </t>
  </si>
  <si>
    <t xml:space="preserve">Although you will develop the merchandising plan by iteratively testing hypothesized scenarios, you are going to want to present the resulting plan more conceptually.  </t>
  </si>
  <si>
    <t>Please analyze the impact of your interactive analyses so that you can synthesize the results into decision rules that can be communicated to others who are not intimately familiar with the model.</t>
  </si>
  <si>
    <t xml:space="preserve">Use the Model to develop the merchandising plan that results in the maximum Total Contribution when Demand is 115%. </t>
  </si>
  <si>
    <t xml:space="preserve">Fun Frill Fashion’s very disappointing Three-legged Pants has been selling in March and April at 85% of Forecast.  </t>
  </si>
  <si>
    <t xml:space="preserve">You therefore expect to have excess supply for the season (which ends in August) and you need to decide how best to discount excess supply.  </t>
  </si>
  <si>
    <t xml:space="preserve">Having created the Model in Phase II, you will now apply the model to develop the merchandising plan (a combination of discounts and allocations) that results in the greatest Contribution. </t>
  </si>
  <si>
    <t xml:space="preserve">Use the Model to develop the merchandising plan that results in the maximum Total Contribution when Demand is 85%.  </t>
  </si>
  <si>
    <t>This should be done by inputting values for Retail Discount.</t>
  </si>
  <si>
    <t xml:space="preserve">For those of you who have taken Microeconomics, you have learned about supply and demand and that “equilibrium” is achieved when Supply = Demand.  </t>
  </si>
  <si>
    <t xml:space="preserve">This equilibrium is also called the “market clearing price” because it is the price at which supply and demand are in balance, clearing the market.  </t>
  </si>
  <si>
    <t xml:space="preserve">This occurs when the marginal revenue (the price consumers are willing to pay for an additional unit) exactly equals the marginal cost (the cost at which suppliers can produce an additional unit).  </t>
  </si>
  <si>
    <t>The reason is simple:</t>
  </si>
  <si>
    <t xml:space="preserve">All of the above expenses are “variable” costs.  </t>
  </si>
  <si>
    <t xml:space="preserve">That means they are directly incurred for each sale transacted.  </t>
  </si>
  <si>
    <t xml:space="preserve">When developing the merchandising plan the company wants to consider only those costs that it can control during the time-horizon of the plan (in this case 6-12 months).  </t>
  </si>
  <si>
    <t>For example, Handling Deliveries (see above) is a variable-cost as the company has a staff of 40 in the warehouse and this staff can be expanded or contracted in the near-term depending on the volume of activity.</t>
  </si>
  <si>
    <t xml:space="preserve">While fixed and semi-fixed costs must be considered when making longer-term decisions, they are not relevant for the near-term merchandising decision.  </t>
  </si>
  <si>
    <t xml:space="preserve">For example, the company’s warehouse facility, which it owns, is a fixed-cost (in fact, it is a sunk cost) and from a practical perspective this cost cannot easily be controlled. </t>
  </si>
  <si>
    <t xml:space="preserve">Company brick &amp; mortar stores (remember the company has 15) have medium-term (3 to 5 year) leases.  </t>
  </si>
  <si>
    <t xml:space="preserve">Furthermore, operating a store requires a minimum complement of staff.  </t>
  </si>
  <si>
    <t xml:space="preserve">While some of the stores are profitable others are losing money.  </t>
  </si>
  <si>
    <t xml:space="preserve">The company can choose to open or close individual stores (with potential financial penalties) and therefore this expense is a semi-fixed expense. </t>
  </si>
  <si>
    <t xml:space="preserve">The company believes that stores in major markets enhance its brand, “Fun Fill Fashion”, and that sustaining a reasonable level of losses can be justified.  </t>
  </si>
  <si>
    <t xml:space="preserve">Contribution is the difference between Revenues and all variable costs.  </t>
  </si>
  <si>
    <t xml:space="preserve">It is the basis on which most short-term decisions should be made.  </t>
  </si>
  <si>
    <t xml:space="preserve">The objective in the short-term is to maximize Contribution selecting actions that provide the greatest Marginal Contribution. </t>
  </si>
  <si>
    <t xml:space="preserve">If these actions conflict with long-term profitability or strategic goals, as they sometimes do, companies must make managerial decisions balancing these objectives.  </t>
  </si>
  <si>
    <t>However, in this case you should focus on maximizing Contribution.</t>
  </si>
  <si>
    <t xml:space="preserve">However, as long as the company has strategically justified retaining stores that are losing money on a “full-cost” basis (recognizing the fixed costs associated with each store including rent and staffing) </t>
  </si>
  <si>
    <t xml:space="preserve">even an unprofitable store should operationally be given preference in the merchandising plan because it affords the greatest Marginal Contribution (the Contribution of selling one more unit) in the short-term.  </t>
  </si>
  <si>
    <r>
      <t>·</t>
    </r>
    <r>
      <rPr>
        <sz val="7"/>
        <color rgb="FF000000"/>
        <rFont val="Times New Roman"/>
        <family val="1"/>
      </rPr>
      <t xml:space="preserve">       </t>
    </r>
    <r>
      <rPr>
        <sz val="10"/>
        <color theme="1"/>
        <rFont val="Times New Roman"/>
        <family val="1"/>
      </rPr>
      <t xml:space="preserve">Retail Premium (Discount) – the premium (positive value) or discount (negative value) applied for retail customers either by the company in its stores or website or by third-parties in their stores or websites. </t>
    </r>
  </si>
  <si>
    <t>This is a user input in this model. In Phase IV you will use it to accelerate the sales in the case of excess supply or decelerate the sales in the case of short supply.</t>
  </si>
  <si>
    <r>
      <t>·</t>
    </r>
    <r>
      <rPr>
        <sz val="7"/>
        <color theme="1"/>
        <rFont val="Times New Roman"/>
        <family val="1"/>
      </rPr>
      <t xml:space="preserve">       </t>
    </r>
    <r>
      <rPr>
        <sz val="10"/>
        <color theme="1"/>
        <rFont val="Times New Roman"/>
        <family val="1"/>
      </rPr>
      <t xml:space="preserve">Elasticity Multiplier – the multiplier to Baseline Demand as a result of Retail Discounts and demand elasticity. </t>
    </r>
  </si>
  <si>
    <t xml:space="preserve">This should integrate the elasticity and the cross elasticity, when relevant.  </t>
  </si>
  <si>
    <t xml:space="preserve">The cross elasticity should be applied only when the related channel (Company and Third-Party eCommerce Websites) is discounted (not when it is charging a premium). </t>
  </si>
  <si>
    <r>
      <t>·</t>
    </r>
    <r>
      <rPr>
        <sz val="7"/>
        <color theme="1"/>
        <rFont val="Times New Roman"/>
        <family val="1"/>
      </rPr>
      <t xml:space="preserve">       </t>
    </r>
    <r>
      <rPr>
        <sz val="10"/>
        <color theme="1"/>
        <rFont val="Times New Roman"/>
        <family val="1"/>
      </rPr>
      <t xml:space="preserve">Forecast – This is the forecast you made before the season. </t>
    </r>
  </si>
  <si>
    <t xml:space="preserve"> Since the company already ordered and received this season’s goods, the supply you have for this season is exactly equal to the forecast.  </t>
  </si>
  <si>
    <t>For simplicity, we have assumed a forecast and consequent supply of 1,000 units.</t>
  </si>
  <si>
    <r>
      <t>·</t>
    </r>
    <r>
      <rPr>
        <sz val="7"/>
        <color theme="1"/>
        <rFont val="Times New Roman"/>
        <family val="1"/>
      </rPr>
      <t xml:space="preserve">       </t>
    </r>
    <r>
      <rPr>
        <sz val="10"/>
        <color theme="1"/>
        <rFont val="Times New Roman"/>
        <family val="1"/>
      </rPr>
      <t xml:space="preserve">Demand by Month – Expressed as a percent of total forecast.  </t>
    </r>
  </si>
  <si>
    <t xml:space="preserve">You should enter a percentage to the right of the label “Demand by Month”.  </t>
  </si>
  <si>
    <t xml:space="preserve">For the purpose of developing a model we have entered a value of 85%. If actual Demand that materialized in March and April is above the forecast the value you enter will be greater than 100% (shortage).  </t>
  </si>
  <si>
    <t xml:space="preserve">If actual Demand that materialized in March and April is below the forecast the value you enter will be less than 100% (excess). </t>
  </si>
  <si>
    <t xml:space="preserve">In Phase III you will develop a merchandising plan for a “excess supply” scenario in which demand is 85% of the forecast.  </t>
  </si>
  <si>
    <t>In Phase IV you will develop a merchandising plan for a “short-supply” scenario in which demand is 115% of the forecast.</t>
  </si>
  <si>
    <r>
      <t>·</t>
    </r>
    <r>
      <rPr>
        <sz val="7"/>
        <color theme="1"/>
        <rFont val="Times New Roman"/>
        <family val="1"/>
      </rPr>
      <t xml:space="preserve">       </t>
    </r>
    <r>
      <rPr>
        <sz val="10"/>
        <color theme="1"/>
        <rFont val="Times New Roman"/>
        <family val="1"/>
      </rPr>
      <t xml:space="preserve">Retail Premium (Discount) by Channel by Month – For each channel and for each month you can enter a Retail Premium (positive value) or Discount (negative value).  </t>
    </r>
  </si>
  <si>
    <t xml:space="preserve">This will increase or reduce demand based on the applicable elasticity factor and will increase or reduce Contribution based on the Retail Discount </t>
  </si>
  <si>
    <t xml:space="preserve">You must write formulas in the yellow cell that selects the right limits.  </t>
  </si>
  <si>
    <r>
      <t>·</t>
    </r>
    <r>
      <rPr>
        <sz val="7"/>
        <color theme="1"/>
        <rFont val="Times New Roman"/>
        <family val="1"/>
      </rPr>
      <t xml:space="preserve">       </t>
    </r>
    <r>
      <rPr>
        <sz val="10"/>
        <color theme="1"/>
        <rFont val="Times New Roman"/>
        <family val="1"/>
      </rPr>
      <t xml:space="preserve">Elasticity Multiplier by Channel by Month – You will develop a formula that calculates the Elasticity Multiplier based on the Elasticity of Demand by Channel and the Discount by Channel by Month.  </t>
    </r>
  </si>
  <si>
    <t xml:space="preserve">Remember, when prices go up (premium) demand goes down and when prices go down (discounted) demand goes up and.  </t>
  </si>
  <si>
    <t xml:space="preserve">For the company website channel, you will need to subtract the Cross Elasticity of demand resulting from discounts provided in the Third-Party eCommerce Websites channel. </t>
  </si>
  <si>
    <t xml:space="preserve">The cross elasticity will reduce sales on the Company eCommerce Website when Third-Party eCommerce Websites offer a discount but will not increase when Third-Party eCommerce Websites charge a </t>
  </si>
  <si>
    <t>premium (you will need to use an IF/MIN/MAX function to accomplish cross-elasticity to contribute in one direction but not the other).</t>
  </si>
  <si>
    <r>
      <t>·</t>
    </r>
    <r>
      <rPr>
        <sz val="7"/>
        <color theme="1"/>
        <rFont val="Times New Roman"/>
        <family val="1"/>
      </rPr>
      <t xml:space="preserve">       </t>
    </r>
    <r>
      <rPr>
        <sz val="10"/>
        <color theme="1"/>
        <rFont val="Times New Roman"/>
        <family val="1"/>
      </rPr>
      <t xml:space="preserve">Actual Demand by Channel by Month – multiply the Baseline Demand by Channel by Month by the Elasticity Multiplier by Channel by Month.  </t>
    </r>
  </si>
  <si>
    <t xml:space="preserve">Third-Party Brick &amp; Mortar Stores place “Firm” orders many months before the season and are committed to take the quantities they ordered at the negotiated price and must discount any excess stocks at their expense. </t>
  </si>
  <si>
    <t xml:space="preserve">Note that the Third-Party Brick &amp; Mortar Stores Actual Demand by Channel by Month and all subsequent calculations separates Third-Party Brick &amp; Mortar Stores into </t>
  </si>
  <si>
    <t xml:space="preserve">Third-Party Brick &amp; Mortar Stores – Firm and Third-Party Brick &amp; Mortar Stores – Incremental.  </t>
  </si>
  <si>
    <r>
      <t>·</t>
    </r>
    <r>
      <rPr>
        <sz val="7"/>
        <color theme="1"/>
        <rFont val="Times New Roman"/>
        <family val="1"/>
      </rPr>
      <t xml:space="preserve">       </t>
    </r>
    <r>
      <rPr>
        <sz val="10"/>
        <color theme="1"/>
        <rFont val="Times New Roman"/>
        <family val="1"/>
      </rPr>
      <t xml:space="preserve">Total Sales by Month – the sum of the Sales by Channel by Month across all channels.  </t>
    </r>
  </si>
  <si>
    <t xml:space="preserve">The sales of Third-Party Brick &amp; Mortar Stores are divided into “firm” and “incremental” in this and subsequent analyses.  </t>
  </si>
  <si>
    <t xml:space="preserve">These customers place “firm” orders for a fixed quantity of goods before the season begins.  </t>
  </si>
  <si>
    <t xml:space="preserve">If sales fall sort of forecast, they are committed to this quantity and need to liquidate excess stock on their own.  </t>
  </si>
  <si>
    <t xml:space="preserve">The company can choose to accept “incremental” orders if the sales exceed forecast. </t>
  </si>
  <si>
    <t xml:space="preserve"> On average, the Third-Party Brick &amp; Mortar Store and the company evenly split the premium or discount. In no circumstances can the incremental orders be for a negative quantity.</t>
  </si>
  <si>
    <t xml:space="preserve">As the selling season progresses the Third-Party Brick &amp; Mortar Store and company can negotiate to supply additional goods, which it will do at a premium to the </t>
  </si>
  <si>
    <t xml:space="preserve">established price if actual demand exceeds the forecast and at a discount if actual demand falls short of forecast. </t>
  </si>
  <si>
    <r>
      <t>·</t>
    </r>
    <r>
      <rPr>
        <sz val="7"/>
        <color theme="1"/>
        <rFont val="Times New Roman"/>
        <family val="1"/>
      </rPr>
      <t xml:space="preserve">       </t>
    </r>
    <r>
      <rPr>
        <sz val="10"/>
        <color theme="1"/>
        <rFont val="Times New Roman"/>
        <family val="1"/>
      </rPr>
      <t xml:space="preserve">Residual Supply for each Channel by Month – calculate as the Residual Supply by Month as of the previous month minus the Sales of more profitable channels in the current month (assuming you will satisfy them first).  </t>
    </r>
  </si>
  <si>
    <t xml:space="preserve">Because the channels are listed in descending order of profitability the more profitable channels will be those above each channel in each month. </t>
  </si>
  <si>
    <t xml:space="preserve">Any goods that have not been sold by the end of August will be liquidated in September.  </t>
  </si>
  <si>
    <t xml:space="preserve">The company will sell all excess Summer styles in preparation for the Fall season.  </t>
  </si>
  <si>
    <t xml:space="preserve">Websites such as Overstock.com and Gilt.com specialize in selling excess goods at highly reduced prices. </t>
  </si>
  <si>
    <r>
      <t>·</t>
    </r>
    <r>
      <rPr>
        <sz val="7"/>
        <color rgb="FF000000"/>
        <rFont val="Times New Roman"/>
        <family val="1"/>
      </rPr>
      <t xml:space="preserve">       </t>
    </r>
    <r>
      <rPr>
        <sz val="10"/>
        <color theme="1"/>
        <rFont val="Times New Roman"/>
        <family val="1"/>
      </rPr>
      <t xml:space="preserve">Marginal Contribution After Retail Discount by Channel – the contribution resulting from selling one more unit in that channel before the Retail Discount is applied.  </t>
    </r>
  </si>
  <si>
    <t xml:space="preserve">This is the difference between the Retail Price per unit and the Variable Cost per unit.  </t>
  </si>
  <si>
    <t xml:space="preserve">You need to calculate this based on the data provided in the Unit Price, Cost, Marginal Contribution by Channel by calculating the revenue generated by each channel minus the costs incurred by each channel.  </t>
  </si>
  <si>
    <t>You will need to use an IF/MIN/MAX function to implement this share of discounts but not sharing premiums.</t>
  </si>
  <si>
    <t xml:space="preserve"> Third-Party Brick &amp; Mortar Store firm and incremental sales are treated as separate channels.</t>
  </si>
  <si>
    <t xml:space="preserve">We are assuming that Third-Party Stores and Websites equally share Retail Discounts (there are a large variety of ways that incentives to Third-Parties are structured) </t>
  </si>
  <si>
    <t xml:space="preserve">and therefore the percentage of Retail Discounts borne by the company is 50% of the Third-Party Discount.  </t>
  </si>
  <si>
    <t xml:space="preserve">While you do not have much information on the sales through Third-Party Retailers (where you do not sell directly to the consumer), </t>
  </si>
  <si>
    <t xml:space="preserve">you are a smart analyst and you realize you can apply your knowledge of the sales through Company Retail distribution channels to make estimates.  </t>
  </si>
  <si>
    <t>It is your task to develop a model, analyze the alternatives and develop a merchandising plan.</t>
  </si>
  <si>
    <t>The merchandising plan has to be transparent and well-structured so that others in your organization can understand and be confident in your conclusions.</t>
  </si>
  <si>
    <t xml:space="preserve">We will introduce you to a very powerful analysis tool called “Solver”.  It is really a battery of “Operations Research” tools that are provided by Excel.  </t>
  </si>
  <si>
    <r>
      <t>·</t>
    </r>
    <r>
      <rPr>
        <sz val="7"/>
        <color theme="1"/>
        <rFont val="Times New Roman"/>
        <family val="1"/>
      </rPr>
      <t xml:space="preserve">       </t>
    </r>
    <r>
      <rPr>
        <sz val="10"/>
        <color theme="1"/>
        <rFont val="Times New Roman"/>
        <family val="1"/>
      </rPr>
      <t>On the 'Data' Tab select 'Analysis Tools'</t>
    </r>
  </si>
  <si>
    <r>
      <t>·</t>
    </r>
    <r>
      <rPr>
        <sz val="7"/>
        <color theme="1"/>
        <rFont val="Times New Roman"/>
        <family val="1"/>
      </rPr>
      <t xml:space="preserve">       </t>
    </r>
    <r>
      <rPr>
        <sz val="10"/>
        <color theme="1"/>
        <rFont val="Times New Roman"/>
        <family val="1"/>
      </rPr>
      <t>On the drop-down menu select 'Solver Add-In'</t>
    </r>
  </si>
  <si>
    <r>
      <t>·</t>
    </r>
    <r>
      <rPr>
        <sz val="7"/>
        <color theme="1"/>
        <rFont val="Times New Roman"/>
        <family val="1"/>
      </rPr>
      <t xml:space="preserve">       </t>
    </r>
    <r>
      <rPr>
        <sz val="10"/>
        <color theme="1"/>
        <rFont val="Times New Roman"/>
        <family val="1"/>
      </rPr>
      <t>Select the 'Model' Sheet and click on 'Data' tab</t>
    </r>
  </si>
  <si>
    <r>
      <t>·</t>
    </r>
    <r>
      <rPr>
        <sz val="7"/>
        <color theme="1"/>
        <rFont val="Times New Roman"/>
        <family val="1"/>
      </rPr>
      <t xml:space="preserve">       </t>
    </r>
    <r>
      <rPr>
        <sz val="10"/>
        <color theme="1"/>
        <rFont val="Times New Roman"/>
        <family val="1"/>
      </rPr>
      <t>Select 'Solver' in the right of the toolbar.</t>
    </r>
  </si>
  <si>
    <t>Model</t>
  </si>
  <si>
    <t>Introduction</t>
  </si>
  <si>
    <t>Looking at the cells in the rectangular box in Row 10, the Company did not introduce a discount and the Third-Party increased it disocunt from 0% to 5%</t>
  </si>
  <si>
    <t>Elasticity of the Company eCommerce Website</t>
  </si>
  <si>
    <t>Elasticity of the Third-Party eCommerce Websites</t>
  </si>
  <si>
    <t>Looking at the grey cells in Column C, the Third Party did not introduce a discount and the Company increased its discount from 0% to 5%.</t>
  </si>
  <si>
    <t>Looking at the grey cells in Row 26, the Company did not introduce a discount and the Third-Party increased its discount from 0% to 5%.</t>
  </si>
  <si>
    <t>Looking at the cells in the rectangular box in Row 10, the third-Party did not introduce a discount and the Company increased it disocunt from 0% to 5%</t>
  </si>
  <si>
    <t>What is the change in volume for each of the following scenarios:</t>
  </si>
  <si>
    <t>Elasticity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</si>
</sst>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4" formatCode="_(&quot;$&quot;* #,##0.00_);_(&quot;$&quot;* \(#,##0.00\);_(&quot;$&quot;* &quot;-&quot;??_);_(@_)"/>
    <numFmt numFmtId="43" formatCode="_(* #,##0.00_);_(* \(#,##0.00\);_(* &quot;-&quot;??_);_(@_)"/>
    <numFmt numFmtId="164" formatCode="_(* #,##0_);_(* \(#,##0\);_(* &quot;-&quot;??_);_(@_)"/>
    <numFmt numFmtId="165" formatCode="_(* #,##0_);_(* \(#,##0\);_(* &quot;-&quot;?_);_(@_)"/>
    <numFmt numFmtId="166" formatCode="_(&quot;$&quot;* #,##0_);_(&quot;$&quot;* \(#,##0\);_(&quot;$&quot;* &quot;-&quot;??_);_(@_)"/>
    <numFmt numFmtId="167" formatCode="0.000"/>
    <numFmt numFmtId="168" formatCode="&quot;$&quot;#,##0"/>
    <numFmt numFmtId="169" formatCode="_(&quot;$&quot;* #,##0.0_);_(&quot;$&quot;* \(#,##0.0\);_(&quot;$&quot;* &quot;-&quot;?_);_(@_)"/>
    <numFmt numFmtId="170" formatCode="0.0%"/>
  </numFmts>
  <fonts count="43">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2"/>
      <name val="Calibri"/>
      <family val="2"/>
      <scheme val="minor"/>
    </font>
    <font>
      <b/>
      <u/>
      <sz val="12"/>
      <name val="Calibri"/>
      <family val="2"/>
      <scheme val="minor"/>
    </font>
    <font>
      <b/>
      <u/>
      <sz val="12"/>
      <color theme="1"/>
      <name val="Calibri"/>
      <family val="2"/>
      <scheme val="minor"/>
    </font>
    <font>
      <u/>
      <sz val="12"/>
      <color theme="1"/>
      <name val="Calibri"/>
      <family val="2"/>
      <scheme val="minor"/>
    </font>
    <font>
      <b/>
      <sz val="16"/>
      <color rgb="FFFF0000"/>
      <name val="Calibri"/>
      <family val="2"/>
      <scheme val="minor"/>
    </font>
    <font>
      <b/>
      <sz val="12"/>
      <color rgb="FF000000"/>
      <name val="Calibri"/>
      <family val="2"/>
      <scheme val="minor"/>
    </font>
    <font>
      <b/>
      <sz val="14"/>
      <color theme="1"/>
      <name val="Calibri"/>
      <family val="2"/>
      <scheme val="minor"/>
    </font>
    <font>
      <sz val="12"/>
      <color rgb="FFFF0000"/>
      <name val="Calibri"/>
      <family val="2"/>
      <scheme val="minor"/>
    </font>
    <font>
      <b/>
      <sz val="10"/>
      <color theme="1"/>
      <name val="Times New Roman"/>
      <family val="1"/>
    </font>
    <font>
      <sz val="11"/>
      <color rgb="FF000000"/>
      <name val="Calibri"/>
      <family val="2"/>
    </font>
    <font>
      <sz val="12"/>
      <color theme="1"/>
      <name val="Times New Roman"/>
      <family val="1"/>
    </font>
    <font>
      <b/>
      <u/>
      <sz val="10"/>
      <color theme="1"/>
      <name val="Times New Roman"/>
      <family val="1"/>
    </font>
    <font>
      <sz val="10"/>
      <color theme="1"/>
      <name val="Times New Roman"/>
      <family val="1"/>
    </font>
    <font>
      <sz val="7"/>
      <color theme="1"/>
      <name val="Times New Roman"/>
      <family val="1"/>
    </font>
    <font>
      <sz val="10"/>
      <color rgb="FF000000"/>
      <name val="Times New Roman"/>
      <family val="1"/>
    </font>
    <font>
      <i/>
      <sz val="10"/>
      <color rgb="FF000000"/>
      <name val="Times New Roman"/>
      <family val="1"/>
    </font>
    <font>
      <sz val="7"/>
      <color rgb="FF000000"/>
      <name val="Times New Roman"/>
      <family val="1"/>
    </font>
    <font>
      <u/>
      <sz val="10"/>
      <color theme="1"/>
      <name val="Times New Roman"/>
      <family val="1"/>
    </font>
    <font>
      <i/>
      <sz val="10"/>
      <color theme="1"/>
      <name val="Times New Roman"/>
      <family val="1"/>
    </font>
    <font>
      <b/>
      <sz val="10"/>
      <color theme="1"/>
      <name val="Calibri"/>
      <family val="2"/>
      <scheme val="minor"/>
    </font>
    <font>
      <sz val="10"/>
      <color theme="1"/>
      <name val="Calibri"/>
      <family val="2"/>
      <scheme val="minor"/>
    </font>
    <font>
      <b/>
      <sz val="14"/>
      <color indexed="8"/>
      <name val="Calibri"/>
      <family val="2"/>
    </font>
    <font>
      <sz val="8"/>
      <color theme="1"/>
      <name val="Calibri"/>
      <family val="2"/>
      <scheme val="minor"/>
    </font>
    <font>
      <sz val="11"/>
      <color theme="1"/>
      <name val="Calibri"/>
      <family val="2"/>
      <scheme val="minor"/>
    </font>
    <font>
      <sz val="10"/>
      <color theme="1"/>
      <name val="Calibri"/>
      <family val="2"/>
    </font>
    <font>
      <sz val="10"/>
      <color theme="1"/>
      <name val="Arial Unicode MS"/>
      <family val="2"/>
    </font>
    <font>
      <sz val="10"/>
      <color indexed="8"/>
      <name val="Calibri"/>
      <family val="2"/>
    </font>
    <font>
      <sz val="8"/>
      <color rgb="FF000000"/>
      <name val="Calibri"/>
      <family val="2"/>
      <scheme val="minor"/>
    </font>
    <font>
      <sz val="10"/>
      <color rgb="FFFF0000"/>
      <name val="Calibri"/>
      <family val="2"/>
      <scheme val="minor"/>
    </font>
    <font>
      <sz val="10"/>
      <color rgb="FFFF0000"/>
      <name val="Calibri (Body)_x0000_"/>
    </font>
    <font>
      <sz val="10"/>
      <name val="Arial"/>
      <family val="2"/>
    </font>
    <font>
      <sz val="10"/>
      <color theme="1"/>
      <name val="Arial"/>
      <family val="2"/>
    </font>
    <font>
      <sz val="10"/>
      <color theme="1"/>
      <name val="Calibri (Body)_x0000_"/>
    </font>
    <font>
      <sz val="12"/>
      <color indexed="8"/>
      <name val="Calibri"/>
      <family val="2"/>
    </font>
    <font>
      <b/>
      <sz val="14"/>
      <color indexed="8"/>
      <name val="Times New Roman"/>
      <family val="1"/>
    </font>
    <font>
      <sz val="8"/>
      <color rgb="FF000000"/>
      <name val="Times New Roman"/>
      <family val="1"/>
    </font>
    <font>
      <sz val="10"/>
      <color indexed="8"/>
      <name val="Times New Roman"/>
      <family val="1"/>
    </font>
    <font>
      <sz val="8"/>
      <color theme="1"/>
      <name val="Times New Roman"/>
      <family val="1"/>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thin">
        <color rgb="FF000000"/>
      </left>
      <right style="thin">
        <color rgb="FF000000"/>
      </right>
      <top style="thin">
        <color rgb="FF000000"/>
      </top>
      <bottom/>
      <diagonal/>
    </border>
    <border>
      <left style="medium">
        <color auto="1"/>
      </left>
      <right/>
      <top style="medium">
        <color auto="1"/>
      </top>
      <bottom style="medium">
        <color auto="1"/>
      </bottom>
      <diagonal/>
    </border>
    <border>
      <left style="thin">
        <color rgb="FF000000"/>
      </left>
      <right style="thin">
        <color rgb="FF000000"/>
      </right>
      <top style="thin">
        <color rgb="FF000000"/>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3">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27" fillId="0" borderId="0"/>
    <xf numFmtId="0" fontId="24" fillId="0" borderId="0"/>
    <xf numFmtId="43" fontId="24" fillId="0" borderId="0" applyFont="0" applyFill="0" applyBorder="0" applyAlignment="0" applyProtection="0"/>
    <xf numFmtId="0" fontId="28" fillId="0" borderId="0"/>
    <xf numFmtId="0" fontId="34" fillId="0" borderId="0"/>
    <xf numFmtId="0" fontId="24" fillId="0" borderId="0"/>
    <xf numFmtId="0" fontId="37" fillId="0" borderId="0"/>
    <xf numFmtId="0" fontId="28" fillId="0" borderId="0"/>
  </cellStyleXfs>
  <cellXfs count="211">
    <xf numFmtId="0" fontId="0" fillId="0" borderId="0" xfId="0"/>
    <xf numFmtId="43" fontId="0" fillId="0" borderId="0" xfId="1" applyFont="1"/>
    <xf numFmtId="9" fontId="0" fillId="0" borderId="0" xfId="0" applyNumberFormat="1"/>
    <xf numFmtId="9" fontId="0" fillId="0" borderId="0" xfId="2" applyFont="1"/>
    <xf numFmtId="164" fontId="0" fillId="0" borderId="0" xfId="0" applyNumberFormat="1"/>
    <xf numFmtId="165" fontId="0" fillId="0" borderId="0" xfId="0" applyNumberFormat="1"/>
    <xf numFmtId="0" fontId="2" fillId="0" borderId="0" xfId="0" applyFont="1"/>
    <xf numFmtId="0" fontId="0" fillId="0" borderId="0" xfId="0" applyAlignment="1">
      <alignment horizontal="left" indent="2"/>
    </xf>
    <xf numFmtId="0" fontId="2"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right"/>
    </xf>
    <xf numFmtId="0" fontId="3" fillId="0" borderId="0" xfId="0" applyFont="1"/>
    <xf numFmtId="0" fontId="0" fillId="2" borderId="1" xfId="0" applyFill="1" applyBorder="1" applyProtection="1">
      <protection locked="0"/>
    </xf>
    <xf numFmtId="43" fontId="2" fillId="0" borderId="0" xfId="0" applyNumberFormat="1" applyFont="1"/>
    <xf numFmtId="0" fontId="4" fillId="0" borderId="0" xfId="0" applyFont="1" applyAlignment="1">
      <alignment horizontal="center"/>
    </xf>
    <xf numFmtId="43" fontId="2" fillId="0" borderId="0" xfId="1" applyFont="1"/>
    <xf numFmtId="0" fontId="4" fillId="0" borderId="0" xfId="0" applyFont="1"/>
    <xf numFmtId="0" fontId="6" fillId="0" borderId="0" xfId="0" applyFont="1" applyAlignment="1">
      <alignment horizontal="center"/>
    </xf>
    <xf numFmtId="0" fontId="0" fillId="0" borderId="0" xfId="0" applyAlignment="1">
      <alignment horizontal="right"/>
    </xf>
    <xf numFmtId="0" fontId="7" fillId="0" borderId="0" xfId="0" applyFont="1"/>
    <xf numFmtId="0" fontId="7" fillId="0" borderId="0" xfId="0" applyFont="1" applyAlignment="1">
      <alignment horizontal="right"/>
    </xf>
    <xf numFmtId="9" fontId="2" fillId="0" borderId="0" xfId="0" applyNumberFormat="1" applyFont="1" applyAlignment="1">
      <alignment horizontal="right"/>
    </xf>
    <xf numFmtId="43" fontId="0" fillId="0" borderId="0" xfId="1" applyFont="1" applyAlignment="1">
      <alignment horizontal="right"/>
    </xf>
    <xf numFmtId="0" fontId="8" fillId="0" borderId="0" xfId="0" applyFont="1"/>
    <xf numFmtId="0" fontId="0" fillId="0" borderId="0" xfId="0" applyAlignment="1">
      <alignment horizontal="left" indent="1"/>
    </xf>
    <xf numFmtId="0" fontId="2" fillId="0" borderId="0" xfId="0" applyFont="1" applyAlignment="1">
      <alignment horizontal="right" wrapText="1"/>
    </xf>
    <xf numFmtId="8" fontId="0" fillId="0" borderId="0" xfId="0" applyNumberFormat="1"/>
    <xf numFmtId="43" fontId="0" fillId="0" borderId="0" xfId="0" applyNumberFormat="1"/>
    <xf numFmtId="166" fontId="0" fillId="0" borderId="0" xfId="3" applyNumberFormat="1" applyFont="1"/>
    <xf numFmtId="0" fontId="0" fillId="3" borderId="1" xfId="0" applyFill="1" applyBorder="1"/>
    <xf numFmtId="9" fontId="0" fillId="3" borderId="1" xfId="2" applyFont="1" applyFill="1" applyBorder="1"/>
    <xf numFmtId="166" fontId="0" fillId="3" borderId="1" xfId="3" applyNumberFormat="1" applyFont="1" applyFill="1" applyBorder="1"/>
    <xf numFmtId="0" fontId="9" fillId="0" borderId="0" xfId="0" applyFont="1"/>
    <xf numFmtId="9" fontId="0" fillId="0" borderId="0" xfId="2" applyFont="1" applyFill="1" applyBorder="1"/>
    <xf numFmtId="43" fontId="0" fillId="0" borderId="0" xfId="1" applyFont="1" applyFill="1" applyBorder="1"/>
    <xf numFmtId="167" fontId="2" fillId="0" borderId="0" xfId="0" applyNumberFormat="1" applyFont="1"/>
    <xf numFmtId="9" fontId="0" fillId="0" borderId="1" xfId="2" applyFont="1" applyFill="1" applyBorder="1"/>
    <xf numFmtId="43" fontId="0" fillId="0" borderId="1" xfId="1" applyFont="1" applyFill="1" applyBorder="1"/>
    <xf numFmtId="166" fontId="2" fillId="0" borderId="0" xfId="3" applyNumberFormat="1" applyFont="1"/>
    <xf numFmtId="0" fontId="10" fillId="0" borderId="0" xfId="0" applyFont="1"/>
    <xf numFmtId="43" fontId="0" fillId="0" borderId="1" xfId="0" applyNumberFormat="1" applyBorder="1"/>
    <xf numFmtId="0" fontId="0" fillId="0" borderId="0" xfId="0" applyAlignment="1">
      <alignment horizontal="right" indent="1"/>
    </xf>
    <xf numFmtId="43" fontId="2" fillId="0" borderId="0" xfId="1" applyFont="1" applyFill="1" applyBorder="1"/>
    <xf numFmtId="164" fontId="1" fillId="2" borderId="1" xfId="1" applyNumberFormat="1" applyFont="1" applyFill="1" applyBorder="1" applyProtection="1">
      <protection locked="0"/>
    </xf>
    <xf numFmtId="9" fontId="0" fillId="2" borderId="1" xfId="2" applyFont="1" applyFill="1" applyBorder="1" applyProtection="1">
      <protection locked="0"/>
    </xf>
    <xf numFmtId="43" fontId="0" fillId="2" borderId="1" xfId="0" applyNumberFormat="1" applyFill="1" applyBorder="1" applyProtection="1">
      <protection locked="0"/>
    </xf>
    <xf numFmtId="43" fontId="0" fillId="2" borderId="1" xfId="1" applyFont="1" applyFill="1" applyBorder="1" applyProtection="1">
      <protection locked="0"/>
    </xf>
    <xf numFmtId="43" fontId="2" fillId="2" borderId="1" xfId="0" applyNumberFormat="1" applyFont="1" applyFill="1" applyBorder="1" applyProtection="1">
      <protection locked="0"/>
    </xf>
    <xf numFmtId="166" fontId="0" fillId="2" borderId="1" xfId="3" applyNumberFormat="1" applyFont="1" applyFill="1" applyBorder="1" applyProtection="1">
      <protection locked="0"/>
    </xf>
    <xf numFmtId="43" fontId="0" fillId="0" borderId="0" xfId="1" applyFont="1" applyFill="1" applyAlignment="1">
      <alignment horizontal="right"/>
    </xf>
    <xf numFmtId="0" fontId="0" fillId="0" borderId="0" xfId="0" applyAlignment="1">
      <alignment horizontal="left"/>
    </xf>
    <xf numFmtId="9" fontId="0" fillId="0" borderId="0" xfId="0" applyNumberFormat="1" applyAlignment="1">
      <alignment horizontal="right"/>
    </xf>
    <xf numFmtId="166" fontId="0" fillId="0" borderId="5" xfId="0" applyNumberFormat="1" applyBorder="1"/>
    <xf numFmtId="166" fontId="0" fillId="0" borderId="0" xfId="0" applyNumberFormat="1"/>
    <xf numFmtId="166" fontId="0" fillId="0" borderId="6" xfId="0" applyNumberFormat="1" applyBorder="1"/>
    <xf numFmtId="166" fontId="0" fillId="0" borderId="2" xfId="0" applyNumberFormat="1" applyBorder="1"/>
    <xf numFmtId="166" fontId="0" fillId="0" borderId="3" xfId="0" applyNumberFormat="1" applyBorder="1"/>
    <xf numFmtId="166" fontId="0" fillId="0" borderId="4" xfId="0" applyNumberFormat="1" applyBorder="1"/>
    <xf numFmtId="44" fontId="0" fillId="0" borderId="0" xfId="3" applyFont="1" applyFill="1" applyBorder="1" applyProtection="1">
      <protection locked="0"/>
    </xf>
    <xf numFmtId="164" fontId="0" fillId="2" borderId="1" xfId="0" applyNumberFormat="1" applyFill="1" applyBorder="1" applyProtection="1">
      <protection locked="0"/>
    </xf>
    <xf numFmtId="9" fontId="0" fillId="0" borderId="0" xfId="2" applyFont="1" applyFill="1" applyBorder="1" applyProtection="1">
      <protection locked="0"/>
    </xf>
    <xf numFmtId="164" fontId="0" fillId="0" borderId="1" xfId="1" applyNumberFormat="1" applyFont="1" applyFill="1" applyBorder="1"/>
    <xf numFmtId="164" fontId="0" fillId="2" borderId="1" xfId="1" applyNumberFormat="1" applyFont="1" applyFill="1" applyBorder="1" applyProtection="1">
      <protection locked="0"/>
    </xf>
    <xf numFmtId="164" fontId="0" fillId="3" borderId="1" xfId="0" applyNumberFormat="1" applyFill="1" applyBorder="1"/>
    <xf numFmtId="164" fontId="2" fillId="2" borderId="1" xfId="0" applyNumberFormat="1" applyFont="1" applyFill="1" applyBorder="1" applyProtection="1">
      <protection locked="0"/>
    </xf>
    <xf numFmtId="164" fontId="0" fillId="0" borderId="1" xfId="0" applyNumberFormat="1" applyBorder="1"/>
    <xf numFmtId="164" fontId="2" fillId="0" borderId="0" xfId="1" applyNumberFormat="1" applyFont="1" applyFill="1" applyBorder="1"/>
    <xf numFmtId="164" fontId="2" fillId="0" borderId="0" xfId="0" applyNumberFormat="1" applyFont="1"/>
    <xf numFmtId="168" fontId="0" fillId="2" borderId="1" xfId="3" applyNumberFormat="1" applyFont="1" applyFill="1" applyBorder="1" applyProtection="1">
      <protection locked="0"/>
    </xf>
    <xf numFmtId="168" fontId="0" fillId="3" borderId="1" xfId="3" applyNumberFormat="1" applyFont="1" applyFill="1" applyBorder="1"/>
    <xf numFmtId="168" fontId="0" fillId="0" borderId="0" xfId="0" applyNumberFormat="1"/>
    <xf numFmtId="168" fontId="2" fillId="2" borderId="1" xfId="3" applyNumberFormat="1" applyFont="1" applyFill="1" applyBorder="1" applyProtection="1">
      <protection locked="0"/>
    </xf>
    <xf numFmtId="164" fontId="0" fillId="3" borderId="1" xfId="1" applyNumberFormat="1" applyFont="1" applyFill="1" applyBorder="1"/>
    <xf numFmtId="164" fontId="0" fillId="3" borderId="1" xfId="1" applyNumberFormat="1" applyFont="1" applyFill="1" applyBorder="1" applyProtection="1">
      <protection locked="0"/>
    </xf>
    <xf numFmtId="43" fontId="0" fillId="3" borderId="1" xfId="1" applyFont="1" applyFill="1" applyBorder="1"/>
    <xf numFmtId="43" fontId="0" fillId="3" borderId="1" xfId="1" applyFont="1" applyFill="1" applyBorder="1" applyProtection="1">
      <protection locked="0"/>
    </xf>
    <xf numFmtId="166" fontId="0" fillId="3" borderId="1" xfId="3" applyNumberFormat="1" applyFont="1" applyFill="1" applyBorder="1" applyProtection="1">
      <protection locked="0"/>
    </xf>
    <xf numFmtId="168" fontId="0" fillId="3" borderId="1" xfId="3" applyNumberFormat="1" applyFont="1" applyFill="1" applyBorder="1" applyProtection="1">
      <protection locked="0"/>
    </xf>
    <xf numFmtId="0" fontId="0" fillId="0" borderId="0" xfId="0" applyAlignment="1" applyProtection="1">
      <alignment horizontal="right"/>
      <protection locked="0"/>
    </xf>
    <xf numFmtId="166" fontId="0" fillId="2" borderId="1" xfId="0" applyNumberFormat="1" applyFill="1" applyBorder="1" applyProtection="1">
      <protection locked="0"/>
    </xf>
    <xf numFmtId="0" fontId="11" fillId="0" borderId="0" xfId="0" applyFont="1"/>
    <xf numFmtId="168" fontId="0" fillId="0" borderId="1" xfId="3" applyNumberFormat="1" applyFont="1" applyFill="1" applyBorder="1" applyProtection="1">
      <protection locked="0"/>
    </xf>
    <xf numFmtId="164" fontId="0" fillId="0" borderId="1" xfId="1" applyNumberFormat="1" applyFont="1" applyFill="1" applyBorder="1" applyProtection="1">
      <protection locked="0"/>
    </xf>
    <xf numFmtId="164" fontId="2" fillId="0" borderId="1" xfId="0" applyNumberFormat="1" applyFont="1" applyBorder="1" applyProtection="1">
      <protection locked="0"/>
    </xf>
    <xf numFmtId="8" fontId="2" fillId="0" borderId="0" xfId="0" applyNumberFormat="1" applyFont="1" applyAlignment="1">
      <alignment horizontal="right"/>
    </xf>
    <xf numFmtId="9" fontId="0" fillId="2" borderId="1" xfId="2" applyFont="1" applyFill="1" applyBorder="1"/>
    <xf numFmtId="0" fontId="12" fillId="0" borderId="0" xfId="0" applyFont="1" applyAlignment="1">
      <alignment vertical="center"/>
    </xf>
    <xf numFmtId="0" fontId="13" fillId="0" borderId="0" xfId="0" applyFont="1" applyAlignment="1">
      <alignment horizontal="left" vertical="center" indent="1"/>
    </xf>
    <xf numFmtId="0" fontId="13" fillId="0" borderId="0" xfId="0" applyFont="1" applyAlignment="1">
      <alignment vertical="center"/>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21" fillId="0" borderId="0" xfId="0" applyFont="1" applyAlignment="1">
      <alignment vertical="center"/>
    </xf>
    <xf numFmtId="0" fontId="16" fillId="0" borderId="0" xfId="0" applyFont="1" applyAlignment="1">
      <alignment horizontal="left" vertical="center" indent="4"/>
    </xf>
    <xf numFmtId="0" fontId="22" fillId="0" borderId="0" xfId="0" applyFont="1" applyAlignment="1">
      <alignment vertical="center"/>
    </xf>
    <xf numFmtId="0" fontId="16" fillId="0" borderId="0" xfId="0" applyFont="1" applyAlignment="1">
      <alignment horizontal="center" vertical="center" wrapText="1"/>
    </xf>
    <xf numFmtId="0" fontId="12" fillId="0" borderId="10" xfId="0" applyFont="1" applyBorder="1" applyAlignment="1">
      <alignment horizontal="center" vertical="center" wrapText="1"/>
    </xf>
    <xf numFmtId="0" fontId="12" fillId="0" borderId="9" xfId="0" applyFont="1" applyBorder="1" applyAlignment="1">
      <alignment horizontal="right" vertical="center" wrapText="1"/>
    </xf>
    <xf numFmtId="0" fontId="16" fillId="0" borderId="8" xfId="0" applyFont="1" applyBorder="1" applyAlignment="1">
      <alignment horizontal="center" vertical="center" wrapText="1"/>
    </xf>
    <xf numFmtId="0" fontId="16" fillId="0" borderId="0" xfId="0" applyFont="1"/>
    <xf numFmtId="0" fontId="18" fillId="0" borderId="0" xfId="0" applyFont="1" applyAlignment="1">
      <alignment horizontal="left" vertical="center" indent="2"/>
    </xf>
    <xf numFmtId="0" fontId="16" fillId="0" borderId="0" xfId="0" applyFont="1" applyAlignment="1">
      <alignment horizontal="left" vertical="center" indent="8"/>
    </xf>
    <xf numFmtId="0" fontId="22" fillId="0" borderId="0" xfId="0" applyFont="1" applyAlignment="1">
      <alignment horizontal="left" vertical="center" indent="8"/>
    </xf>
    <xf numFmtId="0" fontId="16" fillId="0" borderId="0" xfId="0" applyFont="1" applyAlignment="1">
      <alignment horizontal="left" vertical="center" indent="2"/>
    </xf>
    <xf numFmtId="0" fontId="18" fillId="0" borderId="0" xfId="0" applyFont="1" applyAlignment="1">
      <alignment horizontal="left" vertical="center" indent="4"/>
    </xf>
    <xf numFmtId="0" fontId="16" fillId="0" borderId="0" xfId="0" applyFont="1" applyAlignment="1">
      <alignment horizontal="left" vertical="center"/>
    </xf>
    <xf numFmtId="0" fontId="25" fillId="0" borderId="0" xfId="4" applyFont="1" applyProtection="1">
      <protection hidden="1"/>
    </xf>
    <xf numFmtId="0" fontId="28" fillId="0" borderId="0" xfId="4" applyFont="1"/>
    <xf numFmtId="0" fontId="1" fillId="0" borderId="0" xfId="4" applyProtection="1">
      <protection hidden="1"/>
    </xf>
    <xf numFmtId="0" fontId="29" fillId="0" borderId="11" xfId="0" applyFont="1" applyBorder="1" applyAlignment="1">
      <alignment wrapText="1"/>
    </xf>
    <xf numFmtId="0" fontId="30" fillId="0" borderId="0" xfId="0" applyFont="1"/>
    <xf numFmtId="0" fontId="1" fillId="0" borderId="0" xfId="4"/>
    <xf numFmtId="0" fontId="28" fillId="0" borderId="0" xfId="0" applyFont="1"/>
    <xf numFmtId="0" fontId="28" fillId="0" borderId="0" xfId="0" applyFont="1" applyAlignment="1">
      <alignment horizontal="left" indent="2"/>
    </xf>
    <xf numFmtId="0" fontId="0" fillId="0" borderId="0" xfId="0" applyProtection="1">
      <protection hidden="1"/>
    </xf>
    <xf numFmtId="0" fontId="0" fillId="0" borderId="0" xfId="0" applyAlignment="1" applyProtection="1">
      <alignment horizontal="center"/>
      <protection hidden="1"/>
    </xf>
    <xf numFmtId="0" fontId="0" fillId="4" borderId="0" xfId="0" applyFill="1" applyProtection="1">
      <protection hidden="1"/>
    </xf>
    <xf numFmtId="0" fontId="28" fillId="4" borderId="0" xfId="0" applyFont="1" applyFill="1"/>
    <xf numFmtId="0" fontId="1" fillId="0" borderId="0" xfId="4" applyAlignment="1" applyProtection="1">
      <alignment horizontal="center"/>
      <protection hidden="1"/>
    </xf>
    <xf numFmtId="0" fontId="1" fillId="0" borderId="0" xfId="4" applyAlignment="1" applyProtection="1">
      <alignment horizontal="right"/>
      <protection hidden="1"/>
    </xf>
    <xf numFmtId="0" fontId="29" fillId="0" borderId="13" xfId="0" applyFont="1" applyBorder="1" applyAlignment="1">
      <alignment wrapText="1"/>
    </xf>
    <xf numFmtId="0" fontId="29" fillId="2" borderId="11" xfId="0" applyFont="1" applyFill="1" applyBorder="1" applyAlignment="1">
      <alignment wrapText="1"/>
    </xf>
    <xf numFmtId="0" fontId="29" fillId="2" borderId="13" xfId="0" applyFont="1" applyFill="1" applyBorder="1" applyAlignment="1">
      <alignment wrapText="1"/>
    </xf>
    <xf numFmtId="0" fontId="0" fillId="5" borderId="0" xfId="0" applyFill="1"/>
    <xf numFmtId="0" fontId="24" fillId="0" borderId="0" xfId="0" applyFont="1"/>
    <xf numFmtId="0" fontId="31" fillId="0" borderId="0" xfId="0" applyFont="1"/>
    <xf numFmtId="0" fontId="32" fillId="0" borderId="0" xfId="0" applyFont="1"/>
    <xf numFmtId="0" fontId="33" fillId="0" borderId="0" xfId="0" applyFont="1" applyProtection="1">
      <protection hidden="1"/>
    </xf>
    <xf numFmtId="0" fontId="26" fillId="0" borderId="0" xfId="0" applyFont="1"/>
    <xf numFmtId="0" fontId="24" fillId="0" borderId="0" xfId="0" applyFont="1" applyProtection="1">
      <protection hidden="1"/>
    </xf>
    <xf numFmtId="0" fontId="28" fillId="0" borderId="0" xfId="6" applyFont="1"/>
    <xf numFmtId="0" fontId="28" fillId="0" borderId="0" xfId="7" applyNumberFormat="1" applyFont="1" applyFill="1" applyBorder="1"/>
    <xf numFmtId="0" fontId="28" fillId="0" borderId="0" xfId="8"/>
    <xf numFmtId="0" fontId="23" fillId="0" borderId="0" xfId="6" applyFont="1"/>
    <xf numFmtId="0" fontId="2" fillId="0" borderId="0" xfId="9" applyFont="1"/>
    <xf numFmtId="0" fontId="28" fillId="0" borderId="0" xfId="10" applyFont="1"/>
    <xf numFmtId="0" fontId="35" fillId="0" borderId="0" xfId="9" applyFont="1"/>
    <xf numFmtId="0" fontId="35" fillId="0" borderId="0" xfId="9" applyFont="1" applyAlignment="1">
      <alignment horizontal="center"/>
    </xf>
    <xf numFmtId="43" fontId="24" fillId="0" borderId="0" xfId="1" applyFont="1"/>
    <xf numFmtId="0" fontId="34" fillId="0" borderId="0" xfId="9"/>
    <xf numFmtId="0" fontId="24" fillId="0" borderId="0" xfId="4" applyFont="1"/>
    <xf numFmtId="49" fontId="28" fillId="0" borderId="0" xfId="10" applyNumberFormat="1" applyFont="1" applyAlignment="1">
      <alignment horizontal="right"/>
    </xf>
    <xf numFmtId="0" fontId="28" fillId="0" borderId="0" xfId="10" applyFont="1" applyAlignment="1">
      <alignment horizontal="right"/>
    </xf>
    <xf numFmtId="0" fontId="24" fillId="0" borderId="0" xfId="6"/>
    <xf numFmtId="49" fontId="28" fillId="0" borderId="0" xfId="6" applyNumberFormat="1" applyFont="1"/>
    <xf numFmtId="14" fontId="28" fillId="0" borderId="0" xfId="6" applyNumberFormat="1" applyFont="1"/>
    <xf numFmtId="14" fontId="28" fillId="0" borderId="0" xfId="0" applyNumberFormat="1" applyFont="1"/>
    <xf numFmtId="43" fontId="28" fillId="0" borderId="0" xfId="7" applyFont="1" applyFill="1"/>
    <xf numFmtId="164" fontId="28" fillId="0" borderId="0" xfId="7" applyNumberFormat="1" applyFont="1" applyFill="1"/>
    <xf numFmtId="49" fontId="35" fillId="0" borderId="0" xfId="3" applyNumberFormat="1" applyFont="1" applyFill="1" applyBorder="1"/>
    <xf numFmtId="0" fontId="34" fillId="0" borderId="0" xfId="9" applyAlignment="1">
      <alignment horizontal="center"/>
    </xf>
    <xf numFmtId="43" fontId="24" fillId="0" borderId="0" xfId="7" applyFont="1"/>
    <xf numFmtId="0" fontId="36" fillId="0" borderId="0" xfId="0" applyFont="1" applyProtection="1">
      <protection hidden="1"/>
    </xf>
    <xf numFmtId="0" fontId="24" fillId="0" borderId="0" xfId="6" applyAlignment="1">
      <alignment horizontal="center"/>
    </xf>
    <xf numFmtId="0" fontId="28" fillId="0" borderId="0" xfId="0" applyFont="1" applyProtection="1">
      <protection hidden="1"/>
    </xf>
    <xf numFmtId="0" fontId="28" fillId="0" borderId="0" xfId="0" applyFont="1" applyAlignment="1" applyProtection="1">
      <alignment horizontal="left" vertical="center"/>
      <protection hidden="1"/>
    </xf>
    <xf numFmtId="0" fontId="28" fillId="0" borderId="0" xfId="0" applyFont="1" applyAlignment="1" applyProtection="1">
      <alignment horizontal="left"/>
      <protection hidden="1"/>
    </xf>
    <xf numFmtId="166" fontId="0" fillId="0" borderId="0" xfId="3" applyNumberFormat="1" applyFont="1" applyFill="1" applyBorder="1"/>
    <xf numFmtId="167" fontId="24" fillId="0" borderId="0" xfId="6" applyNumberFormat="1" applyAlignment="1">
      <alignment horizontal="center"/>
    </xf>
    <xf numFmtId="1" fontId="24" fillId="0" borderId="0" xfId="6" applyNumberFormat="1" applyAlignment="1">
      <alignment horizontal="center"/>
    </xf>
    <xf numFmtId="0" fontId="28" fillId="0" borderId="0" xfId="11" applyFont="1" applyAlignment="1" applyProtection="1">
      <alignment horizontal="left"/>
      <protection hidden="1"/>
    </xf>
    <xf numFmtId="0" fontId="28" fillId="0" borderId="0" xfId="11" applyFont="1" applyProtection="1">
      <protection hidden="1"/>
    </xf>
    <xf numFmtId="166" fontId="24" fillId="0" borderId="0" xfId="3" applyNumberFormat="1" applyFont="1" applyFill="1" applyBorder="1" applyProtection="1">
      <protection hidden="1"/>
    </xf>
    <xf numFmtId="166" fontId="24" fillId="0" borderId="0" xfId="3" applyNumberFormat="1" applyFont="1" applyFill="1" applyProtection="1"/>
    <xf numFmtId="164" fontId="24" fillId="0" borderId="0" xfId="1" applyNumberFormat="1" applyFont="1" applyFill="1" applyBorder="1" applyProtection="1"/>
    <xf numFmtId="169" fontId="24" fillId="0" borderId="0" xfId="6" applyNumberFormat="1"/>
    <xf numFmtId="166" fontId="36" fillId="0" borderId="0" xfId="3" applyNumberFormat="1" applyFont="1" applyFill="1" applyBorder="1" applyProtection="1">
      <protection hidden="1"/>
    </xf>
    <xf numFmtId="166" fontId="24" fillId="0" borderId="0" xfId="6" applyNumberFormat="1"/>
    <xf numFmtId="44" fontId="24" fillId="0" borderId="0" xfId="6" applyNumberFormat="1" applyAlignment="1">
      <alignment horizontal="center"/>
    </xf>
    <xf numFmtId="44" fontId="24" fillId="0" borderId="0" xfId="6" applyNumberFormat="1"/>
    <xf numFmtId="9" fontId="24" fillId="0" borderId="0" xfId="6" applyNumberFormat="1" applyAlignment="1">
      <alignment horizontal="center"/>
    </xf>
    <xf numFmtId="9" fontId="36" fillId="0" borderId="0" xfId="2" applyFont="1" applyFill="1" applyBorder="1" applyProtection="1">
      <protection hidden="1"/>
    </xf>
    <xf numFmtId="43" fontId="24" fillId="0" borderId="0" xfId="1" applyFont="1" applyFill="1" applyProtection="1">
      <protection hidden="1"/>
    </xf>
    <xf numFmtId="170" fontId="24" fillId="0" borderId="0" xfId="2" applyNumberFormat="1" applyFont="1" applyFill="1" applyProtection="1">
      <protection hidden="1"/>
    </xf>
    <xf numFmtId="9" fontId="24" fillId="0" borderId="0" xfId="2" applyFont="1" applyFill="1" applyProtection="1">
      <protection hidden="1"/>
    </xf>
    <xf numFmtId="170" fontId="24" fillId="0" borderId="0" xfId="2" applyNumberFormat="1" applyFont="1" applyFill="1" applyBorder="1" applyProtection="1">
      <protection hidden="1"/>
    </xf>
    <xf numFmtId="170" fontId="36" fillId="0" borderId="0" xfId="2" applyNumberFormat="1" applyFont="1" applyFill="1" applyBorder="1" applyProtection="1">
      <protection hidden="1"/>
    </xf>
    <xf numFmtId="9" fontId="24" fillId="0" borderId="0" xfId="2" applyFont="1" applyFill="1" applyBorder="1" applyProtection="1">
      <protection hidden="1"/>
    </xf>
    <xf numFmtId="170" fontId="36" fillId="0" borderId="0" xfId="2" applyNumberFormat="1" applyFont="1" applyFill="1" applyProtection="1">
      <protection hidden="1"/>
    </xf>
    <xf numFmtId="164" fontId="24" fillId="0" borderId="0" xfId="1" applyNumberFormat="1" applyFont="1" applyFill="1" applyBorder="1" applyProtection="1">
      <protection hidden="1"/>
    </xf>
    <xf numFmtId="164" fontId="36" fillId="0" borderId="0" xfId="1" applyNumberFormat="1" applyFont="1" applyFill="1" applyBorder="1" applyProtection="1">
      <protection hidden="1"/>
    </xf>
    <xf numFmtId="9" fontId="36" fillId="0" borderId="0" xfId="0" applyNumberFormat="1" applyFont="1" applyProtection="1">
      <protection hidden="1"/>
    </xf>
    <xf numFmtId="43" fontId="24" fillId="0" borderId="0" xfId="1" applyFont="1" applyFill="1" applyBorder="1" applyProtection="1">
      <protection hidden="1"/>
    </xf>
    <xf numFmtId="43" fontId="36" fillId="0" borderId="0" xfId="1" applyFont="1" applyFill="1" applyBorder="1" applyProtection="1">
      <protection hidden="1"/>
    </xf>
    <xf numFmtId="9" fontId="24" fillId="0" borderId="0" xfId="0" applyNumberFormat="1" applyFont="1" applyProtection="1">
      <protection hidden="1"/>
    </xf>
    <xf numFmtId="170" fontId="28" fillId="0" borderId="0" xfId="2" applyNumberFormat="1" applyFont="1" applyFill="1" applyBorder="1" applyProtection="1">
      <protection hidden="1"/>
    </xf>
    <xf numFmtId="9" fontId="24" fillId="0" borderId="0" xfId="2" applyFont="1" applyAlignment="1">
      <alignment horizontal="center"/>
    </xf>
    <xf numFmtId="170" fontId="36" fillId="0" borderId="0" xfId="0" applyNumberFormat="1" applyFont="1" applyProtection="1">
      <protection hidden="1"/>
    </xf>
    <xf numFmtId="10" fontId="36" fillId="0" borderId="0" xfId="0" applyNumberFormat="1" applyFont="1" applyProtection="1">
      <protection hidden="1"/>
    </xf>
    <xf numFmtId="0" fontId="38" fillId="0" borderId="0" xfId="4" applyFont="1" applyProtection="1">
      <protection hidden="1"/>
    </xf>
    <xf numFmtId="0" fontId="39" fillId="0" borderId="0" xfId="0" applyFont="1"/>
    <xf numFmtId="0" fontId="40" fillId="0" borderId="0" xfId="0" applyFont="1"/>
    <xf numFmtId="0" fontId="41" fillId="0" borderId="0" xfId="0" applyFont="1"/>
    <xf numFmtId="0" fontId="16" fillId="0" borderId="0" xfId="0" applyFont="1" applyProtection="1">
      <protection hidden="1"/>
    </xf>
    <xf numFmtId="43" fontId="0" fillId="0" borderId="1" xfId="1" applyFont="1" applyFill="1" applyBorder="1" applyProtection="1">
      <protection locked="0"/>
    </xf>
    <xf numFmtId="168" fontId="0" fillId="2" borderId="14" xfId="3" applyNumberFormat="1" applyFont="1" applyFill="1" applyBorder="1" applyProtection="1">
      <protection locked="0"/>
    </xf>
    <xf numFmtId="43" fontId="0" fillId="5" borderId="0" xfId="1" applyFont="1" applyFill="1" applyAlignment="1">
      <alignment horizontal="right"/>
    </xf>
    <xf numFmtId="43" fontId="0" fillId="5" borderId="0" xfId="1" applyFont="1" applyFill="1"/>
    <xf numFmtId="9" fontId="0" fillId="5" borderId="0" xfId="0" applyNumberFormat="1" applyFill="1"/>
    <xf numFmtId="43" fontId="0" fillId="0" borderId="0" xfId="1" applyFont="1" applyFill="1"/>
    <xf numFmtId="43" fontId="0" fillId="5" borderId="12" xfId="1" applyFont="1" applyFill="1" applyBorder="1" applyAlignment="1">
      <alignment horizontal="right"/>
    </xf>
    <xf numFmtId="43" fontId="0" fillId="0" borderId="7" xfId="1" applyFont="1" applyFill="1" applyBorder="1" applyAlignment="1">
      <alignment horizontal="right"/>
    </xf>
    <xf numFmtId="0" fontId="42" fillId="0" borderId="0" xfId="0" applyFont="1" applyAlignment="1">
      <alignment horizontal="left"/>
    </xf>
    <xf numFmtId="43" fontId="0" fillId="5" borderId="15" xfId="1" applyFont="1" applyFill="1" applyBorder="1" applyAlignment="1">
      <alignment horizontal="right"/>
    </xf>
    <xf numFmtId="43" fontId="0" fillId="0" borderId="16" xfId="1" applyFont="1" applyFill="1" applyBorder="1" applyAlignment="1">
      <alignment horizontal="right"/>
    </xf>
    <xf numFmtId="0" fontId="28" fillId="2" borderId="12" xfId="4" applyFont="1" applyFill="1" applyBorder="1" applyAlignment="1" applyProtection="1">
      <alignment horizontal="center"/>
      <protection locked="0"/>
    </xf>
    <xf numFmtId="0" fontId="28" fillId="2" borderId="7" xfId="4" applyFont="1" applyFill="1" applyBorder="1" applyAlignment="1" applyProtection="1">
      <alignment horizontal="center"/>
      <protection locked="0"/>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horizontal="right" textRotation="90" wrapText="1"/>
    </xf>
  </cellXfs>
  <cellStyles count="13">
    <cellStyle name="Comma" xfId="1" builtinId="3"/>
    <cellStyle name="Comma 3" xfId="7" xr:uid="{9E627A60-D316-364C-BEA1-C7CAE5E0BAB8}"/>
    <cellStyle name="Currency" xfId="3" builtinId="4"/>
    <cellStyle name="Normal" xfId="0" builtinId="0"/>
    <cellStyle name="Normal 2 2" xfId="9" xr:uid="{4651986C-82D6-2946-9AE3-51F34894C8A2}"/>
    <cellStyle name="Normal 3" xfId="11" xr:uid="{962857BA-3852-5A4D-80AC-051A485E7D67}"/>
    <cellStyle name="Normal 4" xfId="6" xr:uid="{A763CAA8-9BCF-DD46-A97B-559E33BE9356}"/>
    <cellStyle name="Normal 5" xfId="8" xr:uid="{1A72A4E4-AD89-854A-ABAE-71F179430938}"/>
    <cellStyle name="Normal 5 2" xfId="4" xr:uid="{9531ACBE-CFE5-3E47-BDE0-072C6F643DA0}"/>
    <cellStyle name="Normal 5 3" xfId="12" xr:uid="{8B696C30-F891-4E46-A9EA-939415A526F2}"/>
    <cellStyle name="Normal 6" xfId="5" xr:uid="{EFD521F9-6631-5945-B492-BFCC83A23BA8}"/>
    <cellStyle name="Normal 7" xfId="10" xr:uid="{292578B3-22A2-144A-99DC-F5DB66166D88}"/>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C0ED2-5FF7-8344-92B2-FD50CCE0426F}">
  <dimension ref="A1:BA195"/>
  <sheetViews>
    <sheetView workbookViewId="0">
      <selection activeCell="C9" sqref="C9:D9"/>
    </sheetView>
  </sheetViews>
  <sheetFormatPr defaultColWidth="10.75" defaultRowHeight="15.75"/>
  <cols>
    <col min="1" max="14" width="10.75" style="109"/>
    <col min="15" max="15" width="10.5" customWidth="1"/>
    <col min="16" max="16384" width="10.75" style="109"/>
  </cols>
  <sheetData>
    <row r="1" spans="1:53" s="125" customFormat="1" ht="18.75">
      <c r="A1" s="107" t="s">
        <v>212</v>
      </c>
      <c r="H1" s="126" t="s">
        <v>213</v>
      </c>
      <c r="O1" s="127"/>
      <c r="Z1" s="127"/>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7"/>
    </row>
    <row r="2" spans="1:53" s="125" customFormat="1" ht="12.75">
      <c r="A2" s="111" t="s">
        <v>214</v>
      </c>
      <c r="H2" s="129"/>
      <c r="O2" s="127"/>
      <c r="Z2" s="127"/>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7"/>
    </row>
    <row r="3" spans="1:53" s="125" customFormat="1" ht="12.75">
      <c r="A3" s="130" t="s">
        <v>215</v>
      </c>
      <c r="O3" s="127"/>
      <c r="Z3" s="127"/>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7"/>
    </row>
    <row r="4" spans="1:53" ht="16.5">
      <c r="A4" s="111" t="str">
        <f ca="1">"Sheet: "&amp;MID(CELL("filename",A1),FIND("]",CELL("filename",A1))+1,255)</f>
        <v>Sheet: ENTER EMPLOYEE ID</v>
      </c>
      <c r="O4" s="110">
        <v>23911041</v>
      </c>
    </row>
    <row r="5" spans="1:53" ht="16.5">
      <c r="O5" s="110">
        <v>23663257</v>
      </c>
    </row>
    <row r="6" spans="1:53" ht="16.5">
      <c r="O6" s="110">
        <v>23844532</v>
      </c>
    </row>
    <row r="7" spans="1:53" s="112" customFormat="1" ht="16.5">
      <c r="B7" s="108" t="s">
        <v>194</v>
      </c>
      <c r="O7" s="110">
        <v>23997301</v>
      </c>
    </row>
    <row r="8" spans="1:53" s="112" customFormat="1" ht="17.25" thickBot="1">
      <c r="O8" s="110">
        <v>23921134</v>
      </c>
    </row>
    <row r="9" spans="1:53" s="112" customFormat="1" ht="17.25" thickBot="1">
      <c r="A9" s="108"/>
      <c r="B9" s="108"/>
      <c r="C9" s="206">
        <v>23472093</v>
      </c>
      <c r="D9" s="207"/>
      <c r="E9" s="108"/>
      <c r="F9" s="108"/>
      <c r="G9" s="108"/>
      <c r="H9" s="108"/>
      <c r="I9" s="108"/>
      <c r="J9" s="108"/>
      <c r="K9" s="108"/>
      <c r="L9" s="108"/>
      <c r="M9" s="108"/>
      <c r="N9" s="108"/>
      <c r="O9" s="110">
        <v>23929693</v>
      </c>
      <c r="P9" s="108"/>
      <c r="Q9" s="108"/>
      <c r="R9" s="108"/>
    </row>
    <row r="10" spans="1:53" s="112" customFormat="1" ht="16.5">
      <c r="A10"/>
      <c r="B10"/>
      <c r="C10"/>
      <c r="D10"/>
      <c r="E10"/>
      <c r="F10"/>
      <c r="G10"/>
      <c r="H10"/>
      <c r="I10"/>
      <c r="J10"/>
      <c r="K10"/>
      <c r="L10"/>
      <c r="M10"/>
      <c r="N10"/>
      <c r="O10" s="110">
        <v>23908307</v>
      </c>
      <c r="P10"/>
      <c r="Q10"/>
      <c r="R10"/>
    </row>
    <row r="11" spans="1:53" s="112" customFormat="1" ht="16.5">
      <c r="A11"/>
      <c r="B11" s="113" t="s">
        <v>195</v>
      </c>
      <c r="C11"/>
      <c r="D11"/>
      <c r="E11"/>
      <c r="F11"/>
      <c r="G11"/>
      <c r="H11"/>
      <c r="I11"/>
      <c r="J11"/>
      <c r="K11"/>
      <c r="L11"/>
      <c r="M11"/>
      <c r="N11"/>
      <c r="O11" s="110">
        <v>23762612</v>
      </c>
      <c r="P11"/>
      <c r="Q11"/>
      <c r="R11"/>
    </row>
    <row r="12" spans="1:53" s="112" customFormat="1" ht="16.5">
      <c r="A12"/>
      <c r="B12" s="114" t="s">
        <v>196</v>
      </c>
      <c r="C12"/>
      <c r="D12"/>
      <c r="E12"/>
      <c r="F12"/>
      <c r="G12"/>
      <c r="H12"/>
      <c r="I12"/>
      <c r="J12"/>
      <c r="K12"/>
      <c r="L12"/>
      <c r="M12"/>
      <c r="N12"/>
      <c r="O12" s="110">
        <v>23716497</v>
      </c>
      <c r="P12"/>
      <c r="Q12"/>
      <c r="R12"/>
    </row>
    <row r="13" spans="1:53" s="112" customFormat="1" ht="16.5">
      <c r="A13"/>
      <c r="B13" s="114" t="s">
        <v>197</v>
      </c>
      <c r="C13"/>
      <c r="D13"/>
      <c r="E13"/>
      <c r="F13"/>
      <c r="G13"/>
      <c r="H13"/>
      <c r="I13"/>
      <c r="J13"/>
      <c r="K13"/>
      <c r="L13"/>
      <c r="M13"/>
      <c r="N13"/>
      <c r="O13" s="110">
        <v>23907920</v>
      </c>
      <c r="P13"/>
      <c r="Q13"/>
      <c r="R13"/>
    </row>
    <row r="14" spans="1:53" s="112" customFormat="1" ht="16.5">
      <c r="A14" s="115"/>
      <c r="B14" s="115"/>
      <c r="C14" s="115"/>
      <c r="D14" s="115"/>
      <c r="E14" s="115"/>
      <c r="F14" s="115"/>
      <c r="G14" s="115"/>
      <c r="H14" s="115"/>
      <c r="I14" s="115"/>
      <c r="J14" s="115"/>
      <c r="K14" s="115"/>
      <c r="L14" s="115"/>
      <c r="M14" s="115"/>
      <c r="N14" s="115"/>
      <c r="O14" s="110">
        <v>23917194</v>
      </c>
      <c r="P14" s="115"/>
      <c r="Q14" s="115"/>
      <c r="R14" s="115"/>
    </row>
    <row r="15" spans="1:53" s="112" customFormat="1" ht="16.5">
      <c r="A15" s="116"/>
      <c r="B15" s="117" t="s">
        <v>198</v>
      </c>
      <c r="C15" s="117"/>
      <c r="D15" s="115"/>
      <c r="E15" s="115"/>
      <c r="F15" s="115"/>
      <c r="G15" s="115"/>
      <c r="H15" s="115"/>
      <c r="I15" s="115"/>
      <c r="J15" s="115"/>
      <c r="K15" s="115"/>
      <c r="L15" s="115"/>
      <c r="M15" s="115"/>
      <c r="N15" s="115"/>
      <c r="O15" s="110">
        <v>23875950</v>
      </c>
      <c r="P15" s="115"/>
      <c r="Q15" s="115"/>
      <c r="R15" s="115"/>
    </row>
    <row r="16" spans="1:53" s="112" customFormat="1" ht="16.5">
      <c r="A16" s="116"/>
      <c r="B16" s="115"/>
      <c r="C16" s="115"/>
      <c r="D16" s="115"/>
      <c r="E16" s="115"/>
      <c r="F16" s="115"/>
      <c r="G16" s="115"/>
      <c r="H16" s="115"/>
      <c r="I16" s="115"/>
      <c r="J16" s="115"/>
      <c r="K16" s="115"/>
      <c r="L16" s="115"/>
      <c r="M16" s="115"/>
      <c r="N16" s="115"/>
      <c r="O16" s="110">
        <v>23950534</v>
      </c>
      <c r="P16" s="115"/>
      <c r="Q16" s="115"/>
      <c r="R16" s="115"/>
    </row>
    <row r="17" spans="1:18" s="112" customFormat="1" ht="16.5">
      <c r="A17" s="116" t="s">
        <v>199</v>
      </c>
      <c r="B17" s="118" t="s">
        <v>200</v>
      </c>
      <c r="C17" s="115"/>
      <c r="D17" s="115"/>
      <c r="E17" s="115"/>
      <c r="F17" s="115"/>
      <c r="G17" s="115"/>
      <c r="H17" s="115"/>
      <c r="I17" s="115"/>
      <c r="J17" s="115"/>
      <c r="K17" s="115"/>
      <c r="L17" s="115"/>
      <c r="M17" s="115"/>
      <c r="N17" s="115"/>
      <c r="O17" s="110">
        <v>23912415</v>
      </c>
      <c r="P17" s="115"/>
      <c r="Q17" s="115"/>
      <c r="R17" s="115"/>
    </row>
    <row r="18" spans="1:18" ht="16.5">
      <c r="A18" s="119"/>
      <c r="B18" s="118" t="s">
        <v>201</v>
      </c>
      <c r="O18" s="110">
        <v>23770088</v>
      </c>
    </row>
    <row r="19" spans="1:18" ht="16.5">
      <c r="A19" s="119"/>
      <c r="B19" s="118" t="s">
        <v>202</v>
      </c>
      <c r="O19" s="110">
        <v>23891775</v>
      </c>
    </row>
    <row r="20" spans="1:18" ht="16.5">
      <c r="A20" s="119"/>
      <c r="B20" s="118" t="s">
        <v>203</v>
      </c>
      <c r="O20" s="110">
        <v>23897398</v>
      </c>
    </row>
    <row r="21" spans="1:18" ht="16.5">
      <c r="A21" s="119"/>
      <c r="B21" s="118" t="s">
        <v>204</v>
      </c>
      <c r="O21" s="110">
        <v>23908444</v>
      </c>
    </row>
    <row r="22" spans="1:18" ht="16.5">
      <c r="A22" s="119"/>
      <c r="B22" s="118" t="s">
        <v>205</v>
      </c>
      <c r="O22" s="110">
        <v>23826623</v>
      </c>
    </row>
    <row r="23" spans="1:18" ht="16.5">
      <c r="A23" s="119"/>
      <c r="B23" s="118" t="s">
        <v>206</v>
      </c>
      <c r="O23" s="110">
        <v>23630996</v>
      </c>
    </row>
    <row r="24" spans="1:18" ht="16.5">
      <c r="A24" s="119"/>
      <c r="B24" s="113"/>
      <c r="O24" s="110">
        <v>23606389</v>
      </c>
    </row>
    <row r="25" spans="1:18" ht="16.5">
      <c r="A25" s="119" t="s">
        <v>199</v>
      </c>
      <c r="B25" s="118" t="s">
        <v>207</v>
      </c>
      <c r="O25" s="110">
        <v>23830521</v>
      </c>
    </row>
    <row r="26" spans="1:18" ht="16.5">
      <c r="A26" s="119" t="s">
        <v>199</v>
      </c>
      <c r="B26" s="118" t="s">
        <v>208</v>
      </c>
      <c r="O26" s="110">
        <v>23856360</v>
      </c>
    </row>
    <row r="27" spans="1:18" ht="16.5">
      <c r="A27" s="119" t="s">
        <v>209</v>
      </c>
      <c r="B27" s="118" t="s">
        <v>210</v>
      </c>
      <c r="O27" s="110">
        <v>23817713</v>
      </c>
    </row>
    <row r="28" spans="1:18" ht="16.5">
      <c r="A28" s="119"/>
      <c r="B28"/>
      <c r="O28" s="110">
        <v>23680227</v>
      </c>
    </row>
    <row r="29" spans="1:18" ht="16.5">
      <c r="A29" s="119"/>
      <c r="B29" s="118" t="s">
        <v>211</v>
      </c>
      <c r="O29" s="110">
        <v>23304508</v>
      </c>
    </row>
    <row r="30" spans="1:18" ht="16.5">
      <c r="O30" s="110">
        <v>14093474</v>
      </c>
    </row>
    <row r="31" spans="1:18" ht="16.5">
      <c r="C31" s="120"/>
      <c r="O31" s="110">
        <v>23767481</v>
      </c>
    </row>
    <row r="32" spans="1:18" ht="16.5">
      <c r="O32" s="110">
        <v>23888295</v>
      </c>
    </row>
    <row r="33" spans="15:15" ht="16.5">
      <c r="O33" s="110">
        <v>23951393</v>
      </c>
    </row>
    <row r="34" spans="15:15" ht="16.5">
      <c r="O34" s="110">
        <v>23697783</v>
      </c>
    </row>
    <row r="35" spans="15:15" ht="16.5">
      <c r="O35" s="110">
        <v>23797162</v>
      </c>
    </row>
    <row r="36" spans="15:15" ht="16.5">
      <c r="O36" s="110">
        <v>23633604</v>
      </c>
    </row>
    <row r="37" spans="15:15" ht="16.5">
      <c r="O37" s="110">
        <v>23593618</v>
      </c>
    </row>
    <row r="38" spans="15:15" ht="16.5">
      <c r="O38" s="110">
        <v>23729014</v>
      </c>
    </row>
    <row r="39" spans="15:15" ht="16.5">
      <c r="O39" s="110">
        <v>23712698</v>
      </c>
    </row>
    <row r="40" spans="15:15" ht="16.5">
      <c r="O40" s="110">
        <v>23770112</v>
      </c>
    </row>
    <row r="41" spans="15:15" ht="16.5">
      <c r="O41" s="110">
        <v>23833592</v>
      </c>
    </row>
    <row r="42" spans="15:15" ht="16.5">
      <c r="O42" s="110">
        <v>24081499</v>
      </c>
    </row>
    <row r="43" spans="15:15" ht="16.5">
      <c r="O43" s="110">
        <v>23680966</v>
      </c>
    </row>
    <row r="44" spans="15:15" ht="16.5">
      <c r="O44" s="110">
        <v>23908434</v>
      </c>
    </row>
    <row r="45" spans="15:15" ht="16.5">
      <c r="O45" s="110">
        <v>24025957</v>
      </c>
    </row>
    <row r="46" spans="15:15" ht="16.5">
      <c r="O46" s="110">
        <v>23904854</v>
      </c>
    </row>
    <row r="47" spans="15:15" ht="16.5">
      <c r="O47" s="110">
        <v>23756323</v>
      </c>
    </row>
    <row r="48" spans="15:15" ht="16.5">
      <c r="O48" s="110">
        <v>23768042</v>
      </c>
    </row>
    <row r="49" spans="15:15" ht="16.5">
      <c r="O49" s="110">
        <v>23910575</v>
      </c>
    </row>
    <row r="50" spans="15:15" ht="16.5">
      <c r="O50" s="110">
        <v>23308292</v>
      </c>
    </row>
    <row r="51" spans="15:15" ht="16.5">
      <c r="O51" s="110">
        <v>23733555</v>
      </c>
    </row>
    <row r="52" spans="15:15" ht="16.5">
      <c r="O52" s="110">
        <v>23791400</v>
      </c>
    </row>
    <row r="53" spans="15:15" ht="16.5">
      <c r="O53" s="110">
        <v>23913569</v>
      </c>
    </row>
    <row r="54" spans="15:15" ht="16.5">
      <c r="O54" s="110">
        <v>23711769</v>
      </c>
    </row>
    <row r="55" spans="15:15" ht="16.5">
      <c r="O55" s="110">
        <v>23951530</v>
      </c>
    </row>
    <row r="56" spans="15:15" ht="16.5">
      <c r="O56" s="110">
        <v>23649445</v>
      </c>
    </row>
    <row r="57" spans="15:15" ht="16.5">
      <c r="O57" s="110">
        <v>23630374</v>
      </c>
    </row>
    <row r="58" spans="15:15" ht="16.5">
      <c r="O58" s="110">
        <v>23951765</v>
      </c>
    </row>
    <row r="59" spans="15:15" ht="16.5">
      <c r="O59" s="110">
        <v>23751966</v>
      </c>
    </row>
    <row r="60" spans="15:15" ht="16.5">
      <c r="O60" s="110">
        <v>23945524</v>
      </c>
    </row>
    <row r="61" spans="15:15" ht="16.5">
      <c r="O61" s="110">
        <v>23893627</v>
      </c>
    </row>
    <row r="62" spans="15:15" ht="16.5">
      <c r="O62" s="110">
        <v>23871697</v>
      </c>
    </row>
    <row r="63" spans="15:15" ht="16.5">
      <c r="O63" s="110">
        <v>24082141</v>
      </c>
    </row>
    <row r="64" spans="15:15" ht="16.5">
      <c r="O64" s="110">
        <v>23756131</v>
      </c>
    </row>
    <row r="65" spans="15:15" ht="16.5">
      <c r="O65" s="110">
        <v>24029588</v>
      </c>
    </row>
    <row r="66" spans="15:15" ht="16.5">
      <c r="O66" s="110">
        <v>23951463</v>
      </c>
    </row>
    <row r="67" spans="15:15" ht="16.5">
      <c r="O67" s="110">
        <v>23778198</v>
      </c>
    </row>
    <row r="68" spans="15:15" ht="16.5">
      <c r="O68" s="110">
        <v>23765011</v>
      </c>
    </row>
    <row r="69" spans="15:15" ht="16.5">
      <c r="O69" s="110">
        <v>23601597</v>
      </c>
    </row>
    <row r="70" spans="15:15" ht="16.5">
      <c r="O70" s="110">
        <v>23791799</v>
      </c>
    </row>
    <row r="71" spans="15:15" ht="16.5">
      <c r="O71" s="110">
        <v>16019147</v>
      </c>
    </row>
    <row r="72" spans="15:15" ht="16.5">
      <c r="O72" s="110">
        <v>23640073</v>
      </c>
    </row>
    <row r="73" spans="15:15" ht="16.5">
      <c r="O73" s="110">
        <v>23765851</v>
      </c>
    </row>
    <row r="74" spans="15:15" ht="16.5">
      <c r="O74" s="110">
        <v>23502415</v>
      </c>
    </row>
    <row r="75" spans="15:15" ht="16.5">
      <c r="O75" s="110">
        <v>23730534</v>
      </c>
    </row>
    <row r="76" spans="15:15" ht="16.5">
      <c r="O76" s="110">
        <v>23971791</v>
      </c>
    </row>
    <row r="77" spans="15:15" ht="16.5">
      <c r="O77" s="110">
        <v>23850853</v>
      </c>
    </row>
    <row r="78" spans="15:15" ht="16.5">
      <c r="O78" s="110">
        <v>23917321</v>
      </c>
    </row>
    <row r="79" spans="15:15" ht="16.5">
      <c r="O79" s="110">
        <v>23726929</v>
      </c>
    </row>
    <row r="80" spans="15:15" ht="16.5">
      <c r="O80" s="110">
        <v>23920807</v>
      </c>
    </row>
    <row r="81" spans="15:15" ht="16.5">
      <c r="O81" s="110">
        <v>23909213</v>
      </c>
    </row>
    <row r="82" spans="15:15" ht="16.5">
      <c r="O82" s="110">
        <v>23959916</v>
      </c>
    </row>
    <row r="83" spans="15:15" ht="16.5">
      <c r="O83" s="110">
        <v>23840122</v>
      </c>
    </row>
    <row r="84" spans="15:15" ht="16.5">
      <c r="O84" s="110">
        <v>23925548</v>
      </c>
    </row>
    <row r="85" spans="15:15" ht="16.5">
      <c r="O85" s="110">
        <v>23908978</v>
      </c>
    </row>
    <row r="86" spans="15:15" ht="16.5">
      <c r="O86" s="110">
        <v>23908595</v>
      </c>
    </row>
    <row r="87" spans="15:15" ht="16.5">
      <c r="O87" s="110">
        <v>23917299</v>
      </c>
    </row>
    <row r="88" spans="15:15" ht="16.5">
      <c r="O88" s="121">
        <v>23913415</v>
      </c>
    </row>
    <row r="89" spans="15:15" ht="16.5">
      <c r="O89" s="122">
        <v>23938182</v>
      </c>
    </row>
    <row r="90" spans="15:15" ht="16.5">
      <c r="O90" s="110">
        <v>23785891</v>
      </c>
    </row>
    <row r="91" spans="15:15" ht="16.5">
      <c r="O91" s="122">
        <v>24364507</v>
      </c>
    </row>
    <row r="92" spans="15:15" ht="16.5">
      <c r="O92" s="122">
        <v>24033767</v>
      </c>
    </row>
    <row r="93" spans="15:15" ht="16.5">
      <c r="O93" s="122">
        <v>24174284</v>
      </c>
    </row>
    <row r="94" spans="15:15" ht="16.5">
      <c r="O94" s="122">
        <v>24302903</v>
      </c>
    </row>
    <row r="95" spans="15:15" ht="16.5">
      <c r="O95" s="110">
        <v>23872307</v>
      </c>
    </row>
    <row r="96" spans="15:15" ht="16.5">
      <c r="O96" s="110">
        <v>23785541</v>
      </c>
    </row>
    <row r="97" spans="15:15" ht="16.5">
      <c r="O97" s="110">
        <v>23906477</v>
      </c>
    </row>
    <row r="98" spans="15:15" ht="16.5">
      <c r="O98" s="110">
        <v>23563452</v>
      </c>
    </row>
    <row r="99" spans="15:15" ht="16.5">
      <c r="O99" s="122">
        <v>23969552</v>
      </c>
    </row>
    <row r="100" spans="15:15" ht="16.5">
      <c r="O100" s="110">
        <v>23558332</v>
      </c>
    </row>
    <row r="101" spans="15:15" ht="16.5">
      <c r="O101" s="110">
        <v>23911282</v>
      </c>
    </row>
    <row r="102" spans="15:15" ht="16.5">
      <c r="O102" s="110">
        <v>24057198</v>
      </c>
    </row>
    <row r="103" spans="15:15" ht="16.5">
      <c r="O103" s="110">
        <v>23862550</v>
      </c>
    </row>
    <row r="104" spans="15:15" ht="16.5">
      <c r="O104" s="110">
        <v>23638162</v>
      </c>
    </row>
    <row r="105" spans="15:15" ht="16.5">
      <c r="O105" s="110">
        <v>23054046</v>
      </c>
    </row>
    <row r="106" spans="15:15" ht="16.5">
      <c r="O106" s="110">
        <v>23624972</v>
      </c>
    </row>
    <row r="107" spans="15:15" ht="16.5">
      <c r="O107" s="110">
        <v>23329377</v>
      </c>
    </row>
    <row r="108" spans="15:15" ht="16.5">
      <c r="O108" s="110">
        <v>24242392</v>
      </c>
    </row>
    <row r="109" spans="15:15" ht="16.5">
      <c r="O109" s="110">
        <v>23916553</v>
      </c>
    </row>
    <row r="110" spans="15:15" ht="16.5">
      <c r="O110" s="110">
        <v>23660502</v>
      </c>
    </row>
    <row r="111" spans="15:15" ht="16.5">
      <c r="O111" s="110">
        <v>24293267</v>
      </c>
    </row>
    <row r="112" spans="15:15" ht="16.5">
      <c r="O112" s="110">
        <v>23308692</v>
      </c>
    </row>
    <row r="113" spans="15:15" ht="16.5">
      <c r="O113" s="110">
        <v>24332483</v>
      </c>
    </row>
    <row r="114" spans="15:15" ht="16.5">
      <c r="O114" s="110">
        <v>24251159</v>
      </c>
    </row>
    <row r="115" spans="15:15" ht="16.5">
      <c r="O115" s="110">
        <v>24259794</v>
      </c>
    </row>
    <row r="116" spans="15:15" ht="16.5">
      <c r="O116" s="110">
        <v>23763495</v>
      </c>
    </row>
    <row r="117" spans="15:15" ht="16.5">
      <c r="O117" s="110">
        <v>24243493</v>
      </c>
    </row>
    <row r="118" spans="15:15" ht="16.5">
      <c r="O118" s="121">
        <v>23382383</v>
      </c>
    </row>
    <row r="119" spans="15:15" ht="16.5">
      <c r="O119" s="110">
        <v>23518129</v>
      </c>
    </row>
    <row r="120" spans="15:15" ht="16.5">
      <c r="O120" s="110">
        <v>23649018</v>
      </c>
    </row>
    <row r="121" spans="15:15" ht="16.5">
      <c r="O121" s="110">
        <v>23349375</v>
      </c>
    </row>
    <row r="122" spans="15:15" ht="16.5">
      <c r="O122" s="110">
        <v>12249598</v>
      </c>
    </row>
    <row r="123" spans="15:15" ht="16.5">
      <c r="O123" s="110">
        <v>23424266</v>
      </c>
    </row>
    <row r="124" spans="15:15" ht="16.5">
      <c r="O124" s="110">
        <v>23549379</v>
      </c>
    </row>
    <row r="125" spans="15:15" ht="16.5">
      <c r="O125" s="110">
        <v>23987111</v>
      </c>
    </row>
    <row r="126" spans="15:15" ht="16.5">
      <c r="O126" s="110">
        <v>23888389</v>
      </c>
    </row>
    <row r="127" spans="15:15" ht="16.5">
      <c r="O127" s="110">
        <v>23311589</v>
      </c>
    </row>
    <row r="128" spans="15:15" ht="16.5">
      <c r="O128" s="110">
        <v>23761743</v>
      </c>
    </row>
    <row r="129" spans="15:15" ht="16.5">
      <c r="O129" s="110">
        <v>23783530</v>
      </c>
    </row>
    <row r="130" spans="15:15" ht="16.5">
      <c r="O130" s="110">
        <v>23886666</v>
      </c>
    </row>
    <row r="131" spans="15:15" ht="16.5">
      <c r="O131" s="122">
        <v>24028867</v>
      </c>
    </row>
    <row r="132" spans="15:15" ht="16.5">
      <c r="O132" s="110">
        <v>23801456</v>
      </c>
    </row>
    <row r="133" spans="15:15" ht="16.5">
      <c r="O133" s="110">
        <v>24022237</v>
      </c>
    </row>
    <row r="134" spans="15:15" ht="16.5">
      <c r="O134" s="110">
        <v>23731154</v>
      </c>
    </row>
    <row r="135" spans="15:15" ht="16.5">
      <c r="O135" s="110">
        <v>16084053</v>
      </c>
    </row>
    <row r="136" spans="15:15" ht="16.5">
      <c r="O136" s="110">
        <v>23949537</v>
      </c>
    </row>
    <row r="137" spans="15:15" ht="16.5">
      <c r="O137" s="110">
        <v>23953830</v>
      </c>
    </row>
    <row r="138" spans="15:15" ht="16.5">
      <c r="O138" s="110">
        <v>23743975</v>
      </c>
    </row>
    <row r="139" spans="15:15" ht="16.5">
      <c r="O139" s="110">
        <v>23669908</v>
      </c>
    </row>
    <row r="140" spans="15:15" ht="16.5">
      <c r="O140" s="110">
        <v>23814231</v>
      </c>
    </row>
    <row r="141" spans="15:15" ht="16.5">
      <c r="O141" s="110">
        <v>23927187</v>
      </c>
    </row>
    <row r="142" spans="15:15" ht="16.5">
      <c r="O142" s="110">
        <v>24018061</v>
      </c>
    </row>
    <row r="143" spans="15:15" ht="16.5">
      <c r="O143" s="110">
        <v>23124915</v>
      </c>
    </row>
    <row r="144" spans="15:15" ht="16.5">
      <c r="O144" s="110">
        <v>23889279</v>
      </c>
    </row>
    <row r="145" spans="15:15" ht="16.5">
      <c r="O145" s="110">
        <v>23724772</v>
      </c>
    </row>
    <row r="146" spans="15:15" ht="16.5">
      <c r="O146" s="110">
        <v>24075344</v>
      </c>
    </row>
    <row r="147" spans="15:15" ht="16.5">
      <c r="O147" s="110">
        <v>23062082</v>
      </c>
    </row>
    <row r="148" spans="15:15" ht="16.5">
      <c r="O148" s="122">
        <v>23939650</v>
      </c>
    </row>
    <row r="149" spans="15:15" ht="16.5">
      <c r="O149" s="110">
        <v>24060282</v>
      </c>
    </row>
    <row r="150" spans="15:15" ht="16.5">
      <c r="O150" s="122">
        <v>24099327</v>
      </c>
    </row>
    <row r="151" spans="15:15" ht="16.5">
      <c r="O151" s="110">
        <v>23699428</v>
      </c>
    </row>
    <row r="152" spans="15:15" ht="16.5">
      <c r="O152" s="122">
        <v>23862473</v>
      </c>
    </row>
    <row r="153" spans="15:15" ht="16.5">
      <c r="O153" s="110">
        <v>23652005</v>
      </c>
    </row>
    <row r="154" spans="15:15" ht="16.5">
      <c r="O154" s="110">
        <v>23844641</v>
      </c>
    </row>
    <row r="155" spans="15:15" ht="16.5">
      <c r="O155" s="122">
        <v>24081166</v>
      </c>
    </row>
    <row r="156" spans="15:15" ht="16.5">
      <c r="O156" s="110">
        <v>23906477</v>
      </c>
    </row>
    <row r="157" spans="15:15" ht="16.5">
      <c r="O157" s="110">
        <v>24041841</v>
      </c>
    </row>
    <row r="158" spans="15:15" ht="16.5">
      <c r="O158" s="110">
        <v>23719030</v>
      </c>
    </row>
    <row r="159" spans="15:15" ht="16.5">
      <c r="O159" s="110">
        <v>23914927</v>
      </c>
    </row>
    <row r="160" spans="15:15" ht="16.5">
      <c r="O160" s="110">
        <v>23710822</v>
      </c>
    </row>
    <row r="161" spans="15:15" ht="16.5">
      <c r="O161" s="110">
        <v>23803796</v>
      </c>
    </row>
    <row r="162" spans="15:15" ht="16.5">
      <c r="O162" s="110">
        <v>23833800</v>
      </c>
    </row>
    <row r="163" spans="15:15" ht="16.5">
      <c r="O163" s="110">
        <v>23860471</v>
      </c>
    </row>
    <row r="164" spans="15:15" ht="16.5">
      <c r="O164" s="110">
        <v>23926738</v>
      </c>
    </row>
    <row r="165" spans="15:15" ht="16.5">
      <c r="O165" s="122">
        <v>23880320</v>
      </c>
    </row>
    <row r="166" spans="15:15" ht="16.5">
      <c r="O166" s="110">
        <v>23880852</v>
      </c>
    </row>
    <row r="167" spans="15:15" ht="16.5">
      <c r="O167" s="110">
        <v>23753488</v>
      </c>
    </row>
    <row r="168" spans="15:15" ht="16.5">
      <c r="O168" s="110">
        <v>23716357</v>
      </c>
    </row>
    <row r="169" spans="15:15" ht="16.5">
      <c r="O169" s="110">
        <v>23853137</v>
      </c>
    </row>
    <row r="170" spans="15:15" ht="16.5">
      <c r="O170" s="110">
        <v>23904469</v>
      </c>
    </row>
    <row r="171" spans="15:15" ht="16.5">
      <c r="O171" s="110">
        <v>23731581</v>
      </c>
    </row>
    <row r="172" spans="15:15" ht="16.5">
      <c r="O172" s="110">
        <v>23925487</v>
      </c>
    </row>
    <row r="173" spans="15:15" ht="16.5">
      <c r="O173" s="110">
        <v>23554186</v>
      </c>
    </row>
    <row r="174" spans="15:15" ht="16.5">
      <c r="O174" s="110">
        <v>23780315</v>
      </c>
    </row>
    <row r="175" spans="15:15" ht="16.5">
      <c r="O175" s="110">
        <v>23899741</v>
      </c>
    </row>
    <row r="176" spans="15:15" ht="16.5">
      <c r="O176" s="110">
        <v>23623405</v>
      </c>
    </row>
    <row r="177" spans="15:15" ht="16.5">
      <c r="O177" s="110">
        <v>23854476</v>
      </c>
    </row>
    <row r="178" spans="15:15" ht="16.5">
      <c r="O178" s="110">
        <v>23782365</v>
      </c>
    </row>
    <row r="179" spans="15:15" ht="16.5">
      <c r="O179" s="110">
        <v>23677550</v>
      </c>
    </row>
    <row r="180" spans="15:15" ht="16.5">
      <c r="O180" s="110">
        <v>23729795</v>
      </c>
    </row>
    <row r="181" spans="15:15" ht="16.5">
      <c r="O181" s="110">
        <v>23780318</v>
      </c>
    </row>
    <row r="182" spans="15:15" ht="16.5">
      <c r="O182" s="110">
        <v>23371930</v>
      </c>
    </row>
    <row r="183" spans="15:15" ht="16.5">
      <c r="O183" s="110">
        <v>24338467</v>
      </c>
    </row>
    <row r="184" spans="15:15" ht="16.5">
      <c r="O184" s="110">
        <v>23872390</v>
      </c>
    </row>
    <row r="185" spans="15:15" ht="16.5">
      <c r="O185" s="110">
        <v>23757286</v>
      </c>
    </row>
    <row r="186" spans="15:15" ht="16.5">
      <c r="O186" s="110">
        <v>24060962</v>
      </c>
    </row>
    <row r="187" spans="15:15" ht="16.5">
      <c r="O187" s="110">
        <v>23634090</v>
      </c>
    </row>
    <row r="188" spans="15:15" ht="16.5">
      <c r="O188" s="123">
        <v>24153232</v>
      </c>
    </row>
    <row r="192" spans="15:15">
      <c r="O192" s="124"/>
    </row>
    <row r="193" spans="15:15">
      <c r="O193" s="124"/>
    </row>
    <row r="194" spans="15:15">
      <c r="O194" s="124"/>
    </row>
    <row r="195" spans="15:15">
      <c r="O195" s="124"/>
    </row>
  </sheetData>
  <mergeCells count="1">
    <mergeCell ref="C9:D9"/>
  </mergeCells>
  <dataValidations count="1">
    <dataValidation type="list" errorStyle="warning" showDropDown="1" showInputMessage="1" showErrorMessage="1" errorTitle="Invalid SFAM ID" error="Your entry is not included in our list of enrolled SFAM IDs. Please validate that the value you have entered is your correct SFAM ID (Employee Number)." promptTitle="Enter your SFAM ID" prompt="For CUNY this is your Employee ID" sqref="C9:D9" xr:uid="{896D1A92-C5AB-9B4B-AD32-DFE20BD2B252}">
      <formula1>$O:$O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17DA9-D24A-CA47-9D46-7B85AE4D5B09}">
  <dimension ref="A1:H342"/>
  <sheetViews>
    <sheetView tabSelected="1" topLeftCell="A304" zoomScale="130" zoomScaleNormal="130" workbookViewId="0">
      <selection activeCell="B334" sqref="B334"/>
    </sheetView>
  </sheetViews>
  <sheetFormatPr defaultColWidth="10.75" defaultRowHeight="15.75"/>
  <cols>
    <col min="1" max="1" width="14.25" style="90" bestFit="1" customWidth="1"/>
    <col min="2" max="16384" width="10.75" style="90"/>
  </cols>
  <sheetData>
    <row r="1" spans="1:8" ht="18.75">
      <c r="A1" s="190" t="s">
        <v>212</v>
      </c>
      <c r="B1" s="100"/>
      <c r="C1" s="100"/>
      <c r="D1" s="100"/>
      <c r="E1" s="100"/>
      <c r="F1" s="100"/>
      <c r="G1" s="100"/>
      <c r="H1" s="191" t="s">
        <v>213</v>
      </c>
    </row>
    <row r="2" spans="1:8">
      <c r="A2" s="192" t="s">
        <v>214</v>
      </c>
      <c r="B2" s="100"/>
      <c r="C2" s="100"/>
      <c r="D2" s="100"/>
      <c r="E2" s="100"/>
      <c r="F2" s="100"/>
      <c r="G2" s="100"/>
      <c r="H2" s="193"/>
    </row>
    <row r="3" spans="1:8">
      <c r="A3" s="194" t="s">
        <v>215</v>
      </c>
      <c r="B3" s="100"/>
      <c r="C3" s="100"/>
      <c r="D3" s="100"/>
      <c r="E3" s="100"/>
      <c r="F3" s="100"/>
      <c r="G3" s="100"/>
      <c r="H3" s="100"/>
    </row>
    <row r="4" spans="1:8">
      <c r="A4" s="192" t="str">
        <f ca="1">"Sheet: "&amp;MID(CELL("filename",A1),FIND("]",CELL("filename",A1))+1,255)</f>
        <v>Sheet: Introduction</v>
      </c>
    </row>
    <row r="5" spans="1:8">
      <c r="A5" s="87"/>
    </row>
    <row r="6" spans="1:8">
      <c r="A6" s="91" t="s">
        <v>100</v>
      </c>
    </row>
    <row r="7" spans="1:8">
      <c r="A7" s="92"/>
    </row>
    <row r="8" spans="1:8">
      <c r="A8" s="92" t="s">
        <v>101</v>
      </c>
    </row>
    <row r="9" spans="1:8">
      <c r="A9" s="104" t="s">
        <v>102</v>
      </c>
    </row>
    <row r="10" spans="1:8">
      <c r="A10" s="104" t="s">
        <v>103</v>
      </c>
    </row>
    <row r="11" spans="1:8">
      <c r="A11" s="104" t="s">
        <v>177</v>
      </c>
    </row>
    <row r="12" spans="1:8">
      <c r="A12" s="92"/>
    </row>
    <row r="13" spans="1:8">
      <c r="A13" s="92" t="s">
        <v>104</v>
      </c>
    </row>
    <row r="14" spans="1:8">
      <c r="A14" s="104" t="s">
        <v>105</v>
      </c>
    </row>
    <row r="15" spans="1:8">
      <c r="A15" s="104" t="s">
        <v>106</v>
      </c>
    </row>
    <row r="16" spans="1:8">
      <c r="A16" s="104" t="s">
        <v>107</v>
      </c>
    </row>
    <row r="17" spans="1:2">
      <c r="A17" s="104" t="s">
        <v>108</v>
      </c>
    </row>
    <row r="18" spans="1:2">
      <c r="A18" s="92"/>
    </row>
    <row r="19" spans="1:2">
      <c r="A19" s="91" t="s">
        <v>109</v>
      </c>
    </row>
    <row r="20" spans="1:2">
      <c r="A20" s="92" t="s">
        <v>174</v>
      </c>
    </row>
    <row r="21" spans="1:2">
      <c r="A21" s="92" t="s">
        <v>175</v>
      </c>
    </row>
    <row r="22" spans="1:2">
      <c r="A22" s="92" t="s">
        <v>176</v>
      </c>
    </row>
    <row r="23" spans="1:2">
      <c r="A23" s="92"/>
    </row>
    <row r="24" spans="1:2">
      <c r="A24" s="92" t="s">
        <v>110</v>
      </c>
    </row>
    <row r="25" spans="1:2">
      <c r="A25" s="92"/>
    </row>
    <row r="26" spans="1:2">
      <c r="A26" s="104" t="s">
        <v>111</v>
      </c>
    </row>
    <row r="27" spans="1:2">
      <c r="A27" s="104" t="s">
        <v>112</v>
      </c>
    </row>
    <row r="28" spans="1:2">
      <c r="A28" s="104" t="s">
        <v>113</v>
      </c>
    </row>
    <row r="29" spans="1:2">
      <c r="A29" s="104" t="s">
        <v>178</v>
      </c>
    </row>
    <row r="30" spans="1:2">
      <c r="A30" s="104"/>
      <c r="B30" s="100" t="s">
        <v>179</v>
      </c>
    </row>
    <row r="31" spans="1:2">
      <c r="A31" s="104" t="s">
        <v>114</v>
      </c>
    </row>
    <row r="32" spans="1:2">
      <c r="A32" s="87"/>
    </row>
    <row r="33" spans="1:1">
      <c r="A33" s="92" t="s">
        <v>180</v>
      </c>
    </row>
    <row r="34" spans="1:1">
      <c r="A34" s="92" t="s">
        <v>181</v>
      </c>
    </row>
    <row r="35" spans="1:1">
      <c r="A35" s="92" t="s">
        <v>182</v>
      </c>
    </row>
    <row r="36" spans="1:1">
      <c r="A36" s="92" t="s">
        <v>183</v>
      </c>
    </row>
    <row r="37" spans="1:1">
      <c r="A37" s="92" t="s">
        <v>184</v>
      </c>
    </row>
    <row r="38" spans="1:1">
      <c r="A38" s="92" t="s">
        <v>185</v>
      </c>
    </row>
    <row r="39" spans="1:1">
      <c r="A39" s="92" t="s">
        <v>186</v>
      </c>
    </row>
    <row r="40" spans="1:1">
      <c r="A40" s="92"/>
    </row>
    <row r="41" spans="1:1">
      <c r="A41" s="92" t="s">
        <v>431</v>
      </c>
    </row>
    <row r="42" spans="1:1">
      <c r="A42" s="92" t="s">
        <v>432</v>
      </c>
    </row>
    <row r="43" spans="1:1">
      <c r="A43" s="92"/>
    </row>
    <row r="44" spans="1:1">
      <c r="A44" s="92" t="s">
        <v>187</v>
      </c>
    </row>
    <row r="45" spans="1:1">
      <c r="A45" s="92" t="s">
        <v>188</v>
      </c>
    </row>
    <row r="46" spans="1:1">
      <c r="A46" s="92" t="s">
        <v>189</v>
      </c>
    </row>
    <row r="47" spans="1:1">
      <c r="A47" s="92"/>
    </row>
    <row r="48" spans="1:1">
      <c r="A48" s="91" t="s">
        <v>115</v>
      </c>
    </row>
    <row r="49" spans="1:1">
      <c r="A49" s="92" t="s">
        <v>116</v>
      </c>
    </row>
    <row r="50" spans="1:1">
      <c r="A50" s="87"/>
    </row>
    <row r="51" spans="1:1">
      <c r="A51" s="87" t="s">
        <v>117</v>
      </c>
    </row>
    <row r="52" spans="1:1">
      <c r="A52" s="87"/>
    </row>
    <row r="53" spans="1:1">
      <c r="A53" s="92" t="s">
        <v>361</v>
      </c>
    </row>
    <row r="54" spans="1:1">
      <c r="A54" s="92" t="s">
        <v>362</v>
      </c>
    </row>
    <row r="55" spans="1:1">
      <c r="A55" s="92" t="s">
        <v>363</v>
      </c>
    </row>
    <row r="56" spans="1:1">
      <c r="A56" s="92" t="s">
        <v>364</v>
      </c>
    </row>
    <row r="57" spans="1:1">
      <c r="A57" s="94" t="s">
        <v>118</v>
      </c>
    </row>
    <row r="58" spans="1:1">
      <c r="A58" s="94" t="s">
        <v>119</v>
      </c>
    </row>
    <row r="59" spans="1:1">
      <c r="A59" s="92"/>
    </row>
    <row r="60" spans="1:1">
      <c r="A60" s="93" t="s">
        <v>120</v>
      </c>
    </row>
    <row r="61" spans="1:1">
      <c r="A61" s="92" t="s">
        <v>121</v>
      </c>
    </row>
    <row r="62" spans="1:1">
      <c r="A62" s="94"/>
    </row>
    <row r="63" spans="1:1">
      <c r="A63" s="94" t="s">
        <v>122</v>
      </c>
    </row>
    <row r="64" spans="1:1">
      <c r="A64" s="94" t="s">
        <v>123</v>
      </c>
    </row>
    <row r="65" spans="1:1">
      <c r="A65" s="92"/>
    </row>
    <row r="66" spans="1:1">
      <c r="A66" s="95" t="s">
        <v>269</v>
      </c>
    </row>
    <row r="67" spans="1:1">
      <c r="A67" s="92" t="s">
        <v>270</v>
      </c>
    </row>
    <row r="68" spans="1:1">
      <c r="A68" s="92" t="s">
        <v>271</v>
      </c>
    </row>
    <row r="69" spans="1:1">
      <c r="A69" s="92" t="s">
        <v>272</v>
      </c>
    </row>
    <row r="70" spans="1:1">
      <c r="A70" s="92" t="s">
        <v>273</v>
      </c>
    </row>
    <row r="71" spans="1:1">
      <c r="A71" s="92"/>
    </row>
    <row r="72" spans="1:1">
      <c r="A72" s="95" t="s">
        <v>274</v>
      </c>
    </row>
    <row r="73" spans="1:1">
      <c r="A73" s="92" t="s">
        <v>275</v>
      </c>
    </row>
    <row r="74" spans="1:1">
      <c r="A74" s="92" t="s">
        <v>276</v>
      </c>
    </row>
    <row r="75" spans="1:1">
      <c r="A75" s="92" t="s">
        <v>277</v>
      </c>
    </row>
    <row r="76" spans="1:1">
      <c r="A76" s="92"/>
    </row>
    <row r="77" spans="1:1">
      <c r="A77" s="93" t="s">
        <v>124</v>
      </c>
    </row>
    <row r="78" spans="1:1">
      <c r="A78" s="92" t="s">
        <v>125</v>
      </c>
    </row>
    <row r="79" spans="1:1">
      <c r="A79" s="94"/>
    </row>
    <row r="80" spans="1:1">
      <c r="A80" s="94" t="s">
        <v>126</v>
      </c>
    </row>
    <row r="81" spans="1:1">
      <c r="A81" s="94" t="s">
        <v>127</v>
      </c>
    </row>
    <row r="82" spans="1:1">
      <c r="A82" s="92"/>
    </row>
    <row r="83" spans="1:1">
      <c r="A83" s="95" t="s">
        <v>278</v>
      </c>
    </row>
    <row r="84" spans="1:1">
      <c r="A84" s="92" t="s">
        <v>279</v>
      </c>
    </row>
    <row r="85" spans="1:1">
      <c r="A85" s="92"/>
    </row>
    <row r="86" spans="1:1">
      <c r="A86" s="95" t="s">
        <v>280</v>
      </c>
    </row>
    <row r="87" spans="1:1">
      <c r="A87" s="92" t="s">
        <v>281</v>
      </c>
    </row>
    <row r="88" spans="1:1">
      <c r="A88" s="92"/>
    </row>
    <row r="89" spans="1:1">
      <c r="A89" s="95" t="s">
        <v>282</v>
      </c>
    </row>
    <row r="90" spans="1:1">
      <c r="A90" s="92" t="s">
        <v>283</v>
      </c>
    </row>
    <row r="91" spans="1:1">
      <c r="A91" s="87"/>
    </row>
    <row r="92" spans="1:1">
      <c r="A92" s="87" t="s">
        <v>128</v>
      </c>
    </row>
    <row r="93" spans="1:1">
      <c r="A93" s="87"/>
    </row>
    <row r="94" spans="1:1">
      <c r="A94" s="94" t="s">
        <v>129</v>
      </c>
    </row>
    <row r="95" spans="1:1">
      <c r="A95" s="94" t="s">
        <v>130</v>
      </c>
    </row>
    <row r="96" spans="1:1">
      <c r="A96" s="87"/>
    </row>
    <row r="97" spans="1:3">
      <c r="A97" s="87" t="s">
        <v>131</v>
      </c>
    </row>
    <row r="98" spans="1:3">
      <c r="A98" s="92" t="s">
        <v>284</v>
      </c>
    </row>
    <row r="99" spans="1:3">
      <c r="A99" s="92" t="s">
        <v>285</v>
      </c>
    </row>
    <row r="100" spans="1:3">
      <c r="A100" s="92"/>
    </row>
    <row r="101" spans="1:3">
      <c r="A101" s="92" t="s">
        <v>286</v>
      </c>
    </row>
    <row r="102" spans="1:3">
      <c r="A102" s="92" t="s">
        <v>287</v>
      </c>
    </row>
    <row r="103" spans="1:3">
      <c r="A103" s="92"/>
    </row>
    <row r="104" spans="1:3" ht="26.25" thickBot="1">
      <c r="A104" s="96"/>
      <c r="B104" s="97" t="s">
        <v>132</v>
      </c>
      <c r="C104" s="97" t="s">
        <v>133</v>
      </c>
    </row>
    <row r="105" spans="1:3" ht="39" thickBot="1">
      <c r="A105" s="98" t="s">
        <v>134</v>
      </c>
      <c r="B105" s="99" t="s">
        <v>39</v>
      </c>
      <c r="C105" s="99" t="s">
        <v>38</v>
      </c>
    </row>
    <row r="106" spans="1:3" ht="39" thickBot="1">
      <c r="A106" s="98" t="s">
        <v>135</v>
      </c>
      <c r="B106" s="99" t="s">
        <v>40</v>
      </c>
      <c r="C106" s="99" t="s">
        <v>41</v>
      </c>
    </row>
    <row r="107" spans="1:3">
      <c r="A107" s="92"/>
    </row>
    <row r="108" spans="1:3">
      <c r="A108" s="92" t="s">
        <v>429</v>
      </c>
    </row>
    <row r="109" spans="1:3">
      <c r="A109" s="104" t="s">
        <v>430</v>
      </c>
    </row>
    <row r="110" spans="1:3">
      <c r="A110" s="92" t="s">
        <v>288</v>
      </c>
    </row>
    <row r="111" spans="1:3">
      <c r="A111" s="92" t="s">
        <v>289</v>
      </c>
    </row>
    <row r="112" spans="1:3">
      <c r="A112" s="92"/>
    </row>
    <row r="113" spans="1:2">
      <c r="A113" s="101" t="s">
        <v>290</v>
      </c>
    </row>
    <row r="114" spans="1:2">
      <c r="B114" s="92" t="s">
        <v>291</v>
      </c>
    </row>
    <row r="115" spans="1:2">
      <c r="B115" s="92" t="s">
        <v>292</v>
      </c>
    </row>
    <row r="116" spans="1:2">
      <c r="B116" s="92" t="s">
        <v>293</v>
      </c>
    </row>
    <row r="117" spans="1:2">
      <c r="B117" s="92" t="s">
        <v>294</v>
      </c>
    </row>
    <row r="118" spans="1:2">
      <c r="B118" s="92" t="s">
        <v>295</v>
      </c>
    </row>
    <row r="119" spans="1:2">
      <c r="B119" s="92" t="s">
        <v>296</v>
      </c>
    </row>
    <row r="120" spans="1:2">
      <c r="B120" s="92" t="s">
        <v>297</v>
      </c>
    </row>
    <row r="121" spans="1:2">
      <c r="B121" s="92" t="s">
        <v>298</v>
      </c>
    </row>
    <row r="122" spans="1:2">
      <c r="B122" s="92" t="s">
        <v>299</v>
      </c>
    </row>
    <row r="123" spans="1:2">
      <c r="B123" s="92" t="s">
        <v>300</v>
      </c>
    </row>
    <row r="124" spans="1:2">
      <c r="A124" s="92"/>
    </row>
    <row r="125" spans="1:2">
      <c r="A125" s="101" t="s">
        <v>301</v>
      </c>
    </row>
    <row r="126" spans="1:2">
      <c r="A126" s="101"/>
      <c r="B126" s="92" t="s">
        <v>302</v>
      </c>
    </row>
    <row r="127" spans="1:2">
      <c r="A127" s="101"/>
      <c r="B127" s="92" t="s">
        <v>303</v>
      </c>
    </row>
    <row r="128" spans="1:2">
      <c r="A128" s="101"/>
      <c r="B128" s="92" t="s">
        <v>304</v>
      </c>
    </row>
    <row r="129" spans="1:3">
      <c r="A129" s="101"/>
      <c r="B129" s="92" t="s">
        <v>305</v>
      </c>
    </row>
    <row r="130" spans="1:3">
      <c r="A130" s="101"/>
      <c r="B130" s="92"/>
      <c r="C130" s="92" t="s">
        <v>306</v>
      </c>
    </row>
    <row r="131" spans="1:3">
      <c r="A131" s="101"/>
      <c r="B131" s="92"/>
      <c r="C131" s="92" t="s">
        <v>307</v>
      </c>
    </row>
    <row r="132" spans="1:3">
      <c r="A132" s="101"/>
      <c r="B132" s="92"/>
      <c r="C132" s="92" t="s">
        <v>308</v>
      </c>
    </row>
    <row r="133" spans="1:3">
      <c r="A133" s="101"/>
      <c r="B133" s="92"/>
      <c r="C133" s="92" t="s">
        <v>309</v>
      </c>
    </row>
    <row r="134" spans="1:3">
      <c r="A134" s="101"/>
      <c r="B134" s="92" t="s">
        <v>305</v>
      </c>
    </row>
    <row r="135" spans="1:3">
      <c r="A135" s="101"/>
      <c r="B135" s="92" t="s">
        <v>306</v>
      </c>
    </row>
    <row r="136" spans="1:3">
      <c r="A136" s="101"/>
      <c r="B136" s="92" t="s">
        <v>307</v>
      </c>
    </row>
    <row r="137" spans="1:3">
      <c r="A137" s="101"/>
      <c r="B137" s="92" t="s">
        <v>308</v>
      </c>
    </row>
    <row r="138" spans="1:3">
      <c r="A138" s="101"/>
      <c r="B138" s="92" t="s">
        <v>309</v>
      </c>
    </row>
    <row r="139" spans="1:3">
      <c r="A139" s="101"/>
    </row>
    <row r="140" spans="1:3">
      <c r="A140" s="101" t="s">
        <v>310</v>
      </c>
    </row>
    <row r="141" spans="1:3">
      <c r="A141" s="101"/>
      <c r="B141" s="92" t="s">
        <v>311</v>
      </c>
    </row>
    <row r="142" spans="1:3">
      <c r="A142" s="101"/>
      <c r="B142" s="92" t="s">
        <v>312</v>
      </c>
    </row>
    <row r="143" spans="1:3">
      <c r="A143" s="101"/>
      <c r="B143" s="92" t="s">
        <v>313</v>
      </c>
    </row>
    <row r="144" spans="1:3">
      <c r="A144" s="101"/>
      <c r="B144" s="92" t="s">
        <v>314</v>
      </c>
    </row>
    <row r="145" spans="1:2">
      <c r="A145" s="101"/>
      <c r="B145" s="92" t="s">
        <v>315</v>
      </c>
    </row>
    <row r="146" spans="1:2">
      <c r="A146" s="101"/>
      <c r="B146" s="92" t="s">
        <v>316</v>
      </c>
    </row>
    <row r="147" spans="1:2">
      <c r="A147" s="101"/>
      <c r="B147" s="92" t="s">
        <v>317</v>
      </c>
    </row>
    <row r="148" spans="1:2">
      <c r="A148" s="101"/>
    </row>
    <row r="149" spans="1:2">
      <c r="A149" s="87" t="s">
        <v>136</v>
      </c>
    </row>
    <row r="150" spans="1:2">
      <c r="A150" s="92" t="s">
        <v>318</v>
      </c>
    </row>
    <row r="151" spans="1:2">
      <c r="A151" s="92" t="s">
        <v>319</v>
      </c>
    </row>
    <row r="152" spans="1:2">
      <c r="A152" s="92" t="s">
        <v>320</v>
      </c>
    </row>
    <row r="153" spans="1:2">
      <c r="A153" s="92" t="s">
        <v>321</v>
      </c>
    </row>
    <row r="154" spans="1:2">
      <c r="A154" s="92" t="s">
        <v>322</v>
      </c>
    </row>
    <row r="155" spans="1:2">
      <c r="A155" s="92"/>
    </row>
    <row r="156" spans="1:2">
      <c r="A156" s="92" t="s">
        <v>137</v>
      </c>
    </row>
    <row r="157" spans="1:2">
      <c r="A157" s="92"/>
    </row>
    <row r="158" spans="1:2">
      <c r="A158" s="87" t="s">
        <v>138</v>
      </c>
    </row>
    <row r="159" spans="1:2">
      <c r="A159" s="92" t="s">
        <v>190</v>
      </c>
    </row>
    <row r="160" spans="1:2">
      <c r="A160" s="92" t="str">
        <f>"You will know you have the right answer if C"&amp;ROW(Elasticity!C17)&amp;" says “Your answer is correct’."</f>
        <v>You will know you have the right answer if C17 says “Your answer is correct’.</v>
      </c>
    </row>
    <row r="161" spans="1:3">
      <c r="A161" s="87"/>
    </row>
    <row r="162" spans="1:3">
      <c r="A162" s="87" t="s">
        <v>139</v>
      </c>
    </row>
    <row r="163" spans="1:3">
      <c r="A163" s="92"/>
    </row>
    <row r="164" spans="1:3">
      <c r="A164" s="92" t="s">
        <v>323</v>
      </c>
    </row>
    <row r="165" spans="1:3">
      <c r="A165" s="92" t="s">
        <v>324</v>
      </c>
    </row>
    <row r="166" spans="1:3">
      <c r="A166" s="92" t="s">
        <v>325</v>
      </c>
    </row>
    <row r="167" spans="1:3">
      <c r="A167" s="92" t="s">
        <v>326</v>
      </c>
    </row>
    <row r="168" spans="1:3">
      <c r="A168" s="92" t="str">
        <f>"These future scenarios of a shortage or an excess will be generated by making changes to the value in cell C"&amp;ROW(Model!C28)&amp;" of the Model sheet."</f>
        <v>These future scenarios of a shortage or an excess will be generated by making changes to the value in cell C28 of the Model sheet.</v>
      </c>
    </row>
    <row r="169" spans="1:3">
      <c r="A169" s="92"/>
    </row>
    <row r="170" spans="1:3">
      <c r="A170" s="87" t="s">
        <v>128</v>
      </c>
    </row>
    <row r="171" spans="1:3">
      <c r="A171" s="94" t="s">
        <v>140</v>
      </c>
    </row>
    <row r="172" spans="1:3">
      <c r="A172" s="102" t="s">
        <v>327</v>
      </c>
    </row>
    <row r="173" spans="1:3">
      <c r="A173" s="102"/>
      <c r="C173" s="92" t="s">
        <v>328</v>
      </c>
    </row>
    <row r="174" spans="1:3">
      <c r="A174" s="102"/>
      <c r="C174" s="92" t="s">
        <v>329</v>
      </c>
    </row>
    <row r="175" spans="1:3">
      <c r="A175" s="102"/>
      <c r="C175" s="92" t="s">
        <v>330</v>
      </c>
    </row>
    <row r="176" spans="1:3">
      <c r="A176" s="102"/>
      <c r="C176" s="92" t="s">
        <v>331</v>
      </c>
    </row>
    <row r="177" spans="1:3">
      <c r="A177" s="102" t="s">
        <v>332</v>
      </c>
    </row>
    <row r="178" spans="1:3">
      <c r="A178" s="102"/>
      <c r="C178" s="92" t="s">
        <v>333</v>
      </c>
    </row>
    <row r="179" spans="1:3">
      <c r="A179" s="102"/>
      <c r="C179" s="92" t="s">
        <v>334</v>
      </c>
    </row>
    <row r="180" spans="1:3">
      <c r="A180" s="102"/>
      <c r="C180" s="92" t="s">
        <v>335</v>
      </c>
    </row>
    <row r="181" spans="1:3">
      <c r="A181" s="102" t="s">
        <v>336</v>
      </c>
    </row>
    <row r="182" spans="1:3">
      <c r="A182" s="102"/>
      <c r="C182" s="92" t="s">
        <v>337</v>
      </c>
    </row>
    <row r="183" spans="1:3">
      <c r="A183" s="102" t="s">
        <v>338</v>
      </c>
    </row>
    <row r="184" spans="1:3">
      <c r="A184" s="102"/>
      <c r="C184" s="92" t="s">
        <v>339</v>
      </c>
    </row>
    <row r="185" spans="1:3">
      <c r="A185" s="102" t="s">
        <v>340</v>
      </c>
    </row>
    <row r="186" spans="1:3">
      <c r="A186" s="102"/>
      <c r="C186" s="92" t="s">
        <v>342</v>
      </c>
    </row>
    <row r="187" spans="1:3">
      <c r="A187" s="102"/>
      <c r="C187" s="92" t="s">
        <v>341</v>
      </c>
    </row>
    <row r="188" spans="1:3">
      <c r="A188" s="102" t="s">
        <v>343</v>
      </c>
      <c r="C188" s="92"/>
    </row>
    <row r="189" spans="1:3">
      <c r="A189" s="102"/>
      <c r="C189" s="92" t="s">
        <v>344</v>
      </c>
    </row>
    <row r="190" spans="1:3">
      <c r="A190" s="102" t="s">
        <v>345</v>
      </c>
      <c r="C190" s="92"/>
    </row>
    <row r="191" spans="1:3">
      <c r="A191" s="102"/>
      <c r="C191" s="92" t="s">
        <v>346</v>
      </c>
    </row>
    <row r="192" spans="1:3">
      <c r="A192" s="94" t="s">
        <v>141</v>
      </c>
    </row>
    <row r="193" spans="1:1">
      <c r="A193" s="94" t="s">
        <v>142</v>
      </c>
    </row>
    <row r="194" spans="1:1">
      <c r="A194" s="94" t="str">
        <f>"·     Elasticity by Channel – as calculated in Phase II of this case presented in cells N"&amp;ROW(Model!O31)&amp;":N"&amp;ROW(Model!O34)&amp;" of the Model sheet."</f>
        <v>·     Elasticity by Channel – as calculated in Phase II of this case presented in cells N31:N34 of the Model sheet.</v>
      </c>
    </row>
    <row r="195" spans="1:1">
      <c r="A195" s="92"/>
    </row>
    <row r="196" spans="1:1">
      <c r="A196" s="87" t="s">
        <v>143</v>
      </c>
    </row>
    <row r="197" spans="1:1">
      <c r="A197" s="95" t="s">
        <v>144</v>
      </c>
    </row>
    <row r="198" spans="1:1">
      <c r="A198" s="92"/>
    </row>
    <row r="199" spans="1:1">
      <c r="A199" s="92" t="s">
        <v>365</v>
      </c>
    </row>
    <row r="200" spans="1:1">
      <c r="A200" s="92" t="s">
        <v>366</v>
      </c>
    </row>
    <row r="201" spans="1:1">
      <c r="A201" s="92" t="s">
        <v>367</v>
      </c>
    </row>
    <row r="202" spans="1:1">
      <c r="A202" s="92" t="s">
        <v>368</v>
      </c>
    </row>
    <row r="203" spans="1:1">
      <c r="A203" s="92"/>
    </row>
    <row r="204" spans="1:1">
      <c r="A204" s="92" t="s">
        <v>369</v>
      </c>
    </row>
    <row r="205" spans="1:1">
      <c r="A205" s="92" t="s">
        <v>370</v>
      </c>
    </row>
    <row r="206" spans="1:1">
      <c r="A206" s="92"/>
    </row>
    <row r="207" spans="1:1">
      <c r="A207" s="92" t="s">
        <v>371</v>
      </c>
    </row>
    <row r="208" spans="1:1">
      <c r="A208" s="92" t="s">
        <v>372</v>
      </c>
    </row>
    <row r="209" spans="1:3">
      <c r="A209" s="92" t="s">
        <v>373</v>
      </c>
    </row>
    <row r="210" spans="1:3">
      <c r="A210" s="92" t="s">
        <v>374</v>
      </c>
    </row>
    <row r="211" spans="1:3">
      <c r="A211" s="92" t="s">
        <v>375</v>
      </c>
    </row>
    <row r="212" spans="1:3">
      <c r="A212" s="92" t="s">
        <v>381</v>
      </c>
    </row>
    <row r="213" spans="1:3">
      <c r="A213" s="104" t="s">
        <v>382</v>
      </c>
    </row>
    <row r="214" spans="1:3">
      <c r="A214" s="92" t="s">
        <v>376</v>
      </c>
    </row>
    <row r="215" spans="1:3">
      <c r="A215" s="92" t="s">
        <v>377</v>
      </c>
    </row>
    <row r="216" spans="1:3">
      <c r="A216" s="92" t="s">
        <v>378</v>
      </c>
    </row>
    <row r="217" spans="1:3">
      <c r="A217" s="92" t="s">
        <v>379</v>
      </c>
    </row>
    <row r="218" spans="1:3">
      <c r="A218" s="92" t="s">
        <v>380</v>
      </c>
    </row>
    <row r="219" spans="1:3">
      <c r="A219" s="92"/>
    </row>
    <row r="220" spans="1:3">
      <c r="A220" s="87" t="s">
        <v>145</v>
      </c>
    </row>
    <row r="221" spans="1:3">
      <c r="A221" s="92" t="s">
        <v>146</v>
      </c>
    </row>
    <row r="222" spans="1:3">
      <c r="A222" s="105" t="s">
        <v>147</v>
      </c>
    </row>
    <row r="223" spans="1:3">
      <c r="A223" s="105" t="str">
        <f>"·     Discount/Premium Limit – Limits on discounts and premiums are defined in M"&amp;ROW(Model!M40)&amp;":P"&amp;ROW(Model!M41)&amp;"."</f>
        <v>·     Discount/Premium Limit – Limits on discounts and premiums are defined in M40:P41.</v>
      </c>
    </row>
    <row r="224" spans="1:3">
      <c r="A224" s="105"/>
      <c r="C224" s="92" t="str">
        <f>"Based on the value in C"&amp;ROW(Model!C28)&amp;", the Model will select discount (if C"&amp;ROW(Model!C28)&amp;"&lt;100%) or premium (if C"&amp;ROW(Model!C28)&amp;"&gt;100%)."</f>
        <v>Based on the value in C28, the Model will select discount (if C28&lt;100%) or premium (if C28&gt;100%).</v>
      </c>
    </row>
    <row r="225" spans="1:3">
      <c r="A225" s="105"/>
      <c r="C225" s="92" t="s">
        <v>399</v>
      </c>
    </row>
    <row r="226" spans="1:3">
      <c r="A226" s="105" t="s">
        <v>383</v>
      </c>
    </row>
    <row r="227" spans="1:3">
      <c r="A227" s="105"/>
      <c r="C227" s="92" t="s">
        <v>384</v>
      </c>
    </row>
    <row r="228" spans="1:3">
      <c r="A228" s="94" t="s">
        <v>385</v>
      </c>
    </row>
    <row r="229" spans="1:3">
      <c r="A229" s="94"/>
      <c r="C229" s="92" t="s">
        <v>386</v>
      </c>
    </row>
    <row r="230" spans="1:3">
      <c r="A230" s="94"/>
      <c r="C230" s="92" t="s">
        <v>387</v>
      </c>
    </row>
    <row r="231" spans="1:3">
      <c r="A231" s="94" t="s">
        <v>148</v>
      </c>
    </row>
    <row r="232" spans="1:3">
      <c r="A232" s="94" t="s">
        <v>149</v>
      </c>
    </row>
    <row r="233" spans="1:3">
      <c r="A233" s="94" t="s">
        <v>150</v>
      </c>
    </row>
    <row r="234" spans="1:3">
      <c r="A234" s="94" t="s">
        <v>151</v>
      </c>
    </row>
    <row r="235" spans="1:3">
      <c r="A235" s="92"/>
    </row>
    <row r="236" spans="1:3">
      <c r="A236" s="92" t="s">
        <v>152</v>
      </c>
    </row>
    <row r="237" spans="1:3">
      <c r="A237" s="94" t="s">
        <v>388</v>
      </c>
    </row>
    <row r="238" spans="1:3">
      <c r="A238" s="94"/>
      <c r="C238" s="90" t="s">
        <v>389</v>
      </c>
    </row>
    <row r="239" spans="1:3">
      <c r="A239" s="94"/>
      <c r="C239" s="90" t="s">
        <v>390</v>
      </c>
    </row>
    <row r="240" spans="1:3">
      <c r="A240" s="94" t="s">
        <v>391</v>
      </c>
    </row>
    <row r="241" spans="1:3">
      <c r="A241" s="94"/>
      <c r="C241" s="92" t="s">
        <v>392</v>
      </c>
    </row>
    <row r="242" spans="1:3">
      <c r="A242" s="94"/>
      <c r="C242" s="92" t="s">
        <v>393</v>
      </c>
    </row>
    <row r="243" spans="1:3">
      <c r="A243" s="94"/>
      <c r="C243" s="92" t="s">
        <v>394</v>
      </c>
    </row>
    <row r="244" spans="1:3">
      <c r="A244" s="94"/>
      <c r="C244" s="92" t="s">
        <v>395</v>
      </c>
    </row>
    <row r="245" spans="1:3">
      <c r="A245" s="94"/>
      <c r="C245" s="92" t="s">
        <v>396</v>
      </c>
    </row>
    <row r="246" spans="1:3">
      <c r="A246" s="94" t="s">
        <v>397</v>
      </c>
    </row>
    <row r="247" spans="1:3">
      <c r="A247" s="94"/>
      <c r="C247" s="92" t="s">
        <v>398</v>
      </c>
    </row>
    <row r="248" spans="1:3">
      <c r="A248" s="92"/>
    </row>
    <row r="249" spans="1:3">
      <c r="A249" s="92" t="s">
        <v>153</v>
      </c>
    </row>
    <row r="250" spans="1:3">
      <c r="A250" s="94" t="s">
        <v>154</v>
      </c>
    </row>
    <row r="251" spans="1:3">
      <c r="A251" s="94" t="s">
        <v>155</v>
      </c>
    </row>
    <row r="252" spans="1:3">
      <c r="A252" s="94" t="s">
        <v>156</v>
      </c>
    </row>
    <row r="253" spans="1:3">
      <c r="A253" s="94" t="s">
        <v>157</v>
      </c>
    </row>
    <row r="254" spans="1:3">
      <c r="A254" s="94" t="s">
        <v>400</v>
      </c>
    </row>
    <row r="255" spans="1:3">
      <c r="A255" s="94"/>
      <c r="C255" s="92" t="s">
        <v>401</v>
      </c>
    </row>
    <row r="256" spans="1:3">
      <c r="A256" s="94"/>
      <c r="C256" s="92" t="s">
        <v>402</v>
      </c>
    </row>
    <row r="257" spans="1:3">
      <c r="A257" s="94"/>
      <c r="C257" s="92" t="s">
        <v>403</v>
      </c>
    </row>
    <row r="258" spans="1:3">
      <c r="A258" s="94"/>
      <c r="C258" s="104" t="s">
        <v>404</v>
      </c>
    </row>
    <row r="259" spans="1:3">
      <c r="A259" s="94" t="s">
        <v>405</v>
      </c>
    </row>
    <row r="260" spans="1:3">
      <c r="A260" s="94"/>
      <c r="C260" s="92" t="s">
        <v>407</v>
      </c>
    </row>
    <row r="261" spans="1:3">
      <c r="A261" s="94"/>
      <c r="C261" s="104" t="s">
        <v>408</v>
      </c>
    </row>
    <row r="262" spans="1:3">
      <c r="A262" s="94"/>
      <c r="C262" s="92" t="s">
        <v>406</v>
      </c>
    </row>
    <row r="263" spans="1:3">
      <c r="A263" s="94"/>
      <c r="C263" s="92" t="str">
        <f>"If there is excess supply (C"&amp;ROW(Model!C28)&amp;"&gt;0) Third-Party Brick &amp; Mortar Stores can purchase “Incremental” quantities at a discount at their discretion."</f>
        <v>If there is excess supply (C28&gt;0) Third-Party Brick &amp; Mortar Stores can purchase “Incremental” quantities at a discount at their discretion.</v>
      </c>
    </row>
    <row r="264" spans="1:3">
      <c r="A264" s="94" t="s">
        <v>158</v>
      </c>
    </row>
    <row r="265" spans="1:3">
      <c r="A265" s="102" t="s">
        <v>159</v>
      </c>
    </row>
    <row r="266" spans="1:3">
      <c r="A266" s="102" t="s">
        <v>160</v>
      </c>
    </row>
    <row r="267" spans="1:3">
      <c r="A267" s="103" t="s">
        <v>161</v>
      </c>
    </row>
    <row r="268" spans="1:3">
      <c r="A268" s="94" t="s">
        <v>409</v>
      </c>
    </row>
    <row r="269" spans="1:3">
      <c r="A269" s="94"/>
      <c r="C269" s="92" t="s">
        <v>410</v>
      </c>
    </row>
    <row r="270" spans="1:3">
      <c r="A270" s="94"/>
      <c r="C270" s="92" t="s">
        <v>411</v>
      </c>
    </row>
    <row r="271" spans="1:3">
      <c r="A271" s="94"/>
      <c r="C271" s="92" t="s">
        <v>412</v>
      </c>
    </row>
    <row r="272" spans="1:3">
      <c r="A272" s="94"/>
      <c r="C272" s="92" t="s">
        <v>413</v>
      </c>
    </row>
    <row r="273" spans="1:3">
      <c r="A273" s="94"/>
      <c r="C273" s="92" t="s">
        <v>415</v>
      </c>
    </row>
    <row r="274" spans="1:3">
      <c r="A274" s="94"/>
      <c r="C274" s="104" t="s">
        <v>416</v>
      </c>
    </row>
    <row r="275" spans="1:3">
      <c r="A275" s="94"/>
      <c r="C275" s="92" t="s">
        <v>414</v>
      </c>
    </row>
    <row r="276" spans="1:3">
      <c r="A276" s="94" t="s">
        <v>162</v>
      </c>
    </row>
    <row r="277" spans="1:3">
      <c r="A277" s="94" t="s">
        <v>163</v>
      </c>
    </row>
    <row r="278" spans="1:3">
      <c r="A278" s="94" t="s">
        <v>417</v>
      </c>
    </row>
    <row r="279" spans="1:3">
      <c r="A279" s="94"/>
      <c r="C279" s="92" t="s">
        <v>418</v>
      </c>
    </row>
    <row r="280" spans="1:3">
      <c r="A280" s="94"/>
      <c r="C280" s="92" t="s">
        <v>419</v>
      </c>
    </row>
    <row r="281" spans="1:3">
      <c r="A281" s="94"/>
      <c r="C281" s="92" t="s">
        <v>420</v>
      </c>
    </row>
    <row r="282" spans="1:3">
      <c r="A282" s="94"/>
      <c r="C282" s="92" t="s">
        <v>421</v>
      </c>
    </row>
    <row r="283" spans="1:3">
      <c r="A283" s="105" t="s">
        <v>422</v>
      </c>
    </row>
    <row r="284" spans="1:3">
      <c r="A284" s="94"/>
      <c r="C284" s="92" t="s">
        <v>423</v>
      </c>
    </row>
    <row r="285" spans="1:3">
      <c r="A285" s="94"/>
      <c r="C285" s="92" t="s">
        <v>424</v>
      </c>
    </row>
    <row r="286" spans="1:3">
      <c r="A286" s="94"/>
      <c r="C286" s="92" t="s">
        <v>427</v>
      </c>
    </row>
    <row r="287" spans="1:3">
      <c r="A287" s="94"/>
      <c r="C287" s="104" t="s">
        <v>428</v>
      </c>
    </row>
    <row r="288" spans="1:3">
      <c r="A288" s="94"/>
      <c r="C288" s="92" t="s">
        <v>425</v>
      </c>
    </row>
    <row r="289" spans="1:3">
      <c r="C289" s="92" t="s">
        <v>426</v>
      </c>
    </row>
    <row r="290" spans="1:3">
      <c r="A290" s="94" t="s">
        <v>164</v>
      </c>
    </row>
    <row r="291" spans="1:3">
      <c r="A291" s="94" t="s">
        <v>165</v>
      </c>
    </row>
    <row r="292" spans="1:3">
      <c r="A292" s="94" t="s">
        <v>166</v>
      </c>
    </row>
    <row r="293" spans="1:3">
      <c r="A293" s="94"/>
    </row>
    <row r="294" spans="1:3">
      <c r="A294" s="87" t="s">
        <v>167</v>
      </c>
    </row>
    <row r="295" spans="1:3">
      <c r="A295" s="106" t="s">
        <v>191</v>
      </c>
    </row>
    <row r="296" spans="1:3">
      <c r="A296" s="106" t="str">
        <f>"The total number of yellow cells with correct answers, blanks (none should be blank) or with errors is displayed in cell C"&amp;ROW(Model!C7)&amp;":C"&amp;ROW(Model!C9)&amp;" on the “Model” Sheet."</f>
        <v>The total number of yellow cells with correct answers, blanks (none should be blank) or with errors is displayed in cell C7:C9 on the “Model” Sheet.</v>
      </c>
    </row>
    <row r="297" spans="1:3" s="106" customFormat="1" ht="12.75">
      <c r="A297" s="104" t="s">
        <v>192</v>
      </c>
    </row>
    <row r="298" spans="1:3" s="106" customFormat="1" ht="12.75">
      <c r="A298" s="104" t="s">
        <v>193</v>
      </c>
    </row>
    <row r="299" spans="1:3" s="106" customFormat="1" ht="12.75">
      <c r="A299" s="106" t="s">
        <v>168</v>
      </c>
    </row>
    <row r="300" spans="1:3">
      <c r="A300" s="106"/>
    </row>
    <row r="301" spans="1:3">
      <c r="A301" s="87"/>
    </row>
    <row r="302" spans="1:3">
      <c r="A302" s="87" t="s">
        <v>169</v>
      </c>
    </row>
    <row r="303" spans="1:3">
      <c r="A303" s="87"/>
    </row>
    <row r="304" spans="1:3">
      <c r="A304" s="92" t="s">
        <v>170</v>
      </c>
    </row>
    <row r="305" spans="1:2">
      <c r="A305" s="92"/>
    </row>
    <row r="306" spans="1:2">
      <c r="A306" s="92" t="s">
        <v>347</v>
      </c>
    </row>
    <row r="307" spans="1:2">
      <c r="A307" s="92" t="s">
        <v>348</v>
      </c>
    </row>
    <row r="308" spans="1:2">
      <c r="A308" s="92"/>
    </row>
    <row r="309" spans="1:2">
      <c r="A309" s="92" t="s">
        <v>349</v>
      </c>
    </row>
    <row r="310" spans="1:2">
      <c r="A310" s="92" t="s">
        <v>350</v>
      </c>
    </row>
    <row r="311" spans="1:2">
      <c r="A311" s="92" t="s">
        <v>351</v>
      </c>
    </row>
    <row r="312" spans="1:2">
      <c r="A312" s="92" t="s">
        <v>352</v>
      </c>
    </row>
    <row r="313" spans="1:2">
      <c r="A313" s="92" t="s">
        <v>353</v>
      </c>
    </row>
    <row r="314" spans="1:2">
      <c r="A314" s="92" t="s">
        <v>354</v>
      </c>
    </row>
    <row r="316" spans="1:2">
      <c r="A316" s="100" t="s">
        <v>355</v>
      </c>
    </row>
    <row r="317" spans="1:2">
      <c r="A317" s="92" t="s">
        <v>360</v>
      </c>
    </row>
    <row r="318" spans="1:2" ht="16.5" thickBot="1">
      <c r="A318" s="92" t="str">
        <f>"In the yellow cell below, enter the value of the sum of 'Total Contribution' presented in Cell K"&amp;ROW(Model!$K$86)&amp;"."</f>
        <v>In the yellow cell below, enter the value of the sum of 'Total Contribution' presented in Cell K86.</v>
      </c>
    </row>
    <row r="319" spans="1:2" ht="16.5" thickBot="1">
      <c r="A319" s="92"/>
      <c r="B319" s="196">
        <v>36486</v>
      </c>
    </row>
    <row r="320" spans="1:2">
      <c r="A320" s="87"/>
    </row>
    <row r="321" spans="1:2">
      <c r="A321" s="87" t="s">
        <v>171</v>
      </c>
    </row>
    <row r="322" spans="1:2">
      <c r="A322" s="87"/>
    </row>
    <row r="323" spans="1:2">
      <c r="A323" s="92" t="s">
        <v>356</v>
      </c>
    </row>
    <row r="324" spans="1:2">
      <c r="A324" s="92" t="s">
        <v>350</v>
      </c>
    </row>
    <row r="325" spans="1:2">
      <c r="A325" s="92" t="s">
        <v>357</v>
      </c>
    </row>
    <row r="326" spans="1:2">
      <c r="A326" s="92" t="s">
        <v>358</v>
      </c>
    </row>
    <row r="327" spans="1:2">
      <c r="A327" s="92" t="s">
        <v>353</v>
      </c>
    </row>
    <row r="328" spans="1:2">
      <c r="A328" s="92" t="s">
        <v>354</v>
      </c>
    </row>
    <row r="329" spans="1:2">
      <c r="A329" s="92"/>
    </row>
    <row r="330" spans="1:2">
      <c r="A330" s="92" t="s">
        <v>359</v>
      </c>
    </row>
    <row r="331" spans="1:2">
      <c r="A331" s="92" t="s">
        <v>360</v>
      </c>
    </row>
    <row r="332" spans="1:2" ht="16.5" thickBot="1">
      <c r="A332" s="92" t="str">
        <f>"In the yellow cell below, enter the value of the sum of 'Total Contribution' presented in Cell K"&amp;ROW(Model!$K$86)&amp;"."</f>
        <v>In the yellow cell below, enter the value of the sum of 'Total Contribution' presented in Cell K86.</v>
      </c>
    </row>
    <row r="333" spans="1:2" ht="16.5" thickBot="1">
      <c r="A333" s="92"/>
      <c r="B333" s="196">
        <v>30250</v>
      </c>
    </row>
    <row r="334" spans="1:2">
      <c r="A334" s="87"/>
    </row>
    <row r="335" spans="1:2">
      <c r="A335" s="92" t="s">
        <v>433</v>
      </c>
    </row>
    <row r="336" spans="1:2">
      <c r="A336" s="94" t="s">
        <v>434</v>
      </c>
    </row>
    <row r="337" spans="1:1">
      <c r="A337" s="94" t="s">
        <v>435</v>
      </c>
    </row>
    <row r="338" spans="1:1">
      <c r="A338" s="94" t="s">
        <v>436</v>
      </c>
    </row>
    <row r="339" spans="1:1">
      <c r="A339" s="94" t="s">
        <v>437</v>
      </c>
    </row>
    <row r="340" spans="1:1">
      <c r="A340" s="92" t="s">
        <v>172</v>
      </c>
    </row>
    <row r="341" spans="1:1">
      <c r="A341" s="92" t="s">
        <v>173</v>
      </c>
    </row>
    <row r="342" spans="1:1">
      <c r="A342" s="9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43BFC-8E68-5A44-9F01-7210A8943903}">
  <dimension ref="A1:M17"/>
  <sheetViews>
    <sheetView workbookViewId="0">
      <selection activeCell="F9" sqref="F9"/>
    </sheetView>
  </sheetViews>
  <sheetFormatPr defaultColWidth="11.25" defaultRowHeight="15.75"/>
  <cols>
    <col min="2" max="2" width="21.25" customWidth="1"/>
  </cols>
  <sheetData>
    <row r="1" spans="1:13" ht="18.75">
      <c r="A1" s="107" t="s">
        <v>212</v>
      </c>
      <c r="B1" s="125"/>
      <c r="C1" s="125"/>
      <c r="D1" s="125"/>
      <c r="E1" s="125"/>
      <c r="F1" s="125"/>
      <c r="G1" s="125"/>
      <c r="H1" s="126" t="s">
        <v>213</v>
      </c>
    </row>
    <row r="2" spans="1:13">
      <c r="A2" s="111" t="s">
        <v>214</v>
      </c>
      <c r="B2" s="125"/>
      <c r="C2" s="125"/>
      <c r="D2" s="125"/>
      <c r="E2" s="125"/>
      <c r="F2" s="125"/>
      <c r="G2" s="125"/>
      <c r="H2" s="129"/>
      <c r="J2" s="81"/>
      <c r="K2" s="81"/>
      <c r="L2" s="81"/>
      <c r="M2" s="81"/>
    </row>
    <row r="3" spans="1:13">
      <c r="A3" s="130" t="s">
        <v>215</v>
      </c>
      <c r="B3" s="125"/>
      <c r="C3" s="125"/>
      <c r="D3" s="125"/>
      <c r="E3" s="125"/>
      <c r="F3" s="125"/>
      <c r="G3" s="125"/>
      <c r="H3" s="125"/>
      <c r="J3" s="81"/>
      <c r="K3" s="81"/>
      <c r="L3" s="81"/>
      <c r="M3" s="81"/>
    </row>
    <row r="4" spans="1:13">
      <c r="A4" s="111" t="str">
        <f ca="1">"Sheet: "&amp;MID(CELL("filename",A1),FIND("]",CELL("filename",A1))+1,255)</f>
        <v>Sheet: Elasticity</v>
      </c>
      <c r="J4" s="81"/>
      <c r="K4" s="81"/>
      <c r="L4" s="81"/>
      <c r="M4" s="81"/>
    </row>
    <row r="5" spans="1:13">
      <c r="J5" s="81"/>
      <c r="K5" s="81"/>
      <c r="L5" s="81"/>
      <c r="M5" s="81"/>
    </row>
    <row r="6" spans="1:13">
      <c r="A6" s="6" t="s">
        <v>29</v>
      </c>
      <c r="J6" s="81"/>
      <c r="K6" s="81"/>
      <c r="L6" s="81"/>
      <c r="M6" s="81"/>
    </row>
    <row r="7" spans="1:13">
      <c r="J7" s="81"/>
      <c r="K7" s="81"/>
      <c r="L7" s="81"/>
      <c r="M7" s="81"/>
    </row>
    <row r="8" spans="1:13">
      <c r="B8" s="19" t="s">
        <v>39</v>
      </c>
      <c r="C8" s="13">
        <v>1.5</v>
      </c>
      <c r="J8" s="81"/>
      <c r="K8" s="12">
        <f>C8^2+C9^3+C10^4+C11^5+F15/10</f>
        <v>47.412500000000001</v>
      </c>
      <c r="L8" s="12">
        <v>47.412500000000001</v>
      </c>
      <c r="M8" s="81"/>
    </row>
    <row r="9" spans="1:13">
      <c r="B9" s="19" t="s">
        <v>38</v>
      </c>
      <c r="C9" s="13">
        <v>2</v>
      </c>
      <c r="J9" s="81"/>
      <c r="K9" s="81"/>
      <c r="L9" s="81"/>
      <c r="M9" s="81"/>
    </row>
    <row r="10" spans="1:13">
      <c r="B10" s="19" t="s">
        <v>40</v>
      </c>
      <c r="C10" s="13">
        <v>1.5</v>
      </c>
      <c r="J10" s="81"/>
      <c r="K10" s="81"/>
      <c r="L10" s="81"/>
      <c r="M10" s="81"/>
    </row>
    <row r="11" spans="1:13">
      <c r="B11" s="19" t="s">
        <v>41</v>
      </c>
      <c r="C11" s="13">
        <v>2</v>
      </c>
      <c r="J11" s="81"/>
      <c r="K11" s="81"/>
      <c r="L11" s="81"/>
      <c r="M11" s="81"/>
    </row>
    <row r="12" spans="1:13">
      <c r="J12" s="81"/>
      <c r="K12" s="81"/>
      <c r="L12" s="81"/>
      <c r="M12" s="81"/>
    </row>
    <row r="13" spans="1:13">
      <c r="A13" s="8" t="s">
        <v>76</v>
      </c>
      <c r="J13" s="81"/>
      <c r="K13" s="81"/>
      <c r="L13" s="81"/>
      <c r="M13" s="81"/>
    </row>
    <row r="14" spans="1:13">
      <c r="J14" s="81"/>
      <c r="K14" s="81"/>
      <c r="L14" s="81"/>
      <c r="M14" s="81"/>
    </row>
    <row r="15" spans="1:13">
      <c r="E15" s="19" t="s">
        <v>77</v>
      </c>
      <c r="F15" s="13">
        <v>1</v>
      </c>
    </row>
    <row r="16" spans="1:13">
      <c r="E16" s="19" t="s">
        <v>78</v>
      </c>
      <c r="F16" s="13">
        <v>1</v>
      </c>
    </row>
    <row r="17" spans="3:3" ht="21">
      <c r="C17" s="24" t="str">
        <f>IF(K8=L8,"Your Anwer is Correct","")</f>
        <v>Your Anwer is Correct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9FE82-E938-6346-B5F2-B3E22DE4ECEE}">
  <dimension ref="A1:P25"/>
  <sheetViews>
    <sheetView topLeftCell="A2" workbookViewId="0">
      <selection activeCell="L21" sqref="L21"/>
    </sheetView>
  </sheetViews>
  <sheetFormatPr defaultColWidth="11.25" defaultRowHeight="15.75"/>
  <cols>
    <col min="2" max="2" width="12.75" customWidth="1"/>
    <col min="3" max="5" width="11.25" customWidth="1"/>
    <col min="6" max="6" width="6.25" customWidth="1"/>
    <col min="10" max="10" width="6.75" customWidth="1"/>
  </cols>
  <sheetData>
    <row r="1" spans="1:16" ht="18.75">
      <c r="A1" s="107" t="s">
        <v>212</v>
      </c>
      <c r="B1" s="125"/>
      <c r="C1" s="125"/>
      <c r="D1" s="125"/>
      <c r="E1" s="125"/>
      <c r="F1" s="125"/>
      <c r="G1" s="125"/>
      <c r="H1" s="126" t="s">
        <v>213</v>
      </c>
    </row>
    <row r="2" spans="1:16">
      <c r="A2" s="111" t="s">
        <v>214</v>
      </c>
      <c r="B2" s="125"/>
      <c r="C2" s="125"/>
      <c r="D2" s="125"/>
      <c r="E2" s="125"/>
      <c r="F2" s="125"/>
      <c r="G2" s="125"/>
      <c r="H2" s="129"/>
    </row>
    <row r="3" spans="1:16">
      <c r="A3" s="130" t="s">
        <v>215</v>
      </c>
      <c r="B3" s="125"/>
      <c r="C3" s="125"/>
      <c r="D3" s="125"/>
      <c r="E3" s="125"/>
      <c r="F3" s="125"/>
      <c r="G3" s="125"/>
      <c r="H3" s="125"/>
    </row>
    <row r="4" spans="1:16">
      <c r="A4" s="111" t="str">
        <f ca="1">"Sheet: "&amp;MID(CELL("filename",A1),FIND("]",CELL("filename",A1))+1,255)</f>
        <v>Sheet: Company Stores</v>
      </c>
    </row>
    <row r="6" spans="1:16">
      <c r="A6" s="17" t="s">
        <v>30</v>
      </c>
    </row>
    <row r="8" spans="1:16">
      <c r="C8" s="208" t="s">
        <v>32</v>
      </c>
      <c r="D8" s="208"/>
      <c r="E8" s="208"/>
      <c r="F8" s="15"/>
      <c r="H8" s="9" t="s">
        <v>8</v>
      </c>
      <c r="L8" s="18" t="s">
        <v>33</v>
      </c>
    </row>
    <row r="9" spans="1:16">
      <c r="B9" s="8" t="s">
        <v>10</v>
      </c>
      <c r="C9" s="11" t="s">
        <v>26</v>
      </c>
      <c r="D9" s="11" t="s">
        <v>27</v>
      </c>
      <c r="E9" s="11" t="s">
        <v>28</v>
      </c>
      <c r="F9" s="11"/>
      <c r="G9" s="9" t="s">
        <v>26</v>
      </c>
      <c r="H9" s="9" t="s">
        <v>27</v>
      </c>
      <c r="I9" s="9" t="s">
        <v>28</v>
      </c>
      <c r="J9" s="9"/>
      <c r="K9" s="9" t="s">
        <v>26</v>
      </c>
      <c r="L9" s="9" t="s">
        <v>27</v>
      </c>
      <c r="M9" s="9" t="s">
        <v>28</v>
      </c>
      <c r="N9" s="9"/>
      <c r="O9" s="9"/>
    </row>
    <row r="10" spans="1:16">
      <c r="A10">
        <v>1</v>
      </c>
      <c r="B10" t="s">
        <v>11</v>
      </c>
      <c r="C10" s="1">
        <v>140</v>
      </c>
      <c r="D10" s="1">
        <v>168.00000000000003</v>
      </c>
      <c r="E10" s="1">
        <v>210.00000000000003</v>
      </c>
      <c r="F10" s="1"/>
      <c r="K10" s="1">
        <v>140</v>
      </c>
      <c r="L10" s="1">
        <v>168.00000000000003</v>
      </c>
      <c r="M10" s="1">
        <v>210.00000000000003</v>
      </c>
    </row>
    <row r="11" spans="1:16">
      <c r="A11">
        <f>A10+1</f>
        <v>2</v>
      </c>
      <c r="B11" t="s">
        <v>12</v>
      </c>
      <c r="C11" s="1">
        <v>90</v>
      </c>
      <c r="D11" s="1">
        <v>108</v>
      </c>
      <c r="E11" s="1">
        <v>135</v>
      </c>
      <c r="F11" s="1"/>
      <c r="K11" s="1">
        <v>90</v>
      </c>
      <c r="L11" s="1">
        <v>108</v>
      </c>
      <c r="M11" s="1">
        <v>135</v>
      </c>
    </row>
    <row r="12" spans="1:16">
      <c r="A12">
        <f t="shared" ref="A12:A23" si="0">A11+1</f>
        <v>3</v>
      </c>
      <c r="B12" t="s">
        <v>13</v>
      </c>
      <c r="C12" s="1">
        <v>60</v>
      </c>
      <c r="D12" s="1">
        <v>72</v>
      </c>
      <c r="E12" s="1">
        <v>90</v>
      </c>
      <c r="F12" s="1"/>
      <c r="I12" s="2">
        <v>0.05</v>
      </c>
      <c r="J12" s="2"/>
      <c r="K12" s="1">
        <v>60</v>
      </c>
      <c r="L12" s="1">
        <v>72</v>
      </c>
      <c r="M12" s="1">
        <v>96.75</v>
      </c>
      <c r="N12" s="1"/>
      <c r="O12" s="1"/>
      <c r="P12" s="1"/>
    </row>
    <row r="13" spans="1:16">
      <c r="A13">
        <f t="shared" si="0"/>
        <v>4</v>
      </c>
      <c r="B13" t="s">
        <v>14</v>
      </c>
      <c r="C13" s="1">
        <v>90</v>
      </c>
      <c r="D13" s="1">
        <v>108</v>
      </c>
      <c r="E13" s="1">
        <v>135</v>
      </c>
      <c r="F13" s="1"/>
      <c r="K13" s="1">
        <v>90</v>
      </c>
      <c r="L13" s="1">
        <v>108</v>
      </c>
      <c r="M13" s="1">
        <v>135</v>
      </c>
      <c r="N13" s="1"/>
      <c r="O13" s="1"/>
      <c r="P13" s="1"/>
    </row>
    <row r="14" spans="1:16">
      <c r="A14">
        <f t="shared" si="0"/>
        <v>5</v>
      </c>
      <c r="B14" t="s">
        <v>15</v>
      </c>
      <c r="C14" s="200">
        <v>80</v>
      </c>
      <c r="D14" s="1">
        <v>96</v>
      </c>
      <c r="E14" s="1">
        <v>120</v>
      </c>
      <c r="F14" s="1"/>
      <c r="G14" s="2">
        <v>0.05</v>
      </c>
      <c r="K14" s="1">
        <v>86</v>
      </c>
      <c r="L14" s="1">
        <v>96</v>
      </c>
      <c r="M14" s="1">
        <v>120</v>
      </c>
      <c r="N14" s="1"/>
      <c r="O14" s="1"/>
      <c r="P14" s="1"/>
    </row>
    <row r="15" spans="1:16">
      <c r="A15">
        <f t="shared" si="0"/>
        <v>6</v>
      </c>
      <c r="B15" t="s">
        <v>16</v>
      </c>
      <c r="C15" s="1">
        <v>80</v>
      </c>
      <c r="D15" s="1">
        <v>96</v>
      </c>
      <c r="E15" s="1">
        <v>120</v>
      </c>
      <c r="F15" s="1"/>
      <c r="H15" s="2">
        <v>0.05</v>
      </c>
      <c r="K15" s="1">
        <v>80</v>
      </c>
      <c r="L15" s="1">
        <v>103.19999999999999</v>
      </c>
      <c r="M15" s="1">
        <v>120</v>
      </c>
      <c r="N15" s="1"/>
      <c r="O15" s="1"/>
      <c r="P15" s="1"/>
    </row>
    <row r="16" spans="1:16">
      <c r="A16">
        <f t="shared" si="0"/>
        <v>7</v>
      </c>
      <c r="B16" t="s">
        <v>17</v>
      </c>
      <c r="C16" s="1">
        <v>40</v>
      </c>
      <c r="D16" s="1">
        <v>48</v>
      </c>
      <c r="E16" s="1">
        <v>60</v>
      </c>
      <c r="F16" s="1"/>
      <c r="K16" s="1">
        <v>40</v>
      </c>
      <c r="L16" s="1">
        <v>48</v>
      </c>
      <c r="M16" s="1">
        <v>60</v>
      </c>
      <c r="N16" s="1"/>
      <c r="O16" s="1"/>
      <c r="P16" s="1"/>
    </row>
    <row r="17" spans="1:16">
      <c r="A17">
        <f t="shared" si="0"/>
        <v>8</v>
      </c>
      <c r="B17" t="s">
        <v>18</v>
      </c>
      <c r="C17" s="1">
        <v>50</v>
      </c>
      <c r="D17" s="1">
        <v>60</v>
      </c>
      <c r="E17" s="1">
        <v>75</v>
      </c>
      <c r="F17" s="1"/>
      <c r="I17" s="2">
        <v>0.05</v>
      </c>
      <c r="J17" s="2"/>
      <c r="K17" s="1">
        <v>50</v>
      </c>
      <c r="L17" s="1">
        <v>60</v>
      </c>
      <c r="M17" s="1">
        <v>80.625</v>
      </c>
      <c r="N17" s="1"/>
      <c r="O17" s="1"/>
      <c r="P17" s="1"/>
    </row>
    <row r="18" spans="1:16">
      <c r="A18">
        <f t="shared" si="0"/>
        <v>9</v>
      </c>
      <c r="B18" t="s">
        <v>19</v>
      </c>
      <c r="C18" s="1">
        <v>40</v>
      </c>
      <c r="D18" s="1">
        <v>48</v>
      </c>
      <c r="E18" s="1">
        <v>60</v>
      </c>
      <c r="F18" s="1"/>
      <c r="K18" s="1">
        <v>40</v>
      </c>
      <c r="L18" s="1">
        <v>48</v>
      </c>
      <c r="M18" s="1">
        <v>60</v>
      </c>
      <c r="N18" s="1"/>
      <c r="O18" s="1"/>
      <c r="P18" s="1"/>
    </row>
    <row r="19" spans="1:16">
      <c r="A19">
        <f>A18+1</f>
        <v>10</v>
      </c>
      <c r="B19" t="s">
        <v>20</v>
      </c>
      <c r="C19" s="198">
        <v>50</v>
      </c>
      <c r="D19" s="1">
        <v>60</v>
      </c>
      <c r="E19" s="1">
        <v>75</v>
      </c>
      <c r="F19" s="1"/>
      <c r="G19" s="199">
        <v>0.1</v>
      </c>
      <c r="K19" s="198">
        <v>57.499999999999993</v>
      </c>
      <c r="L19" s="1">
        <v>60</v>
      </c>
      <c r="M19" s="1">
        <v>75</v>
      </c>
      <c r="N19" s="1"/>
      <c r="O19" s="1"/>
      <c r="P19" s="1"/>
    </row>
    <row r="20" spans="1:16">
      <c r="A20">
        <f t="shared" si="0"/>
        <v>11</v>
      </c>
      <c r="B20" t="s">
        <v>21</v>
      </c>
      <c r="C20" s="1">
        <v>60</v>
      </c>
      <c r="D20" s="1">
        <v>72</v>
      </c>
      <c r="E20" s="1">
        <v>90</v>
      </c>
      <c r="F20" s="1"/>
      <c r="K20" s="1">
        <v>60</v>
      </c>
      <c r="L20" s="1">
        <v>72</v>
      </c>
      <c r="M20" s="1">
        <v>90</v>
      </c>
      <c r="N20" s="1"/>
      <c r="O20" s="1"/>
      <c r="P20" s="1"/>
    </row>
    <row r="21" spans="1:16">
      <c r="A21">
        <f t="shared" si="0"/>
        <v>12</v>
      </c>
      <c r="B21" t="s">
        <v>22</v>
      </c>
      <c r="C21" s="1">
        <v>40</v>
      </c>
      <c r="D21" s="1">
        <v>48</v>
      </c>
      <c r="E21" s="1">
        <v>60</v>
      </c>
      <c r="F21" s="1"/>
      <c r="H21" s="2">
        <v>0.1</v>
      </c>
      <c r="K21" s="1">
        <v>40</v>
      </c>
      <c r="L21" s="1">
        <v>55.199999999999996</v>
      </c>
      <c r="M21" s="1">
        <v>60</v>
      </c>
      <c r="N21" s="1"/>
      <c r="O21" s="1"/>
      <c r="P21" s="1"/>
    </row>
    <row r="22" spans="1:16">
      <c r="A22">
        <f t="shared" si="0"/>
        <v>13</v>
      </c>
      <c r="B22" t="s">
        <v>23</v>
      </c>
      <c r="C22" s="1">
        <v>90</v>
      </c>
      <c r="D22" s="1">
        <v>108</v>
      </c>
      <c r="E22" s="1">
        <v>135</v>
      </c>
      <c r="F22" s="1"/>
      <c r="K22" s="1">
        <v>90</v>
      </c>
      <c r="L22" s="1">
        <v>108</v>
      </c>
      <c r="M22" s="1">
        <v>135</v>
      </c>
      <c r="N22" s="1"/>
      <c r="O22" s="1"/>
      <c r="P22" s="1"/>
    </row>
    <row r="23" spans="1:16">
      <c r="A23">
        <f t="shared" si="0"/>
        <v>14</v>
      </c>
      <c r="B23" t="s">
        <v>24</v>
      </c>
      <c r="C23" s="1">
        <v>40</v>
      </c>
      <c r="D23" s="1">
        <v>48</v>
      </c>
      <c r="E23" s="1">
        <v>60</v>
      </c>
      <c r="F23" s="1"/>
      <c r="K23" s="1">
        <v>40</v>
      </c>
      <c r="L23" s="1">
        <v>48</v>
      </c>
      <c r="M23" s="1">
        <v>60</v>
      </c>
      <c r="N23" s="1"/>
      <c r="O23" s="1"/>
      <c r="P23" s="1"/>
    </row>
    <row r="24" spans="1:16">
      <c r="A24">
        <f>A23+1</f>
        <v>15</v>
      </c>
      <c r="B24" t="s">
        <v>25</v>
      </c>
      <c r="C24" s="1">
        <v>50</v>
      </c>
      <c r="D24" s="1">
        <v>60</v>
      </c>
      <c r="E24" s="1">
        <v>75</v>
      </c>
      <c r="F24" s="1"/>
      <c r="I24" s="2">
        <v>0.15</v>
      </c>
      <c r="J24" s="2"/>
      <c r="K24" s="1">
        <v>50</v>
      </c>
      <c r="L24" s="1">
        <v>60</v>
      </c>
      <c r="M24" s="1">
        <v>91.875</v>
      </c>
      <c r="N24" s="1"/>
      <c r="O24" s="1"/>
      <c r="P24" s="1"/>
    </row>
    <row r="25" spans="1:16" s="6" customFormat="1">
      <c r="B25" s="6" t="s">
        <v>31</v>
      </c>
      <c r="C25" s="16">
        <v>1000</v>
      </c>
      <c r="D25" s="16">
        <v>1200</v>
      </c>
      <c r="E25" s="16">
        <v>1500</v>
      </c>
      <c r="F25" s="16"/>
      <c r="K25" s="14">
        <f t="shared" ref="K25:L25" si="1">SUM(K10:K24)</f>
        <v>1013.5</v>
      </c>
      <c r="L25" s="14">
        <f t="shared" si="1"/>
        <v>1214.4000000000001</v>
      </c>
      <c r="M25" s="14">
        <f>SUM(M10:M24)</f>
        <v>1529.25</v>
      </c>
    </row>
  </sheetData>
  <mergeCells count="1">
    <mergeCell ref="C8:E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3AE6-DC3C-2945-B94F-D3AEFC70153E}">
  <dimension ref="A1:N35"/>
  <sheetViews>
    <sheetView zoomScale="88" workbookViewId="0">
      <selection activeCell="O6" sqref="O6"/>
    </sheetView>
  </sheetViews>
  <sheetFormatPr defaultColWidth="11.25" defaultRowHeight="15.75"/>
  <cols>
    <col min="1" max="1" width="13.75" customWidth="1"/>
    <col min="2" max="2" width="5.75" customWidth="1"/>
    <col min="4" max="4" width="11.25" bestFit="1" customWidth="1"/>
  </cols>
  <sheetData>
    <row r="1" spans="1:14" ht="18.75">
      <c r="A1" s="107" t="s">
        <v>212</v>
      </c>
      <c r="B1" s="125"/>
      <c r="C1" s="125"/>
      <c r="D1" s="125"/>
      <c r="E1" s="125"/>
      <c r="F1" s="125"/>
      <c r="G1" s="125"/>
      <c r="H1" s="126" t="s">
        <v>213</v>
      </c>
    </row>
    <row r="2" spans="1:14">
      <c r="A2" s="111" t="s">
        <v>214</v>
      </c>
      <c r="B2" s="125"/>
      <c r="C2" s="125"/>
      <c r="D2" s="125"/>
      <c r="E2" s="125"/>
      <c r="F2" s="125"/>
      <c r="G2" s="125"/>
      <c r="H2" s="129"/>
    </row>
    <row r="3" spans="1:14">
      <c r="A3" s="130" t="s">
        <v>215</v>
      </c>
      <c r="B3" s="125"/>
      <c r="C3" s="125"/>
      <c r="D3" s="125"/>
      <c r="E3" s="125"/>
      <c r="F3" s="125"/>
      <c r="G3" s="125"/>
      <c r="H3" s="125"/>
    </row>
    <row r="4" spans="1:14">
      <c r="A4" s="111" t="str">
        <f ca="1">"Sheet: "&amp;MID(CELL("filename",A1),FIND("]",CELL("filename",A1))+1,255)</f>
        <v>Sheet: Company Website</v>
      </c>
    </row>
    <row r="6" spans="1:14">
      <c r="A6" s="6" t="s">
        <v>37</v>
      </c>
    </row>
    <row r="7" spans="1:14">
      <c r="B7" s="10"/>
    </row>
    <row r="8" spans="1:14">
      <c r="B8" s="19"/>
      <c r="C8" s="209" t="s">
        <v>34</v>
      </c>
      <c r="D8" s="209"/>
      <c r="E8" s="209"/>
      <c r="F8" s="209"/>
      <c r="H8" s="6" t="s">
        <v>447</v>
      </c>
      <c r="N8" s="6" t="s">
        <v>446</v>
      </c>
    </row>
    <row r="9" spans="1:14" ht="16.5" thickBot="1">
      <c r="A9" s="20"/>
      <c r="B9" s="21"/>
      <c r="C9" s="22">
        <v>0</v>
      </c>
      <c r="D9" s="22">
        <v>0.05</v>
      </c>
      <c r="E9" s="22">
        <v>0.1</v>
      </c>
      <c r="F9" s="22">
        <v>0.15</v>
      </c>
    </row>
    <row r="10" spans="1:14" ht="32.65" customHeight="1" thickBot="1">
      <c r="A10" s="210" t="s">
        <v>35</v>
      </c>
      <c r="B10" s="22">
        <v>0</v>
      </c>
      <c r="C10" s="201">
        <v>100</v>
      </c>
      <c r="D10" s="202">
        <v>95</v>
      </c>
      <c r="E10" s="50">
        <v>90</v>
      </c>
      <c r="F10" s="50">
        <v>85</v>
      </c>
      <c r="H10" t="s">
        <v>441</v>
      </c>
      <c r="N10" t="s">
        <v>443</v>
      </c>
    </row>
    <row r="11" spans="1:14" ht="32.65" customHeight="1">
      <c r="A11" s="210"/>
      <c r="B11" s="22">
        <v>0.05</v>
      </c>
      <c r="C11" s="197">
        <v>110</v>
      </c>
      <c r="D11" s="50">
        <v>105</v>
      </c>
      <c r="E11" s="50">
        <v>100</v>
      </c>
      <c r="F11" s="50">
        <v>95</v>
      </c>
      <c r="H11" t="s">
        <v>77</v>
      </c>
      <c r="N11" t="s">
        <v>440</v>
      </c>
    </row>
    <row r="12" spans="1:14" ht="32.65" customHeight="1">
      <c r="A12" s="210"/>
      <c r="B12" s="22">
        <v>0.1</v>
      </c>
      <c r="C12" s="23">
        <v>120</v>
      </c>
      <c r="D12" s="50">
        <v>115</v>
      </c>
      <c r="E12" s="50">
        <v>110</v>
      </c>
      <c r="F12" s="50">
        <v>105</v>
      </c>
    </row>
    <row r="13" spans="1:14" ht="32.65" customHeight="1">
      <c r="A13" s="210"/>
      <c r="B13" s="22">
        <v>0.15</v>
      </c>
      <c r="C13" s="23">
        <v>130</v>
      </c>
      <c r="D13" s="50">
        <v>125</v>
      </c>
      <c r="E13" s="50">
        <v>120</v>
      </c>
      <c r="F13" s="50">
        <v>115</v>
      </c>
    </row>
    <row r="14" spans="1:14">
      <c r="B14" s="10"/>
    </row>
    <row r="15" spans="1:14">
      <c r="B15" s="51" t="s">
        <v>36</v>
      </c>
    </row>
    <row r="16" spans="1:14">
      <c r="B16" s="51" t="s">
        <v>68</v>
      </c>
    </row>
    <row r="17" spans="1:14">
      <c r="B17" s="51" t="s">
        <v>69</v>
      </c>
    </row>
    <row r="18" spans="1:14">
      <c r="B18" s="51" t="s">
        <v>72</v>
      </c>
    </row>
    <row r="19" spans="1:14">
      <c r="B19" s="51" t="s">
        <v>74</v>
      </c>
    </row>
    <row r="20" spans="1:14">
      <c r="B20" s="10"/>
    </row>
    <row r="21" spans="1:14">
      <c r="B21" s="10"/>
    </row>
    <row r="22" spans="1:14">
      <c r="A22" s="6" t="s">
        <v>67</v>
      </c>
    </row>
    <row r="24" spans="1:14">
      <c r="B24" s="19"/>
      <c r="C24" s="209" t="s">
        <v>34</v>
      </c>
      <c r="D24" s="209"/>
      <c r="E24" s="209"/>
      <c r="F24" s="209"/>
    </row>
    <row r="25" spans="1:14" ht="16.5" thickBot="1">
      <c r="A25" s="20"/>
      <c r="B25" s="21"/>
      <c r="C25" s="22">
        <v>0</v>
      </c>
      <c r="D25" s="22">
        <v>0.05</v>
      </c>
      <c r="E25" s="22">
        <v>0.1</v>
      </c>
      <c r="F25" s="22">
        <v>0.15</v>
      </c>
    </row>
    <row r="26" spans="1:14" ht="31.9" customHeight="1">
      <c r="A26" s="210" t="s">
        <v>35</v>
      </c>
      <c r="B26" s="22">
        <v>0</v>
      </c>
      <c r="C26" s="204">
        <v>100</v>
      </c>
      <c r="D26" s="197">
        <v>110</v>
      </c>
      <c r="E26" s="50">
        <v>120</v>
      </c>
      <c r="F26" s="50">
        <v>130</v>
      </c>
      <c r="H26" t="s">
        <v>442</v>
      </c>
      <c r="N26" t="s">
        <v>444</v>
      </c>
    </row>
    <row r="27" spans="1:14" ht="31.9" customHeight="1" thickBot="1">
      <c r="A27" s="210"/>
      <c r="B27" s="22">
        <v>0.05</v>
      </c>
      <c r="C27" s="205">
        <v>95</v>
      </c>
      <c r="D27" s="50">
        <v>105</v>
      </c>
      <c r="E27" s="50">
        <v>115</v>
      </c>
      <c r="F27" s="50">
        <v>125</v>
      </c>
      <c r="H27" s="203" t="s">
        <v>78</v>
      </c>
      <c r="N27" t="s">
        <v>445</v>
      </c>
    </row>
    <row r="28" spans="1:14" ht="31.9" customHeight="1">
      <c r="A28" s="210"/>
      <c r="B28" s="22">
        <v>0.1</v>
      </c>
      <c r="C28" s="23">
        <v>90</v>
      </c>
      <c r="D28" s="50">
        <v>100</v>
      </c>
      <c r="E28" s="50">
        <v>110</v>
      </c>
      <c r="F28" s="50">
        <v>120</v>
      </c>
    </row>
    <row r="29" spans="1:14" ht="31.9" customHeight="1">
      <c r="A29" s="210"/>
      <c r="B29" s="52">
        <v>0.15</v>
      </c>
      <c r="C29" s="23">
        <v>85</v>
      </c>
      <c r="D29" s="50">
        <v>95</v>
      </c>
      <c r="E29" s="50">
        <v>105</v>
      </c>
      <c r="F29" s="50">
        <v>115</v>
      </c>
    </row>
    <row r="31" spans="1:14">
      <c r="B31" s="51" t="s">
        <v>36</v>
      </c>
    </row>
    <row r="32" spans="1:14">
      <c r="B32" s="51" t="s">
        <v>70</v>
      </c>
    </row>
    <row r="33" spans="2:2">
      <c r="B33" s="51" t="s">
        <v>71</v>
      </c>
    </row>
    <row r="34" spans="2:2">
      <c r="B34" s="51" t="s">
        <v>73</v>
      </c>
    </row>
    <row r="35" spans="2:2">
      <c r="B35" s="51" t="s">
        <v>75</v>
      </c>
    </row>
  </sheetData>
  <mergeCells count="4">
    <mergeCell ref="C8:F8"/>
    <mergeCell ref="A10:A13"/>
    <mergeCell ref="C24:F24"/>
    <mergeCell ref="A26:A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90FC-BD71-A443-88C5-F95BE135C65B}">
  <dimension ref="A1:P113"/>
  <sheetViews>
    <sheetView topLeftCell="D59" zoomScale="111" zoomScaleNormal="110" workbookViewId="0">
      <selection activeCell="C29" sqref="C29"/>
    </sheetView>
  </sheetViews>
  <sheetFormatPr defaultColWidth="11.25" defaultRowHeight="15.75"/>
  <cols>
    <col min="2" max="2" width="19" customWidth="1"/>
    <col min="3" max="4" width="14" customWidth="1"/>
    <col min="5" max="9" width="14.25" customWidth="1"/>
    <col min="10" max="10" width="12.25" customWidth="1"/>
    <col min="11" max="11" width="14.5" customWidth="1"/>
    <col min="13" max="13" width="20.25" customWidth="1"/>
    <col min="14" max="14" width="14.75" customWidth="1"/>
    <col min="15" max="15" width="13.5" customWidth="1"/>
    <col min="16" max="16" width="13.25" customWidth="1"/>
    <col min="17" max="17" width="12.25" customWidth="1"/>
    <col min="18" max="18" width="12.75" customWidth="1"/>
  </cols>
  <sheetData>
    <row r="1" spans="1:14" ht="18.75">
      <c r="A1" s="107" t="s">
        <v>212</v>
      </c>
      <c r="B1" s="125"/>
      <c r="C1" s="125"/>
      <c r="D1" s="125"/>
      <c r="E1" s="125"/>
      <c r="F1" s="125"/>
      <c r="G1" s="125"/>
      <c r="H1" s="126" t="s">
        <v>213</v>
      </c>
    </row>
    <row r="2" spans="1:14">
      <c r="A2" s="111" t="s">
        <v>214</v>
      </c>
      <c r="B2" s="125"/>
      <c r="C2" s="125"/>
      <c r="D2" s="125"/>
      <c r="E2" s="125"/>
      <c r="F2" s="125"/>
      <c r="G2" s="125"/>
      <c r="H2" s="129"/>
    </row>
    <row r="3" spans="1:14">
      <c r="A3" s="130" t="s">
        <v>215</v>
      </c>
      <c r="B3" s="125"/>
      <c r="C3" s="125"/>
      <c r="D3" s="125"/>
      <c r="E3" s="125"/>
      <c r="F3" s="125"/>
      <c r="G3" s="125"/>
      <c r="H3" s="125"/>
    </row>
    <row r="4" spans="1:14">
      <c r="A4" s="111" t="str">
        <f ca="1">"Sheet: "&amp;MID(CELL("filename",A1),FIND("]",CELL("filename",A1))+1,255)</f>
        <v>Sheet: Model</v>
      </c>
    </row>
    <row r="6" spans="1:14" ht="18.75">
      <c r="A6" s="40" t="str">
        <f>"Number of Formulas (total of "&amp;SUM(C7:C9)&amp;"):"</f>
        <v>Number of Formulas (total of 161):</v>
      </c>
    </row>
    <row r="7" spans="1:14" ht="18.75">
      <c r="A7" s="40"/>
      <c r="B7" s="11" t="s">
        <v>97</v>
      </c>
      <c r="C7">
        <f>COUNTIF(Scratch!P:V,1)</f>
        <v>161</v>
      </c>
    </row>
    <row r="8" spans="1:14" ht="18.75">
      <c r="A8" s="40"/>
      <c r="B8" s="11" t="s">
        <v>96</v>
      </c>
      <c r="C8">
        <f>COUNTIF(Scratch!P:V,-1)</f>
        <v>0</v>
      </c>
    </row>
    <row r="9" spans="1:14" ht="18.75">
      <c r="A9" s="40"/>
      <c r="B9" s="11" t="s">
        <v>98</v>
      </c>
      <c r="C9">
        <f>COUNTIF(Scratch!P:V,0)</f>
        <v>0</v>
      </c>
    </row>
    <row r="11" spans="1:14" ht="18.75">
      <c r="A11" s="40" t="s">
        <v>88</v>
      </c>
      <c r="N11" s="27"/>
    </row>
    <row r="12" spans="1:14" ht="47.25">
      <c r="C12" s="26" t="s">
        <v>39</v>
      </c>
      <c r="D12" s="26" t="s">
        <v>38</v>
      </c>
      <c r="E12" s="26" t="s">
        <v>40</v>
      </c>
      <c r="F12" s="26" t="s">
        <v>41</v>
      </c>
      <c r="G12" s="26" t="s">
        <v>7</v>
      </c>
      <c r="N12" s="27"/>
    </row>
    <row r="13" spans="1:14">
      <c r="B13" s="11" t="s">
        <v>43</v>
      </c>
      <c r="C13" s="56">
        <v>100</v>
      </c>
      <c r="D13" s="57">
        <v>100</v>
      </c>
      <c r="E13" s="57">
        <v>100</v>
      </c>
      <c r="F13" s="57">
        <v>100</v>
      </c>
      <c r="G13" s="58">
        <v>100</v>
      </c>
      <c r="N13" s="27"/>
    </row>
    <row r="14" spans="1:14">
      <c r="B14" s="11" t="s">
        <v>87</v>
      </c>
      <c r="C14" s="53"/>
      <c r="D14" s="54"/>
      <c r="E14" s="54">
        <v>44</v>
      </c>
      <c r="F14" s="54">
        <v>44</v>
      </c>
      <c r="G14" s="55">
        <v>85</v>
      </c>
      <c r="N14" s="27"/>
    </row>
    <row r="15" spans="1:14">
      <c r="B15" s="11" t="s">
        <v>86</v>
      </c>
      <c r="C15" s="80">
        <f>C13-C14</f>
        <v>100</v>
      </c>
      <c r="D15" s="80">
        <f t="shared" ref="D15:G15" si="0">D13-D14</f>
        <v>100</v>
      </c>
      <c r="E15" s="80">
        <f t="shared" si="0"/>
        <v>56</v>
      </c>
      <c r="F15" s="80">
        <f t="shared" si="0"/>
        <v>56</v>
      </c>
      <c r="G15" s="80">
        <f t="shared" si="0"/>
        <v>15</v>
      </c>
      <c r="N15" s="27"/>
    </row>
    <row r="16" spans="1:14">
      <c r="B16" s="11" t="s">
        <v>60</v>
      </c>
      <c r="C16" s="53">
        <f>30</f>
        <v>30</v>
      </c>
      <c r="D16" s="54">
        <f>C16</f>
        <v>30</v>
      </c>
      <c r="E16" s="54">
        <f>F16</f>
        <v>30</v>
      </c>
      <c r="F16" s="54">
        <f>C16</f>
        <v>30</v>
      </c>
      <c r="G16" s="55">
        <v>30</v>
      </c>
      <c r="N16" s="27"/>
    </row>
    <row r="17" spans="1:15">
      <c r="B17" s="11" t="s">
        <v>61</v>
      </c>
      <c r="C17" s="53">
        <v>1</v>
      </c>
      <c r="D17" s="54">
        <v>10</v>
      </c>
      <c r="E17" s="54">
        <v>1</v>
      </c>
      <c r="F17" s="54">
        <v>10</v>
      </c>
      <c r="G17" s="55"/>
      <c r="N17" s="27"/>
    </row>
    <row r="18" spans="1:15">
      <c r="B18" s="11" t="s">
        <v>62</v>
      </c>
      <c r="C18" s="53"/>
      <c r="D18" s="54">
        <v>2</v>
      </c>
      <c r="E18" s="54"/>
      <c r="F18" s="54">
        <v>1</v>
      </c>
      <c r="G18" s="55"/>
      <c r="N18" s="27"/>
    </row>
    <row r="19" spans="1:15">
      <c r="B19" s="11" t="s">
        <v>44</v>
      </c>
      <c r="C19" s="53"/>
      <c r="D19" s="54">
        <v>3</v>
      </c>
      <c r="E19" s="54"/>
      <c r="F19" s="54"/>
      <c r="G19" s="55"/>
      <c r="N19" s="27"/>
    </row>
    <row r="20" spans="1:15">
      <c r="B20" s="11" t="s">
        <v>82</v>
      </c>
      <c r="C20" s="80">
        <f>C16+C17+C18+C19</f>
        <v>31</v>
      </c>
      <c r="D20" s="80">
        <f t="shared" ref="D20:G20" si="1">D16+D17+D18+D19</f>
        <v>45</v>
      </c>
      <c r="E20" s="80">
        <f t="shared" si="1"/>
        <v>31</v>
      </c>
      <c r="F20" s="80">
        <f t="shared" si="1"/>
        <v>41</v>
      </c>
      <c r="G20" s="80">
        <f t="shared" si="1"/>
        <v>30</v>
      </c>
      <c r="N20" s="27"/>
    </row>
    <row r="21" spans="1:15">
      <c r="B21" s="11" t="s">
        <v>64</v>
      </c>
      <c r="C21" s="80">
        <f>C15-C20</f>
        <v>69</v>
      </c>
      <c r="D21" s="80">
        <f t="shared" ref="D21:G21" si="2">D15-D20</f>
        <v>55</v>
      </c>
      <c r="E21" s="80">
        <f t="shared" si="2"/>
        <v>25</v>
      </c>
      <c r="F21" s="80">
        <f t="shared" si="2"/>
        <v>15</v>
      </c>
      <c r="G21" s="80">
        <f t="shared" si="2"/>
        <v>-15</v>
      </c>
      <c r="N21" s="27"/>
    </row>
    <row r="22" spans="1:15">
      <c r="N22" s="27"/>
    </row>
    <row r="24" spans="1:15" ht="18.75">
      <c r="A24" s="40" t="s">
        <v>45</v>
      </c>
      <c r="D24" s="9" t="s">
        <v>56</v>
      </c>
      <c r="E24" s="9" t="s">
        <v>56</v>
      </c>
      <c r="F24" s="9" t="s">
        <v>42</v>
      </c>
      <c r="G24" s="9" t="s">
        <v>42</v>
      </c>
      <c r="H24" s="9" t="s">
        <v>42</v>
      </c>
      <c r="I24" s="9" t="s">
        <v>42</v>
      </c>
      <c r="J24" s="9" t="s">
        <v>42</v>
      </c>
      <c r="K24" s="9" t="s">
        <v>65</v>
      </c>
      <c r="L24" s="9"/>
    </row>
    <row r="25" spans="1:15">
      <c r="D25" s="9" t="s">
        <v>0</v>
      </c>
      <c r="E25" s="9" t="s">
        <v>1</v>
      </c>
      <c r="F25" s="9" t="s">
        <v>2</v>
      </c>
      <c r="G25" s="9" t="s">
        <v>3</v>
      </c>
      <c r="H25" s="9" t="s">
        <v>4</v>
      </c>
      <c r="I25" s="9" t="s">
        <v>5</v>
      </c>
      <c r="J25" s="9" t="s">
        <v>6</v>
      </c>
      <c r="K25" s="9" t="s">
        <v>31</v>
      </c>
    </row>
    <row r="26" spans="1:15">
      <c r="B26" s="11" t="s">
        <v>54</v>
      </c>
      <c r="D26" s="3">
        <v>0.05</v>
      </c>
      <c r="E26" s="3">
        <v>0.1</v>
      </c>
      <c r="F26" s="3">
        <v>0.2</v>
      </c>
      <c r="G26" s="3">
        <v>0.25</v>
      </c>
      <c r="H26" s="3">
        <v>0.25</v>
      </c>
      <c r="I26" s="3">
        <v>0.15</v>
      </c>
      <c r="J26" s="3"/>
    </row>
    <row r="27" spans="1:15">
      <c r="B27" s="11" t="s">
        <v>42</v>
      </c>
      <c r="C27" s="44">
        <f>SUMPRODUCT({1000,1000,1000,1000,1000,1000},D26:I26)</f>
        <v>1000</v>
      </c>
      <c r="D27" s="4">
        <f t="shared" ref="D27:J27" si="3">$C27*D$26</f>
        <v>50</v>
      </c>
      <c r="E27" s="4">
        <f t="shared" si="3"/>
        <v>100</v>
      </c>
      <c r="F27" s="4">
        <f t="shared" si="3"/>
        <v>200</v>
      </c>
      <c r="G27" s="4">
        <f t="shared" si="3"/>
        <v>250</v>
      </c>
      <c r="H27" s="4">
        <f t="shared" si="3"/>
        <v>250</v>
      </c>
      <c r="I27" s="4">
        <f t="shared" si="3"/>
        <v>150</v>
      </c>
      <c r="J27" s="4">
        <f t="shared" si="3"/>
        <v>0</v>
      </c>
      <c r="K27" s="68">
        <f t="shared" ref="K27:K28" si="4">SUM(D27:J27)</f>
        <v>1000</v>
      </c>
    </row>
    <row r="28" spans="1:15">
      <c r="B28" s="11" t="s">
        <v>59</v>
      </c>
      <c r="C28" s="45">
        <v>0.85</v>
      </c>
      <c r="D28" s="5">
        <f>D27*$C28</f>
        <v>42.5</v>
      </c>
      <c r="E28" s="5">
        <f t="shared" ref="E28:J28" si="5">E27*$C28</f>
        <v>85</v>
      </c>
      <c r="F28" s="5">
        <f t="shared" si="5"/>
        <v>170</v>
      </c>
      <c r="G28" s="5">
        <f t="shared" si="5"/>
        <v>212.5</v>
      </c>
      <c r="H28" s="5">
        <f t="shared" si="5"/>
        <v>212.5</v>
      </c>
      <c r="I28" s="5">
        <f t="shared" si="5"/>
        <v>127.5</v>
      </c>
      <c r="J28" s="5">
        <f t="shared" si="5"/>
        <v>0</v>
      </c>
      <c r="K28" s="68">
        <f t="shared" si="4"/>
        <v>850</v>
      </c>
      <c r="M28" s="7"/>
    </row>
    <row r="29" spans="1:15">
      <c r="K29" s="4"/>
      <c r="N29" s="7"/>
      <c r="O29" s="9" t="s">
        <v>9</v>
      </c>
    </row>
    <row r="30" spans="1:15">
      <c r="A30" s="6" t="s">
        <v>55</v>
      </c>
      <c r="K30" s="4"/>
      <c r="O30" s="9" t="s">
        <v>53</v>
      </c>
    </row>
    <row r="31" spans="1:15">
      <c r="B31" s="7"/>
      <c r="C31" s="19" t="s">
        <v>39</v>
      </c>
      <c r="D31" s="66">
        <f t="shared" ref="D31:I34" si="6">D$28*$O31</f>
        <v>6.375</v>
      </c>
      <c r="E31" s="66">
        <f t="shared" si="6"/>
        <v>12.75</v>
      </c>
      <c r="F31" s="60">
        <f t="shared" si="6"/>
        <v>25.5</v>
      </c>
      <c r="G31" s="60">
        <f t="shared" si="6"/>
        <v>31.875</v>
      </c>
      <c r="H31" s="60">
        <f t="shared" si="6"/>
        <v>31.875</v>
      </c>
      <c r="I31" s="60">
        <f t="shared" si="6"/>
        <v>19.125</v>
      </c>
      <c r="J31" s="30"/>
      <c r="K31" s="4">
        <f>SUM(D31:J31)</f>
        <v>127.5</v>
      </c>
      <c r="N31" s="19" t="s">
        <v>39</v>
      </c>
      <c r="O31" s="2">
        <v>0.15</v>
      </c>
    </row>
    <row r="32" spans="1:15">
      <c r="B32" s="7"/>
      <c r="C32" s="19" t="s">
        <v>38</v>
      </c>
      <c r="D32" s="66">
        <f t="shared" si="6"/>
        <v>8.5</v>
      </c>
      <c r="E32" s="66">
        <f t="shared" si="6"/>
        <v>17</v>
      </c>
      <c r="F32" s="60">
        <f t="shared" si="6"/>
        <v>34</v>
      </c>
      <c r="G32" s="60">
        <f t="shared" si="6"/>
        <v>42.5</v>
      </c>
      <c r="H32" s="60">
        <f t="shared" si="6"/>
        <v>42.5</v>
      </c>
      <c r="I32" s="60">
        <f t="shared" si="6"/>
        <v>25.5</v>
      </c>
      <c r="J32" s="30"/>
      <c r="K32" s="4">
        <f t="shared" ref="K32:K36" si="7">SUM(D32:J32)</f>
        <v>170</v>
      </c>
      <c r="N32" s="19" t="s">
        <v>38</v>
      </c>
      <c r="O32" s="2">
        <v>0.2</v>
      </c>
    </row>
    <row r="33" spans="1:16">
      <c r="B33" s="7"/>
      <c r="C33" s="19" t="s">
        <v>40</v>
      </c>
      <c r="D33" s="66">
        <f t="shared" si="6"/>
        <v>15.725</v>
      </c>
      <c r="E33" s="66">
        <f t="shared" si="6"/>
        <v>31.45</v>
      </c>
      <c r="F33" s="60">
        <f t="shared" si="6"/>
        <v>62.9</v>
      </c>
      <c r="G33" s="60">
        <f t="shared" si="6"/>
        <v>78.625</v>
      </c>
      <c r="H33" s="60">
        <f t="shared" si="6"/>
        <v>78.625</v>
      </c>
      <c r="I33" s="60">
        <f t="shared" si="6"/>
        <v>47.174999999999997</v>
      </c>
      <c r="J33" s="30"/>
      <c r="K33" s="4">
        <f t="shared" si="7"/>
        <v>314.5</v>
      </c>
      <c r="N33" s="19" t="s">
        <v>40</v>
      </c>
      <c r="O33" s="2">
        <v>0.37</v>
      </c>
    </row>
    <row r="34" spans="1:16">
      <c r="B34" s="7"/>
      <c r="C34" s="19" t="s">
        <v>41</v>
      </c>
      <c r="D34" s="66">
        <f t="shared" si="6"/>
        <v>11.9</v>
      </c>
      <c r="E34" s="66">
        <f t="shared" si="6"/>
        <v>23.8</v>
      </c>
      <c r="F34" s="60">
        <f t="shared" si="6"/>
        <v>47.6</v>
      </c>
      <c r="G34" s="60">
        <f t="shared" si="6"/>
        <v>59.500000000000007</v>
      </c>
      <c r="H34" s="60">
        <f t="shared" si="6"/>
        <v>59.500000000000007</v>
      </c>
      <c r="I34" s="60">
        <f t="shared" si="6"/>
        <v>35.700000000000003</v>
      </c>
      <c r="J34" s="30"/>
      <c r="K34" s="4">
        <f t="shared" si="7"/>
        <v>238</v>
      </c>
      <c r="N34" s="19" t="s">
        <v>41</v>
      </c>
      <c r="O34" s="2">
        <f>1-SUM(O31:O33)</f>
        <v>0.28000000000000003</v>
      </c>
    </row>
    <row r="35" spans="1:16">
      <c r="C35" s="19" t="s">
        <v>7</v>
      </c>
      <c r="D35" s="64"/>
      <c r="E35" s="64"/>
      <c r="F35" s="64"/>
      <c r="G35" s="64"/>
      <c r="H35" s="64"/>
      <c r="I35" s="64"/>
      <c r="J35" s="30"/>
      <c r="K35" s="4">
        <f t="shared" si="7"/>
        <v>0</v>
      </c>
    </row>
    <row r="36" spans="1:16">
      <c r="C36" s="11" t="s">
        <v>48</v>
      </c>
      <c r="D36" s="67">
        <f>SUM(D31:D34)</f>
        <v>42.5</v>
      </c>
      <c r="E36" s="67">
        <f t="shared" ref="E36:I36" si="8">SUM(E31:E34)</f>
        <v>85</v>
      </c>
      <c r="F36" s="67">
        <f t="shared" si="8"/>
        <v>170</v>
      </c>
      <c r="G36" s="67">
        <f t="shared" si="8"/>
        <v>212.5</v>
      </c>
      <c r="H36" s="67">
        <f t="shared" si="8"/>
        <v>212.5</v>
      </c>
      <c r="I36" s="67">
        <f t="shared" si="8"/>
        <v>127.5</v>
      </c>
      <c r="J36" s="43"/>
      <c r="K36" s="68">
        <f t="shared" si="7"/>
        <v>850</v>
      </c>
    </row>
    <row r="37" spans="1:16">
      <c r="C37" s="25"/>
      <c r="G37" t="s">
        <v>81</v>
      </c>
      <c r="J37" s="35"/>
      <c r="K37" s="4"/>
    </row>
    <row r="38" spans="1:16">
      <c r="A38" s="6" t="s">
        <v>79</v>
      </c>
      <c r="D38" s="5"/>
      <c r="E38" s="5"/>
      <c r="F38" s="5"/>
      <c r="G38" s="5"/>
      <c r="H38" s="5"/>
      <c r="I38" s="5"/>
      <c r="K38" s="4"/>
    </row>
    <row r="39" spans="1:16">
      <c r="B39" s="7"/>
      <c r="C39" s="19" t="s">
        <v>39</v>
      </c>
      <c r="D39" s="37">
        <v>0</v>
      </c>
      <c r="E39" s="37">
        <v>0</v>
      </c>
      <c r="F39" s="45">
        <v>0</v>
      </c>
      <c r="G39" s="45">
        <v>0</v>
      </c>
      <c r="H39" s="45">
        <v>0</v>
      </c>
      <c r="I39" s="45">
        <v>0</v>
      </c>
      <c r="J39" s="31"/>
      <c r="K39" s="4">
        <f>K86</f>
        <v>30249.93</v>
      </c>
      <c r="M39" s="11" t="s">
        <v>94</v>
      </c>
      <c r="N39" s="85" t="s">
        <v>89</v>
      </c>
      <c r="O39" s="11" t="s">
        <v>90</v>
      </c>
      <c r="P39" s="11" t="s">
        <v>93</v>
      </c>
    </row>
    <row r="40" spans="1:16">
      <c r="B40" s="7"/>
      <c r="C40" s="19" t="s">
        <v>38</v>
      </c>
      <c r="D40" s="37">
        <v>0</v>
      </c>
      <c r="E40" s="37">
        <v>0</v>
      </c>
      <c r="F40" s="45">
        <v>0</v>
      </c>
      <c r="G40" s="45">
        <v>0</v>
      </c>
      <c r="H40" s="45">
        <v>0</v>
      </c>
      <c r="I40" s="45">
        <v>0</v>
      </c>
      <c r="J40" s="31"/>
      <c r="M40" s="19" t="s">
        <v>91</v>
      </c>
      <c r="N40" s="3">
        <v>-0.4</v>
      </c>
      <c r="O40" s="3">
        <v>0</v>
      </c>
      <c r="P40" s="86">
        <f>IF(C28&lt;100%,N40,O40)</f>
        <v>-0.4</v>
      </c>
    </row>
    <row r="41" spans="1:16">
      <c r="B41" s="7"/>
      <c r="C41" s="19" t="s">
        <v>83</v>
      </c>
      <c r="D41" s="37">
        <v>0</v>
      </c>
      <c r="E41" s="37">
        <v>0</v>
      </c>
      <c r="F41" s="45">
        <v>0.2</v>
      </c>
      <c r="G41" s="45">
        <v>0.09</v>
      </c>
      <c r="H41" s="45">
        <v>0.2</v>
      </c>
      <c r="I41" s="45">
        <v>0.2</v>
      </c>
      <c r="J41" s="31"/>
      <c r="M41" s="19" t="s">
        <v>92</v>
      </c>
      <c r="N41" s="3">
        <v>0</v>
      </c>
      <c r="O41" s="3">
        <v>0.4</v>
      </c>
      <c r="P41" s="86">
        <f>IF(C28&lt;100%,0%,20%)</f>
        <v>0</v>
      </c>
    </row>
    <row r="42" spans="1:16">
      <c r="B42" s="7"/>
      <c r="C42" s="19" t="s">
        <v>41</v>
      </c>
      <c r="D42" s="37">
        <v>0</v>
      </c>
      <c r="E42" s="37">
        <v>0</v>
      </c>
      <c r="F42" s="45">
        <v>0.04</v>
      </c>
      <c r="G42" s="45">
        <v>0.17</v>
      </c>
      <c r="H42" s="45">
        <v>0.2</v>
      </c>
      <c r="I42" s="45">
        <f>IF($C$28&lt;100%,0%,IF($C$28&gt;100%,20%,0))</f>
        <v>0</v>
      </c>
      <c r="J42" s="31"/>
    </row>
    <row r="43" spans="1:16">
      <c r="C43" s="19" t="s">
        <v>7</v>
      </c>
      <c r="D43" s="31"/>
      <c r="E43" s="31"/>
      <c r="F43" s="31"/>
      <c r="G43" s="31"/>
      <c r="H43" s="31"/>
      <c r="I43" s="31"/>
      <c r="J43" s="31"/>
      <c r="K43" t="s">
        <v>80</v>
      </c>
    </row>
    <row r="44" spans="1:16">
      <c r="C44" s="25"/>
      <c r="D44" s="34"/>
      <c r="E44" s="34"/>
      <c r="F44" s="34"/>
      <c r="G44" s="34"/>
      <c r="H44" s="34"/>
      <c r="I44" s="34"/>
      <c r="J44" s="34"/>
      <c r="O44" s="19"/>
      <c r="P44" s="9" t="s">
        <v>95</v>
      </c>
    </row>
    <row r="45" spans="1:16">
      <c r="A45" s="8" t="s">
        <v>50</v>
      </c>
      <c r="O45" s="7"/>
      <c r="P45" s="9" t="s">
        <v>53</v>
      </c>
    </row>
    <row r="46" spans="1:16">
      <c r="B46" s="7"/>
      <c r="C46" s="19" t="s">
        <v>39</v>
      </c>
      <c r="D46" s="38">
        <v>1</v>
      </c>
      <c r="E46" s="38">
        <v>1</v>
      </c>
      <c r="F46" s="47">
        <f>1-$P$46*F$39</f>
        <v>1</v>
      </c>
      <c r="G46" s="47">
        <f t="shared" ref="G46:I46" si="9">1-$P$46*G$39</f>
        <v>1</v>
      </c>
      <c r="H46" s="47">
        <f t="shared" si="9"/>
        <v>1</v>
      </c>
      <c r="I46" s="47">
        <f t="shared" si="9"/>
        <v>1</v>
      </c>
      <c r="J46" s="30"/>
      <c r="O46" s="19" t="s">
        <v>39</v>
      </c>
      <c r="P46">
        <f>Elasticity!$C$8</f>
        <v>1.5</v>
      </c>
    </row>
    <row r="47" spans="1:16">
      <c r="B47" s="7"/>
      <c r="C47" s="19" t="s">
        <v>38</v>
      </c>
      <c r="D47" s="38">
        <v>1</v>
      </c>
      <c r="E47" s="38">
        <v>1</v>
      </c>
      <c r="F47" s="47">
        <f>1-$P$47*F$40-$P$50*IF(F42&gt;0,0,F42)</f>
        <v>1</v>
      </c>
      <c r="G47" s="47">
        <f t="shared" ref="G47:I47" si="10">1-$P$47*G$40-$P$50*IF(G42&gt;0,0,G42)</f>
        <v>1</v>
      </c>
      <c r="H47" s="47">
        <f t="shared" si="10"/>
        <v>1</v>
      </c>
      <c r="I47" s="47">
        <f t="shared" si="10"/>
        <v>1</v>
      </c>
      <c r="J47" s="30"/>
      <c r="O47" s="19" t="s">
        <v>38</v>
      </c>
      <c r="P47">
        <f>Elasticity!$C$9</f>
        <v>2</v>
      </c>
    </row>
    <row r="48" spans="1:16">
      <c r="B48" s="7"/>
      <c r="C48" s="19" t="s">
        <v>40</v>
      </c>
      <c r="D48" s="38">
        <v>1</v>
      </c>
      <c r="E48" s="38">
        <v>1</v>
      </c>
      <c r="F48" s="47">
        <f>1-F$41*$P$48</f>
        <v>0.7</v>
      </c>
      <c r="G48" s="47">
        <f t="shared" ref="G48:I48" si="11">1-G$41*$P$48</f>
        <v>0.86499999999999999</v>
      </c>
      <c r="H48" s="47">
        <f t="shared" si="11"/>
        <v>0.7</v>
      </c>
      <c r="I48" s="47">
        <f t="shared" si="11"/>
        <v>0.7</v>
      </c>
      <c r="J48" s="30"/>
      <c r="O48" s="19" t="s">
        <v>40</v>
      </c>
      <c r="P48">
        <f>Elasticity!$C$10</f>
        <v>1.5</v>
      </c>
    </row>
    <row r="49" spans="1:16">
      <c r="B49" s="7"/>
      <c r="C49" s="19" t="s">
        <v>41</v>
      </c>
      <c r="D49" s="38">
        <v>1</v>
      </c>
      <c r="E49" s="38">
        <v>1</v>
      </c>
      <c r="F49" s="47">
        <f>1-F42*$P$49-$P$50*IF(F$40&gt;0,0,F$40)</f>
        <v>0.92</v>
      </c>
      <c r="G49" s="47">
        <f t="shared" ref="G49:I49" si="12">1-G42*$P$49-$P$50*IF(G$40&gt;0,0,G$40)</f>
        <v>0.65999999999999992</v>
      </c>
      <c r="H49" s="47">
        <f t="shared" si="12"/>
        <v>0.6</v>
      </c>
      <c r="I49" s="47">
        <f t="shared" si="12"/>
        <v>1</v>
      </c>
      <c r="J49" s="30"/>
      <c r="O49" s="19" t="s">
        <v>41</v>
      </c>
      <c r="P49">
        <f>Elasticity!$C$11</f>
        <v>2</v>
      </c>
    </row>
    <row r="50" spans="1:16">
      <c r="B50" s="7"/>
      <c r="C50" s="19" t="s">
        <v>7</v>
      </c>
      <c r="D50" s="30"/>
      <c r="E50" s="30"/>
      <c r="F50" s="30"/>
      <c r="G50" s="30"/>
      <c r="H50" s="30"/>
      <c r="I50" s="30"/>
      <c r="J50" s="30"/>
      <c r="O50" s="19" t="str">
        <f>Elasticity!E15</f>
        <v>Company Website Cross Elasticity to Third-Party Website Discounts</v>
      </c>
      <c r="P50">
        <f>Elasticity!$F$15</f>
        <v>1</v>
      </c>
    </row>
    <row r="51" spans="1:16">
      <c r="B51" s="7"/>
      <c r="C51" s="25"/>
      <c r="O51" s="19" t="str">
        <f>Elasticity!E16</f>
        <v>Third-Party Website Cross Elasticity to Company Website Discounts</v>
      </c>
      <c r="P51">
        <f>Elasticity!$F$15</f>
        <v>1</v>
      </c>
    </row>
    <row r="52" spans="1:16">
      <c r="A52" s="8" t="s">
        <v>57</v>
      </c>
      <c r="N52" s="19"/>
    </row>
    <row r="53" spans="1:16">
      <c r="B53" s="7"/>
      <c r="C53" s="19" t="s">
        <v>39</v>
      </c>
      <c r="D53" s="63">
        <f>D31*D46</f>
        <v>6.375</v>
      </c>
      <c r="E53" s="63">
        <f t="shared" ref="E53:I53" si="13">E31*E46</f>
        <v>12.75</v>
      </c>
      <c r="F53" s="63">
        <f t="shared" si="13"/>
        <v>25.5</v>
      </c>
      <c r="G53" s="63">
        <f t="shared" si="13"/>
        <v>31.875</v>
      </c>
      <c r="H53" s="63">
        <f t="shared" si="13"/>
        <v>31.875</v>
      </c>
      <c r="I53" s="63">
        <f t="shared" si="13"/>
        <v>19.125</v>
      </c>
      <c r="J53" s="30"/>
      <c r="K53" s="4">
        <f t="shared" ref="K53:K58" si="14">SUM(D53:J53)</f>
        <v>127.5</v>
      </c>
      <c r="N53" s="19"/>
    </row>
    <row r="54" spans="1:16">
      <c r="B54" s="7"/>
      <c r="C54" s="19" t="s">
        <v>38</v>
      </c>
      <c r="D54" s="63">
        <f>D32*D47</f>
        <v>8.5</v>
      </c>
      <c r="E54" s="63">
        <f t="shared" ref="E54:I54" si="15">E32*E47</f>
        <v>17</v>
      </c>
      <c r="F54" s="63">
        <f t="shared" si="15"/>
        <v>34</v>
      </c>
      <c r="G54" s="63">
        <f t="shared" si="15"/>
        <v>42.5</v>
      </c>
      <c r="H54" s="63">
        <f t="shared" si="15"/>
        <v>42.5</v>
      </c>
      <c r="I54" s="63">
        <f t="shared" si="15"/>
        <v>25.5</v>
      </c>
      <c r="J54" s="30"/>
      <c r="K54" s="4">
        <f t="shared" si="14"/>
        <v>170</v>
      </c>
      <c r="N54" s="19"/>
    </row>
    <row r="55" spans="1:16">
      <c r="B55" s="7"/>
      <c r="C55" s="19" t="s">
        <v>84</v>
      </c>
      <c r="D55" s="63">
        <f>D27*$O$33</f>
        <v>18.5</v>
      </c>
      <c r="E55" s="63">
        <f t="shared" ref="E55:I55" si="16">E27*$O$33</f>
        <v>37</v>
      </c>
      <c r="F55" s="63">
        <f t="shared" si="16"/>
        <v>74</v>
      </c>
      <c r="G55" s="63">
        <f t="shared" si="16"/>
        <v>92.5</v>
      </c>
      <c r="H55" s="63">
        <f t="shared" si="16"/>
        <v>92.5</v>
      </c>
      <c r="I55" s="63">
        <f t="shared" si="16"/>
        <v>55.5</v>
      </c>
      <c r="J55" s="30"/>
      <c r="K55" s="4">
        <f t="shared" si="14"/>
        <v>370</v>
      </c>
      <c r="N55" s="19"/>
    </row>
    <row r="56" spans="1:16">
      <c r="B56" s="7"/>
      <c r="C56" s="19" t="s">
        <v>83</v>
      </c>
      <c r="D56" s="63">
        <f>D33*D48-D55</f>
        <v>-2.7750000000000004</v>
      </c>
      <c r="E56" s="63">
        <f t="shared" ref="E56:I56" si="17">E33*E48-E55</f>
        <v>-5.5500000000000007</v>
      </c>
      <c r="F56" s="63">
        <f t="shared" si="17"/>
        <v>-29.970000000000006</v>
      </c>
      <c r="G56" s="63">
        <f t="shared" si="17"/>
        <v>-24.489374999999995</v>
      </c>
      <c r="H56" s="63">
        <f t="shared" si="17"/>
        <v>-37.462500000000006</v>
      </c>
      <c r="I56" s="63">
        <f t="shared" si="17"/>
        <v>-22.477500000000006</v>
      </c>
      <c r="J56" s="30"/>
      <c r="K56" s="4">
        <f t="shared" si="14"/>
        <v>-122.72437500000002</v>
      </c>
      <c r="N56" s="19"/>
    </row>
    <row r="57" spans="1:16">
      <c r="B57" s="7"/>
      <c r="C57" s="19" t="s">
        <v>41</v>
      </c>
      <c r="D57" s="63">
        <f>D34*D49</f>
        <v>11.9</v>
      </c>
      <c r="E57" s="63">
        <f t="shared" ref="E57:I57" si="18">E34*E49</f>
        <v>23.8</v>
      </c>
      <c r="F57" s="63">
        <f t="shared" si="18"/>
        <v>43.792000000000002</v>
      </c>
      <c r="G57" s="63">
        <f t="shared" si="18"/>
        <v>39.270000000000003</v>
      </c>
      <c r="H57" s="63">
        <f t="shared" si="18"/>
        <v>35.700000000000003</v>
      </c>
      <c r="I57" s="63">
        <f t="shared" si="18"/>
        <v>35.700000000000003</v>
      </c>
      <c r="J57" s="30"/>
      <c r="K57" s="4">
        <f t="shared" si="14"/>
        <v>190.16199999999998</v>
      </c>
      <c r="N57" s="19"/>
    </row>
    <row r="58" spans="1:16">
      <c r="B58" s="7"/>
      <c r="C58" s="19" t="s">
        <v>7</v>
      </c>
      <c r="D58" s="30"/>
      <c r="E58" s="30"/>
      <c r="F58" s="30"/>
      <c r="G58" s="30"/>
      <c r="H58" s="30"/>
      <c r="I58" s="30"/>
      <c r="J58" s="30"/>
      <c r="K58" s="4">
        <f t="shared" si="14"/>
        <v>0</v>
      </c>
      <c r="N58" s="19"/>
    </row>
    <row r="59" spans="1:16">
      <c r="B59" s="7"/>
      <c r="C59" s="42"/>
      <c r="K59" s="68">
        <f>SUM(K53:K58)</f>
        <v>734.93762500000003</v>
      </c>
      <c r="N59" s="19"/>
    </row>
    <row r="60" spans="1:16">
      <c r="A60" s="8" t="s">
        <v>51</v>
      </c>
      <c r="D60" s="4"/>
      <c r="E60" s="4"/>
      <c r="F60" s="4"/>
      <c r="G60" s="4"/>
      <c r="H60" s="4"/>
      <c r="I60" s="4"/>
      <c r="J60" s="4"/>
      <c r="K60" s="4"/>
      <c r="M60" s="33"/>
    </row>
    <row r="61" spans="1:16">
      <c r="B61" s="7"/>
      <c r="C61" s="19" t="s">
        <v>39</v>
      </c>
      <c r="D61" s="62">
        <f>D31</f>
        <v>6.375</v>
      </c>
      <c r="E61" s="62">
        <f>E31</f>
        <v>12.75</v>
      </c>
      <c r="F61" s="63">
        <f>MIN(F53,E68-F53)</f>
        <v>25.5</v>
      </c>
      <c r="G61" s="63">
        <f t="shared" ref="G61:I61" si="19">MIN(G53,F68-G60)</f>
        <v>31.875</v>
      </c>
      <c r="H61" s="63">
        <f t="shared" si="19"/>
        <v>31.875</v>
      </c>
      <c r="I61" s="63">
        <f t="shared" si="19"/>
        <v>19.125</v>
      </c>
      <c r="J61" s="64"/>
      <c r="K61" s="4">
        <f>SUM(D61:J61)</f>
        <v>127.5</v>
      </c>
      <c r="N61" s="36"/>
    </row>
    <row r="62" spans="1:16">
      <c r="B62" s="7"/>
      <c r="C62" s="19" t="s">
        <v>38</v>
      </c>
      <c r="D62" s="62">
        <f>D32</f>
        <v>8.5</v>
      </c>
      <c r="E62" s="62">
        <f>E32</f>
        <v>17</v>
      </c>
      <c r="F62" s="63">
        <f>MIN(F54,E69-F61)</f>
        <v>34</v>
      </c>
      <c r="G62" s="63">
        <f t="shared" ref="G62:I62" si="20">MIN(G54,F69-G61)</f>
        <v>42.5</v>
      </c>
      <c r="H62" s="63">
        <f t="shared" si="20"/>
        <v>42.5</v>
      </c>
      <c r="I62" s="63">
        <f t="shared" si="20"/>
        <v>25.5</v>
      </c>
      <c r="J62" s="64"/>
      <c r="K62" s="4">
        <f t="shared" ref="K62:K66" si="21">SUM(D62:J62)</f>
        <v>170</v>
      </c>
      <c r="N62" s="36"/>
    </row>
    <row r="63" spans="1:16">
      <c r="B63" s="7"/>
      <c r="C63" s="19" t="s">
        <v>84</v>
      </c>
      <c r="D63" s="83">
        <f>SUM(D55:I55)</f>
        <v>370</v>
      </c>
      <c r="E63" s="73"/>
      <c r="F63" s="74"/>
      <c r="G63" s="74"/>
      <c r="H63" s="74"/>
      <c r="I63" s="74"/>
      <c r="J63" s="64"/>
      <c r="K63" s="4">
        <f t="shared" si="21"/>
        <v>370</v>
      </c>
      <c r="N63" s="36"/>
    </row>
    <row r="64" spans="1:16">
      <c r="B64" s="7"/>
      <c r="C64" s="19" t="s">
        <v>83</v>
      </c>
      <c r="D64" s="83">
        <f>IF($C$28&gt;100%,D56,0)</f>
        <v>0</v>
      </c>
      <c r="E64" s="83">
        <f t="shared" ref="E64:I64" si="22">IF($C$28&gt;100%,E56,0)</f>
        <v>0</v>
      </c>
      <c r="F64" s="63">
        <f t="shared" si="22"/>
        <v>0</v>
      </c>
      <c r="G64" s="63">
        <f t="shared" si="22"/>
        <v>0</v>
      </c>
      <c r="H64" s="63">
        <f t="shared" si="22"/>
        <v>0</v>
      </c>
      <c r="I64" s="63">
        <f t="shared" si="22"/>
        <v>0</v>
      </c>
      <c r="J64" s="64"/>
      <c r="K64" s="4">
        <f t="shared" si="21"/>
        <v>0</v>
      </c>
      <c r="N64" s="36"/>
    </row>
    <row r="65" spans="1:16">
      <c r="B65" s="7"/>
      <c r="C65" s="19" t="s">
        <v>41</v>
      </c>
      <c r="D65" s="62">
        <f>D34</f>
        <v>11.9</v>
      </c>
      <c r="E65" s="62">
        <f>E34</f>
        <v>23.8</v>
      </c>
      <c r="F65" s="63">
        <f>MIN(F57,E69-F61)</f>
        <v>43.792000000000002</v>
      </c>
      <c r="G65" s="63">
        <f t="shared" ref="G65:I65" si="23">MIN(G57,F69-G61)</f>
        <v>39.270000000000003</v>
      </c>
      <c r="H65" s="63">
        <f t="shared" si="23"/>
        <v>35.700000000000003</v>
      </c>
      <c r="I65" s="63">
        <f t="shared" si="23"/>
        <v>35.700000000000003</v>
      </c>
      <c r="J65" s="64"/>
      <c r="K65" s="4">
        <f t="shared" si="21"/>
        <v>190.16199999999998</v>
      </c>
      <c r="N65" s="36"/>
    </row>
    <row r="66" spans="1:16">
      <c r="B66" s="7"/>
      <c r="C66" s="19" t="s">
        <v>7</v>
      </c>
      <c r="D66" s="64"/>
      <c r="E66" s="64"/>
      <c r="F66" s="64"/>
      <c r="G66" s="64"/>
      <c r="H66" s="64"/>
      <c r="I66" s="64"/>
      <c r="J66" s="74"/>
      <c r="K66" s="4">
        <f t="shared" si="21"/>
        <v>0</v>
      </c>
    </row>
    <row r="67" spans="1:16">
      <c r="C67" s="11" t="s">
        <v>46</v>
      </c>
      <c r="D67" s="84">
        <f>SUM(D61:D66)</f>
        <v>396.77499999999998</v>
      </c>
      <c r="E67" s="84">
        <f t="shared" ref="E67:K67" si="24">SUM(E61:E66)</f>
        <v>53.55</v>
      </c>
      <c r="F67" s="84">
        <f t="shared" ref="F67" si="25">SUM(F61:F66)</f>
        <v>103.292</v>
      </c>
      <c r="G67" s="84">
        <f t="shared" si="24"/>
        <v>113.64500000000001</v>
      </c>
      <c r="H67" s="84">
        <f t="shared" ref="H67:I67" si="26">SUM(H61:H66)</f>
        <v>110.075</v>
      </c>
      <c r="I67" s="84">
        <f t="shared" si="26"/>
        <v>80.325000000000003</v>
      </c>
      <c r="J67" s="84">
        <f t="shared" si="24"/>
        <v>0</v>
      </c>
      <c r="K67" s="68">
        <f t="shared" si="24"/>
        <v>857.66200000000003</v>
      </c>
    </row>
    <row r="68" spans="1:16">
      <c r="C68" s="11" t="s">
        <v>47</v>
      </c>
      <c r="D68" s="84">
        <f>D67</f>
        <v>396.77499999999998</v>
      </c>
      <c r="E68" s="65">
        <f>E67+D68</f>
        <v>450.32499999999999</v>
      </c>
      <c r="F68" s="65">
        <f t="shared" ref="F68:J68" si="27">F67+E68</f>
        <v>553.61699999999996</v>
      </c>
      <c r="G68" s="65">
        <f t="shared" si="27"/>
        <v>667.26199999999994</v>
      </c>
      <c r="H68" s="65">
        <f t="shared" si="27"/>
        <v>777.33699999999999</v>
      </c>
      <c r="I68" s="65">
        <f t="shared" si="27"/>
        <v>857.66200000000003</v>
      </c>
      <c r="J68" s="65">
        <f t="shared" si="27"/>
        <v>857.66200000000003</v>
      </c>
      <c r="K68" s="1"/>
    </row>
    <row r="69" spans="1:16">
      <c r="C69" s="11" t="s">
        <v>58</v>
      </c>
      <c r="D69" s="65">
        <f>$C$27-D68</f>
        <v>603.22500000000002</v>
      </c>
      <c r="E69" s="65">
        <f t="shared" ref="E69:J69" si="28">$C$27-E68</f>
        <v>549.67499999999995</v>
      </c>
      <c r="F69" s="65">
        <f t="shared" si="28"/>
        <v>446.38300000000004</v>
      </c>
      <c r="G69" s="65">
        <f t="shared" si="28"/>
        <v>332.73800000000006</v>
      </c>
      <c r="H69" s="65">
        <f t="shared" si="28"/>
        <v>222.66300000000001</v>
      </c>
      <c r="I69" s="65">
        <f t="shared" si="28"/>
        <v>142.33799999999997</v>
      </c>
      <c r="J69" s="65">
        <f t="shared" si="28"/>
        <v>142.33799999999997</v>
      </c>
      <c r="K69" s="1"/>
    </row>
    <row r="70" spans="1:16">
      <c r="O70" s="9"/>
    </row>
    <row r="71" spans="1:16">
      <c r="A71" s="8" t="s">
        <v>99</v>
      </c>
      <c r="D71" s="4"/>
      <c r="O71" s="9"/>
      <c r="P71" s="6"/>
    </row>
    <row r="72" spans="1:16">
      <c r="B72" s="7"/>
      <c r="C72" s="19" t="s">
        <v>39</v>
      </c>
      <c r="D72" s="82">
        <f>$C$21</f>
        <v>69</v>
      </c>
      <c r="E72" s="82">
        <f>$C$21</f>
        <v>69</v>
      </c>
      <c r="F72" s="69">
        <f t="shared" ref="F72:I72" si="29">$C$21</f>
        <v>69</v>
      </c>
      <c r="G72" s="69">
        <f t="shared" si="29"/>
        <v>69</v>
      </c>
      <c r="H72" s="69">
        <f t="shared" si="29"/>
        <v>69</v>
      </c>
      <c r="I72" s="69">
        <f t="shared" si="29"/>
        <v>69</v>
      </c>
      <c r="J72" s="70"/>
      <c r="K72" s="29"/>
      <c r="N72" s="79"/>
      <c r="O72" s="59"/>
    </row>
    <row r="73" spans="1:16">
      <c r="B73" s="7"/>
      <c r="C73" s="19" t="s">
        <v>38</v>
      </c>
      <c r="D73" s="82">
        <f>$D$21</f>
        <v>55</v>
      </c>
      <c r="E73" s="82">
        <f>$D$21</f>
        <v>55</v>
      </c>
      <c r="F73" s="69">
        <f t="shared" ref="F73:I73" si="30">$D$21</f>
        <v>55</v>
      </c>
      <c r="G73" s="69">
        <f t="shared" si="30"/>
        <v>55</v>
      </c>
      <c r="H73" s="69">
        <f t="shared" si="30"/>
        <v>55</v>
      </c>
      <c r="I73" s="69">
        <f t="shared" si="30"/>
        <v>55</v>
      </c>
      <c r="J73" s="70"/>
      <c r="K73" s="29"/>
      <c r="N73" s="19"/>
      <c r="O73" s="59"/>
    </row>
    <row r="74" spans="1:16">
      <c r="B74" s="7"/>
      <c r="C74" s="19" t="s">
        <v>84</v>
      </c>
      <c r="D74" s="82">
        <f>E21</f>
        <v>25</v>
      </c>
      <c r="E74" s="78"/>
      <c r="F74" s="78"/>
      <c r="G74" s="78"/>
      <c r="H74" s="78"/>
      <c r="I74" s="78"/>
      <c r="J74" s="70"/>
      <c r="K74" s="29"/>
      <c r="N74" s="19"/>
      <c r="O74" s="59"/>
    </row>
    <row r="75" spans="1:16">
      <c r="B75" s="7"/>
      <c r="C75" s="19" t="s">
        <v>83</v>
      </c>
      <c r="D75" s="82">
        <f>$E$21</f>
        <v>25</v>
      </c>
      <c r="E75" s="82">
        <f>$E$21</f>
        <v>25</v>
      </c>
      <c r="F75" s="69">
        <f t="shared" ref="F75:I75" si="31">$E$21</f>
        <v>25</v>
      </c>
      <c r="G75" s="69">
        <f t="shared" si="31"/>
        <v>25</v>
      </c>
      <c r="H75" s="69">
        <f t="shared" si="31"/>
        <v>25</v>
      </c>
      <c r="I75" s="69">
        <f t="shared" si="31"/>
        <v>25</v>
      </c>
      <c r="J75" s="70"/>
      <c r="K75" s="29"/>
      <c r="N75" s="19"/>
      <c r="O75" s="59"/>
    </row>
    <row r="76" spans="1:16">
      <c r="B76" s="7"/>
      <c r="C76" s="19" t="s">
        <v>41</v>
      </c>
      <c r="D76" s="82">
        <f>F$21</f>
        <v>15</v>
      </c>
      <c r="E76" s="82">
        <f>$F$21</f>
        <v>15</v>
      </c>
      <c r="F76" s="69">
        <f t="shared" ref="F76:I76" si="32">$F$21</f>
        <v>15</v>
      </c>
      <c r="G76" s="69">
        <f t="shared" si="32"/>
        <v>15</v>
      </c>
      <c r="H76" s="69">
        <f t="shared" si="32"/>
        <v>15</v>
      </c>
      <c r="I76" s="69">
        <f t="shared" si="32"/>
        <v>15</v>
      </c>
      <c r="J76" s="70"/>
      <c r="K76" s="29"/>
      <c r="N76" s="19"/>
      <c r="O76" s="59"/>
    </row>
    <row r="77" spans="1:16">
      <c r="B77" s="7"/>
      <c r="C77" s="19" t="s">
        <v>7</v>
      </c>
      <c r="D77" s="70"/>
      <c r="E77" s="70"/>
      <c r="F77" s="70"/>
      <c r="G77" s="70"/>
      <c r="H77" s="70"/>
      <c r="I77" s="70"/>
      <c r="J77" s="69">
        <f>G21</f>
        <v>-15</v>
      </c>
      <c r="K77" s="29"/>
      <c r="N77" s="19"/>
      <c r="O77" s="59"/>
    </row>
    <row r="78" spans="1:16">
      <c r="D78" s="71"/>
      <c r="E78" s="71"/>
      <c r="F78" s="71"/>
      <c r="G78" s="71"/>
      <c r="H78" s="71"/>
      <c r="I78" s="71"/>
      <c r="J78" s="71"/>
    </row>
    <row r="79" spans="1:16">
      <c r="A79" s="8" t="s">
        <v>52</v>
      </c>
      <c r="D79" s="71"/>
      <c r="E79" s="71"/>
      <c r="F79" s="71"/>
      <c r="G79" s="71"/>
      <c r="H79" s="71"/>
      <c r="I79" s="71"/>
      <c r="J79" s="71"/>
    </row>
    <row r="80" spans="1:16">
      <c r="B80" s="7"/>
      <c r="C80" s="19" t="s">
        <v>39</v>
      </c>
      <c r="D80" s="69">
        <f>D72*D61</f>
        <v>439.875</v>
      </c>
      <c r="E80" s="69">
        <f t="shared" ref="E80:I80" si="33">E72*E61</f>
        <v>879.75</v>
      </c>
      <c r="F80" s="69">
        <f t="shared" si="33"/>
        <v>1759.5</v>
      </c>
      <c r="G80" s="69">
        <f t="shared" si="33"/>
        <v>2199.375</v>
      </c>
      <c r="H80" s="69">
        <f t="shared" si="33"/>
        <v>2199.375</v>
      </c>
      <c r="I80" s="69">
        <f t="shared" si="33"/>
        <v>1319.625</v>
      </c>
      <c r="J80" s="70"/>
      <c r="K80" s="29">
        <f t="shared" ref="K80:K85" si="34">SUM(D80:J80)</f>
        <v>8797.5</v>
      </c>
    </row>
    <row r="81" spans="2:11">
      <c r="B81" s="7"/>
      <c r="C81" s="19" t="s">
        <v>38</v>
      </c>
      <c r="D81" s="69">
        <f>D73*D62</f>
        <v>467.5</v>
      </c>
      <c r="E81" s="69">
        <f t="shared" ref="E81:I81" si="35">E73*E62</f>
        <v>935</v>
      </c>
      <c r="F81" s="69">
        <f t="shared" si="35"/>
        <v>1870</v>
      </c>
      <c r="G81" s="69">
        <f t="shared" si="35"/>
        <v>2337.5</v>
      </c>
      <c r="H81" s="69">
        <f t="shared" si="35"/>
        <v>2337.5</v>
      </c>
      <c r="I81" s="69">
        <f t="shared" si="35"/>
        <v>1402.5</v>
      </c>
      <c r="J81" s="70"/>
      <c r="K81" s="29">
        <f t="shared" si="34"/>
        <v>9350</v>
      </c>
    </row>
    <row r="82" spans="2:11">
      <c r="B82" s="7"/>
      <c r="C82" s="19" t="s">
        <v>84</v>
      </c>
      <c r="D82" s="69">
        <f>D74*D63</f>
        <v>9250</v>
      </c>
      <c r="E82" s="78"/>
      <c r="F82" s="78"/>
      <c r="G82" s="78"/>
      <c r="H82" s="78"/>
      <c r="I82" s="78"/>
      <c r="J82" s="70"/>
      <c r="K82" s="29">
        <f t="shared" si="34"/>
        <v>9250</v>
      </c>
    </row>
    <row r="83" spans="2:11">
      <c r="B83" s="7"/>
      <c r="C83" s="19" t="s">
        <v>83</v>
      </c>
      <c r="D83" s="69">
        <f>D75*D64</f>
        <v>0</v>
      </c>
      <c r="E83" s="69">
        <f t="shared" ref="E83:I83" si="36">E75*E64</f>
        <v>0</v>
      </c>
      <c r="F83" s="69">
        <f t="shared" si="36"/>
        <v>0</v>
      </c>
      <c r="G83" s="69">
        <f t="shared" si="36"/>
        <v>0</v>
      </c>
      <c r="H83" s="69">
        <f t="shared" si="36"/>
        <v>0</v>
      </c>
      <c r="I83" s="69">
        <f t="shared" si="36"/>
        <v>0</v>
      </c>
      <c r="J83" s="70"/>
      <c r="K83" s="29"/>
    </row>
    <row r="84" spans="2:11">
      <c r="B84" s="7"/>
      <c r="C84" s="19" t="s">
        <v>41</v>
      </c>
      <c r="D84" s="69">
        <f>D76*D65</f>
        <v>178.5</v>
      </c>
      <c r="E84" s="69">
        <f t="shared" ref="E84:I84" si="37">E76*E65</f>
        <v>357</v>
      </c>
      <c r="F84" s="69">
        <f t="shared" si="37"/>
        <v>656.88</v>
      </c>
      <c r="G84" s="69">
        <f t="shared" si="37"/>
        <v>589.05000000000007</v>
      </c>
      <c r="H84" s="69">
        <f t="shared" si="37"/>
        <v>535.5</v>
      </c>
      <c r="I84" s="69">
        <f t="shared" si="37"/>
        <v>535.5</v>
      </c>
      <c r="J84" s="70"/>
      <c r="K84" s="29">
        <f t="shared" si="34"/>
        <v>2852.4300000000003</v>
      </c>
    </row>
    <row r="85" spans="2:11">
      <c r="B85" s="7"/>
      <c r="C85" s="19" t="s">
        <v>7</v>
      </c>
      <c r="D85" s="70"/>
      <c r="E85" s="70"/>
      <c r="F85" s="70"/>
      <c r="G85" s="70"/>
      <c r="H85" s="70"/>
      <c r="I85" s="70"/>
      <c r="J85" s="69">
        <v>0</v>
      </c>
      <c r="K85" s="29">
        <f t="shared" si="34"/>
        <v>0</v>
      </c>
    </row>
    <row r="86" spans="2:11">
      <c r="C86" s="11" t="s">
        <v>49</v>
      </c>
      <c r="D86" s="72">
        <f>SUM(D80:D84)</f>
        <v>10335.875</v>
      </c>
      <c r="E86" s="72">
        <f t="shared" ref="E86:I86" si="38">SUM(E80:E84)</f>
        <v>2171.75</v>
      </c>
      <c r="F86" s="72">
        <f t="shared" si="38"/>
        <v>4286.38</v>
      </c>
      <c r="G86" s="72">
        <f t="shared" si="38"/>
        <v>5125.9250000000002</v>
      </c>
      <c r="H86" s="72">
        <f t="shared" si="38"/>
        <v>5072.375</v>
      </c>
      <c r="I86" s="72">
        <f t="shared" si="38"/>
        <v>3257.625</v>
      </c>
      <c r="J86" s="72">
        <v>0</v>
      </c>
      <c r="K86" s="39">
        <f>SUM(D86:J86)</f>
        <v>30249.93</v>
      </c>
    </row>
    <row r="87" spans="2:11">
      <c r="D87" s="29"/>
      <c r="E87" s="29"/>
      <c r="F87" s="29"/>
      <c r="G87" s="29"/>
      <c r="H87" s="29"/>
      <c r="I87" s="29"/>
      <c r="J87" s="29"/>
      <c r="K87" s="29"/>
    </row>
    <row r="88" spans="2:11">
      <c r="D88" s="29"/>
      <c r="E88" s="29"/>
      <c r="F88" s="29"/>
      <c r="G88" s="29"/>
      <c r="H88" s="29"/>
      <c r="I88" s="29"/>
      <c r="J88" s="29"/>
      <c r="K88" s="29"/>
    </row>
    <row r="89" spans="2:11">
      <c r="D89" s="29"/>
      <c r="E89" s="29"/>
      <c r="F89" s="29"/>
      <c r="G89" s="29"/>
      <c r="H89" s="29"/>
      <c r="I89" s="29"/>
      <c r="J89" s="29"/>
      <c r="K89" s="29"/>
    </row>
    <row r="90" spans="2:11">
      <c r="D90" s="29"/>
      <c r="E90" s="29"/>
      <c r="F90" s="29"/>
      <c r="G90" s="29"/>
      <c r="H90" s="29"/>
      <c r="I90" s="29"/>
      <c r="J90" s="29"/>
      <c r="K90" s="29"/>
    </row>
    <row r="92" spans="2:11">
      <c r="B92" s="88"/>
    </row>
    <row r="96" spans="2:11">
      <c r="B96" s="88"/>
    </row>
    <row r="98" spans="2:2">
      <c r="B98" s="88"/>
    </row>
    <row r="109" spans="2:2">
      <c r="B109" s="89"/>
    </row>
    <row r="110" spans="2:2">
      <c r="B110" s="89"/>
    </row>
    <row r="111" spans="2:2">
      <c r="B111" s="89"/>
    </row>
    <row r="112" spans="2:2">
      <c r="B112" s="89"/>
    </row>
    <row r="113" spans="2:2">
      <c r="B113" s="87"/>
    </row>
  </sheetData>
  <sheetProtection algorithmName="SHA-512" hashValue="e1+TIdka/1Gu4I2+JsXKHKMwME+e4i5i7W0Aylu+d7Z7335qQdgnqyIS4chD8rly7k+A3TjnOAMZSEnaOUuvVQ==" saltValue="FxfcURwiFxfndQIaaJu8xg==" spinCount="100000" sheet="1" objects="1" scenarios="1"/>
  <dataValidations disablePrompts="1" count="1">
    <dataValidation type="decimal" allowBlank="1" showInputMessage="1" showErrorMessage="1" sqref="F39:I42" xr:uid="{C983AE60-EF12-F94E-A38A-88CDB53C34FD}">
      <formula1>$P$40</formula1>
      <formula2>$P$41</formula2>
    </dataValidation>
  </dataValidations>
  <pageMargins left="0.7" right="0.7" top="0.75" bottom="0.75" header="0.3" footer="0.3"/>
  <pageSetup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0" id="{69FF418C-722F-0548-93AF-F38FB664A025}">
            <xm:f>AND(C15&lt;&gt;Scratch!C15,C15&lt;&gt;"")</xm:f>
            <x14:dxf>
              <font>
                <color rgb="FF9C0006"/>
              </font>
              <fill>
                <patternFill>
                  <bgColor rgb="FFFFC7CE"/>
                </patternFill>
              </fill>
            </x14:dxf>
          </x14:cfRule>
          <xm:sqref>C15:G15 C20:G21 F31:I34 F46:I49 D53:I57 F61:I62 D63 D64:I64 F65:I65 D67:J69 D72:I76 J77 D80:I84 J85 D86:J86</xm:sqref>
        </x14:conditionalFormatting>
        <x14:conditionalFormatting xmlns:xm="http://schemas.microsoft.com/office/excel/2006/main">
          <x14:cfRule type="expression" priority="47" id="{69FF418C-722F-0548-93AF-F38FB664A025}">
            <xm:f>D69&lt;&gt;Scratch!#REF!</xm:f>
            <x14:dxf>
              <font>
                <color rgb="FF9C0006"/>
              </font>
              <fill>
                <patternFill>
                  <bgColor rgb="FFFFC7CE"/>
                </patternFill>
              </fill>
            </x14:dxf>
          </x14:cfRule>
          <xm:sqref>D69:J69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26A26-928E-FD4C-BAEE-AAD4E2915BE3}">
  <dimension ref="A11:W92"/>
  <sheetViews>
    <sheetView topLeftCell="A9" workbookViewId="0">
      <selection activeCell="K36" sqref="K36"/>
    </sheetView>
  </sheetViews>
  <sheetFormatPr defaultColWidth="11.25" defaultRowHeight="15.75"/>
  <cols>
    <col min="3" max="3" width="19.75" customWidth="1"/>
    <col min="4" max="6" width="11.5" bestFit="1" customWidth="1"/>
    <col min="7" max="7" width="12.25" bestFit="1" customWidth="1"/>
    <col min="8" max="9" width="11.5" bestFit="1" customWidth="1"/>
    <col min="10" max="10" width="12.25" bestFit="1" customWidth="1"/>
    <col min="11" max="11" width="13.5" customWidth="1"/>
    <col min="13" max="13" width="17.25" customWidth="1"/>
    <col min="14" max="14" width="15.75" customWidth="1"/>
    <col min="15" max="15" width="13.5" customWidth="1"/>
    <col min="16" max="16" width="13.25" customWidth="1"/>
    <col min="17" max="17" width="12.25" customWidth="1"/>
    <col min="18" max="18" width="12.75" customWidth="1"/>
  </cols>
  <sheetData>
    <row r="11" spans="1:20" ht="18.75">
      <c r="A11" s="40"/>
      <c r="N11" s="27"/>
    </row>
    <row r="12" spans="1:20">
      <c r="C12" s="26"/>
      <c r="D12" s="26"/>
      <c r="E12" s="26"/>
      <c r="F12" s="26"/>
      <c r="G12" s="26"/>
      <c r="N12" s="27"/>
    </row>
    <row r="13" spans="1:20">
      <c r="B13" s="11"/>
      <c r="C13" s="56">
        <f>Model!C13</f>
        <v>100</v>
      </c>
      <c r="D13" s="57">
        <f>Model!D13</f>
        <v>100</v>
      </c>
      <c r="E13" s="57">
        <f>Model!E13</f>
        <v>100</v>
      </c>
      <c r="F13" s="57">
        <f>Model!F13</f>
        <v>100</v>
      </c>
      <c r="G13" s="58">
        <f>Model!G13</f>
        <v>100</v>
      </c>
      <c r="N13" s="27"/>
    </row>
    <row r="14" spans="1:20">
      <c r="B14" s="11"/>
      <c r="C14" s="53">
        <f>Model!C14</f>
        <v>0</v>
      </c>
      <c r="D14" s="54">
        <f>Model!D14</f>
        <v>0</v>
      </c>
      <c r="E14" s="54">
        <f>Model!E14</f>
        <v>44</v>
      </c>
      <c r="F14" s="54">
        <f>Model!F14</f>
        <v>44</v>
      </c>
      <c r="G14" s="55">
        <f>Model!G14</f>
        <v>85</v>
      </c>
      <c r="N14" s="27"/>
    </row>
    <row r="15" spans="1:20">
      <c r="B15" s="11"/>
      <c r="C15" s="80">
        <f>C13-C14</f>
        <v>100</v>
      </c>
      <c r="D15" s="80">
        <f t="shared" ref="D15:G15" si="0">D13-D14</f>
        <v>100</v>
      </c>
      <c r="E15" s="80">
        <f t="shared" si="0"/>
        <v>56</v>
      </c>
      <c r="F15" s="80">
        <f t="shared" si="0"/>
        <v>56</v>
      </c>
      <c r="G15" s="80">
        <f t="shared" si="0"/>
        <v>15</v>
      </c>
      <c r="N15" s="27"/>
      <c r="P15">
        <f>IF(Model!C15="",-1,IF(C15=Model!C15,1,0))</f>
        <v>1</v>
      </c>
      <c r="Q15">
        <f>IF(Model!D15="",-1,IF(D15=Model!D15,1,0))</f>
        <v>1</v>
      </c>
      <c r="R15">
        <f>IF(Model!E15="",-1,IF(E15=Model!E15,1,0))</f>
        <v>1</v>
      </c>
      <c r="S15">
        <f>IF(Model!F15="",-1,IF(F15=Model!F15,1,0))</f>
        <v>1</v>
      </c>
      <c r="T15">
        <f>IF(Model!G15="",-1,IF(G15=Model!G15,1,0))</f>
        <v>1</v>
      </c>
    </row>
    <row r="16" spans="1:20">
      <c r="B16" s="11"/>
      <c r="C16" s="53">
        <f>Model!C16</f>
        <v>30</v>
      </c>
      <c r="D16" s="54">
        <f>Model!D16</f>
        <v>30</v>
      </c>
      <c r="E16" s="54">
        <f>Model!E16</f>
        <v>30</v>
      </c>
      <c r="F16" s="54">
        <f>Model!F16</f>
        <v>30</v>
      </c>
      <c r="G16" s="55">
        <f>Model!G16</f>
        <v>30</v>
      </c>
      <c r="N16" s="27"/>
    </row>
    <row r="17" spans="1:22">
      <c r="B17" s="11"/>
      <c r="C17" s="53">
        <f>Model!C17</f>
        <v>1</v>
      </c>
      <c r="D17" s="54">
        <f>Model!D17</f>
        <v>10</v>
      </c>
      <c r="E17" s="54">
        <f>Model!E17</f>
        <v>1</v>
      </c>
      <c r="F17" s="54">
        <f>Model!F17</f>
        <v>10</v>
      </c>
      <c r="G17" s="55">
        <f>Model!G17</f>
        <v>0</v>
      </c>
      <c r="N17" s="27"/>
    </row>
    <row r="18" spans="1:22">
      <c r="B18" s="11"/>
      <c r="C18" s="53">
        <f>Model!C18</f>
        <v>0</v>
      </c>
      <c r="D18" s="54">
        <f>Model!D18</f>
        <v>2</v>
      </c>
      <c r="E18" s="54">
        <f>Model!E18</f>
        <v>0</v>
      </c>
      <c r="F18" s="54">
        <f>Model!F18</f>
        <v>1</v>
      </c>
      <c r="G18" s="55">
        <f>Model!G18</f>
        <v>0</v>
      </c>
      <c r="N18" s="27"/>
    </row>
    <row r="19" spans="1:22">
      <c r="B19" s="11"/>
      <c r="C19" s="53">
        <f>Model!C19</f>
        <v>0</v>
      </c>
      <c r="D19" s="54">
        <f>Model!D19</f>
        <v>3</v>
      </c>
      <c r="E19" s="54">
        <f>Model!E19</f>
        <v>0</v>
      </c>
      <c r="F19" s="54">
        <f>Model!F19</f>
        <v>0</v>
      </c>
      <c r="G19" s="55">
        <f>Model!G19</f>
        <v>0</v>
      </c>
      <c r="N19" s="27"/>
    </row>
    <row r="20" spans="1:22">
      <c r="B20" s="11"/>
      <c r="C20" s="80">
        <f>SUM(Model!C16:C19)</f>
        <v>31</v>
      </c>
      <c r="D20" s="80">
        <f>SUM(Model!D16:D19)</f>
        <v>45</v>
      </c>
      <c r="E20" s="80">
        <f>SUM(Model!E16:E19)</f>
        <v>31</v>
      </c>
      <c r="F20" s="80">
        <f>SUM(Model!F16:F19)</f>
        <v>41</v>
      </c>
      <c r="G20" s="80">
        <f>SUM(Model!G16:G19)</f>
        <v>30</v>
      </c>
      <c r="N20" s="27"/>
      <c r="P20">
        <f>IF(Model!C20="",-1,IF(C20=Model!C20,1,0))</f>
        <v>1</v>
      </c>
      <c r="Q20">
        <f>IF(Model!D20="",-1,IF(D20=Model!D20,1,0))</f>
        <v>1</v>
      </c>
      <c r="R20">
        <f>IF(Model!E20="",-1,IF(E20=Model!E20,1,0))</f>
        <v>1</v>
      </c>
      <c r="S20">
        <f>IF(Model!F20="",-1,IF(F20=Model!F20,1,0))</f>
        <v>1</v>
      </c>
      <c r="T20">
        <f>IF(Model!G20="",-1,IF(G20=Model!G20,1,0))</f>
        <v>1</v>
      </c>
    </row>
    <row r="21" spans="1:22">
      <c r="C21" s="80">
        <f>Model!C15-Model!C20</f>
        <v>69</v>
      </c>
      <c r="D21" s="80">
        <f>Model!D15-Model!D20</f>
        <v>55</v>
      </c>
      <c r="E21" s="80">
        <f>Model!E15-Model!E20</f>
        <v>25</v>
      </c>
      <c r="F21" s="80">
        <f>Model!F15-Model!F20</f>
        <v>15</v>
      </c>
      <c r="G21" s="80">
        <f>Model!G15-Model!G20</f>
        <v>-15</v>
      </c>
      <c r="N21" s="27"/>
      <c r="P21">
        <f>IF(Model!C21="",-1,IF(C21=Model!C21,1,0))</f>
        <v>1</v>
      </c>
      <c r="Q21">
        <f>IF(Model!D21="",-1,IF(D21=Model!D21,1,0))</f>
        <v>1</v>
      </c>
      <c r="R21">
        <f>IF(Model!E21="",-1,IF(E21=Model!E21,1,0))</f>
        <v>1</v>
      </c>
      <c r="S21">
        <f>IF(Model!F21="",-1,IF(F21=Model!F21,1,0))</f>
        <v>1</v>
      </c>
      <c r="T21">
        <f>IF(Model!G21="",-1,IF(G21=Model!G21,1,0))</f>
        <v>1</v>
      </c>
    </row>
    <row r="22" spans="1:22">
      <c r="N22" s="27"/>
    </row>
    <row r="23" spans="1:22">
      <c r="N23" s="27"/>
    </row>
    <row r="24" spans="1:22" ht="18.75">
      <c r="A24" s="40" t="s">
        <v>45</v>
      </c>
      <c r="D24" s="9" t="s">
        <v>56</v>
      </c>
      <c r="E24" s="9" t="s">
        <v>56</v>
      </c>
      <c r="F24" s="9" t="s">
        <v>42</v>
      </c>
      <c r="G24" s="9" t="s">
        <v>42</v>
      </c>
      <c r="H24" s="9" t="s">
        <v>42</v>
      </c>
      <c r="I24" s="9" t="s">
        <v>42</v>
      </c>
      <c r="J24" s="9" t="s">
        <v>42</v>
      </c>
      <c r="K24" s="9" t="s">
        <v>65</v>
      </c>
      <c r="L24" s="9"/>
      <c r="M24" s="9"/>
      <c r="N24" s="27"/>
    </row>
    <row r="25" spans="1:22">
      <c r="D25" s="9" t="s">
        <v>0</v>
      </c>
      <c r="E25" s="9" t="s">
        <v>1</v>
      </c>
      <c r="F25" s="9" t="s">
        <v>2</v>
      </c>
      <c r="G25" s="9" t="s">
        <v>3</v>
      </c>
      <c r="H25" s="9" t="s">
        <v>4</v>
      </c>
      <c r="I25" s="9" t="s">
        <v>5</v>
      </c>
      <c r="J25" s="9" t="s">
        <v>6</v>
      </c>
      <c r="K25" s="9" t="s">
        <v>31</v>
      </c>
    </row>
    <row r="26" spans="1:22">
      <c r="B26" s="11" t="s">
        <v>54</v>
      </c>
      <c r="D26" s="3">
        <v>0.05</v>
      </c>
      <c r="E26" s="3">
        <v>0.1</v>
      </c>
      <c r="F26" s="3">
        <v>0.25</v>
      </c>
      <c r="G26" s="3">
        <v>0.25</v>
      </c>
      <c r="H26" s="3">
        <v>0.2</v>
      </c>
      <c r="I26" s="3">
        <v>0.15</v>
      </c>
      <c r="J26" s="3"/>
    </row>
    <row r="27" spans="1:22">
      <c r="B27" s="11" t="s">
        <v>42</v>
      </c>
      <c r="C27" s="44">
        <f>Model!C27</f>
        <v>1000</v>
      </c>
      <c r="D27" s="4">
        <f t="shared" ref="D27:J27" si="1">$C27*D$26</f>
        <v>50</v>
      </c>
      <c r="E27" s="4">
        <f t="shared" si="1"/>
        <v>100</v>
      </c>
      <c r="F27" s="4">
        <f t="shared" si="1"/>
        <v>250</v>
      </c>
      <c r="G27" s="4">
        <f t="shared" si="1"/>
        <v>250</v>
      </c>
      <c r="H27" s="4">
        <f t="shared" si="1"/>
        <v>200</v>
      </c>
      <c r="I27" s="4">
        <f t="shared" si="1"/>
        <v>150</v>
      </c>
      <c r="J27" s="4">
        <f t="shared" si="1"/>
        <v>0</v>
      </c>
      <c r="K27" s="14">
        <f t="shared" ref="K27:K28" si="2">SUM(D27:J27)</f>
        <v>1000</v>
      </c>
    </row>
    <row r="28" spans="1:22">
      <c r="B28" s="11" t="s">
        <v>59</v>
      </c>
      <c r="C28" s="45">
        <f>Model!C28</f>
        <v>0.85</v>
      </c>
      <c r="D28" s="5">
        <f>D27*$C28</f>
        <v>42.5</v>
      </c>
      <c r="E28" s="5">
        <f t="shared" ref="E28:J28" si="3">E27*$C28</f>
        <v>85</v>
      </c>
      <c r="F28" s="5">
        <f t="shared" si="3"/>
        <v>212.5</v>
      </c>
      <c r="G28" s="5">
        <f t="shared" si="3"/>
        <v>212.5</v>
      </c>
      <c r="H28" s="5">
        <f t="shared" si="3"/>
        <v>170</v>
      </c>
      <c r="I28" s="5">
        <f t="shared" si="3"/>
        <v>127.5</v>
      </c>
      <c r="J28" s="5">
        <f t="shared" si="3"/>
        <v>0</v>
      </c>
      <c r="K28" s="14">
        <f t="shared" si="2"/>
        <v>850</v>
      </c>
      <c r="M28" s="7"/>
    </row>
    <row r="29" spans="1:22">
      <c r="N29" s="7"/>
      <c r="O29" s="9" t="s">
        <v>9</v>
      </c>
    </row>
    <row r="30" spans="1:22">
      <c r="A30" s="6" t="s">
        <v>55</v>
      </c>
      <c r="O30" s="9" t="s">
        <v>53</v>
      </c>
    </row>
    <row r="31" spans="1:22">
      <c r="B31" s="7"/>
      <c r="C31" s="19" t="s">
        <v>39</v>
      </c>
      <c r="D31" s="41">
        <f t="shared" ref="D31:E34" si="4">D$28*$O31</f>
        <v>2.9750000000000001</v>
      </c>
      <c r="E31" s="41">
        <f t="shared" si="4"/>
        <v>5.95</v>
      </c>
      <c r="F31" s="46">
        <f>Model!F$28*Model!$O31</f>
        <v>25.5</v>
      </c>
      <c r="G31" s="46">
        <f>Model!G$28*Model!$O31</f>
        <v>31.875</v>
      </c>
      <c r="H31" s="46">
        <f>Model!H$28*Model!$O31</f>
        <v>31.875</v>
      </c>
      <c r="I31" s="46">
        <f>Model!I$28*Model!$O31</f>
        <v>19.125</v>
      </c>
      <c r="J31" s="30"/>
      <c r="K31" s="28">
        <f>SUM(D31:J31)</f>
        <v>117.3</v>
      </c>
      <c r="N31" s="19" t="s">
        <v>39</v>
      </c>
      <c r="O31" s="2">
        <v>7.0000000000000007E-2</v>
      </c>
      <c r="S31">
        <f>IF(Model!F31="",-1,IF(F31=Model!F31,1,0))</f>
        <v>1</v>
      </c>
      <c r="T31">
        <f>IF(Model!G31="",-1,IF(G31=Model!G31,1,0))</f>
        <v>1</v>
      </c>
      <c r="U31">
        <f>IF(Model!H31="",-1,IF(H31=Model!H31,1,0))</f>
        <v>1</v>
      </c>
      <c r="V31">
        <f>IF(Model!I31="",-1,IF(I31=Model!I31,1,0))</f>
        <v>1</v>
      </c>
    </row>
    <row r="32" spans="1:22">
      <c r="B32" s="7"/>
      <c r="C32" s="19" t="s">
        <v>38</v>
      </c>
      <c r="D32" s="41">
        <f t="shared" si="4"/>
        <v>4.25</v>
      </c>
      <c r="E32" s="41">
        <f t="shared" si="4"/>
        <v>8.5</v>
      </c>
      <c r="F32" s="46">
        <f>Model!F$28*Model!$O32</f>
        <v>34</v>
      </c>
      <c r="G32" s="46">
        <f>Model!G$28*Model!$O32</f>
        <v>42.5</v>
      </c>
      <c r="H32" s="46">
        <f>Model!H$28*Model!$O32</f>
        <v>42.5</v>
      </c>
      <c r="I32" s="46">
        <f>Model!I$28*Model!$O32</f>
        <v>25.5</v>
      </c>
      <c r="J32" s="30"/>
      <c r="K32" s="28">
        <f t="shared" ref="K32:K36" si="5">SUM(D32:J32)</f>
        <v>157.25</v>
      </c>
      <c r="N32" s="19" t="s">
        <v>38</v>
      </c>
      <c r="O32" s="2">
        <v>0.1</v>
      </c>
      <c r="S32">
        <f>IF(Model!F32="",-1,IF(F32=Model!F32,1,0))</f>
        <v>1</v>
      </c>
      <c r="T32">
        <f>IF(Model!G32="",-1,IF(G32=Model!G32,1,0))</f>
        <v>1</v>
      </c>
      <c r="U32">
        <f>IF(Model!H32="",-1,IF(H32=Model!H32,1,0))</f>
        <v>1</v>
      </c>
      <c r="V32">
        <f>IF(Model!I32="",-1,IF(I32=Model!I32,1,0))</f>
        <v>1</v>
      </c>
    </row>
    <row r="33" spans="1:22">
      <c r="B33" s="7"/>
      <c r="C33" s="19" t="s">
        <v>40</v>
      </c>
      <c r="D33" s="41">
        <f t="shared" si="4"/>
        <v>23.8</v>
      </c>
      <c r="E33" s="41">
        <f t="shared" si="4"/>
        <v>47.6</v>
      </c>
      <c r="F33" s="46">
        <f>Model!F$28*Model!$O33</f>
        <v>62.9</v>
      </c>
      <c r="G33" s="46">
        <f>Model!G$28*Model!$O33</f>
        <v>78.625</v>
      </c>
      <c r="H33" s="46">
        <f>Model!H$28*Model!$O33</f>
        <v>78.625</v>
      </c>
      <c r="I33" s="46">
        <f>Model!I$28*Model!$O33</f>
        <v>47.174999999999997</v>
      </c>
      <c r="J33" s="30"/>
      <c r="K33" s="28">
        <f t="shared" si="5"/>
        <v>338.72500000000002</v>
      </c>
      <c r="N33" s="19" t="s">
        <v>40</v>
      </c>
      <c r="O33" s="2">
        <v>0.56000000000000005</v>
      </c>
      <c r="S33">
        <f>IF(Model!F33="",-1,IF(F33=Model!F33,1,0))</f>
        <v>1</v>
      </c>
      <c r="T33">
        <f>IF(Model!G33="",-1,IF(G33=Model!G33,1,0))</f>
        <v>1</v>
      </c>
      <c r="U33">
        <f>IF(Model!H33="",-1,IF(H33=Model!H33,1,0))</f>
        <v>1</v>
      </c>
      <c r="V33">
        <f>IF(Model!I33="",-1,IF(I33=Model!I33,1,0))</f>
        <v>1</v>
      </c>
    </row>
    <row r="34" spans="1:22">
      <c r="B34" s="7"/>
      <c r="C34" s="19" t="s">
        <v>41</v>
      </c>
      <c r="D34" s="41">
        <f t="shared" si="4"/>
        <v>11.475000000000001</v>
      </c>
      <c r="E34" s="41">
        <f t="shared" si="4"/>
        <v>22.950000000000003</v>
      </c>
      <c r="F34" s="46">
        <f>Model!F$28*Model!$O34</f>
        <v>47.6</v>
      </c>
      <c r="G34" s="46">
        <f>Model!G$28*Model!$O34</f>
        <v>59.500000000000007</v>
      </c>
      <c r="H34" s="46">
        <f>Model!H$28*Model!$O34</f>
        <v>59.500000000000007</v>
      </c>
      <c r="I34" s="46">
        <f>Model!I$28*Model!$O34</f>
        <v>35.700000000000003</v>
      </c>
      <c r="J34" s="30"/>
      <c r="K34" s="28">
        <f t="shared" si="5"/>
        <v>236.72500000000002</v>
      </c>
      <c r="N34" s="19" t="s">
        <v>41</v>
      </c>
      <c r="O34" s="2">
        <v>0.27</v>
      </c>
      <c r="S34">
        <f>IF(Model!F34="",-1,IF(F34=Model!F34,1,0))</f>
        <v>1</v>
      </c>
      <c r="T34">
        <f>IF(Model!G34="",-1,IF(G34=Model!G34,1,0))</f>
        <v>1</v>
      </c>
      <c r="U34">
        <f>IF(Model!H34="",-1,IF(H34=Model!H34,1,0))</f>
        <v>1</v>
      </c>
      <c r="V34">
        <f>IF(Model!I34="",-1,IF(I34=Model!I34,1,0))</f>
        <v>1</v>
      </c>
    </row>
    <row r="35" spans="1:22">
      <c r="C35" s="25" t="s">
        <v>7</v>
      </c>
      <c r="D35" s="30"/>
      <c r="E35" s="30"/>
      <c r="F35" s="30"/>
      <c r="G35" s="30"/>
      <c r="H35" s="30"/>
      <c r="I35" s="30"/>
      <c r="J35" s="30"/>
      <c r="K35" s="28">
        <f t="shared" si="5"/>
        <v>0</v>
      </c>
    </row>
    <row r="36" spans="1:22">
      <c r="C36" s="11" t="s">
        <v>48</v>
      </c>
      <c r="D36" s="43">
        <f>SUM(D31:D34)</f>
        <v>42.5</v>
      </c>
      <c r="E36" s="43">
        <f t="shared" ref="E36:I36" si="6">SUM(E31:E34)</f>
        <v>85</v>
      </c>
      <c r="F36" s="43">
        <f t="shared" si="6"/>
        <v>170</v>
      </c>
      <c r="G36" s="43">
        <f t="shared" si="6"/>
        <v>212.5</v>
      </c>
      <c r="H36" s="43">
        <f t="shared" si="6"/>
        <v>212.5</v>
      </c>
      <c r="I36" s="43">
        <f t="shared" si="6"/>
        <v>127.5</v>
      </c>
      <c r="J36" s="43"/>
      <c r="K36" s="14">
        <f t="shared" si="5"/>
        <v>850</v>
      </c>
    </row>
    <row r="37" spans="1:22">
      <c r="C37" s="25"/>
      <c r="J37" s="35"/>
      <c r="K37" s="28"/>
    </row>
    <row r="38" spans="1:22">
      <c r="A38" s="6"/>
      <c r="D38" s="5"/>
      <c r="E38" s="5"/>
      <c r="F38" s="5"/>
      <c r="G38" s="5"/>
      <c r="H38" s="5"/>
      <c r="I38" s="5"/>
    </row>
    <row r="39" spans="1:22">
      <c r="B39" s="7"/>
      <c r="C39" s="19"/>
      <c r="D39" s="34"/>
      <c r="E39" s="34"/>
      <c r="F39" s="61"/>
      <c r="G39" s="61"/>
      <c r="H39" s="61"/>
      <c r="I39" s="61"/>
      <c r="J39" s="34"/>
      <c r="K39" s="54"/>
    </row>
    <row r="40" spans="1:22">
      <c r="B40" s="7"/>
      <c r="C40" s="19"/>
      <c r="D40" s="34"/>
      <c r="E40" s="34"/>
      <c r="F40" s="61"/>
      <c r="G40" s="61"/>
      <c r="H40" s="61"/>
      <c r="I40" s="61"/>
      <c r="J40" s="34"/>
    </row>
    <row r="41" spans="1:22">
      <c r="B41" s="7"/>
      <c r="C41" s="19"/>
      <c r="D41" s="34"/>
      <c r="E41" s="34"/>
      <c r="F41" s="61"/>
      <c r="G41" s="61"/>
      <c r="H41" s="61"/>
      <c r="I41" s="61"/>
      <c r="J41" s="34"/>
    </row>
    <row r="42" spans="1:22">
      <c r="B42" s="7"/>
      <c r="C42" s="19"/>
      <c r="D42" s="34"/>
      <c r="E42" s="34"/>
      <c r="F42" s="61"/>
      <c r="G42" s="61"/>
      <c r="H42" s="61"/>
      <c r="I42" s="61"/>
      <c r="J42" s="34"/>
    </row>
    <row r="43" spans="1:22">
      <c r="C43" s="25"/>
      <c r="D43" s="34"/>
      <c r="E43" s="34"/>
      <c r="F43" s="34"/>
      <c r="G43" s="34"/>
      <c r="H43" s="34"/>
      <c r="I43" s="34"/>
      <c r="J43" s="34"/>
    </row>
    <row r="44" spans="1:22">
      <c r="C44" s="25"/>
      <c r="D44" s="34"/>
      <c r="E44" s="34"/>
      <c r="F44" s="34"/>
      <c r="G44" s="34"/>
      <c r="H44" s="34"/>
      <c r="I44" s="34"/>
      <c r="J44" s="34"/>
      <c r="N44" s="19"/>
      <c r="O44" s="9" t="s">
        <v>63</v>
      </c>
    </row>
    <row r="45" spans="1:22">
      <c r="A45" s="8" t="s">
        <v>50</v>
      </c>
      <c r="N45" s="7"/>
      <c r="O45" s="9" t="s">
        <v>53</v>
      </c>
    </row>
    <row r="46" spans="1:22">
      <c r="B46" s="7"/>
      <c r="C46" s="19" t="s">
        <v>39</v>
      </c>
      <c r="D46" s="38">
        <v>1</v>
      </c>
      <c r="E46" s="38">
        <v>1</v>
      </c>
      <c r="F46" s="47">
        <f>1-Model!F39*Model!$P46</f>
        <v>1</v>
      </c>
      <c r="G46" s="47">
        <f>1-Model!G39*Model!$P46</f>
        <v>1</v>
      </c>
      <c r="H46" s="47">
        <f>1-Model!H39*Model!$P46</f>
        <v>1</v>
      </c>
      <c r="I46" s="47">
        <f>1-Model!I39*Model!$P46</f>
        <v>1</v>
      </c>
      <c r="J46" s="30"/>
      <c r="N46" s="19" t="s">
        <v>39</v>
      </c>
      <c r="O46">
        <f>Elasticity!$C$8</f>
        <v>1.5</v>
      </c>
      <c r="S46">
        <f>IF(Model!F46="",-1,IF(F46=Model!F46,1,0))</f>
        <v>1</v>
      </c>
      <c r="T46">
        <f>IF(Model!G46="",-1,IF(G46=Model!G46,1,0))</f>
        <v>1</v>
      </c>
      <c r="U46">
        <f>IF(Model!H46="",-1,IF(H46=Model!H46,1,0))</f>
        <v>1</v>
      </c>
      <c r="V46">
        <f>IF(Model!I46="",-1,IF(I46=Model!I46,1,0))</f>
        <v>1</v>
      </c>
    </row>
    <row r="47" spans="1:22">
      <c r="B47" s="7"/>
      <c r="C47" s="19" t="s">
        <v>38</v>
      </c>
      <c r="D47" s="38">
        <v>1</v>
      </c>
      <c r="E47" s="38">
        <v>1</v>
      </c>
      <c r="F47" s="47">
        <f>1-Model!F40*Model!$P47-Model!$P50*IF(Model!F42&gt;0,0,Model!F42)</f>
        <v>1</v>
      </c>
      <c r="G47" s="47">
        <f>1-Model!G40*Model!$P47-Model!$P50*IF(Model!G42&gt;0,0,Model!G42)</f>
        <v>1</v>
      </c>
      <c r="H47" s="47">
        <f>1-Model!H40*Model!$P47-Model!$P50*IF(Model!H42&gt;0,0,Model!H42)</f>
        <v>1</v>
      </c>
      <c r="I47" s="47">
        <f>1-Model!I40*Model!$P47-Model!$P50*IF(Model!I42&gt;0,0,Model!I42)</f>
        <v>1</v>
      </c>
      <c r="J47" s="30"/>
      <c r="N47" s="19" t="s">
        <v>38</v>
      </c>
      <c r="O47">
        <f>Elasticity!$C$9</f>
        <v>2</v>
      </c>
      <c r="S47">
        <f>IF(Model!F47="",-1,IF(F47=Model!F47,1,0))</f>
        <v>1</v>
      </c>
      <c r="T47">
        <f>IF(Model!G47="",-1,IF(G47=Model!G47,1,0))</f>
        <v>1</v>
      </c>
      <c r="U47">
        <f>IF(Model!H47="",-1,IF(H47=Model!H47,1,0))</f>
        <v>1</v>
      </c>
      <c r="V47">
        <f>IF(Model!I47="",-1,IF(I47=Model!I47,1,0))</f>
        <v>1</v>
      </c>
    </row>
    <row r="48" spans="1:22">
      <c r="B48" s="7"/>
      <c r="C48" s="19" t="s">
        <v>40</v>
      </c>
      <c r="D48" s="38">
        <v>1</v>
      </c>
      <c r="E48" s="38">
        <v>1</v>
      </c>
      <c r="F48" s="47">
        <f>1-Model!F41*Model!$P48</f>
        <v>0.7</v>
      </c>
      <c r="G48" s="47">
        <f>1-Model!G41*Model!$P48</f>
        <v>0.86499999999999999</v>
      </c>
      <c r="H48" s="47">
        <f>1-Model!H41*Model!$P48</f>
        <v>0.7</v>
      </c>
      <c r="I48" s="47">
        <f>1-Model!I41*Model!$P48</f>
        <v>0.7</v>
      </c>
      <c r="J48" s="30"/>
      <c r="N48" s="19" t="s">
        <v>40</v>
      </c>
      <c r="O48">
        <f>Elasticity!$C$10</f>
        <v>1.5</v>
      </c>
      <c r="S48">
        <f>IF(Model!F48="",-1,IF(F48=Model!F48,1,0))</f>
        <v>1</v>
      </c>
      <c r="T48">
        <f>IF(Model!G48="",-1,IF(G48=Model!G48,1,0))</f>
        <v>1</v>
      </c>
      <c r="U48">
        <f>IF(Model!H48="",-1,IF(H48=Model!H48,1,0))</f>
        <v>1</v>
      </c>
      <c r="V48">
        <f>IF(Model!I48="",-1,IF(I48=Model!I48,1,0))</f>
        <v>1</v>
      </c>
    </row>
    <row r="49" spans="1:22">
      <c r="B49" s="7"/>
      <c r="C49" s="19" t="s">
        <v>41</v>
      </c>
      <c r="D49" s="38">
        <v>1</v>
      </c>
      <c r="E49" s="38">
        <v>1</v>
      </c>
      <c r="F49" s="47">
        <f>1-Model!F42*Model!$P49-Model!$P51*IF(Model!F40&gt;0,0,Model!F40)</f>
        <v>0.92</v>
      </c>
      <c r="G49" s="47">
        <f>1-Model!G42*Model!$P49-Model!$P51*IF(Model!G40&gt;0,0,Model!G40)</f>
        <v>0.65999999999999992</v>
      </c>
      <c r="H49" s="47">
        <f>1-Model!H42*Model!$P49-Model!$P51*IF(Model!H40&gt;0,0,Model!H40)</f>
        <v>0.6</v>
      </c>
      <c r="I49" s="47">
        <f>1-Model!I42*Model!$P49-Model!$P51*IF(Model!I40&gt;0,0,Model!I40)</f>
        <v>1</v>
      </c>
      <c r="J49" s="30"/>
      <c r="N49" s="19" t="s">
        <v>41</v>
      </c>
      <c r="O49">
        <f>Elasticity!$C$11</f>
        <v>2</v>
      </c>
      <c r="S49">
        <f>IF(Model!F49="",-1,IF(F49=Model!F49,1,0))</f>
        <v>1</v>
      </c>
      <c r="T49">
        <f>IF(Model!G49="",-1,IF(G49=Model!G49,1,0))</f>
        <v>1</v>
      </c>
      <c r="U49">
        <f>IF(Model!H49="",-1,IF(H49=Model!H49,1,0))</f>
        <v>1</v>
      </c>
      <c r="V49">
        <f>IF(Model!I49="",-1,IF(I49=Model!I49,1,0))</f>
        <v>1</v>
      </c>
    </row>
    <row r="50" spans="1:22">
      <c r="B50" s="7"/>
      <c r="C50" s="25" t="s">
        <v>7</v>
      </c>
      <c r="D50" s="30"/>
      <c r="E50" s="30"/>
      <c r="F50" s="30"/>
      <c r="G50" s="30"/>
      <c r="H50" s="30"/>
      <c r="I50" s="30"/>
      <c r="J50" s="30"/>
      <c r="N50" s="19" t="str">
        <f>Elasticity!E15</f>
        <v>Company Website Cross Elasticity to Third-Party Website Discounts</v>
      </c>
      <c r="O50">
        <f>Elasticity!$F$15</f>
        <v>1</v>
      </c>
    </row>
    <row r="51" spans="1:22">
      <c r="B51" s="7"/>
      <c r="C51" s="25"/>
      <c r="N51" s="19" t="str">
        <f>Elasticity!E16</f>
        <v>Third-Party Website Cross Elasticity to Company Website Discounts</v>
      </c>
      <c r="O51">
        <f>Elasticity!$F$15</f>
        <v>1</v>
      </c>
    </row>
    <row r="52" spans="1:22">
      <c r="A52" s="8" t="s">
        <v>57</v>
      </c>
      <c r="N52" s="19"/>
    </row>
    <row r="53" spans="1:22">
      <c r="B53" s="7"/>
      <c r="C53" s="19" t="s">
        <v>39</v>
      </c>
      <c r="D53" s="47">
        <f>Model!D31*Model!D46</f>
        <v>6.375</v>
      </c>
      <c r="E53" s="47">
        <f>Model!E31*Model!E46</f>
        <v>12.75</v>
      </c>
      <c r="F53" s="47">
        <f>Model!F31*Model!F46</f>
        <v>25.5</v>
      </c>
      <c r="G53" s="47">
        <f>Model!G31*Model!G46</f>
        <v>31.875</v>
      </c>
      <c r="H53" s="47">
        <f>Model!H31*Model!H46</f>
        <v>31.875</v>
      </c>
      <c r="I53" s="47">
        <f>Model!I31*Model!I46</f>
        <v>19.125</v>
      </c>
      <c r="J53" s="30"/>
      <c r="N53" s="19"/>
      <c r="Q53">
        <f>IF(Model!D53="",-1,IF(D53=Model!D53,1,0))</f>
        <v>1</v>
      </c>
      <c r="R53">
        <f>IF(Model!E53="",-1,IF(E53=Model!E53,1,0))</f>
        <v>1</v>
      </c>
      <c r="S53">
        <f>IF(Model!F53="",-1,IF(F53=Model!F53,1,0))</f>
        <v>1</v>
      </c>
      <c r="T53">
        <f>IF(Model!G53="",-1,IF(G53=Model!G53,1,0))</f>
        <v>1</v>
      </c>
      <c r="U53">
        <f>IF(Model!H53="",-1,IF(H53=Model!H53,1,0))</f>
        <v>1</v>
      </c>
      <c r="V53">
        <f>IF(Model!I53="",-1,IF(I53=Model!I53,1,0))</f>
        <v>1</v>
      </c>
    </row>
    <row r="54" spans="1:22">
      <c r="B54" s="7"/>
      <c r="C54" s="19" t="s">
        <v>38</v>
      </c>
      <c r="D54" s="47">
        <f>Model!D32*Model!D47</f>
        <v>8.5</v>
      </c>
      <c r="E54" s="47">
        <f>Model!E32*Model!E47</f>
        <v>17</v>
      </c>
      <c r="F54" s="47">
        <f>Model!F32*Model!F47</f>
        <v>34</v>
      </c>
      <c r="G54" s="47">
        <f>Model!G32*Model!G47</f>
        <v>42.5</v>
      </c>
      <c r="H54" s="47">
        <f>Model!H32*Model!H47</f>
        <v>42.5</v>
      </c>
      <c r="I54" s="47">
        <f>Model!I32*Model!I47</f>
        <v>25.5</v>
      </c>
      <c r="J54" s="30"/>
      <c r="N54" s="19"/>
      <c r="Q54">
        <f>IF(Model!D54="",-1,IF(D54=Model!D54,1,0))</f>
        <v>1</v>
      </c>
      <c r="R54">
        <f>IF(Model!E54="",-1,IF(E54=Model!E54,1,0))</f>
        <v>1</v>
      </c>
      <c r="S54">
        <f>IF(Model!F54="",-1,IF(F54=Model!F54,1,0))</f>
        <v>1</v>
      </c>
      <c r="T54">
        <f>IF(Model!G54="",-1,IF(G54=Model!G54,1,0))</f>
        <v>1</v>
      </c>
      <c r="U54">
        <f>IF(Model!H54="",-1,IF(H54=Model!H54,1,0))</f>
        <v>1</v>
      </c>
      <c r="V54">
        <f>IF(Model!I54="",-1,IF(I54=Model!I54,1,0))</f>
        <v>1</v>
      </c>
    </row>
    <row r="55" spans="1:22">
      <c r="B55" s="7"/>
      <c r="C55" s="19" t="s">
        <v>84</v>
      </c>
      <c r="D55" s="47">
        <f>Model!D27*Model!$O$33</f>
        <v>18.5</v>
      </c>
      <c r="E55" s="47">
        <f>Model!E27*Model!$O$33</f>
        <v>37</v>
      </c>
      <c r="F55" s="47">
        <f>Model!F27*Model!$O$33</f>
        <v>74</v>
      </c>
      <c r="G55" s="47">
        <f>Model!G27*Model!$O$33</f>
        <v>92.5</v>
      </c>
      <c r="H55" s="47">
        <f>Model!H27*Model!$O$33</f>
        <v>92.5</v>
      </c>
      <c r="I55" s="47">
        <f>Model!I27*Model!$O$33</f>
        <v>55.5</v>
      </c>
      <c r="J55" s="30"/>
      <c r="N55" s="19"/>
      <c r="Q55">
        <f>IF(Model!D55="",-1,IF(D55=Model!D55,1,0))</f>
        <v>1</v>
      </c>
      <c r="R55">
        <f>IF(Model!E55="",-1,IF(E55=Model!E55,1,0))</f>
        <v>1</v>
      </c>
      <c r="S55">
        <f>IF(Model!F55="",-1,IF(F55=Model!F55,1,0))</f>
        <v>1</v>
      </c>
      <c r="T55">
        <f>IF(Model!G55="",-1,IF(G55=Model!G55,1,0))</f>
        <v>1</v>
      </c>
      <c r="U55">
        <f>IF(Model!H55="",-1,IF(H55=Model!H55,1,0))</f>
        <v>1</v>
      </c>
      <c r="V55">
        <f>IF(Model!I55="",-1,IF(I55=Model!I55,1,0))</f>
        <v>1</v>
      </c>
    </row>
    <row r="56" spans="1:22">
      <c r="B56" s="7"/>
      <c r="C56" s="19" t="s">
        <v>83</v>
      </c>
      <c r="D56" s="47">
        <f>Model!D33*Model!D48-Model!D55</f>
        <v>-2.7750000000000004</v>
      </c>
      <c r="E56" s="47">
        <f>Model!E33*Model!E48-Model!E55</f>
        <v>-5.5500000000000007</v>
      </c>
      <c r="F56" s="47">
        <f>Model!F33*Model!F48-Model!F55</f>
        <v>-29.970000000000006</v>
      </c>
      <c r="G56" s="47">
        <f>Model!G33*Model!G48-Model!G55</f>
        <v>-24.489374999999995</v>
      </c>
      <c r="H56" s="47">
        <f>Model!H33*Model!H48-Model!H55</f>
        <v>-37.462500000000006</v>
      </c>
      <c r="I56" s="47">
        <f>Model!I33*Model!I48-Model!I55</f>
        <v>-22.477500000000006</v>
      </c>
      <c r="J56" s="30"/>
      <c r="N56" s="19"/>
      <c r="Q56">
        <f>IF(Model!D56="",-1,IF(D56=Model!D56,1,0))</f>
        <v>1</v>
      </c>
      <c r="R56">
        <f>IF(Model!E56="",-1,IF(E56=Model!E56,1,0))</f>
        <v>1</v>
      </c>
      <c r="S56">
        <f>IF(Model!F56="",-1,IF(F56=Model!F56,1,0))</f>
        <v>1</v>
      </c>
      <c r="T56">
        <f>IF(Model!G56="",-1,IF(G56=Model!G56,1,0))</f>
        <v>1</v>
      </c>
      <c r="U56">
        <f>IF(Model!H56="",-1,IF(H56=Model!H56,1,0))</f>
        <v>1</v>
      </c>
      <c r="V56">
        <f>IF(Model!I56="",-1,IF(I56=Model!I56,1,0))</f>
        <v>1</v>
      </c>
    </row>
    <row r="57" spans="1:22">
      <c r="B57" s="7"/>
      <c r="C57" s="19" t="s">
        <v>41</v>
      </c>
      <c r="D57" s="47">
        <f>Model!D34*Model!D49</f>
        <v>11.9</v>
      </c>
      <c r="E57" s="47">
        <f>Model!E34*Model!E49</f>
        <v>23.8</v>
      </c>
      <c r="F57" s="47">
        <f>Model!F34*Model!F49</f>
        <v>43.792000000000002</v>
      </c>
      <c r="G57" s="47">
        <f>Model!G34*Model!G49</f>
        <v>39.270000000000003</v>
      </c>
      <c r="H57" s="47">
        <f>Model!H34*Model!H49</f>
        <v>35.700000000000003</v>
      </c>
      <c r="I57" s="47">
        <f>Model!I34*Model!I49</f>
        <v>35.700000000000003</v>
      </c>
      <c r="J57" s="30"/>
      <c r="N57" s="19"/>
      <c r="Q57">
        <f>IF(Model!D57="",-1,IF(D57=Model!D57,1,0))</f>
        <v>1</v>
      </c>
      <c r="R57">
        <f>IF(Model!E57="",-1,IF(E57=Model!E57,1,0))</f>
        <v>1</v>
      </c>
      <c r="S57">
        <f>IF(Model!F57="",-1,IF(F57=Model!F57,1,0))</f>
        <v>1</v>
      </c>
      <c r="T57">
        <f>IF(Model!G57="",-1,IF(G57=Model!G57,1,0))</f>
        <v>1</v>
      </c>
      <c r="U57">
        <f>IF(Model!H57="",-1,IF(H57=Model!H57,1,0))</f>
        <v>1</v>
      </c>
      <c r="V57">
        <f>IF(Model!I57="",-1,IF(I57=Model!I57,1,0))</f>
        <v>1</v>
      </c>
    </row>
    <row r="58" spans="1:22">
      <c r="B58" s="7"/>
      <c r="C58" s="25" t="s">
        <v>7</v>
      </c>
      <c r="D58" s="30"/>
      <c r="E58" s="30"/>
      <c r="F58" s="30"/>
      <c r="G58" s="30"/>
      <c r="H58" s="30"/>
      <c r="I58" s="30"/>
      <c r="J58" s="30"/>
      <c r="N58" s="19"/>
    </row>
    <row r="59" spans="1:22">
      <c r="B59" s="7"/>
      <c r="C59" s="42"/>
      <c r="N59" s="19"/>
    </row>
    <row r="60" spans="1:22">
      <c r="A60" s="8" t="s">
        <v>51</v>
      </c>
      <c r="D60" s="4"/>
      <c r="E60" s="4"/>
      <c r="F60" s="4"/>
      <c r="G60" s="4"/>
      <c r="H60" s="4"/>
      <c r="I60" s="4"/>
      <c r="J60" s="4"/>
      <c r="K60" s="28"/>
      <c r="M60" s="33"/>
    </row>
    <row r="61" spans="1:22">
      <c r="B61" s="7"/>
      <c r="C61" s="19" t="str">
        <f>Model!C61</f>
        <v>Company Brick &amp; Mortar Stores</v>
      </c>
      <c r="D61" s="38">
        <f>Model!$D31</f>
        <v>6.375</v>
      </c>
      <c r="E61" s="38">
        <f>Model!$E31</f>
        <v>12.75</v>
      </c>
      <c r="F61" s="47">
        <f>MIN(Model!F53,Model!E69)</f>
        <v>25.5</v>
      </c>
      <c r="G61" s="47">
        <f>MIN(Model!G53,Model!F69)</f>
        <v>31.875</v>
      </c>
      <c r="H61" s="47">
        <f>MIN(Model!H53,Model!G69)</f>
        <v>31.875</v>
      </c>
      <c r="I61" s="47">
        <f>MIN(Model!I53,Model!H69)</f>
        <v>19.125</v>
      </c>
      <c r="J61" s="30"/>
      <c r="K61" s="28">
        <f>SUM(D61:J61)</f>
        <v>127.5</v>
      </c>
      <c r="N61" s="36"/>
      <c r="S61">
        <f>IF(Model!F61="",-1,IF(F61=Model!F61,1,0))</f>
        <v>1</v>
      </c>
      <c r="T61">
        <f>IF(Model!G61="",-1,IF(G61=Model!G61,1,0))</f>
        <v>1</v>
      </c>
      <c r="U61">
        <f>IF(Model!H61="",-1,IF(H61=Model!H61,1,0))</f>
        <v>1</v>
      </c>
      <c r="V61">
        <f>IF(Model!I61="",-1,IF(I61=Model!I61,1,0))</f>
        <v>1</v>
      </c>
    </row>
    <row r="62" spans="1:22">
      <c r="B62" s="7"/>
      <c r="C62" s="19" t="str">
        <f>Model!C62</f>
        <v>Company eCommerce Website</v>
      </c>
      <c r="D62" s="38">
        <f>Model!$D32</f>
        <v>8.5</v>
      </c>
      <c r="E62" s="38">
        <f>Model!$E32</f>
        <v>17</v>
      </c>
      <c r="F62" s="47">
        <f>MIN(Model!F54,Model!E69-Model!F61)</f>
        <v>34</v>
      </c>
      <c r="G62" s="47">
        <f>MIN(Model!G54,Model!F69-Model!G61)</f>
        <v>42.5</v>
      </c>
      <c r="H62" s="47">
        <f>MIN(Model!H54,Model!G69-Model!H61)</f>
        <v>42.5</v>
      </c>
      <c r="I62" s="47">
        <f>MIN(Model!I54,Model!H69-Model!I61)</f>
        <v>25.5</v>
      </c>
      <c r="J62" s="30"/>
      <c r="K62" s="28">
        <f t="shared" ref="K62:K66" si="7">SUM(D62:J62)</f>
        <v>170</v>
      </c>
      <c r="N62" s="36"/>
      <c r="S62">
        <f>IF(Model!F62="",-1,IF(F62=Model!F62,1,0))</f>
        <v>1</v>
      </c>
      <c r="T62">
        <f>IF(Model!G62="",-1,IF(G62=Model!G62,1,0))</f>
        <v>1</v>
      </c>
      <c r="U62">
        <f>IF(Model!H62="",-1,IF(H62=Model!H62,1,0))</f>
        <v>1</v>
      </c>
      <c r="V62">
        <f>IF(Model!I62="",-1,IF(I62=Model!I62,1,0))</f>
        <v>1</v>
      </c>
    </row>
    <row r="63" spans="1:22">
      <c r="B63" s="7"/>
      <c r="C63" s="19" t="str">
        <f>Model!C63</f>
        <v>Third-Party Brick &amp; Mortar Stores - Firm</v>
      </c>
      <c r="D63" s="38">
        <f>Model!C27*Model!O33</f>
        <v>370</v>
      </c>
      <c r="E63" s="75"/>
      <c r="F63" s="76"/>
      <c r="G63" s="76"/>
      <c r="H63" s="76"/>
      <c r="I63" s="76"/>
      <c r="J63" s="30"/>
      <c r="K63" s="28">
        <f t="shared" si="7"/>
        <v>370</v>
      </c>
      <c r="N63" s="36"/>
    </row>
    <row r="64" spans="1:22">
      <c r="B64" s="7"/>
      <c r="C64" s="19" t="str">
        <f>Model!C64</f>
        <v>Third-Party Brick &amp; Mortar Stores - Incremental</v>
      </c>
      <c r="D64" s="195">
        <f>IF(Model!$C28&gt;100%,Model!D56,0)</f>
        <v>0</v>
      </c>
      <c r="E64" s="38">
        <f>IF(Model!$C28&gt;100%,Model!E56,0)</f>
        <v>0</v>
      </c>
      <c r="F64" s="47">
        <f>IF(Model!$C28&gt;100%,Model!F56,0)</f>
        <v>0</v>
      </c>
      <c r="G64" s="47">
        <f>IF(Model!$C28&gt;100%,Model!G56,0)</f>
        <v>0</v>
      </c>
      <c r="H64" s="47">
        <f>IF(Model!$C28&gt;100%,Model!H56,0)</f>
        <v>0</v>
      </c>
      <c r="I64" s="47">
        <f>IF(Model!$C28&gt;100%,Model!I56,0)</f>
        <v>0</v>
      </c>
      <c r="J64" s="30"/>
      <c r="K64" s="28">
        <f t="shared" si="7"/>
        <v>0</v>
      </c>
      <c r="N64" s="36"/>
      <c r="S64">
        <f>IF(Model!F64="",-1,IF(F64=Model!F64,1,0))</f>
        <v>1</v>
      </c>
      <c r="T64">
        <f>IF(Model!G64="",-1,IF(G64=Model!G64,1,0))</f>
        <v>1</v>
      </c>
      <c r="U64">
        <f>IF(Model!H64="",-1,IF(H64=Model!H64,1,0))</f>
        <v>1</v>
      </c>
      <c r="V64">
        <f>IF(Model!I64="",-1,IF(I64=Model!I64,1,0))</f>
        <v>1</v>
      </c>
    </row>
    <row r="65" spans="1:23">
      <c r="B65" s="7"/>
      <c r="C65" s="19" t="str">
        <f>Model!C65</f>
        <v>Third-Party eCommerce Websites</v>
      </c>
      <c r="D65" s="38">
        <f>Model!$D34</f>
        <v>11.9</v>
      </c>
      <c r="E65" s="38">
        <f>Model!$E34</f>
        <v>23.8</v>
      </c>
      <c r="F65" s="47">
        <f>MIN(Model!F57,Model!E69-Model!F64-Model!F62-Model!F61)</f>
        <v>43.792000000000002</v>
      </c>
      <c r="G65" s="47">
        <f>MIN(Model!G57,Model!F69-Model!G64-Model!G62-Model!G61)</f>
        <v>39.270000000000003</v>
      </c>
      <c r="H65" s="47">
        <f>MIN(Model!H57,Model!G69-Model!H64-Model!H62-Model!H61)</f>
        <v>35.700000000000003</v>
      </c>
      <c r="I65" s="47">
        <f>MIN(Model!I57,Model!H69-Model!I64-Model!I62-Model!I61)</f>
        <v>35.700000000000003</v>
      </c>
      <c r="J65" s="30"/>
      <c r="K65" s="28">
        <f t="shared" si="7"/>
        <v>190.16199999999998</v>
      </c>
      <c r="N65" s="36"/>
      <c r="S65">
        <f>IF(Model!F65="",-1,IF(F65=Model!F65,1,0))</f>
        <v>1</v>
      </c>
      <c r="T65">
        <f>IF(Model!G65="",-1,IF(G65=Model!G65,1,0))</f>
        <v>1</v>
      </c>
      <c r="U65">
        <f>IF(Model!H65="",-1,IF(H65=Model!H65,1,0))</f>
        <v>1</v>
      </c>
      <c r="V65">
        <f>IF(Model!I65="",-1,IF(I65=Model!I65,1,0))</f>
        <v>1</v>
      </c>
    </row>
    <row r="66" spans="1:23">
      <c r="B66" s="7"/>
      <c r="C66" s="19" t="str">
        <f>Model!C66</f>
        <v>Liquidation</v>
      </c>
      <c r="D66" s="30"/>
      <c r="E66" s="30"/>
      <c r="F66" s="30"/>
      <c r="G66" s="30"/>
      <c r="H66" s="30"/>
      <c r="I66" s="30"/>
      <c r="J66" s="47"/>
      <c r="K66" s="28">
        <f t="shared" si="7"/>
        <v>0</v>
      </c>
    </row>
    <row r="67" spans="1:23">
      <c r="C67" s="11" t="str">
        <f>Model!C67</f>
        <v>Total Sales</v>
      </c>
      <c r="D67" s="48">
        <f>SUM(Model!D61:'Model'!D66)</f>
        <v>396.77499999999998</v>
      </c>
      <c r="E67" s="48">
        <f>SUM(Model!E61:'Model'!E66)</f>
        <v>53.55</v>
      </c>
      <c r="F67" s="48">
        <f>SUM(Model!F61:'Model'!F66)</f>
        <v>103.292</v>
      </c>
      <c r="G67" s="48">
        <f>SUM(Model!G61:'Model'!G66)</f>
        <v>113.64500000000001</v>
      </c>
      <c r="H67" s="48">
        <f>SUM(Model!H61:'Model'!H66)</f>
        <v>110.075</v>
      </c>
      <c r="I67" s="48">
        <f>SUM(Model!I61:'Model'!I66)</f>
        <v>80.325000000000003</v>
      </c>
      <c r="J67" s="48">
        <f>SUM(Model!J61:'Model'!J66)</f>
        <v>0</v>
      </c>
      <c r="K67" s="14">
        <f t="shared" ref="K67" si="8">SUM(K61:K66)</f>
        <v>857.66200000000003</v>
      </c>
      <c r="Q67">
        <f>IF(Model!D67="",-1,IF(D67=Model!D67,1,0))</f>
        <v>1</v>
      </c>
      <c r="R67">
        <f>IF(Model!E67="",-1,IF(E67=Model!E67,1,0))</f>
        <v>1</v>
      </c>
      <c r="S67">
        <f>IF(Model!F67="",-1,IF(F67=Model!F67,1,0))</f>
        <v>1</v>
      </c>
      <c r="T67">
        <f>IF(Model!G67="",-1,IF(G67=Model!G67,1,0))</f>
        <v>1</v>
      </c>
      <c r="U67">
        <f>IF(Model!H67="",-1,IF(H67=Model!H67,1,0))</f>
        <v>1</v>
      </c>
      <c r="V67">
        <f>IF(Model!I67="",-1,IF(I67=Model!I67,1,0))</f>
        <v>1</v>
      </c>
      <c r="W67">
        <f>IF(Model!J67="",-1,IF(J67=Model!J67,1,0))</f>
        <v>1</v>
      </c>
    </row>
    <row r="68" spans="1:23">
      <c r="C68" s="11" t="str">
        <f>Model!C68</f>
        <v>Cumulative Sales</v>
      </c>
      <c r="D68" s="48">
        <f>Model!D67</f>
        <v>396.77499999999998</v>
      </c>
      <c r="E68" s="48">
        <f>Model!E67+Model!D68</f>
        <v>450.32499999999999</v>
      </c>
      <c r="F68" s="48">
        <f>Model!F67+Model!E68</f>
        <v>553.61699999999996</v>
      </c>
      <c r="G68" s="48">
        <f>Model!G67+Model!F68</f>
        <v>667.26199999999994</v>
      </c>
      <c r="H68" s="48">
        <f>Model!H67+Model!G68</f>
        <v>777.33699999999999</v>
      </c>
      <c r="I68" s="48">
        <f>Model!I67+Model!H68</f>
        <v>857.66200000000003</v>
      </c>
      <c r="J68" s="48">
        <f>Model!J67+Model!I68</f>
        <v>857.66200000000003</v>
      </c>
      <c r="K68" s="1"/>
      <c r="R68">
        <f>IF(Model!E68="",-1,IF(E68=Model!E68,1,0))</f>
        <v>1</v>
      </c>
      <c r="S68">
        <f>IF(Model!F68="",-1,IF(F68=Model!F68,1,0))</f>
        <v>1</v>
      </c>
      <c r="T68">
        <f>IF(Model!G68="",-1,IF(G68=Model!G68,1,0))</f>
        <v>1</v>
      </c>
      <c r="U68">
        <f>IF(Model!H68="",-1,IF(H68=Model!H68,1,0))</f>
        <v>1</v>
      </c>
      <c r="V68">
        <f>IF(Model!I68="",-1,IF(I68=Model!I68,1,0))</f>
        <v>1</v>
      </c>
      <c r="W68">
        <f>IF(Model!J68="",-1,IF(J68=Model!J68,1,0))</f>
        <v>1</v>
      </c>
    </row>
    <row r="69" spans="1:23">
      <c r="C69" s="11" t="str">
        <f>Model!C69</f>
        <v>Residual Supply</v>
      </c>
      <c r="D69" s="48">
        <f>Model!$C$27-Model!D68</f>
        <v>603.22500000000002</v>
      </c>
      <c r="E69" s="48">
        <f>Model!D69-Model!E67</f>
        <v>549.67500000000007</v>
      </c>
      <c r="F69" s="48">
        <f>Model!E69-Model!F67</f>
        <v>446.38299999999992</v>
      </c>
      <c r="G69" s="48">
        <f>Model!F69-Model!G67</f>
        <v>332.73800000000006</v>
      </c>
      <c r="H69" s="48">
        <f>Model!G69-Model!H67</f>
        <v>222.66300000000007</v>
      </c>
      <c r="I69" s="48">
        <f>Model!H69-Model!I67</f>
        <v>142.33800000000002</v>
      </c>
      <c r="J69" s="48">
        <f>Model!I69-Model!J67</f>
        <v>142.33799999999997</v>
      </c>
      <c r="K69" s="1"/>
      <c r="Q69">
        <f>IF(Model!D69="",-1,IF(D69=Model!D69,1,0))</f>
        <v>1</v>
      </c>
      <c r="R69">
        <f>IF(Model!E69="",-1,IF(E69=Model!E69,1,0))</f>
        <v>1</v>
      </c>
      <c r="S69">
        <f>IF(Model!F69="",-1,IF(F69=Model!F69,1,0))</f>
        <v>1</v>
      </c>
      <c r="T69">
        <f>IF(Model!G69="",-1,IF(G69=Model!G69,1,0))</f>
        <v>1</v>
      </c>
      <c r="U69">
        <f>IF(Model!H69="",-1,IF(H69=Model!H69,1,0))</f>
        <v>1</v>
      </c>
      <c r="V69">
        <f>IF(Model!I69="",-1,IF(I69=Model!I69,1,0))</f>
        <v>1</v>
      </c>
      <c r="W69">
        <f>IF(Model!J69="",-1,IF(J69=Model!J69,1,0))</f>
        <v>1</v>
      </c>
    </row>
    <row r="70" spans="1:23">
      <c r="O70" s="9"/>
    </row>
    <row r="71" spans="1:23">
      <c r="A71" s="8" t="s">
        <v>66</v>
      </c>
      <c r="D71" s="4"/>
      <c r="O71" s="9"/>
      <c r="P71" s="6"/>
    </row>
    <row r="72" spans="1:23">
      <c r="B72" s="7"/>
      <c r="C72" s="19" t="str">
        <f>C61</f>
        <v>Company Brick &amp; Mortar Stores</v>
      </c>
      <c r="D72" s="49">
        <f>Model!$C$21</f>
        <v>69</v>
      </c>
      <c r="E72" s="49">
        <f>Model!$C$21</f>
        <v>69</v>
      </c>
      <c r="F72" s="49">
        <f>(Model!$C$21+Model!F39*Model!$C$15)</f>
        <v>69</v>
      </c>
      <c r="G72" s="49">
        <f>(Model!$C$21+Model!G39*Model!$C$15)</f>
        <v>69</v>
      </c>
      <c r="H72" s="49">
        <f>(Model!$C$21+Model!H39*Model!$C$15)</f>
        <v>69</v>
      </c>
      <c r="I72" s="49">
        <f>(Model!$C$21+Model!I39*Model!$C$15)</f>
        <v>69</v>
      </c>
      <c r="J72" s="32"/>
      <c r="K72" s="29"/>
      <c r="N72" s="19"/>
      <c r="O72" s="59"/>
      <c r="Q72">
        <f>IF(Model!D72="",-1,IF(D72=Model!D72,1,0))</f>
        <v>1</v>
      </c>
      <c r="R72">
        <f>IF(Model!E72="",-1,IF(E72=Model!E72,1,0))</f>
        <v>1</v>
      </c>
      <c r="S72">
        <f>IF(Model!F72="",-1,IF(F72=Model!F72,1,0))</f>
        <v>1</v>
      </c>
      <c r="T72">
        <f>IF(Model!G72="",-1,IF(G72=Model!G72,1,0))</f>
        <v>1</v>
      </c>
      <c r="U72">
        <f>IF(Model!H72="",-1,IF(H72=Model!H72,1,0))</f>
        <v>1</v>
      </c>
      <c r="V72">
        <f>IF(Model!I72="",-1,IF(I72=Model!I72,1,0))</f>
        <v>1</v>
      </c>
    </row>
    <row r="73" spans="1:23">
      <c r="B73" s="7"/>
      <c r="C73" s="19" t="str">
        <f t="shared" ref="C73:C77" si="9">C62</f>
        <v>Company eCommerce Website</v>
      </c>
      <c r="D73" s="49">
        <f>Model!$D$21</f>
        <v>55</v>
      </c>
      <c r="E73" s="49">
        <f>Model!$D$21</f>
        <v>55</v>
      </c>
      <c r="F73" s="49">
        <f>Model!$D$21+Model!F40*Model!$D$15</f>
        <v>55</v>
      </c>
      <c r="G73" s="49">
        <f>Model!$D$21+Model!G40*Model!$D$15</f>
        <v>55</v>
      </c>
      <c r="H73" s="49">
        <f>Model!$D$21+Model!H40*Model!$D$15</f>
        <v>55</v>
      </c>
      <c r="I73" s="49">
        <f>Model!$D$21+Model!I40*Model!$D$15</f>
        <v>55</v>
      </c>
      <c r="J73" s="32"/>
      <c r="K73" s="29"/>
      <c r="N73" s="19"/>
      <c r="O73" s="59"/>
      <c r="Q73">
        <f>IF(Model!D73="",-1,IF(D73=Model!D73,1,0))</f>
        <v>1</v>
      </c>
    </row>
    <row r="74" spans="1:23">
      <c r="B74" s="7"/>
      <c r="C74" s="19" t="str">
        <f t="shared" si="9"/>
        <v>Third-Party Brick &amp; Mortar Stores - Firm</v>
      </c>
      <c r="D74" s="49">
        <f>Model!$E$21</f>
        <v>25</v>
      </c>
      <c r="E74" s="77">
        <f>Model!E74</f>
        <v>0</v>
      </c>
      <c r="F74" s="77">
        <f>Model!F74</f>
        <v>0</v>
      </c>
      <c r="G74" s="77">
        <f>Model!G74</f>
        <v>0</v>
      </c>
      <c r="H74" s="77">
        <f>Model!H74</f>
        <v>0</v>
      </c>
      <c r="I74" s="77">
        <f>Model!I74</f>
        <v>0</v>
      </c>
      <c r="J74" s="32"/>
      <c r="K74" s="29"/>
      <c r="N74" s="19"/>
      <c r="O74" s="59"/>
      <c r="Q74">
        <f>IF(Model!D74="",-1,IF(D74=Model!D74,1,0))</f>
        <v>1</v>
      </c>
    </row>
    <row r="75" spans="1:23">
      <c r="B75" s="7"/>
      <c r="C75" s="19" t="str">
        <f t="shared" si="9"/>
        <v>Third-Party Brick &amp; Mortar Stores - Incremental</v>
      </c>
      <c r="D75" s="49">
        <f>Model!$E$21</f>
        <v>25</v>
      </c>
      <c r="E75" s="49">
        <f>Model!$E$21-50%*Model!E41*Model!$E$14</f>
        <v>25</v>
      </c>
      <c r="F75" s="49">
        <f>Model!$E$21+IF(Model!F41&lt;0,0.5*Model!F41*Model!$E$14,0)</f>
        <v>25</v>
      </c>
      <c r="G75" s="49">
        <f>Model!$E$21+IF(Model!G41&lt;0,0.5*Model!G41*Model!$E$14,0)</f>
        <v>25</v>
      </c>
      <c r="H75" s="49">
        <f>Model!$E$21+IF(Model!H41&lt;0,0.5*Model!H41*Model!$E$14,0)</f>
        <v>25</v>
      </c>
      <c r="I75" s="49">
        <f>Model!$E$21+IF(Model!I41&lt;0,0.5*Model!I41*Model!$E$14,0)</f>
        <v>25</v>
      </c>
      <c r="J75" s="32"/>
      <c r="K75" s="29"/>
      <c r="N75" s="19"/>
      <c r="O75" s="59"/>
      <c r="Q75">
        <f>IF(Model!D75="",-1,IF(D75=Model!D75,1,0))</f>
        <v>1</v>
      </c>
      <c r="R75">
        <f>IF(Model!E75="",-1,IF(E75=Model!E75,1,0))</f>
        <v>1</v>
      </c>
      <c r="S75">
        <f>IF(Model!F75="",-1,IF(F75=Model!F75,1,0))</f>
        <v>1</v>
      </c>
      <c r="T75">
        <f>IF(Model!G75="",-1,IF(G75=Model!G75,1,0))</f>
        <v>1</v>
      </c>
      <c r="U75">
        <f>IF(Model!H75="",-1,IF(H75=Model!H75,1,0))</f>
        <v>1</v>
      </c>
      <c r="V75">
        <f>IF(Model!I75="",-1,IF(I75=Model!I75,1,0))</f>
        <v>1</v>
      </c>
    </row>
    <row r="76" spans="1:23">
      <c r="B76" s="7"/>
      <c r="C76" s="19" t="str">
        <f t="shared" si="9"/>
        <v>Third-Party eCommerce Websites</v>
      </c>
      <c r="D76" s="49">
        <f>Model!$F$21</f>
        <v>15</v>
      </c>
      <c r="E76" s="49">
        <f>Model!$F$21</f>
        <v>15</v>
      </c>
      <c r="F76" s="49">
        <f>Model!$F$21+IF(Model!F42&lt;0,0.5*Model!F42*Model!$F$14,0)</f>
        <v>15</v>
      </c>
      <c r="G76" s="49">
        <f>Model!$F$21+IF(Model!G42&lt;0,0.5*Model!G42*Model!$F$14,0)</f>
        <v>15</v>
      </c>
      <c r="H76" s="49">
        <f>Model!$F$21+IF(Model!H42&lt;0,0.5*Model!H42*Model!$F$14,0)</f>
        <v>15</v>
      </c>
      <c r="I76" s="49">
        <f>Model!$F$21+IF(Model!I42&lt;0,0.5*Model!I42*Model!$F$14,0)</f>
        <v>15</v>
      </c>
      <c r="J76" s="32"/>
      <c r="K76" s="29"/>
      <c r="N76" s="19"/>
      <c r="O76" s="59"/>
      <c r="Q76">
        <f>IF(Model!D76="",-1,IF(D76=Model!D76,1,0))</f>
        <v>1</v>
      </c>
      <c r="R76">
        <f>IF(Model!E76="",-1,IF(E76=Model!E76,1,0))</f>
        <v>1</v>
      </c>
      <c r="S76">
        <f>IF(Model!F76="",-1,IF(F76=Model!F76,1,0))</f>
        <v>1</v>
      </c>
      <c r="T76">
        <f>IF(Model!G76="",-1,IF(G76=Model!G76,1,0))</f>
        <v>1</v>
      </c>
      <c r="U76">
        <f>IF(Model!H76="",-1,IF(H76=Model!H76,1,0))</f>
        <v>1</v>
      </c>
      <c r="V76">
        <f>IF(Model!I76="",-1,IF(I76=Model!I76,1,0))</f>
        <v>1</v>
      </c>
    </row>
    <row r="77" spans="1:23">
      <c r="B77" s="7"/>
      <c r="C77" s="19" t="str">
        <f t="shared" si="9"/>
        <v>Liquidation</v>
      </c>
      <c r="D77" s="32"/>
      <c r="E77" s="32"/>
      <c r="F77" s="32"/>
      <c r="G77" s="32"/>
      <c r="H77" s="32"/>
      <c r="I77" s="32"/>
      <c r="J77" s="49">
        <f>Model!$G$21-Model!J50*Model!G15</f>
        <v>-15</v>
      </c>
      <c r="K77" s="29"/>
      <c r="N77" s="19"/>
      <c r="O77" s="59"/>
    </row>
    <row r="79" spans="1:23">
      <c r="A79" s="8" t="s">
        <v>52</v>
      </c>
      <c r="D79" s="4"/>
    </row>
    <row r="80" spans="1:23">
      <c r="B80" s="7"/>
      <c r="C80" s="19" t="str">
        <f>C72</f>
        <v>Company Brick &amp; Mortar Stores</v>
      </c>
      <c r="D80" s="49">
        <f>Model!D61*Model!D72</f>
        <v>439.875</v>
      </c>
      <c r="E80" s="49">
        <f>Model!E61*Model!E72</f>
        <v>879.75</v>
      </c>
      <c r="F80" s="49">
        <f>Model!F61*Model!F72</f>
        <v>1759.5</v>
      </c>
      <c r="G80" s="49">
        <f>Model!G61*Model!G72</f>
        <v>2199.375</v>
      </c>
      <c r="H80" s="49">
        <f>Model!H61*Model!H72</f>
        <v>2199.375</v>
      </c>
      <c r="I80" s="49">
        <f>Model!I61*Model!I72</f>
        <v>1319.625</v>
      </c>
      <c r="J80" s="32"/>
      <c r="K80" s="29">
        <f t="shared" ref="K80:K85" si="10">SUM(D80:J80)</f>
        <v>8797.5</v>
      </c>
      <c r="Q80">
        <f>IF(Model!D80="",-1,IF(D80=Model!D80,1,0))</f>
        <v>1</v>
      </c>
      <c r="R80">
        <f>IF(Model!E80="",-1,IF(E80=Model!E80,1,0))</f>
        <v>1</v>
      </c>
      <c r="S80">
        <f>IF(Model!F80="",-1,IF(F80=Model!F80,1,0))</f>
        <v>1</v>
      </c>
      <c r="T80">
        <f>IF(Model!G80="",-1,IF(G80=Model!G80,1,0))</f>
        <v>1</v>
      </c>
      <c r="U80">
        <f>IF(Model!H80="",-1,IF(H80=Model!H80,1,0))</f>
        <v>1</v>
      </c>
      <c r="V80">
        <f>IF(Model!I80="",-1,IF(I80=Model!I80,1,0))</f>
        <v>1</v>
      </c>
    </row>
    <row r="81" spans="2:23">
      <c r="B81" s="7"/>
      <c r="C81" s="19" t="str">
        <f t="shared" ref="C81:C85" si="11">C73</f>
        <v>Company eCommerce Website</v>
      </c>
      <c r="D81" s="49">
        <f>Model!D62*Model!D73</f>
        <v>467.5</v>
      </c>
      <c r="E81" s="49">
        <f>Model!E62*Model!E73</f>
        <v>935</v>
      </c>
      <c r="F81" s="49">
        <f>Model!F62*Model!F73</f>
        <v>1870</v>
      </c>
      <c r="G81" s="49">
        <f>Model!G62*Model!G73</f>
        <v>2337.5</v>
      </c>
      <c r="H81" s="49">
        <f>Model!H62*Model!H73</f>
        <v>2337.5</v>
      </c>
      <c r="I81" s="49">
        <f>Model!I62*Model!I73</f>
        <v>1402.5</v>
      </c>
      <c r="J81" s="32"/>
      <c r="K81" s="29">
        <f t="shared" si="10"/>
        <v>9350</v>
      </c>
      <c r="Q81">
        <f>IF(Model!D81="",-1,IF(D81=Model!D81,1,0))</f>
        <v>1</v>
      </c>
      <c r="R81">
        <f>IF(Model!E81="",-1,IF(E81=Model!E81,1,0))</f>
        <v>1</v>
      </c>
      <c r="S81">
        <f>IF(Model!F81="",-1,IF(F81=Model!F81,1,0))</f>
        <v>1</v>
      </c>
      <c r="T81">
        <f>IF(Model!G81="",-1,IF(G81=Model!G81,1,0))</f>
        <v>1</v>
      </c>
      <c r="U81">
        <f>IF(Model!H81="",-1,IF(H81=Model!H81,1,0))</f>
        <v>1</v>
      </c>
      <c r="V81">
        <f>IF(Model!I81="",-1,IF(I81=Model!I81,1,0))</f>
        <v>1</v>
      </c>
    </row>
    <row r="82" spans="2:23">
      <c r="B82" s="7"/>
      <c r="C82" s="19" t="str">
        <f t="shared" si="11"/>
        <v>Third-Party Brick &amp; Mortar Stores - Firm</v>
      </c>
      <c r="D82" s="49">
        <f>Model!D63*Model!D74</f>
        <v>9250</v>
      </c>
      <c r="E82" s="77"/>
      <c r="F82" s="77"/>
      <c r="G82" s="77"/>
      <c r="H82" s="77"/>
      <c r="I82" s="77"/>
      <c r="J82" s="32"/>
      <c r="K82" s="29">
        <f t="shared" si="10"/>
        <v>9250</v>
      </c>
      <c r="Q82">
        <f>IF(Model!D82="",-1,IF(D82=Model!D82,1,0))</f>
        <v>1</v>
      </c>
    </row>
    <row r="83" spans="2:23">
      <c r="B83" s="7"/>
      <c r="C83" s="19" t="str">
        <f t="shared" si="11"/>
        <v>Third-Party Brick &amp; Mortar Stores - Incremental</v>
      </c>
      <c r="D83" s="49">
        <f>Model!D64*Model!D75</f>
        <v>0</v>
      </c>
      <c r="E83" s="49">
        <f>Model!E64*Model!E75</f>
        <v>0</v>
      </c>
      <c r="F83" s="49">
        <f>Model!F64*Model!F75</f>
        <v>0</v>
      </c>
      <c r="G83" s="49">
        <f>Model!G64*Model!G75</f>
        <v>0</v>
      </c>
      <c r="H83" s="49">
        <f>Model!H64*Model!H75</f>
        <v>0</v>
      </c>
      <c r="I83" s="49">
        <f>Model!I64*Model!I75</f>
        <v>0</v>
      </c>
      <c r="J83" s="32"/>
      <c r="K83" s="29"/>
      <c r="Q83">
        <f>IF(Model!D83="",-1,IF(D83=Model!D83,1,0))</f>
        <v>1</v>
      </c>
      <c r="R83">
        <f>IF(Model!E83="",-1,IF(E83=Model!E83,1,0))</f>
        <v>1</v>
      </c>
      <c r="S83">
        <f>IF(Model!F83="",-1,IF(F83=Model!F83,1,0))</f>
        <v>1</v>
      </c>
      <c r="T83">
        <f>IF(Model!G83="",-1,IF(G83=Model!G83,1,0))</f>
        <v>1</v>
      </c>
      <c r="U83">
        <f>IF(Model!H83="",-1,IF(H83=Model!H83,1,0))</f>
        <v>1</v>
      </c>
      <c r="V83">
        <f>IF(Model!I83="",-1,IF(I83=Model!I83,1,0))</f>
        <v>1</v>
      </c>
    </row>
    <row r="84" spans="2:23">
      <c r="B84" s="7"/>
      <c r="C84" s="19" t="str">
        <f t="shared" si="11"/>
        <v>Third-Party eCommerce Websites</v>
      </c>
      <c r="D84" s="49">
        <f>Model!D65*Model!D76</f>
        <v>178.5</v>
      </c>
      <c r="E84" s="49">
        <f>Model!E65*Model!E76</f>
        <v>357</v>
      </c>
      <c r="F84" s="49">
        <f>Model!F65*Model!F76</f>
        <v>656.88</v>
      </c>
      <c r="G84" s="49">
        <f>Model!G65*Model!G76</f>
        <v>589.05000000000007</v>
      </c>
      <c r="H84" s="49">
        <f>Model!H65*Model!H76</f>
        <v>535.5</v>
      </c>
      <c r="I84" s="49">
        <f>Model!I65*Model!I76</f>
        <v>535.5</v>
      </c>
      <c r="J84" s="32"/>
      <c r="K84" s="29">
        <f t="shared" si="10"/>
        <v>2852.4300000000003</v>
      </c>
      <c r="Q84">
        <f>IF(Model!D84="",-1,IF(D84=Model!D84,1,0))</f>
        <v>1</v>
      </c>
      <c r="R84">
        <f>IF(Model!E84="",-1,IF(E84=Model!E84,1,0))</f>
        <v>1</v>
      </c>
      <c r="S84">
        <f>IF(Model!F84="",-1,IF(F84=Model!F84,1,0))</f>
        <v>1</v>
      </c>
      <c r="T84">
        <f>IF(Model!G84="",-1,IF(G84=Model!G84,1,0))</f>
        <v>1</v>
      </c>
      <c r="U84">
        <f>IF(Model!H84="",-1,IF(H84=Model!H84,1,0))</f>
        <v>1</v>
      </c>
      <c r="V84">
        <f>IF(Model!I84="",-1,IF(I84=Model!I84,1,0))</f>
        <v>1</v>
      </c>
    </row>
    <row r="85" spans="2:23">
      <c r="B85" s="7"/>
      <c r="C85" s="19" t="str">
        <f t="shared" si="11"/>
        <v>Liquidation</v>
      </c>
      <c r="D85" s="32"/>
      <c r="E85" s="32"/>
      <c r="F85" s="32"/>
      <c r="G85" s="32"/>
      <c r="H85" s="32"/>
      <c r="I85" s="32"/>
      <c r="J85" s="49">
        <f>Model!J66*Model!J77</f>
        <v>0</v>
      </c>
      <c r="K85" s="29">
        <f t="shared" si="10"/>
        <v>0</v>
      </c>
    </row>
    <row r="86" spans="2:23">
      <c r="C86" s="11" t="s">
        <v>49</v>
      </c>
      <c r="D86" s="49">
        <f>SUM(Model!D80:'Model'!D85)</f>
        <v>10335.875</v>
      </c>
      <c r="E86" s="49">
        <f>SUM(Model!E80:'Model'!E85)</f>
        <v>2171.75</v>
      </c>
      <c r="F86" s="49">
        <f>SUM(Model!F80:'Model'!F85)</f>
        <v>4286.38</v>
      </c>
      <c r="G86" s="49">
        <f>SUM(Model!G80:'Model'!G85)</f>
        <v>5125.9250000000002</v>
      </c>
      <c r="H86" s="49">
        <f>SUM(Model!H80:'Model'!H85)</f>
        <v>5072.375</v>
      </c>
      <c r="I86" s="49">
        <f>SUM(Model!I80:'Model'!I85)</f>
        <v>3257.625</v>
      </c>
      <c r="J86" s="49">
        <f>SUM(Model!J80:'Model'!J85)</f>
        <v>0</v>
      </c>
      <c r="K86" s="39">
        <f>SUM(D86:J86)</f>
        <v>30249.93</v>
      </c>
      <c r="Q86">
        <f>IF(Model!D86="",-1,IF(D86=Model!D86,1,0))</f>
        <v>1</v>
      </c>
      <c r="R86">
        <f>IF(Model!E86="",-1,IF(E86=Model!E86,1,0))</f>
        <v>1</v>
      </c>
      <c r="S86">
        <f>IF(Model!F86="",-1,IF(F86=Model!F86,1,0))</f>
        <v>1</v>
      </c>
      <c r="T86">
        <f>IF(Model!G86="",-1,IF(G86=Model!G86,1,0))</f>
        <v>1</v>
      </c>
      <c r="U86">
        <f>IF(Model!H86="",-1,IF(H86=Model!H86,1,0))</f>
        <v>1</v>
      </c>
      <c r="V86">
        <f>IF(Model!I86="",-1,IF(I86=Model!I86,1,0))</f>
        <v>1</v>
      </c>
      <c r="W86">
        <f>IF(Model!J86="",-1,IF(J86=Model!J86,1,0))</f>
        <v>1</v>
      </c>
    </row>
    <row r="87" spans="2:23">
      <c r="D87" s="29"/>
      <c r="E87" s="29"/>
      <c r="F87" s="29"/>
      <c r="G87" s="29"/>
      <c r="H87" s="29"/>
      <c r="I87" s="29"/>
      <c r="J87" s="29"/>
      <c r="K87" s="29"/>
    </row>
    <row r="88" spans="2:23">
      <c r="D88" s="29"/>
      <c r="E88" s="29"/>
      <c r="F88" s="29"/>
      <c r="G88" s="29"/>
      <c r="H88" s="29"/>
      <c r="I88" s="29"/>
      <c r="J88" s="29"/>
      <c r="K88" s="29"/>
    </row>
    <row r="89" spans="2:23">
      <c r="D89" s="29"/>
      <c r="E89" s="29"/>
      <c r="F89" s="29"/>
      <c r="G89" s="29"/>
      <c r="H89" s="29"/>
      <c r="I89" s="29"/>
      <c r="J89" s="29"/>
      <c r="K89" s="29"/>
    </row>
    <row r="90" spans="2:23">
      <c r="D90" s="29"/>
      <c r="E90" s="29"/>
      <c r="F90" s="29"/>
      <c r="G90" s="29"/>
      <c r="H90" s="29"/>
      <c r="I90" s="29"/>
      <c r="J90" s="29"/>
      <c r="K90" s="29"/>
    </row>
    <row r="91" spans="2:23">
      <c r="D91" s="29"/>
      <c r="E91" s="29"/>
      <c r="F91" s="29"/>
      <c r="G91" s="29"/>
      <c r="H91" s="29"/>
      <c r="I91" s="29"/>
      <c r="J91" s="29"/>
      <c r="K91" s="29"/>
    </row>
    <row r="92" spans="2:23">
      <c r="D92" s="29"/>
      <c r="E92" s="29"/>
      <c r="F92" s="29"/>
      <c r="G92" s="29"/>
      <c r="H92" s="29"/>
      <c r="I92" s="29"/>
      <c r="J92" s="29"/>
      <c r="K92" s="29"/>
    </row>
  </sheetData>
  <conditionalFormatting sqref="C20:G21">
    <cfRule type="expression" dxfId="1" priority="1">
      <formula>AND(C20&lt;&gt;C20,C20&lt;&gt;"")</formula>
    </cfRule>
  </conditionalFormatting>
  <conditionalFormatting sqref="D64">
    <cfRule type="expression" dxfId="0" priority="2">
      <formula>D64&lt;&gt;D64</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B36C6-39EA-6845-B058-82AF0EF7C9B5}">
  <dimension ref="A1:EC126"/>
  <sheetViews>
    <sheetView topLeftCell="A5" workbookViewId="0">
      <selection activeCell="K36" sqref="K36"/>
    </sheetView>
  </sheetViews>
  <sheetFormatPr defaultColWidth="10.75" defaultRowHeight="12.75"/>
  <cols>
    <col min="1" max="1" width="11.25" style="131" customWidth="1"/>
    <col min="2" max="2" width="10.25" style="131" customWidth="1"/>
    <col min="3" max="3" width="13.25" style="131" customWidth="1"/>
    <col min="4" max="4" width="10" style="131" customWidth="1"/>
    <col min="5" max="6" width="10.75" style="131"/>
    <col min="7" max="8" width="10.75" style="131" customWidth="1"/>
    <col min="9" max="79" width="10.75" style="144" customWidth="1"/>
    <col min="80" max="80" width="10.75" style="144"/>
    <col min="81" max="81" width="14.25" style="144" customWidth="1"/>
    <col min="82" max="82" width="10.75" style="144" customWidth="1"/>
    <col min="83" max="16384" width="10.75" style="144"/>
  </cols>
  <sheetData>
    <row r="1" spans="1:133" s="134" customFormat="1" ht="15.75">
      <c r="A1" s="131"/>
      <c r="B1" s="131"/>
      <c r="C1" s="132"/>
      <c r="D1" s="133"/>
      <c r="E1" s="131"/>
      <c r="F1" s="131"/>
      <c r="G1" s="131"/>
      <c r="H1" s="131"/>
      <c r="CA1" s="134">
        <v>3</v>
      </c>
      <c r="CB1" s="134">
        <v>1234567</v>
      </c>
      <c r="CC1" s="134" t="b">
        <f ca="1">TODAY()&gt;45078</f>
        <v>0</v>
      </c>
      <c r="CD1" s="134">
        <v>2</v>
      </c>
      <c r="CE1" s="134">
        <v>3</v>
      </c>
      <c r="CF1" s="134">
        <v>4</v>
      </c>
      <c r="CG1" s="134">
        <v>5</v>
      </c>
      <c r="CH1" s="134">
        <v>6</v>
      </c>
      <c r="CI1" s="134">
        <v>7</v>
      </c>
      <c r="CJ1" s="134">
        <v>8</v>
      </c>
      <c r="CK1" s="134">
        <v>9</v>
      </c>
      <c r="CL1" s="134">
        <v>10</v>
      </c>
      <c r="CM1" s="134">
        <v>11</v>
      </c>
      <c r="CN1" s="134">
        <v>12</v>
      </c>
      <c r="CO1" s="134">
        <v>13</v>
      </c>
      <c r="CP1" s="135">
        <v>14</v>
      </c>
      <c r="CW1" s="131">
        <v>1</v>
      </c>
      <c r="CX1" s="131" t="s">
        <v>216</v>
      </c>
      <c r="CY1" s="131"/>
      <c r="DD1" s="136">
        <v>1</v>
      </c>
      <c r="DE1" s="136">
        <v>2</v>
      </c>
      <c r="DF1" s="136">
        <v>3</v>
      </c>
      <c r="DG1" s="136">
        <v>4</v>
      </c>
      <c r="DH1" s="136">
        <v>5</v>
      </c>
      <c r="DI1" s="136">
        <v>6</v>
      </c>
      <c r="DJ1" s="136">
        <v>7</v>
      </c>
      <c r="DK1" s="136">
        <v>8</v>
      </c>
      <c r="DL1" s="136">
        <v>9</v>
      </c>
      <c r="DM1" s="136">
        <v>10</v>
      </c>
      <c r="DN1" s="136">
        <v>11</v>
      </c>
      <c r="DO1" s="136">
        <v>12</v>
      </c>
      <c r="DP1" s="136">
        <v>13</v>
      </c>
      <c r="DQ1" s="136">
        <v>14</v>
      </c>
      <c r="DR1" s="136">
        <v>15</v>
      </c>
      <c r="DS1" s="136">
        <v>16</v>
      </c>
      <c r="DT1" s="136">
        <v>17</v>
      </c>
      <c r="DU1" s="136">
        <v>18</v>
      </c>
      <c r="DV1" s="136">
        <v>19</v>
      </c>
      <c r="DW1" s="136">
        <v>20</v>
      </c>
      <c r="DX1" s="136">
        <v>21</v>
      </c>
      <c r="DY1" s="136">
        <v>22</v>
      </c>
      <c r="DZ1" s="136">
        <v>23</v>
      </c>
      <c r="EA1" s="136">
        <v>24</v>
      </c>
      <c r="EB1" s="136">
        <v>25</v>
      </c>
      <c r="EC1" s="136">
        <v>26</v>
      </c>
    </row>
    <row r="2" spans="1:133" s="125" customFormat="1">
      <c r="CA2" s="137">
        <v>16</v>
      </c>
      <c r="CB2" s="138">
        <f>MOD($CB$1,CA2)+1</f>
        <v>8</v>
      </c>
      <c r="CC2" s="139">
        <f>CB2</f>
        <v>8</v>
      </c>
      <c r="CD2" s="125">
        <f>RANK($CC2,$CC$2:$CC$3)</f>
        <v>2</v>
      </c>
      <c r="CE2" s="125">
        <f>RANK($CC2,$CC$2:$CC$4)</f>
        <v>2</v>
      </c>
      <c r="CF2" s="125">
        <f>RANK($CC2,$CC$2:$CC$5)</f>
        <v>3</v>
      </c>
      <c r="CG2" s="125">
        <f>RANK($CC2,$CC$2:$CC$6)</f>
        <v>4</v>
      </c>
      <c r="CH2" s="125">
        <f>RANK($CC2,$CC$2:$CC$7)</f>
        <v>5</v>
      </c>
      <c r="CI2" s="125">
        <f>RANK($CC2,$CC$2:$CC$8)</f>
        <v>6</v>
      </c>
      <c r="CJ2" s="125">
        <f>RANK($CC2,$CC$2:$CC$9)</f>
        <v>7</v>
      </c>
      <c r="CK2" s="125">
        <f>RANK($CC2,$CC$2:$CC$10)</f>
        <v>8</v>
      </c>
      <c r="CL2" s="125">
        <f>RANK($CC2,$CC$2:$CC$11)</f>
        <v>9</v>
      </c>
      <c r="CM2" s="125">
        <f>RANK($CC2,$CC$2:$CC$12)</f>
        <v>10</v>
      </c>
      <c r="CN2" s="125">
        <f>RANK($CC2,$CC$2:$CC$13)</f>
        <v>11</v>
      </c>
      <c r="CO2" s="125">
        <f t="shared" ref="CO2:CO14" si="0">RANK($CC2,$CC$2:$CC$14)</f>
        <v>12</v>
      </c>
      <c r="CP2" s="140">
        <f t="shared" ref="CP2:CP15" si="1">RANK($CC2,$CC$2:$CC$15)</f>
        <v>13</v>
      </c>
      <c r="CT2" s="141"/>
      <c r="CW2" s="131">
        <v>2</v>
      </c>
      <c r="CX2" s="131" t="s">
        <v>217</v>
      </c>
      <c r="CY2" s="131"/>
      <c r="DD2" s="142" t="s">
        <v>218</v>
      </c>
      <c r="DE2" s="143" t="s">
        <v>219</v>
      </c>
      <c r="DF2" s="142" t="s">
        <v>220</v>
      </c>
      <c r="DG2" s="143" t="s">
        <v>221</v>
      </c>
      <c r="DH2" s="142" t="s">
        <v>222</v>
      </c>
      <c r="DI2" s="143" t="s">
        <v>223</v>
      </c>
      <c r="DJ2" s="142" t="s">
        <v>224</v>
      </c>
      <c r="DK2" s="143" t="s">
        <v>225</v>
      </c>
      <c r="DL2" s="143" t="s">
        <v>226</v>
      </c>
      <c r="DM2" s="143" t="s">
        <v>227</v>
      </c>
      <c r="DN2" s="143" t="s">
        <v>228</v>
      </c>
      <c r="DO2" s="143" t="s">
        <v>229</v>
      </c>
      <c r="DP2" s="143" t="s">
        <v>230</v>
      </c>
      <c r="DQ2" s="143" t="s">
        <v>231</v>
      </c>
      <c r="DR2" s="143" t="s">
        <v>232</v>
      </c>
      <c r="DS2" s="143" t="s">
        <v>233</v>
      </c>
      <c r="DT2" s="143" t="s">
        <v>234</v>
      </c>
      <c r="DU2" s="143" t="s">
        <v>235</v>
      </c>
      <c r="DV2" s="143" t="s">
        <v>236</v>
      </c>
      <c r="DW2" s="143" t="s">
        <v>237</v>
      </c>
      <c r="DX2" s="143" t="s">
        <v>238</v>
      </c>
      <c r="DY2" s="143" t="s">
        <v>239</v>
      </c>
      <c r="DZ2" s="143" t="s">
        <v>240</v>
      </c>
      <c r="EA2" s="143" t="s">
        <v>199</v>
      </c>
      <c r="EB2" s="143" t="s">
        <v>241</v>
      </c>
      <c r="EC2" s="143" t="s">
        <v>242</v>
      </c>
    </row>
    <row r="3" spans="1:133">
      <c r="CA3" s="137">
        <v>17</v>
      </c>
      <c r="CB3" s="138">
        <f t="shared" ref="CB3:CB15" si="2">MOD($CB$1,CA3)+1</f>
        <v>11</v>
      </c>
      <c r="CC3" s="139">
        <f>IF(COUNTIF(CC$2:CC2,CB3)&gt;0,CB3+0.1*COUNTIF(CB$2:CB2,CB3),CB3)</f>
        <v>11</v>
      </c>
      <c r="CD3" s="144">
        <f>RANK(CC3,CC$2:CC$3)</f>
        <v>1</v>
      </c>
      <c r="CE3" s="144">
        <f t="shared" ref="CE3:CE4" si="3">RANK($CC3,$CC$2:$CC$4)</f>
        <v>1</v>
      </c>
      <c r="CF3" s="144">
        <f t="shared" ref="CF3:CF5" si="4">RANK($CC3,$CC$2:$CC$5)</f>
        <v>2</v>
      </c>
      <c r="CG3" s="144">
        <f t="shared" ref="CG3:CG6" si="5">RANK($CC3,$CC$2:$CC$6)</f>
        <v>2</v>
      </c>
      <c r="CH3" s="144">
        <f t="shared" ref="CH3:CH7" si="6">RANK($CC3,$CC$2:$CC$7)</f>
        <v>3</v>
      </c>
      <c r="CI3" s="144">
        <f t="shared" ref="CI3:CI8" si="7">RANK($CC3,$CC$2:$CC$8)</f>
        <v>4</v>
      </c>
      <c r="CJ3" s="144">
        <f t="shared" ref="CJ3:CJ9" si="8">RANK($CC3,$CC$2:$CC$9)</f>
        <v>5</v>
      </c>
      <c r="CK3" s="144">
        <f t="shared" ref="CK3:CK10" si="9">RANK($CC3,$CC$2:$CC$10)</f>
        <v>5</v>
      </c>
      <c r="CL3" s="144">
        <f t="shared" ref="CL3:CL11" si="10">RANK($CC3,$CC$2:$CC$11)</f>
        <v>6</v>
      </c>
      <c r="CM3" s="125">
        <f t="shared" ref="CM3:CM12" si="11">RANK($CC3,$CC$2:$CC$12)</f>
        <v>6</v>
      </c>
      <c r="CN3" s="125">
        <f t="shared" ref="CN3:CN13" si="12">RANK($CC3,$CC$2:$CC$13)</f>
        <v>7</v>
      </c>
      <c r="CO3" s="125">
        <f t="shared" si="0"/>
        <v>8</v>
      </c>
      <c r="CP3" s="140">
        <f t="shared" si="1"/>
        <v>8</v>
      </c>
      <c r="CT3" s="141"/>
      <c r="CW3" s="131">
        <v>3</v>
      </c>
      <c r="CX3" s="131" t="s">
        <v>243</v>
      </c>
      <c r="CY3" s="131"/>
    </row>
    <row r="4" spans="1:133">
      <c r="C4" s="145"/>
      <c r="D4" s="133"/>
      <c r="E4" s="136"/>
      <c r="F4" s="136"/>
      <c r="G4" s="136"/>
      <c r="H4" s="136"/>
      <c r="CA4" s="137">
        <v>19</v>
      </c>
      <c r="CB4" s="138">
        <f t="shared" si="2"/>
        <v>5</v>
      </c>
      <c r="CC4" s="139">
        <f>IF(COUNTIF(CC$2:CC3,CB4)&gt;0,CB4+0.1*COUNTIF(CB$2:CB3,CB4),CB4)</f>
        <v>5</v>
      </c>
      <c r="CE4" s="144">
        <f t="shared" si="3"/>
        <v>3</v>
      </c>
      <c r="CF4" s="144">
        <f t="shared" si="4"/>
        <v>4</v>
      </c>
      <c r="CG4" s="144">
        <f t="shared" si="5"/>
        <v>5</v>
      </c>
      <c r="CH4" s="144">
        <f t="shared" si="6"/>
        <v>6</v>
      </c>
      <c r="CI4" s="144">
        <f t="shared" si="7"/>
        <v>7</v>
      </c>
      <c r="CJ4" s="144">
        <f t="shared" si="8"/>
        <v>8</v>
      </c>
      <c r="CK4" s="144">
        <f t="shared" si="9"/>
        <v>9</v>
      </c>
      <c r="CL4" s="144">
        <f t="shared" si="10"/>
        <v>10</v>
      </c>
      <c r="CM4" s="125">
        <f t="shared" si="11"/>
        <v>11</v>
      </c>
      <c r="CN4" s="125">
        <f t="shared" si="12"/>
        <v>12</v>
      </c>
      <c r="CO4" s="125">
        <f t="shared" si="0"/>
        <v>13</v>
      </c>
      <c r="CP4" s="140">
        <f t="shared" si="1"/>
        <v>14</v>
      </c>
      <c r="CT4" s="141"/>
      <c r="CW4" s="131">
        <v>4</v>
      </c>
      <c r="CX4" s="131" t="s">
        <v>244</v>
      </c>
      <c r="CY4" s="131"/>
    </row>
    <row r="5" spans="1:133">
      <c r="BZ5" s="139"/>
      <c r="CA5" s="137">
        <v>23</v>
      </c>
      <c r="CB5" s="138">
        <f t="shared" si="2"/>
        <v>20</v>
      </c>
      <c r="CC5" s="139">
        <f>IF(COUNTIF(CC$2:CC4,CB5)&gt;0,CB5+0.1*COUNTIF(CB$2:CB4,CB5),CB5)</f>
        <v>20</v>
      </c>
      <c r="CF5" s="144">
        <f t="shared" si="4"/>
        <v>1</v>
      </c>
      <c r="CG5" s="144">
        <f t="shared" si="5"/>
        <v>1</v>
      </c>
      <c r="CH5" s="144">
        <f t="shared" si="6"/>
        <v>2</v>
      </c>
      <c r="CI5" s="144">
        <f t="shared" si="7"/>
        <v>2</v>
      </c>
      <c r="CJ5" s="144">
        <f t="shared" si="8"/>
        <v>3</v>
      </c>
      <c r="CK5" s="144">
        <f t="shared" si="9"/>
        <v>3</v>
      </c>
      <c r="CL5" s="144">
        <f t="shared" si="10"/>
        <v>3</v>
      </c>
      <c r="CM5" s="125">
        <f t="shared" si="11"/>
        <v>3</v>
      </c>
      <c r="CN5" s="125">
        <f t="shared" si="12"/>
        <v>4</v>
      </c>
      <c r="CO5" s="125">
        <f t="shared" si="0"/>
        <v>5</v>
      </c>
      <c r="CP5" s="140">
        <f t="shared" si="1"/>
        <v>5</v>
      </c>
      <c r="CT5" s="141"/>
      <c r="CW5" s="131">
        <v>5</v>
      </c>
      <c r="CX5" s="131" t="s">
        <v>245</v>
      </c>
      <c r="CY5" s="131"/>
    </row>
    <row r="6" spans="1:133">
      <c r="B6" s="146"/>
      <c r="CA6" s="137">
        <v>20</v>
      </c>
      <c r="CB6" s="138">
        <f t="shared" si="2"/>
        <v>8</v>
      </c>
      <c r="CC6" s="139">
        <f>IF(COUNTIF(CC$2:CC5,CB6)&gt;0,CB6+0.1*COUNTIF(CB$2:CB5,CB6),CB6)</f>
        <v>8.1</v>
      </c>
      <c r="CG6" s="144">
        <f t="shared" si="5"/>
        <v>3</v>
      </c>
      <c r="CH6" s="144">
        <f t="shared" si="6"/>
        <v>4</v>
      </c>
      <c r="CI6" s="144">
        <f t="shared" si="7"/>
        <v>5</v>
      </c>
      <c r="CJ6" s="144">
        <f t="shared" si="8"/>
        <v>6</v>
      </c>
      <c r="CK6" s="144">
        <f t="shared" si="9"/>
        <v>7</v>
      </c>
      <c r="CL6" s="144">
        <f t="shared" si="10"/>
        <v>8</v>
      </c>
      <c r="CM6" s="125">
        <f t="shared" si="11"/>
        <v>9</v>
      </c>
      <c r="CN6" s="125">
        <f t="shared" si="12"/>
        <v>10</v>
      </c>
      <c r="CO6" s="125">
        <f t="shared" si="0"/>
        <v>11</v>
      </c>
      <c r="CP6" s="140">
        <f t="shared" si="1"/>
        <v>12</v>
      </c>
      <c r="CT6" s="141"/>
      <c r="CW6" s="131">
        <v>6</v>
      </c>
      <c r="CX6" s="136" t="s">
        <v>246</v>
      </c>
      <c r="CY6" s="136"/>
    </row>
    <row r="7" spans="1:133">
      <c r="B7" s="147"/>
      <c r="C7" s="113"/>
      <c r="D7" s="148"/>
      <c r="E7" s="113"/>
      <c r="F7" s="149"/>
      <c r="CA7" s="137">
        <v>21</v>
      </c>
      <c r="CB7" s="138">
        <f t="shared" si="2"/>
        <v>20</v>
      </c>
      <c r="CC7" s="139">
        <f>IF(COUNTIF(CC$2:CC6,CB7)&gt;0,CB7+0.1*COUNTIF(CB$2:CB6,CB7),CB7)</f>
        <v>20.100000000000001</v>
      </c>
      <c r="CH7" s="144">
        <f t="shared" si="6"/>
        <v>1</v>
      </c>
      <c r="CI7" s="144">
        <f t="shared" si="7"/>
        <v>1</v>
      </c>
      <c r="CJ7" s="144">
        <f t="shared" si="8"/>
        <v>2</v>
      </c>
      <c r="CK7" s="144">
        <f t="shared" si="9"/>
        <v>2</v>
      </c>
      <c r="CL7" s="144">
        <f t="shared" si="10"/>
        <v>2</v>
      </c>
      <c r="CM7" s="125">
        <f t="shared" si="11"/>
        <v>2</v>
      </c>
      <c r="CN7" s="125">
        <f t="shared" si="12"/>
        <v>3</v>
      </c>
      <c r="CO7" s="125">
        <f t="shared" si="0"/>
        <v>4</v>
      </c>
      <c r="CP7" s="140">
        <f t="shared" si="1"/>
        <v>4</v>
      </c>
      <c r="CT7" s="141"/>
      <c r="CW7" s="131">
        <v>7</v>
      </c>
      <c r="CX7" s="136" t="s">
        <v>247</v>
      </c>
      <c r="CY7" s="136"/>
    </row>
    <row r="8" spans="1:133">
      <c r="CA8" s="137">
        <v>22</v>
      </c>
      <c r="CB8" s="138">
        <f t="shared" si="2"/>
        <v>16</v>
      </c>
      <c r="CC8" s="139">
        <f>IF(COUNTIF(CC$2:CC7,CB8)&gt;0,CB8+0.1*COUNTIF(CB$2:CB7,CB8),CB8)</f>
        <v>16</v>
      </c>
      <c r="CI8" s="144">
        <f t="shared" si="7"/>
        <v>3</v>
      </c>
      <c r="CJ8" s="144">
        <f t="shared" si="8"/>
        <v>4</v>
      </c>
      <c r="CK8" s="144">
        <f t="shared" si="9"/>
        <v>4</v>
      </c>
      <c r="CL8" s="144">
        <f t="shared" si="10"/>
        <v>5</v>
      </c>
      <c r="CM8" s="125">
        <f t="shared" si="11"/>
        <v>5</v>
      </c>
      <c r="CN8" s="125">
        <f t="shared" si="12"/>
        <v>6</v>
      </c>
      <c r="CO8" s="125">
        <f t="shared" si="0"/>
        <v>7</v>
      </c>
      <c r="CP8" s="140">
        <f t="shared" si="1"/>
        <v>7</v>
      </c>
      <c r="CT8" s="141"/>
      <c r="CW8" s="131">
        <v>8</v>
      </c>
      <c r="CX8" s="136" t="s">
        <v>248</v>
      </c>
      <c r="CY8" s="136"/>
    </row>
    <row r="9" spans="1:133">
      <c r="B9" s="136"/>
      <c r="CA9" s="137">
        <v>23</v>
      </c>
      <c r="CB9" s="138">
        <f t="shared" si="2"/>
        <v>20</v>
      </c>
      <c r="CC9" s="139">
        <f>IF(COUNTIF(CC$2:CC8,CB9)&gt;0,CB9+0.1*COUNTIF(CB$2:CB8,CB9),CB9)</f>
        <v>20.2</v>
      </c>
      <c r="CJ9" s="144">
        <f t="shared" si="8"/>
        <v>1</v>
      </c>
      <c r="CK9" s="144">
        <f t="shared" si="9"/>
        <v>1</v>
      </c>
      <c r="CL9" s="144">
        <f t="shared" si="10"/>
        <v>1</v>
      </c>
      <c r="CM9" s="125">
        <f t="shared" si="11"/>
        <v>1</v>
      </c>
      <c r="CN9" s="125">
        <f t="shared" si="12"/>
        <v>2</v>
      </c>
      <c r="CO9" s="125">
        <f t="shared" si="0"/>
        <v>3</v>
      </c>
      <c r="CP9" s="140">
        <f t="shared" si="1"/>
        <v>3</v>
      </c>
      <c r="CT9" s="141"/>
      <c r="CW9" s="131">
        <v>9</v>
      </c>
      <c r="CX9" s="136" t="s">
        <v>249</v>
      </c>
      <c r="CY9" s="136"/>
    </row>
    <row r="10" spans="1:133">
      <c r="A10" s="136"/>
      <c r="B10" s="136"/>
      <c r="C10" s="136"/>
      <c r="D10" s="136"/>
      <c r="E10" s="136"/>
      <c r="F10" s="136"/>
      <c r="G10" s="136"/>
      <c r="H10" s="136"/>
      <c r="CA10" s="137">
        <v>24</v>
      </c>
      <c r="CB10" s="138">
        <f t="shared" si="2"/>
        <v>8</v>
      </c>
      <c r="CC10" s="139">
        <f>IF(COUNTIF(CC$2:CC9,CB10)&gt;0,CB10+0.1*COUNTIF(CB$2:CB9,CB10),CB10)</f>
        <v>8.1999999999999993</v>
      </c>
      <c r="CK10" s="144">
        <f t="shared" si="9"/>
        <v>6</v>
      </c>
      <c r="CL10" s="144">
        <f t="shared" si="10"/>
        <v>7</v>
      </c>
      <c r="CM10" s="125">
        <f t="shared" si="11"/>
        <v>8</v>
      </c>
      <c r="CN10" s="125">
        <f t="shared" si="12"/>
        <v>9</v>
      </c>
      <c r="CO10" s="125">
        <f t="shared" si="0"/>
        <v>10</v>
      </c>
      <c r="CP10" s="140">
        <f t="shared" si="1"/>
        <v>11</v>
      </c>
      <c r="CT10" s="141"/>
      <c r="CW10" s="131">
        <v>10</v>
      </c>
      <c r="CX10" s="136" t="s">
        <v>250</v>
      </c>
      <c r="CY10" s="136"/>
    </row>
    <row r="11" spans="1:133">
      <c r="A11" s="136"/>
      <c r="B11" s="136"/>
      <c r="C11" s="136"/>
      <c r="D11" s="136"/>
      <c r="E11" s="136"/>
      <c r="F11" s="136"/>
      <c r="G11" s="136"/>
      <c r="H11" s="136"/>
      <c r="CA11" s="137">
        <v>25</v>
      </c>
      <c r="CB11" s="138">
        <f t="shared" si="2"/>
        <v>18</v>
      </c>
      <c r="CC11" s="139">
        <f>IF(COUNTIF(CC$2:CC10,CB11)&gt;0,CB11+0.1*COUNTIF(CB$2:CB10,CB11),CB11)</f>
        <v>18</v>
      </c>
      <c r="CL11" s="144">
        <f t="shared" si="10"/>
        <v>4</v>
      </c>
      <c r="CM11" s="125">
        <f t="shared" si="11"/>
        <v>4</v>
      </c>
      <c r="CN11" s="125">
        <f t="shared" si="12"/>
        <v>5</v>
      </c>
      <c r="CO11" s="125">
        <f t="shared" si="0"/>
        <v>6</v>
      </c>
      <c r="CP11" s="140">
        <f t="shared" si="1"/>
        <v>6</v>
      </c>
      <c r="CT11" s="141"/>
      <c r="CW11" s="131">
        <v>11</v>
      </c>
      <c r="CX11" s="136" t="s">
        <v>251</v>
      </c>
      <c r="CY11" s="136"/>
    </row>
    <row r="12" spans="1:133">
      <c r="A12" s="136"/>
      <c r="B12" s="136"/>
      <c r="C12" s="136"/>
      <c r="D12" s="136"/>
      <c r="E12" s="136"/>
      <c r="F12" s="136"/>
      <c r="G12" s="136"/>
      <c r="H12" s="136"/>
      <c r="CA12" s="137">
        <v>26</v>
      </c>
      <c r="CB12" s="138">
        <f t="shared" si="2"/>
        <v>10</v>
      </c>
      <c r="CC12" s="139">
        <f>IF(COUNTIF(CC$2:CC11,CB12)&gt;0,CB12+0.1*COUNTIF(CB$2:CB11,CB12),CB12)</f>
        <v>10</v>
      </c>
      <c r="CM12" s="125">
        <f t="shared" si="11"/>
        <v>7</v>
      </c>
      <c r="CN12" s="125">
        <f t="shared" si="12"/>
        <v>8</v>
      </c>
      <c r="CO12" s="125">
        <f t="shared" si="0"/>
        <v>9</v>
      </c>
      <c r="CP12" s="140">
        <f t="shared" si="1"/>
        <v>9</v>
      </c>
      <c r="CT12" s="141"/>
      <c r="CW12" s="131">
        <v>12</v>
      </c>
      <c r="CX12" s="136" t="s">
        <v>252</v>
      </c>
      <c r="CY12" s="136"/>
    </row>
    <row r="13" spans="1:133">
      <c r="A13" s="136" t="s">
        <v>253</v>
      </c>
      <c r="B13" s="150" t="str">
        <f>TEXT(B15,"0000000")&amp;TEXT(B14,"00")</f>
        <v>123456703</v>
      </c>
      <c r="C13" s="136"/>
      <c r="D13" s="136"/>
      <c r="E13" s="136"/>
      <c r="F13" s="136"/>
      <c r="G13" s="136"/>
      <c r="H13" s="136"/>
      <c r="CA13" s="137">
        <v>27</v>
      </c>
      <c r="CB13" s="138">
        <f t="shared" si="2"/>
        <v>20</v>
      </c>
      <c r="CC13" s="139">
        <f>IF(COUNTIF(CC$2:CC12,CB13)&gt;0,CB13+0.1*COUNTIF(CB$2:CB12,CB13),CB13)</f>
        <v>20.3</v>
      </c>
      <c r="CN13" s="125">
        <f t="shared" si="12"/>
        <v>1</v>
      </c>
      <c r="CO13" s="125">
        <f t="shared" si="0"/>
        <v>2</v>
      </c>
      <c r="CP13" s="140">
        <f t="shared" si="1"/>
        <v>2</v>
      </c>
      <c r="CT13" s="141"/>
      <c r="CW13" s="131">
        <v>13</v>
      </c>
      <c r="CX13" s="136" t="s">
        <v>254</v>
      </c>
      <c r="CY13" s="136"/>
    </row>
    <row r="14" spans="1:133">
      <c r="A14" s="131" t="s">
        <v>255</v>
      </c>
      <c r="B14" s="136">
        <f>CA1</f>
        <v>3</v>
      </c>
      <c r="C14" s="136"/>
      <c r="D14" s="136"/>
      <c r="E14" s="136"/>
      <c r="F14" s="136"/>
      <c r="G14" s="136"/>
      <c r="H14" s="136"/>
      <c r="CA14" s="137">
        <v>28</v>
      </c>
      <c r="CB14" s="138">
        <f t="shared" si="2"/>
        <v>20</v>
      </c>
      <c r="CC14" s="139">
        <f>IF(COUNTIF(CC$2:CC13,CB14)&gt;0,CB14+0.1*COUNTIF(CB$2:CB13,CB14),CB14)</f>
        <v>20.399999999999999</v>
      </c>
      <c r="CO14" s="125">
        <f t="shared" si="0"/>
        <v>1</v>
      </c>
      <c r="CP14" s="140">
        <f t="shared" si="1"/>
        <v>1</v>
      </c>
      <c r="CT14" s="141"/>
      <c r="CW14" s="131">
        <v>14</v>
      </c>
      <c r="CX14" s="136" t="s">
        <v>256</v>
      </c>
      <c r="CY14" s="136"/>
    </row>
    <row r="15" spans="1:133">
      <c r="A15" s="131" t="s">
        <v>257</v>
      </c>
      <c r="B15" s="136">
        <f>CB1</f>
        <v>1234567</v>
      </c>
      <c r="C15" s="136"/>
      <c r="D15" s="136"/>
      <c r="E15" s="136"/>
      <c r="F15" s="136"/>
      <c r="G15" s="136"/>
      <c r="H15" s="136"/>
      <c r="CA15" s="140">
        <v>29</v>
      </c>
      <c r="CB15" s="151">
        <f t="shared" si="2"/>
        <v>9</v>
      </c>
      <c r="CC15" s="152">
        <f>IF(COUNTIF(CC$2:CC14,CB15)&gt;0,CB15+0.1*COUNTIF(CB$2:CB14,CB15),CB15)</f>
        <v>9</v>
      </c>
      <c r="CO15" s="125"/>
      <c r="CP15" s="140">
        <f t="shared" si="1"/>
        <v>10</v>
      </c>
      <c r="CW15" s="131">
        <v>15</v>
      </c>
      <c r="CX15" s="131" t="s">
        <v>258</v>
      </c>
      <c r="CY15" s="131"/>
    </row>
    <row r="16" spans="1:133">
      <c r="A16" s="133" t="s">
        <v>259</v>
      </c>
      <c r="B16" s="136">
        <v>2</v>
      </c>
      <c r="C16" s="136"/>
      <c r="D16" s="136"/>
      <c r="E16" s="136"/>
      <c r="F16" s="136"/>
      <c r="G16" s="136"/>
      <c r="H16" s="136"/>
      <c r="CB16" s="137"/>
      <c r="CW16" s="131">
        <v>16</v>
      </c>
      <c r="CX16" s="131"/>
      <c r="CY16" s="131"/>
    </row>
    <row r="17" spans="1:103">
      <c r="A17" s="136" t="s">
        <v>260</v>
      </c>
      <c r="B17" s="136">
        <f>SUM(E23:E122)</f>
        <v>114.21299999999999</v>
      </c>
      <c r="C17" s="136"/>
      <c r="D17" s="136"/>
      <c r="E17" s="136"/>
      <c r="F17" s="136"/>
      <c r="G17" s="136"/>
      <c r="H17" s="136"/>
      <c r="CB17" s="137"/>
      <c r="CW17" s="131">
        <v>17</v>
      </c>
      <c r="CX17" s="131"/>
      <c r="CY17" s="131"/>
    </row>
    <row r="18" spans="1:103">
      <c r="A18" s="136" t="s">
        <v>261</v>
      </c>
      <c r="B18" s="136">
        <f>SUM(F23:F122)</f>
        <v>118</v>
      </c>
      <c r="C18" s="136"/>
      <c r="D18" s="136"/>
      <c r="E18" s="136"/>
      <c r="F18" s="136"/>
      <c r="G18" s="136"/>
      <c r="H18" s="136"/>
      <c r="CW18" s="131">
        <v>18</v>
      </c>
      <c r="CX18" s="136" t="s">
        <v>262</v>
      </c>
      <c r="CY18" s="131"/>
    </row>
    <row r="19" spans="1:103">
      <c r="A19" s="131" t="s">
        <v>263</v>
      </c>
      <c r="B19" s="136">
        <f>SUM(G23:G122)</f>
        <v>0</v>
      </c>
      <c r="E19" s="136"/>
      <c r="F19" s="136"/>
      <c r="G19" s="136"/>
      <c r="H19" s="136"/>
      <c r="CW19" s="131">
        <v>19</v>
      </c>
      <c r="CX19" s="131" t="s">
        <v>264</v>
      </c>
      <c r="CY19" s="131"/>
    </row>
    <row r="20" spans="1:103">
      <c r="A20" s="131" t="s">
        <v>265</v>
      </c>
      <c r="B20" s="136">
        <f>SUM(H23:H122)</f>
        <v>0</v>
      </c>
      <c r="E20" s="144"/>
      <c r="F20" s="144"/>
      <c r="G20" s="144"/>
      <c r="H20" s="144"/>
      <c r="CW20" s="131">
        <v>20</v>
      </c>
      <c r="CX20" s="131" t="s">
        <v>266</v>
      </c>
      <c r="CY20" s="131"/>
    </row>
    <row r="21" spans="1:103">
      <c r="A21" s="131" t="s">
        <v>267</v>
      </c>
      <c r="B21" s="136"/>
      <c r="E21" s="136"/>
      <c r="F21" s="136"/>
      <c r="G21" s="136"/>
      <c r="H21" s="136"/>
      <c r="CW21" s="131"/>
      <c r="CX21" s="131"/>
      <c r="CY21" s="131"/>
    </row>
    <row r="22" spans="1:103" ht="15.75">
      <c r="A22" s="131" t="s">
        <v>268</v>
      </c>
      <c r="B22" s="136"/>
      <c r="E22" s="136"/>
      <c r="F22" s="136"/>
      <c r="G22" s="136"/>
      <c r="H22" s="136"/>
      <c r="CF22"/>
      <c r="CW22" s="131"/>
      <c r="CX22" s="131"/>
      <c r="CY22" s="131"/>
    </row>
    <row r="23" spans="1:103" ht="15.75">
      <c r="A23" s="131">
        <v>1</v>
      </c>
      <c r="B23" s="125" t="b">
        <f t="shared" ref="B23:B64" si="13">IF(E23+G23=F23+H23,TRUE,FALSE)</f>
        <v>1</v>
      </c>
      <c r="C23" s="136" t="s">
        <v>63</v>
      </c>
      <c r="D23" s="144">
        <f>ROW(Elasticity!C8)</f>
        <v>8</v>
      </c>
      <c r="E23" s="130">
        <f t="shared" ref="E23:E28" si="14">IFERROR(IF(CD23=CH23,F23,0),0)</f>
        <v>4</v>
      </c>
      <c r="F23" s="153">
        <v>4</v>
      </c>
      <c r="CA23" s="125">
        <v>1</v>
      </c>
      <c r="CB23" s="136"/>
      <c r="CC23" s="113"/>
      <c r="CD23" s="154">
        <f>Elasticity!C8</f>
        <v>1.5</v>
      </c>
      <c r="CE23" s="154"/>
      <c r="CF23"/>
      <c r="CH23" s="144">
        <v>1.5</v>
      </c>
      <c r="CI23" s="153"/>
      <c r="CJ23" s="153"/>
      <c r="CK23" s="153"/>
      <c r="CL23" s="153"/>
    </row>
    <row r="24" spans="1:103">
      <c r="A24" s="131">
        <v>2</v>
      </c>
      <c r="B24" s="125" t="b">
        <f t="shared" si="13"/>
        <v>1</v>
      </c>
      <c r="C24" s="136" t="s">
        <v>63</v>
      </c>
      <c r="D24" s="144">
        <f>ROW(Elasticity!C9)</f>
        <v>9</v>
      </c>
      <c r="E24" s="130">
        <f t="shared" si="14"/>
        <v>4</v>
      </c>
      <c r="F24" s="153">
        <v>4</v>
      </c>
      <c r="CA24" s="125">
        <v>2</v>
      </c>
      <c r="CB24" s="113"/>
      <c r="CC24" s="113"/>
      <c r="CD24" s="154">
        <f>Elasticity!C9</f>
        <v>2</v>
      </c>
      <c r="CE24" s="154"/>
      <c r="CH24" s="153">
        <v>2</v>
      </c>
      <c r="CI24" s="153"/>
      <c r="CJ24" s="153"/>
      <c r="CK24" s="153"/>
      <c r="CL24" s="153"/>
    </row>
    <row r="25" spans="1:103">
      <c r="A25" s="131">
        <v>3</v>
      </c>
      <c r="B25" s="125" t="b">
        <f t="shared" si="13"/>
        <v>1</v>
      </c>
      <c r="C25" s="136" t="s">
        <v>63</v>
      </c>
      <c r="D25" s="144">
        <f>ROW(Elasticity!C10)</f>
        <v>10</v>
      </c>
      <c r="E25" s="130">
        <f t="shared" si="14"/>
        <v>4</v>
      </c>
      <c r="F25" s="153">
        <v>4</v>
      </c>
      <c r="CA25" s="125">
        <v>3</v>
      </c>
      <c r="CB25" s="136"/>
      <c r="CC25" s="113"/>
      <c r="CD25" s="154">
        <f>Elasticity!C10</f>
        <v>1.5</v>
      </c>
      <c r="CE25" s="154"/>
      <c r="CH25" s="155">
        <v>1.5</v>
      </c>
      <c r="CI25" s="155"/>
      <c r="CJ25" s="155"/>
      <c r="CK25" s="156"/>
      <c r="CL25" s="156"/>
    </row>
    <row r="26" spans="1:103" ht="15.75">
      <c r="A26" s="131">
        <v>4</v>
      </c>
      <c r="B26" s="125" t="b">
        <f t="shared" si="13"/>
        <v>1</v>
      </c>
      <c r="C26" s="136" t="s">
        <v>63</v>
      </c>
      <c r="D26" s="144">
        <f>ROW(Elasticity!C11)</f>
        <v>11</v>
      </c>
      <c r="E26" s="130">
        <f t="shared" si="14"/>
        <v>4</v>
      </c>
      <c r="F26" s="153">
        <v>4</v>
      </c>
      <c r="CA26" s="125">
        <v>4</v>
      </c>
      <c r="CB26" s="136"/>
      <c r="CC26" s="113"/>
      <c r="CD26" s="154">
        <f>Elasticity!C11</f>
        <v>2</v>
      </c>
      <c r="CH26">
        <v>2</v>
      </c>
      <c r="CI26" s="155"/>
      <c r="CJ26" s="155"/>
      <c r="CK26" s="157"/>
      <c r="CL26" s="157"/>
    </row>
    <row r="27" spans="1:103" ht="15.75">
      <c r="A27" s="131">
        <v>5</v>
      </c>
      <c r="B27" s="125" t="b">
        <f t="shared" si="13"/>
        <v>1</v>
      </c>
      <c r="C27" s="136" t="s">
        <v>63</v>
      </c>
      <c r="D27" s="144">
        <f>ROW(Elasticity!C15)</f>
        <v>15</v>
      </c>
      <c r="E27" s="130">
        <f t="shared" si="14"/>
        <v>4</v>
      </c>
      <c r="F27" s="153">
        <v>4</v>
      </c>
      <c r="CA27" s="125">
        <v>5</v>
      </c>
      <c r="CB27" s="136"/>
      <c r="CC27" s="113"/>
      <c r="CD27" s="154">
        <f>Elasticity!F15</f>
        <v>1</v>
      </c>
      <c r="CH27">
        <v>1</v>
      </c>
      <c r="CI27" s="155"/>
      <c r="CJ27" s="155"/>
      <c r="CK27" s="157"/>
      <c r="CL27" s="157"/>
    </row>
    <row r="28" spans="1:103" ht="15.75">
      <c r="A28" s="131">
        <v>6</v>
      </c>
      <c r="B28" s="125" t="b">
        <f t="shared" si="13"/>
        <v>1</v>
      </c>
      <c r="C28" s="136" t="s">
        <v>63</v>
      </c>
      <c r="D28" s="144">
        <f>ROW(Elasticity!C16)</f>
        <v>16</v>
      </c>
      <c r="E28" s="130">
        <f t="shared" si="14"/>
        <v>4</v>
      </c>
      <c r="F28" s="153">
        <v>4</v>
      </c>
      <c r="CA28" s="125">
        <v>6</v>
      </c>
      <c r="CB28" s="136"/>
      <c r="CC28" s="113"/>
      <c r="CD28" s="154">
        <f>Elasticity!F16</f>
        <v>1</v>
      </c>
      <c r="CH28">
        <v>1</v>
      </c>
      <c r="CI28" s="155"/>
      <c r="CJ28" s="155"/>
      <c r="CK28" s="157"/>
      <c r="CL28" s="157"/>
    </row>
    <row r="29" spans="1:103" ht="15.75">
      <c r="A29" s="131">
        <v>7</v>
      </c>
      <c r="B29" s="125" t="b">
        <f t="shared" si="13"/>
        <v>1</v>
      </c>
      <c r="C29" s="136" t="s">
        <v>438</v>
      </c>
      <c r="D29" s="144">
        <f>ROW(Model!A15)</f>
        <v>15</v>
      </c>
      <c r="E29" s="130">
        <f>SUMIF(Scratch!P15:W15,1)/2</f>
        <v>2.5</v>
      </c>
      <c r="F29" s="153">
        <v>2.5</v>
      </c>
      <c r="CA29" s="125">
        <v>7</v>
      </c>
      <c r="CB29" s="136"/>
      <c r="CC29" s="113"/>
      <c r="CD29" s="154"/>
      <c r="CH29"/>
      <c r="CI29" s="155"/>
      <c r="CJ29" s="155"/>
      <c r="CK29" s="157"/>
      <c r="CL29" s="157"/>
    </row>
    <row r="30" spans="1:103" ht="15.75">
      <c r="A30" s="131">
        <v>8</v>
      </c>
      <c r="B30" s="125" t="b">
        <f t="shared" si="13"/>
        <v>1</v>
      </c>
      <c r="C30" s="136" t="s">
        <v>438</v>
      </c>
      <c r="D30" s="144">
        <f>ROW(Model!A20)</f>
        <v>20</v>
      </c>
      <c r="E30" s="130">
        <f>SUMIF(Scratch!P20:W20,1)/2</f>
        <v>2.5</v>
      </c>
      <c r="F30" s="153">
        <v>2.5</v>
      </c>
      <c r="CA30" s="125">
        <v>8</v>
      </c>
      <c r="CB30" s="136"/>
      <c r="CC30" s="113"/>
      <c r="CD30" s="154"/>
      <c r="CH30"/>
      <c r="CI30" s="155"/>
      <c r="CJ30" s="155"/>
      <c r="CK30" s="155"/>
      <c r="CL30" s="155"/>
    </row>
    <row r="31" spans="1:103" ht="15.75">
      <c r="A31" s="131">
        <v>9</v>
      </c>
      <c r="B31" s="125" t="b">
        <f t="shared" si="13"/>
        <v>1</v>
      </c>
      <c r="C31" s="136" t="s">
        <v>438</v>
      </c>
      <c r="D31" s="144">
        <f>ROW(Model!A21)</f>
        <v>21</v>
      </c>
      <c r="E31" s="130">
        <f>SUMIF(Scratch!P21:W21,1)/2</f>
        <v>2.5</v>
      </c>
      <c r="F31" s="153">
        <v>2.5</v>
      </c>
      <c r="CA31" s="125">
        <v>9</v>
      </c>
      <c r="CB31" s="136"/>
      <c r="CC31" s="113"/>
      <c r="CD31" s="154"/>
      <c r="CH31" s="28"/>
      <c r="CI31" s="155"/>
      <c r="CJ31" s="155"/>
      <c r="CK31" s="155"/>
      <c r="CL31" s="155"/>
    </row>
    <row r="32" spans="1:103">
      <c r="A32" s="131">
        <v>10</v>
      </c>
      <c r="B32" s="125" t="b">
        <f t="shared" si="13"/>
        <v>1</v>
      </c>
      <c r="C32" s="136" t="s">
        <v>438</v>
      </c>
      <c r="D32" s="144">
        <f>ROW(Model!A31)</f>
        <v>31</v>
      </c>
      <c r="E32" s="130">
        <f>SUMIF(Scratch!P31:W31,1)/2</f>
        <v>2</v>
      </c>
      <c r="F32" s="153">
        <v>2</v>
      </c>
      <c r="CA32" s="125">
        <v>10</v>
      </c>
      <c r="CB32" s="136"/>
      <c r="CC32" s="113"/>
      <c r="CD32" s="154"/>
      <c r="CI32" s="155"/>
      <c r="CJ32" s="155"/>
      <c r="CK32" s="155"/>
      <c r="CL32" s="155"/>
    </row>
    <row r="33" spans="1:95">
      <c r="A33" s="131">
        <v>11</v>
      </c>
      <c r="B33" s="125" t="b">
        <f t="shared" si="13"/>
        <v>1</v>
      </c>
      <c r="C33" s="136" t="s">
        <v>438</v>
      </c>
      <c r="D33" s="144">
        <f>ROW(Model!A32)</f>
        <v>32</v>
      </c>
      <c r="E33" s="130">
        <f>SUMIF(Scratch!P32:W32,1)/2</f>
        <v>2</v>
      </c>
      <c r="F33" s="153">
        <v>2</v>
      </c>
      <c r="CA33" s="125">
        <v>11</v>
      </c>
      <c r="CB33" s="136"/>
      <c r="CC33" s="113"/>
      <c r="CD33" s="154"/>
      <c r="CH33" s="155"/>
      <c r="CI33" s="155"/>
      <c r="CJ33" s="155"/>
      <c r="CK33" s="155"/>
      <c r="CL33" s="155"/>
    </row>
    <row r="34" spans="1:95">
      <c r="A34" s="131">
        <v>12</v>
      </c>
      <c r="B34" s="125" t="b">
        <f t="shared" si="13"/>
        <v>1</v>
      </c>
      <c r="C34" s="136" t="s">
        <v>438</v>
      </c>
      <c r="D34" s="144">
        <f>ROW(Model!A33)</f>
        <v>33</v>
      </c>
      <c r="E34" s="130">
        <f>SUMIF(Scratch!P33:W33,1)/2</f>
        <v>2</v>
      </c>
      <c r="F34" s="153">
        <v>2</v>
      </c>
      <c r="CA34" s="125">
        <v>12</v>
      </c>
      <c r="CB34" s="136"/>
      <c r="CC34" s="113"/>
      <c r="CD34" s="154"/>
      <c r="CH34" s="155"/>
      <c r="CI34" s="155"/>
      <c r="CJ34" s="155"/>
      <c r="CK34" s="155"/>
      <c r="CL34" s="155"/>
    </row>
    <row r="35" spans="1:95" ht="15.75">
      <c r="A35" s="131">
        <v>13</v>
      </c>
      <c r="B35" s="125" t="b">
        <f>IF(E35+G35=F35+H35,TRUE,FALSE)</f>
        <v>1</v>
      </c>
      <c r="C35" s="136" t="s">
        <v>438</v>
      </c>
      <c r="D35" s="144">
        <f>ROW(Model!A34)</f>
        <v>34</v>
      </c>
      <c r="E35" s="130">
        <f>SUMIF(Scratch!P34:W34,1)/2</f>
        <v>2</v>
      </c>
      <c r="F35" s="153">
        <v>2</v>
      </c>
      <c r="CA35" s="125">
        <v>13</v>
      </c>
      <c r="CB35" s="136"/>
      <c r="CC35" s="113"/>
      <c r="CD35" s="154"/>
      <c r="CH35"/>
      <c r="CI35" s="155"/>
      <c r="CJ35" s="155"/>
      <c r="CK35" s="157"/>
      <c r="CL35" s="157"/>
    </row>
    <row r="36" spans="1:95" ht="15" customHeight="1">
      <c r="A36" s="131">
        <v>14</v>
      </c>
      <c r="B36" s="125" t="b">
        <f t="shared" si="13"/>
        <v>1</v>
      </c>
      <c r="C36" s="136" t="s">
        <v>438</v>
      </c>
      <c r="D36" s="144">
        <f>ROW(Model!A46)</f>
        <v>46</v>
      </c>
      <c r="E36" s="130">
        <f>SUMIF(Scratch!P46:W46,1)/2</f>
        <v>2</v>
      </c>
      <c r="F36" s="153">
        <v>2</v>
      </c>
      <c r="CA36" s="125">
        <v>14</v>
      </c>
      <c r="CB36" s="136"/>
      <c r="CC36" s="113"/>
      <c r="CD36" s="154"/>
      <c r="CE36" s="154"/>
      <c r="CF36" s="154"/>
      <c r="CG36" s="154"/>
      <c r="CH36" s="154"/>
      <c r="CI36" s="155"/>
      <c r="CJ36" s="155"/>
      <c r="CK36" s="158"/>
      <c r="CL36" s="158"/>
      <c r="CM36" s="158"/>
      <c r="CN36" s="158"/>
      <c r="CO36" s="158"/>
      <c r="CP36" s="158"/>
      <c r="CQ36" s="158"/>
    </row>
    <row r="37" spans="1:95" ht="15.75">
      <c r="A37" s="131">
        <v>15</v>
      </c>
      <c r="B37" s="125" t="b">
        <f t="shared" si="13"/>
        <v>1</v>
      </c>
      <c r="C37" s="136" t="s">
        <v>438</v>
      </c>
      <c r="D37" s="144">
        <f>ROW(Model!A47)</f>
        <v>47</v>
      </c>
      <c r="E37" s="130">
        <f>SUMIF(Scratch!P47:W47,1)/2</f>
        <v>2</v>
      </c>
      <c r="F37" s="153">
        <v>2</v>
      </c>
      <c r="CA37" s="125">
        <v>15</v>
      </c>
      <c r="CB37" s="136"/>
      <c r="CC37" s="113"/>
      <c r="CD37" s="154"/>
      <c r="CE37" s="154"/>
      <c r="CF37" s="154"/>
      <c r="CG37" s="154"/>
      <c r="CH37" s="154"/>
      <c r="CI37" s="155"/>
      <c r="CJ37" s="155"/>
      <c r="CK37" s="158"/>
      <c r="CL37" s="158"/>
      <c r="CM37" s="158"/>
      <c r="CN37" s="158"/>
      <c r="CO37" s="158"/>
    </row>
    <row r="38" spans="1:95" ht="15.75">
      <c r="A38" s="131">
        <v>16</v>
      </c>
      <c r="B38" s="125" t="b">
        <f>IF(E38+G38=F38+H38,TRUE,FALSE)</f>
        <v>1</v>
      </c>
      <c r="C38" s="136" t="s">
        <v>438</v>
      </c>
      <c r="D38" s="144">
        <f>ROW(Model!A48)</f>
        <v>48</v>
      </c>
      <c r="E38" s="130">
        <f>SUMIF(Scratch!P48:W48,1)/2</f>
        <v>2</v>
      </c>
      <c r="F38" s="153">
        <v>2</v>
      </c>
      <c r="I38" s="131"/>
      <c r="CA38" s="125">
        <v>16</v>
      </c>
      <c r="CB38" s="136"/>
      <c r="CC38" s="113"/>
      <c r="CD38" s="159"/>
      <c r="CE38" s="154"/>
      <c r="CF38" s="154"/>
      <c r="CG38" s="154"/>
      <c r="CH38" s="154"/>
      <c r="CI38" s="155"/>
      <c r="CJ38" s="155"/>
      <c r="CK38" s="158"/>
      <c r="CL38" s="158"/>
      <c r="CM38" s="158"/>
      <c r="CN38" s="158"/>
      <c r="CO38" s="158"/>
    </row>
    <row r="39" spans="1:95" ht="15.75">
      <c r="A39" s="131">
        <v>17</v>
      </c>
      <c r="B39" s="125" t="b">
        <f t="shared" si="13"/>
        <v>1</v>
      </c>
      <c r="C39" s="136" t="s">
        <v>438</v>
      </c>
      <c r="D39" s="144">
        <f>ROW(Model!A49)</f>
        <v>49</v>
      </c>
      <c r="E39" s="130">
        <f>SUMIF(Scratch!P49:W49,1)/2</f>
        <v>2</v>
      </c>
      <c r="F39" s="153">
        <v>2</v>
      </c>
      <c r="I39" s="131"/>
      <c r="CA39" s="125">
        <v>17</v>
      </c>
      <c r="CB39" s="136"/>
      <c r="CC39" s="113"/>
      <c r="CD39" s="154"/>
      <c r="CE39" s="154"/>
      <c r="CF39" s="154"/>
      <c r="CG39" s="154"/>
      <c r="CH39" s="154"/>
      <c r="CI39" s="155"/>
      <c r="CJ39" s="155"/>
      <c r="CK39" s="158"/>
      <c r="CL39" s="158"/>
      <c r="CM39" s="158"/>
      <c r="CN39" s="158"/>
      <c r="CO39" s="158"/>
    </row>
    <row r="40" spans="1:95" ht="15.75">
      <c r="A40" s="131">
        <v>18</v>
      </c>
      <c r="B40" s="125" t="b">
        <f>IF(E40+G40=F40+H40,TRUE,FALSE)</f>
        <v>1</v>
      </c>
      <c r="C40" s="136" t="s">
        <v>438</v>
      </c>
      <c r="D40" s="144">
        <f>ROW(Model!A53)</f>
        <v>53</v>
      </c>
      <c r="E40" s="130">
        <f>SUMIF(Scratch!P53:W53,1)/2</f>
        <v>3</v>
      </c>
      <c r="F40" s="153">
        <v>3</v>
      </c>
      <c r="I40" s="131"/>
      <c r="CA40" s="125">
        <v>18</v>
      </c>
      <c r="CB40" s="136"/>
      <c r="CC40" s="113"/>
      <c r="CD40" s="160"/>
      <c r="CE40" s="154"/>
      <c r="CF40" s="154"/>
      <c r="CG40" s="154"/>
      <c r="CH40" s="154"/>
      <c r="CI40" s="155"/>
      <c r="CJ40" s="155"/>
      <c r="CK40" s="158"/>
      <c r="CL40" s="158"/>
      <c r="CM40" s="158"/>
      <c r="CN40" s="158"/>
      <c r="CO40" s="158"/>
    </row>
    <row r="41" spans="1:95" ht="15.75">
      <c r="A41" s="131">
        <v>19</v>
      </c>
      <c r="B41" s="125" t="b">
        <f>IF(E41+G41=F41+H41,TRUE,FALSE)</f>
        <v>1</v>
      </c>
      <c r="C41" s="136" t="s">
        <v>438</v>
      </c>
      <c r="D41" s="144">
        <f>ROW(Model!A54)</f>
        <v>54</v>
      </c>
      <c r="E41" s="130">
        <f>SUMIF(Scratch!P54:W54,1)/2</f>
        <v>3</v>
      </c>
      <c r="F41" s="153">
        <v>3</v>
      </c>
      <c r="I41" s="131"/>
      <c r="CA41" s="125">
        <v>19</v>
      </c>
      <c r="CB41" s="136"/>
      <c r="CC41" s="113"/>
      <c r="CD41" s="160"/>
      <c r="CE41" s="154"/>
      <c r="CF41" s="154"/>
      <c r="CG41" s="154"/>
      <c r="CH41" s="154"/>
      <c r="CI41" s="155"/>
      <c r="CJ41" s="155"/>
      <c r="CK41" s="158"/>
      <c r="CL41" s="158"/>
      <c r="CM41" s="158"/>
      <c r="CN41" s="158"/>
      <c r="CO41" s="158"/>
    </row>
    <row r="42" spans="1:95" ht="15.75">
      <c r="A42" s="131">
        <v>20</v>
      </c>
      <c r="B42" s="125" t="b">
        <f t="shared" si="13"/>
        <v>1</v>
      </c>
      <c r="C42" s="136" t="s">
        <v>438</v>
      </c>
      <c r="D42" s="144">
        <f>ROW(Model!A55)</f>
        <v>55</v>
      </c>
      <c r="E42" s="130">
        <f>SUMIF(Scratch!P55:W55,1)/2</f>
        <v>3</v>
      </c>
      <c r="F42" s="153">
        <v>3</v>
      </c>
      <c r="I42" s="131"/>
      <c r="CA42" s="125">
        <v>20</v>
      </c>
      <c r="CB42" s="136"/>
      <c r="CC42" s="113"/>
      <c r="CD42" s="160"/>
      <c r="CE42" s="154"/>
      <c r="CF42" s="154"/>
      <c r="CG42" s="154"/>
      <c r="CH42" s="154"/>
      <c r="CI42" s="155"/>
      <c r="CJ42" s="155"/>
      <c r="CK42" s="158"/>
      <c r="CL42" s="158"/>
      <c r="CM42" s="158"/>
      <c r="CN42" s="158"/>
      <c r="CO42" s="158"/>
    </row>
    <row r="43" spans="1:95">
      <c r="A43" s="131">
        <v>21</v>
      </c>
      <c r="B43" s="125" t="b">
        <f t="shared" si="13"/>
        <v>1</v>
      </c>
      <c r="C43" s="136" t="s">
        <v>438</v>
      </c>
      <c r="D43" s="144">
        <f>ROW(Model!A56)</f>
        <v>56</v>
      </c>
      <c r="E43" s="130">
        <f>SUMIF(Scratch!P56:W56,1)/2</f>
        <v>3</v>
      </c>
      <c r="F43" s="131">
        <v>3</v>
      </c>
      <c r="G43" s="130"/>
      <c r="H43" s="153"/>
      <c r="CA43" s="125">
        <v>21</v>
      </c>
      <c r="CD43" s="160"/>
    </row>
    <row r="44" spans="1:95" ht="15.75">
      <c r="A44" s="131">
        <v>22</v>
      </c>
      <c r="B44" s="125" t="b">
        <f t="shared" si="13"/>
        <v>1</v>
      </c>
      <c r="C44" s="136" t="s">
        <v>438</v>
      </c>
      <c r="D44" s="144">
        <f>ROW(Model!A57)</f>
        <v>57</v>
      </c>
      <c r="E44" s="130">
        <f>SUMIF(Scratch!P57:W57,1)/2</f>
        <v>3</v>
      </c>
      <c r="F44" s="131">
        <v>3</v>
      </c>
      <c r="G44" s="130"/>
      <c r="H44" s="153"/>
      <c r="I44" s="131"/>
      <c r="CA44" s="125">
        <v>22</v>
      </c>
      <c r="CB44" s="136"/>
      <c r="CC44" s="113"/>
      <c r="CD44" s="160"/>
      <c r="CE44" s="154"/>
      <c r="CF44" s="154"/>
      <c r="CG44" s="154"/>
      <c r="CH44" s="154"/>
      <c r="CI44" s="155"/>
      <c r="CJ44" s="155"/>
      <c r="CK44" s="158"/>
      <c r="CL44" s="158"/>
      <c r="CM44" s="158"/>
      <c r="CN44" s="158"/>
      <c r="CO44" s="158"/>
    </row>
    <row r="45" spans="1:95" ht="15.75">
      <c r="A45" s="131">
        <v>23</v>
      </c>
      <c r="B45" s="125" t="b">
        <f t="shared" si="13"/>
        <v>1</v>
      </c>
      <c r="C45" s="136" t="s">
        <v>438</v>
      </c>
      <c r="D45" s="144">
        <f>ROW(Model!A61)</f>
        <v>61</v>
      </c>
      <c r="E45" s="130">
        <f>SUMIF(Scratch!P61:W61,1)/2</f>
        <v>2</v>
      </c>
      <c r="F45" s="131">
        <v>2</v>
      </c>
      <c r="G45" s="130"/>
      <c r="H45" s="153"/>
      <c r="I45" s="131"/>
      <c r="CA45" s="125">
        <v>23</v>
      </c>
      <c r="CB45" s="136"/>
      <c r="CC45" s="113"/>
      <c r="CD45" s="160"/>
      <c r="CE45" s="154"/>
      <c r="CF45" s="154"/>
      <c r="CG45" s="154"/>
      <c r="CH45" s="154"/>
      <c r="CI45" s="155"/>
      <c r="CJ45" s="155"/>
      <c r="CK45" s="158"/>
      <c r="CL45" s="158"/>
      <c r="CM45" s="158"/>
      <c r="CN45" s="158"/>
      <c r="CO45" s="158"/>
    </row>
    <row r="46" spans="1:95" ht="15.75">
      <c r="A46" s="131">
        <v>24</v>
      </c>
      <c r="B46" s="125" t="b">
        <f t="shared" si="13"/>
        <v>1</v>
      </c>
      <c r="C46" s="136" t="s">
        <v>438</v>
      </c>
      <c r="D46" s="144">
        <f>ROW(Model!A62)</f>
        <v>62</v>
      </c>
      <c r="E46" s="130">
        <f>SUMIF(Scratch!P62:W62,1)/2</f>
        <v>2</v>
      </c>
      <c r="F46" s="131">
        <v>2</v>
      </c>
      <c r="G46" s="130"/>
      <c r="H46" s="153"/>
      <c r="I46" s="131"/>
      <c r="CA46" s="125">
        <v>24</v>
      </c>
      <c r="CB46" s="136"/>
      <c r="CC46" s="113"/>
      <c r="CD46" s="160"/>
      <c r="CE46" s="154"/>
      <c r="CF46" s="154"/>
      <c r="CG46" s="154"/>
      <c r="CH46" s="154"/>
      <c r="CI46" s="155"/>
      <c r="CJ46" s="155"/>
      <c r="CK46" s="158"/>
      <c r="CL46" s="158"/>
      <c r="CM46" s="158"/>
      <c r="CN46" s="158"/>
      <c r="CO46" s="158"/>
    </row>
    <row r="47" spans="1:95" ht="15.75">
      <c r="A47" s="131">
        <v>25</v>
      </c>
      <c r="B47" s="125" t="b">
        <f t="shared" si="13"/>
        <v>1</v>
      </c>
      <c r="C47" s="136" t="s">
        <v>438</v>
      </c>
      <c r="D47" s="144">
        <f>ROW(Model!A64)</f>
        <v>64</v>
      </c>
      <c r="E47" s="130">
        <f>SUMIF(Scratch!P64:W64,1)/2</f>
        <v>2</v>
      </c>
      <c r="F47" s="131">
        <v>2</v>
      </c>
      <c r="G47" s="130"/>
      <c r="H47" s="153"/>
      <c r="I47" s="131"/>
      <c r="CA47" s="125">
        <v>25</v>
      </c>
      <c r="CB47" s="136"/>
      <c r="CC47" s="113"/>
      <c r="CD47" s="160"/>
      <c r="CE47" s="154"/>
      <c r="CF47" s="154"/>
      <c r="CG47" s="154"/>
      <c r="CH47" s="154"/>
      <c r="CI47" s="155"/>
      <c r="CJ47" s="155"/>
      <c r="CK47" s="158"/>
      <c r="CL47" s="158"/>
      <c r="CM47" s="158"/>
      <c r="CN47" s="158"/>
      <c r="CO47" s="158"/>
    </row>
    <row r="48" spans="1:95" ht="15.75">
      <c r="A48" s="131">
        <v>26</v>
      </c>
      <c r="B48" s="125" t="b">
        <f t="shared" si="13"/>
        <v>1</v>
      </c>
      <c r="C48" s="136" t="s">
        <v>438</v>
      </c>
      <c r="D48" s="144">
        <f>ROW(Model!A65)</f>
        <v>65</v>
      </c>
      <c r="E48" s="130">
        <f>SUMIF(Scratch!P65:W65,1)/2</f>
        <v>2</v>
      </c>
      <c r="F48" s="153">
        <v>2</v>
      </c>
      <c r="I48" s="131"/>
      <c r="CA48" s="125"/>
      <c r="CB48" s="136"/>
      <c r="CC48" s="113"/>
      <c r="CD48" s="160"/>
      <c r="CE48" s="154"/>
      <c r="CF48" s="154"/>
      <c r="CG48" s="154"/>
      <c r="CH48" s="154"/>
      <c r="CI48" s="155"/>
      <c r="CJ48" s="155"/>
      <c r="CK48" s="158"/>
      <c r="CL48" s="158"/>
      <c r="CM48" s="158"/>
      <c r="CN48" s="158"/>
      <c r="CO48" s="158"/>
    </row>
    <row r="49" spans="1:102" ht="15.75">
      <c r="A49" s="131">
        <v>27</v>
      </c>
      <c r="B49" s="125" t="b">
        <f t="shared" si="13"/>
        <v>1</v>
      </c>
      <c r="C49" s="136" t="s">
        <v>438</v>
      </c>
      <c r="D49" s="144">
        <f>ROW(Model!A67)</f>
        <v>67</v>
      </c>
      <c r="E49" s="130">
        <f>SUMIF(Scratch!P67:W67,1)/2</f>
        <v>3.5</v>
      </c>
      <c r="F49" s="153">
        <v>3.5</v>
      </c>
      <c r="I49" s="131"/>
      <c r="CA49" s="125"/>
      <c r="CB49" s="136"/>
      <c r="CC49" s="113"/>
      <c r="CD49" s="154"/>
      <c r="CE49" s="154"/>
      <c r="CF49" s="154"/>
      <c r="CG49" s="154"/>
      <c r="CH49" s="154"/>
      <c r="CI49" s="155"/>
      <c r="CJ49" s="155"/>
      <c r="CK49" s="158"/>
      <c r="CL49" s="158"/>
      <c r="CM49" s="158"/>
      <c r="CN49" s="158"/>
      <c r="CO49" s="158"/>
    </row>
    <row r="50" spans="1:102" ht="15.75">
      <c r="A50" s="131">
        <v>28</v>
      </c>
      <c r="B50" s="125" t="b">
        <f t="shared" si="13"/>
        <v>1</v>
      </c>
      <c r="C50" s="136" t="s">
        <v>438</v>
      </c>
      <c r="D50" s="144">
        <f>ROW(Model!A68)</f>
        <v>68</v>
      </c>
      <c r="E50" s="130">
        <f>SUMIF(Scratch!P68:W68,1)/2</f>
        <v>3</v>
      </c>
      <c r="F50" s="153">
        <v>3</v>
      </c>
      <c r="CA50" s="125"/>
      <c r="CB50" s="136"/>
      <c r="CC50" s="113"/>
      <c r="CD50" s="154"/>
      <c r="CE50" s="154"/>
      <c r="CF50" s="154"/>
      <c r="CG50" s="154"/>
      <c r="CH50" s="154"/>
      <c r="CI50" s="155"/>
      <c r="CJ50" s="155"/>
      <c r="CK50" s="158"/>
      <c r="CL50" s="158"/>
      <c r="CM50" s="158"/>
      <c r="CN50" s="158"/>
      <c r="CO50" s="158"/>
    </row>
    <row r="51" spans="1:102">
      <c r="A51" s="131">
        <v>29</v>
      </c>
      <c r="B51" s="125" t="b">
        <f t="shared" si="13"/>
        <v>1</v>
      </c>
      <c r="C51" s="136" t="s">
        <v>438</v>
      </c>
      <c r="D51" s="144">
        <f>ROW(Model!A69)</f>
        <v>69</v>
      </c>
      <c r="E51" s="130">
        <f>SUMIF(Scratch!P69:W69,1)/2</f>
        <v>3.5</v>
      </c>
      <c r="F51" s="153">
        <v>3.5</v>
      </c>
      <c r="CA51" s="125"/>
      <c r="CB51" s="136"/>
      <c r="CD51" s="154"/>
      <c r="CH51" s="155"/>
      <c r="CI51" s="155"/>
      <c r="CJ51" s="155"/>
      <c r="CK51" s="161"/>
      <c r="CL51" s="161"/>
    </row>
    <row r="52" spans="1:102">
      <c r="A52" s="131">
        <v>30</v>
      </c>
      <c r="B52" s="125" t="b">
        <f t="shared" si="13"/>
        <v>1</v>
      </c>
      <c r="C52" s="136" t="s">
        <v>438</v>
      </c>
      <c r="D52" s="144">
        <f>ROW(Model!A72)</f>
        <v>72</v>
      </c>
      <c r="E52" s="130">
        <f>SUMIF(Scratch!P72:W72,1)/2</f>
        <v>3</v>
      </c>
      <c r="F52" s="153">
        <v>3</v>
      </c>
      <c r="CA52" s="125"/>
      <c r="CB52" s="136"/>
      <c r="CD52" s="154"/>
      <c r="CH52" s="155"/>
      <c r="CI52" s="155"/>
      <c r="CJ52" s="155"/>
      <c r="CK52" s="162"/>
      <c r="CL52" s="162"/>
    </row>
    <row r="53" spans="1:102">
      <c r="A53" s="131">
        <v>31</v>
      </c>
      <c r="B53" s="125" t="b">
        <f t="shared" si="13"/>
        <v>1</v>
      </c>
      <c r="C53" s="136" t="s">
        <v>438</v>
      </c>
      <c r="D53" s="144">
        <f>ROW(Model!A73)</f>
        <v>73</v>
      </c>
      <c r="E53" s="130">
        <f>SUMIF(Scratch!P73:W73,1)</f>
        <v>1</v>
      </c>
      <c r="F53" s="153">
        <v>1</v>
      </c>
      <c r="CA53" s="125"/>
      <c r="CB53" s="136"/>
      <c r="CD53" s="154"/>
      <c r="CH53" s="155"/>
      <c r="CI53" s="155"/>
      <c r="CJ53" s="162"/>
      <c r="CK53" s="162"/>
      <c r="CL53" s="162"/>
    </row>
    <row r="54" spans="1:102">
      <c r="A54" s="131">
        <v>32</v>
      </c>
      <c r="B54" s="125" t="b">
        <f t="shared" si="13"/>
        <v>1</v>
      </c>
      <c r="C54" s="136" t="s">
        <v>438</v>
      </c>
      <c r="D54" s="144">
        <f>ROW(Model!A74)</f>
        <v>74</v>
      </c>
      <c r="E54" s="130">
        <f>SUMIF(Scratch!P74:W74,1)</f>
        <v>1</v>
      </c>
      <c r="F54" s="130">
        <v>1</v>
      </c>
      <c r="G54" s="130"/>
      <c r="H54" s="130"/>
      <c r="L54" s="130"/>
      <c r="CA54" s="125"/>
      <c r="CB54" s="136"/>
      <c r="CC54" s="125"/>
      <c r="CD54" s="154"/>
      <c r="CL54" s="153"/>
      <c r="CM54" s="153"/>
      <c r="CN54" s="153"/>
      <c r="CO54" s="153"/>
      <c r="CP54" s="153"/>
      <c r="CQ54" s="153"/>
      <c r="CR54" s="153"/>
      <c r="CS54" s="153"/>
      <c r="CT54" s="153"/>
      <c r="CU54" s="153"/>
      <c r="CV54" s="153"/>
      <c r="CW54" s="153"/>
      <c r="CX54" s="153"/>
    </row>
    <row r="55" spans="1:102">
      <c r="A55" s="131">
        <v>33</v>
      </c>
      <c r="B55" s="125" t="b">
        <f t="shared" si="13"/>
        <v>1</v>
      </c>
      <c r="C55" s="136" t="s">
        <v>438</v>
      </c>
      <c r="D55" s="144">
        <f>ROW(Model!A75)</f>
        <v>75</v>
      </c>
      <c r="E55" s="130">
        <f>SUMIF(Scratch!P75:W75,1)/2</f>
        <v>3</v>
      </c>
      <c r="F55" s="130">
        <v>3</v>
      </c>
      <c r="G55" s="130"/>
      <c r="H55" s="130"/>
      <c r="L55" s="130"/>
      <c r="CA55" s="125"/>
      <c r="CB55" s="136"/>
      <c r="CC55" s="125"/>
      <c r="CD55" s="154"/>
      <c r="CL55" s="153"/>
      <c r="CM55" s="153"/>
      <c r="CN55" s="153"/>
      <c r="CO55" s="153"/>
      <c r="CP55" s="153"/>
      <c r="CQ55" s="153"/>
      <c r="CR55" s="153"/>
      <c r="CS55" s="153"/>
      <c r="CT55" s="153"/>
      <c r="CU55" s="153"/>
      <c r="CV55" s="153"/>
      <c r="CW55" s="153"/>
      <c r="CX55" s="153"/>
    </row>
    <row r="56" spans="1:102">
      <c r="A56" s="131">
        <v>34</v>
      </c>
      <c r="B56" s="125" t="b">
        <f t="shared" si="13"/>
        <v>1</v>
      </c>
      <c r="C56" s="136" t="s">
        <v>438</v>
      </c>
      <c r="D56" s="144">
        <f>ROW(Model!A76)</f>
        <v>76</v>
      </c>
      <c r="E56" s="130">
        <f>SUMIF(Scratch!P76:W76,1)/2</f>
        <v>3</v>
      </c>
      <c r="F56" s="130">
        <v>3</v>
      </c>
      <c r="G56" s="130"/>
      <c r="H56" s="130"/>
      <c r="L56" s="130"/>
      <c r="CA56" s="125"/>
      <c r="CB56" s="136"/>
      <c r="CC56" s="125"/>
      <c r="CD56" s="154"/>
      <c r="CL56" s="153"/>
      <c r="CM56" s="153"/>
      <c r="CN56" s="153"/>
      <c r="CO56" s="153"/>
      <c r="CP56" s="153"/>
      <c r="CQ56" s="153"/>
      <c r="CR56" s="153"/>
      <c r="CS56" s="153"/>
      <c r="CT56" s="153"/>
      <c r="CU56" s="153"/>
      <c r="CV56" s="153"/>
      <c r="CW56" s="153"/>
      <c r="CX56" s="153"/>
    </row>
    <row r="57" spans="1:102">
      <c r="A57" s="131">
        <v>35</v>
      </c>
      <c r="B57" s="125" t="b">
        <f t="shared" si="13"/>
        <v>1</v>
      </c>
      <c r="C57" s="136" t="s">
        <v>438</v>
      </c>
      <c r="D57" s="144">
        <f>ROW(Model!A80)</f>
        <v>80</v>
      </c>
      <c r="E57" s="130">
        <f>SUMIF(Scratch!P80:W80,1)/2</f>
        <v>3</v>
      </c>
      <c r="F57" s="130">
        <v>3</v>
      </c>
      <c r="G57" s="130"/>
      <c r="H57" s="130"/>
      <c r="L57" s="130"/>
      <c r="CA57" s="125"/>
      <c r="CB57" s="136"/>
      <c r="CC57" s="125"/>
      <c r="CD57" s="154"/>
      <c r="CL57" s="153"/>
      <c r="CM57" s="153"/>
      <c r="CN57" s="153"/>
      <c r="CO57" s="153"/>
      <c r="CP57" s="153"/>
      <c r="CQ57" s="153"/>
      <c r="CR57" s="153"/>
      <c r="CS57" s="153"/>
      <c r="CT57" s="153"/>
      <c r="CU57" s="153"/>
      <c r="CV57" s="153"/>
      <c r="CW57" s="153"/>
      <c r="CX57" s="153"/>
    </row>
    <row r="58" spans="1:102">
      <c r="A58" s="131">
        <v>36</v>
      </c>
      <c r="B58" s="125" t="b">
        <f t="shared" si="13"/>
        <v>1</v>
      </c>
      <c r="C58" s="136" t="s">
        <v>438</v>
      </c>
      <c r="D58" s="144">
        <f>ROW(Model!A81)</f>
        <v>81</v>
      </c>
      <c r="E58" s="130">
        <f>SUMIF(Scratch!P81:W81,1)/2</f>
        <v>3</v>
      </c>
      <c r="F58" s="130">
        <v>3</v>
      </c>
      <c r="G58" s="130"/>
      <c r="H58" s="130"/>
      <c r="L58" s="163"/>
      <c r="CA58" s="125"/>
      <c r="CB58" s="136"/>
      <c r="CC58" s="125"/>
      <c r="CD58" s="154"/>
      <c r="CL58" s="153"/>
      <c r="CM58" s="153"/>
      <c r="CN58" s="164"/>
      <c r="CO58" s="153"/>
      <c r="CP58" s="153"/>
      <c r="CQ58" s="153"/>
      <c r="CR58" s="165"/>
      <c r="CS58" s="165"/>
      <c r="CT58" s="165"/>
      <c r="CU58" s="165"/>
      <c r="CV58" s="165"/>
      <c r="CW58" s="165"/>
      <c r="CX58" s="153"/>
    </row>
    <row r="59" spans="1:102">
      <c r="A59" s="131">
        <v>37</v>
      </c>
      <c r="B59" s="125" t="b">
        <f t="shared" si="13"/>
        <v>1</v>
      </c>
      <c r="C59" s="136" t="s">
        <v>438</v>
      </c>
      <c r="D59" s="144">
        <f>ROW(Model!A82)</f>
        <v>82</v>
      </c>
      <c r="E59" s="130">
        <f>SUMIF(Scratch!P82:W82,1)</f>
        <v>1</v>
      </c>
      <c r="F59" s="130">
        <v>1</v>
      </c>
      <c r="G59" s="130"/>
      <c r="H59" s="130"/>
      <c r="L59" s="163"/>
      <c r="CA59" s="125"/>
      <c r="CB59" s="136"/>
      <c r="CC59" s="125"/>
      <c r="CD59" s="154"/>
      <c r="CL59" s="153"/>
      <c r="CM59" s="153"/>
      <c r="CN59" s="164"/>
      <c r="CO59" s="153"/>
      <c r="CP59" s="153"/>
      <c r="CQ59" s="153"/>
      <c r="CR59" s="165"/>
      <c r="CS59" s="165"/>
      <c r="CT59" s="165"/>
      <c r="CU59" s="165"/>
      <c r="CV59" s="165"/>
      <c r="CW59" s="165"/>
      <c r="CX59" s="153"/>
    </row>
    <row r="60" spans="1:102">
      <c r="A60" s="131">
        <v>38</v>
      </c>
      <c r="B60" s="125" t="b">
        <f t="shared" si="13"/>
        <v>1</v>
      </c>
      <c r="C60" s="136" t="s">
        <v>438</v>
      </c>
      <c r="D60" s="144">
        <f>ROW(Model!A83)</f>
        <v>83</v>
      </c>
      <c r="E60" s="130">
        <f>SUMIF(Scratch!P83:W83,1)/2</f>
        <v>3</v>
      </c>
      <c r="F60" s="130">
        <v>3</v>
      </c>
      <c r="G60" s="130"/>
      <c r="H60" s="130"/>
      <c r="L60" s="163"/>
      <c r="CA60" s="125"/>
      <c r="CB60" s="136"/>
      <c r="CC60" s="125"/>
      <c r="CD60" s="154"/>
      <c r="CL60" s="153"/>
      <c r="CM60" s="153"/>
      <c r="CN60" s="164"/>
      <c r="CO60" s="153"/>
      <c r="CP60" s="153"/>
      <c r="CQ60" s="153"/>
      <c r="CR60" s="165"/>
      <c r="CS60" s="165"/>
      <c r="CT60" s="165"/>
      <c r="CU60" s="165"/>
      <c r="CV60" s="165"/>
      <c r="CW60" s="165"/>
      <c r="CX60" s="153"/>
    </row>
    <row r="61" spans="1:102">
      <c r="A61" s="131">
        <v>39</v>
      </c>
      <c r="B61" s="125" t="b">
        <f t="shared" si="13"/>
        <v>1</v>
      </c>
      <c r="C61" s="136" t="s">
        <v>438</v>
      </c>
      <c r="D61" s="144">
        <f>ROW(Model!A84)</f>
        <v>84</v>
      </c>
      <c r="E61" s="130">
        <f>SUMIF(Scratch!P84:W84,1)/2</f>
        <v>3</v>
      </c>
      <c r="F61" s="130">
        <v>3</v>
      </c>
      <c r="G61" s="130"/>
      <c r="H61" s="130"/>
      <c r="L61" s="163"/>
      <c r="CA61" s="125"/>
      <c r="CB61" s="136"/>
      <c r="CC61" s="125"/>
      <c r="CD61" s="154"/>
      <c r="CL61" s="153"/>
      <c r="CM61" s="153"/>
      <c r="CN61" s="164"/>
      <c r="CO61" s="153"/>
      <c r="CP61" s="153"/>
      <c r="CQ61" s="153"/>
      <c r="CR61" s="165"/>
      <c r="CS61" s="165"/>
      <c r="CT61" s="165"/>
      <c r="CU61" s="165"/>
      <c r="CV61" s="165"/>
      <c r="CW61" s="165"/>
      <c r="CX61" s="153"/>
    </row>
    <row r="62" spans="1:102">
      <c r="A62" s="131">
        <v>40</v>
      </c>
      <c r="B62" s="125" t="b">
        <f t="shared" si="13"/>
        <v>1</v>
      </c>
      <c r="C62" s="136" t="s">
        <v>438</v>
      </c>
      <c r="D62" s="144">
        <f>ROW(Model!A86)</f>
        <v>86</v>
      </c>
      <c r="E62" s="130">
        <f>SUMIF(Scratch!P86:W86,1)/2</f>
        <v>3.5</v>
      </c>
      <c r="F62" s="130">
        <v>3.5</v>
      </c>
      <c r="G62" s="130"/>
      <c r="H62" s="130"/>
      <c r="L62" s="163"/>
      <c r="CA62" s="125"/>
      <c r="CB62" s="136"/>
      <c r="CC62" s="125"/>
      <c r="CD62" s="154"/>
      <c r="CL62" s="153"/>
      <c r="CM62" s="153"/>
      <c r="CN62" s="164"/>
      <c r="CO62" s="153"/>
      <c r="CP62" s="153"/>
      <c r="CQ62" s="153"/>
      <c r="CR62" s="165"/>
      <c r="CS62" s="165"/>
      <c r="CT62" s="165"/>
      <c r="CU62" s="165"/>
      <c r="CV62" s="165"/>
      <c r="CW62" s="165"/>
      <c r="CX62" s="153"/>
    </row>
    <row r="63" spans="1:102" ht="15.75">
      <c r="A63" s="131">
        <v>41</v>
      </c>
      <c r="B63" s="125" t="b">
        <f t="shared" si="13"/>
        <v>0</v>
      </c>
      <c r="C63" s="136" t="s">
        <v>439</v>
      </c>
      <c r="D63" s="144">
        <f>ROW(Introduction!B319)</f>
        <v>319</v>
      </c>
      <c r="E63" s="130">
        <f>IFERROR(IF(CD63&lt;=CH63+100,MAX(F63-(CH63-CD63)/1000,0),0),0)</f>
        <v>3.5300000000000002</v>
      </c>
      <c r="F63" s="130">
        <v>5</v>
      </c>
      <c r="G63" s="130"/>
      <c r="H63" s="130"/>
      <c r="L63" s="166"/>
      <c r="CA63" s="125"/>
      <c r="CB63" s="136"/>
      <c r="CC63" s="125"/>
      <c r="CD63" s="154">
        <f>Introduction!B319</f>
        <v>36486</v>
      </c>
      <c r="CE63" s="90"/>
      <c r="CH63" s="90">
        <v>37956</v>
      </c>
      <c r="CL63" s="167"/>
      <c r="CM63" s="153"/>
      <c r="CN63" s="164"/>
      <c r="CO63" s="153"/>
      <c r="CP63" s="153"/>
      <c r="CQ63" s="153"/>
      <c r="CR63" s="165"/>
      <c r="CS63" s="165"/>
      <c r="CT63" s="165"/>
      <c r="CU63" s="165"/>
      <c r="CV63" s="165"/>
      <c r="CW63" s="165"/>
      <c r="CX63" s="153"/>
    </row>
    <row r="64" spans="1:102" ht="15.75">
      <c r="A64" s="131">
        <v>42</v>
      </c>
      <c r="B64" s="125" t="b">
        <f t="shared" si="13"/>
        <v>0</v>
      </c>
      <c r="C64" s="136" t="s">
        <v>439</v>
      </c>
      <c r="D64" s="144">
        <f>ROW(Introduction!B333)</f>
        <v>333</v>
      </c>
      <c r="E64" s="130">
        <f>IFERROR(IF(CD64&lt;=CH64+100,MAX(F64-(CH64-CD64)/1000,0),0),0)</f>
        <v>2.6829999999999998</v>
      </c>
      <c r="F64" s="130">
        <v>5</v>
      </c>
      <c r="G64" s="130"/>
      <c r="H64" s="130"/>
      <c r="L64" s="168"/>
      <c r="CA64" s="125"/>
      <c r="CB64" s="136"/>
      <c r="CC64" s="125"/>
      <c r="CD64" s="154">
        <f>Introduction!B333</f>
        <v>30250</v>
      </c>
      <c r="CE64" s="90"/>
      <c r="CH64" s="90">
        <v>32567</v>
      </c>
      <c r="CL64" s="167"/>
      <c r="CM64" s="153"/>
      <c r="CN64" s="164"/>
      <c r="CO64" s="153"/>
      <c r="CP64" s="153"/>
      <c r="CQ64" s="153"/>
      <c r="CR64" s="165"/>
      <c r="CS64" s="165"/>
      <c r="CT64" s="165"/>
      <c r="CU64" s="165"/>
      <c r="CV64" s="165"/>
      <c r="CW64" s="165"/>
      <c r="CX64" s="153"/>
    </row>
    <row r="65" spans="2:102">
      <c r="B65" s="125"/>
      <c r="C65" s="136"/>
      <c r="D65" s="144"/>
      <c r="E65" s="130"/>
      <c r="F65" s="130"/>
      <c r="G65" s="130"/>
      <c r="H65" s="130"/>
      <c r="L65" s="168"/>
      <c r="CA65" s="125"/>
      <c r="CB65" s="136"/>
      <c r="CC65" s="125"/>
      <c r="CD65" s="169"/>
      <c r="CL65" s="167"/>
      <c r="CM65" s="153"/>
      <c r="CN65" s="164"/>
      <c r="CO65" s="153"/>
      <c r="CP65" s="153"/>
      <c r="CQ65" s="153"/>
      <c r="CR65" s="165"/>
      <c r="CS65" s="165"/>
      <c r="CT65" s="165"/>
      <c r="CU65" s="165"/>
      <c r="CV65" s="165"/>
      <c r="CW65" s="165"/>
      <c r="CX65" s="153"/>
    </row>
    <row r="66" spans="2:102">
      <c r="B66" s="125"/>
      <c r="C66" s="136"/>
      <c r="D66" s="144"/>
      <c r="E66" s="130"/>
      <c r="F66" s="130"/>
      <c r="G66" s="130"/>
      <c r="H66" s="130"/>
      <c r="L66" s="168"/>
      <c r="CA66" s="125"/>
      <c r="CB66" s="136"/>
      <c r="CC66" s="125"/>
      <c r="CD66" s="169"/>
      <c r="CL66" s="167"/>
      <c r="CM66" s="153"/>
      <c r="CN66" s="164"/>
      <c r="CO66" s="153"/>
      <c r="CP66" s="153"/>
      <c r="CQ66" s="153"/>
      <c r="CR66" s="165"/>
      <c r="CS66" s="165"/>
      <c r="CT66" s="165"/>
      <c r="CU66" s="165"/>
      <c r="CV66" s="165"/>
      <c r="CW66" s="165"/>
      <c r="CX66" s="153"/>
    </row>
    <row r="67" spans="2:102">
      <c r="B67" s="125"/>
      <c r="C67" s="136"/>
      <c r="D67" s="144"/>
      <c r="E67" s="130"/>
      <c r="F67" s="130"/>
      <c r="G67" s="130"/>
      <c r="H67" s="130"/>
      <c r="L67" s="168"/>
      <c r="CA67" s="125"/>
      <c r="CB67" s="136"/>
      <c r="CC67" s="125"/>
      <c r="CD67" s="169"/>
      <c r="CL67" s="167"/>
      <c r="CM67" s="153"/>
      <c r="CN67" s="164"/>
      <c r="CO67" s="153"/>
      <c r="CP67" s="153"/>
      <c r="CQ67" s="153"/>
      <c r="CR67" s="165"/>
      <c r="CS67" s="165"/>
      <c r="CT67" s="165"/>
      <c r="CU67" s="165"/>
      <c r="CV67" s="165"/>
      <c r="CW67" s="165"/>
      <c r="CX67" s="153"/>
    </row>
    <row r="68" spans="2:102">
      <c r="B68" s="125"/>
      <c r="C68" s="136"/>
      <c r="D68" s="144"/>
      <c r="E68" s="130"/>
      <c r="F68" s="130"/>
      <c r="G68" s="130"/>
      <c r="H68" s="130"/>
      <c r="L68" s="166"/>
      <c r="CA68" s="125"/>
      <c r="CB68" s="136"/>
      <c r="CC68" s="125"/>
      <c r="CD68" s="169"/>
      <c r="CL68" s="167"/>
      <c r="CM68" s="153"/>
      <c r="CN68" s="153"/>
      <c r="CO68" s="153"/>
      <c r="CP68" s="153"/>
      <c r="CQ68" s="153"/>
      <c r="CR68" s="165"/>
      <c r="CS68" s="165"/>
      <c r="CT68" s="165"/>
      <c r="CU68" s="165"/>
      <c r="CV68" s="165"/>
      <c r="CW68" s="165"/>
      <c r="CX68" s="153"/>
    </row>
    <row r="69" spans="2:102">
      <c r="B69" s="125"/>
      <c r="C69" s="136"/>
      <c r="D69" s="144"/>
      <c r="E69" s="130"/>
      <c r="F69" s="130"/>
      <c r="G69" s="130"/>
      <c r="H69" s="130"/>
      <c r="L69" s="170"/>
      <c r="CA69" s="125"/>
      <c r="CB69" s="136"/>
      <c r="CC69" s="125"/>
      <c r="CD69" s="171"/>
      <c r="CL69" s="172"/>
      <c r="CM69" s="153"/>
      <c r="CN69" s="153"/>
      <c r="CO69" s="153"/>
      <c r="CP69" s="153"/>
      <c r="CQ69" s="153"/>
      <c r="CR69" s="165"/>
      <c r="CS69" s="165"/>
      <c r="CT69" s="165"/>
      <c r="CU69" s="165"/>
      <c r="CV69" s="165"/>
      <c r="CW69" s="165"/>
      <c r="CX69" s="153"/>
    </row>
    <row r="70" spans="2:102">
      <c r="B70" s="125"/>
      <c r="C70" s="136"/>
      <c r="D70" s="144"/>
      <c r="E70" s="173"/>
      <c r="F70" s="173"/>
      <c r="G70" s="174"/>
      <c r="H70" s="175"/>
      <c r="L70" s="176"/>
      <c r="M70" s="177"/>
      <c r="N70" s="177"/>
      <c r="O70" s="177"/>
      <c r="P70" s="177"/>
      <c r="Q70" s="177"/>
      <c r="R70" s="153"/>
      <c r="S70" s="153"/>
      <c r="T70" s="153"/>
      <c r="U70" s="153"/>
      <c r="V70" s="153"/>
      <c r="W70" s="153"/>
      <c r="X70" s="153"/>
      <c r="CA70" s="125"/>
      <c r="CB70" s="136"/>
      <c r="CC70" s="125"/>
      <c r="CD70" s="154"/>
      <c r="CX70" s="153"/>
    </row>
    <row r="71" spans="2:102">
      <c r="B71" s="125"/>
      <c r="C71" s="136"/>
      <c r="D71" s="144"/>
      <c r="E71" s="173"/>
      <c r="F71" s="173"/>
      <c r="G71" s="174"/>
      <c r="H71" s="174"/>
      <c r="L71" s="176"/>
      <c r="M71" s="177"/>
      <c r="N71" s="177"/>
      <c r="O71" s="177"/>
      <c r="P71" s="177"/>
      <c r="Q71" s="177"/>
      <c r="R71" s="153"/>
      <c r="S71" s="153"/>
      <c r="T71" s="153"/>
      <c r="U71" s="153"/>
      <c r="V71" s="153"/>
      <c r="W71" s="153"/>
      <c r="X71" s="153"/>
      <c r="CA71" s="125"/>
      <c r="CB71" s="136"/>
      <c r="CC71" s="125"/>
      <c r="CD71" s="154"/>
      <c r="CX71" s="153"/>
    </row>
    <row r="72" spans="2:102">
      <c r="B72" s="125"/>
      <c r="C72" s="136"/>
      <c r="D72" s="144"/>
      <c r="E72" s="173"/>
      <c r="F72" s="173"/>
      <c r="G72" s="174"/>
      <c r="H72" s="174"/>
      <c r="L72" s="178"/>
      <c r="M72" s="177"/>
      <c r="N72" s="172"/>
      <c r="O72" s="172"/>
      <c r="P72" s="172"/>
      <c r="Q72" s="172"/>
      <c r="R72" s="153"/>
      <c r="S72" s="153"/>
      <c r="T72" s="153"/>
      <c r="U72" s="153"/>
      <c r="V72" s="153"/>
      <c r="W72" s="153"/>
      <c r="X72" s="153"/>
      <c r="CA72" s="125"/>
      <c r="CB72" s="136"/>
      <c r="CC72" s="125"/>
      <c r="CD72" s="154"/>
      <c r="CX72" s="153"/>
    </row>
    <row r="73" spans="2:102">
      <c r="B73" s="125"/>
      <c r="C73" s="136"/>
      <c r="D73" s="144"/>
      <c r="E73" s="173"/>
      <c r="F73" s="173"/>
      <c r="G73" s="130"/>
      <c r="H73" s="130"/>
      <c r="L73" s="176"/>
      <c r="M73" s="177"/>
      <c r="N73" s="177"/>
      <c r="O73" s="177"/>
      <c r="P73" s="177"/>
      <c r="Q73" s="177"/>
      <c r="R73" s="153"/>
      <c r="S73" s="153"/>
      <c r="T73" s="153"/>
      <c r="U73" s="153"/>
      <c r="V73" s="153"/>
      <c r="W73" s="153"/>
      <c r="X73" s="153"/>
      <c r="CA73" s="125"/>
      <c r="CB73" s="136"/>
      <c r="CC73" s="125"/>
      <c r="CD73" s="154"/>
      <c r="CE73" s="154"/>
      <c r="CF73" s="154"/>
      <c r="CG73" s="154"/>
      <c r="CH73" s="154"/>
      <c r="CI73" s="154"/>
      <c r="CX73" s="153"/>
    </row>
    <row r="74" spans="2:102">
      <c r="B74" s="125"/>
      <c r="C74" s="136"/>
      <c r="D74" s="144"/>
      <c r="E74" s="173"/>
      <c r="F74" s="173"/>
      <c r="G74" s="130"/>
      <c r="H74" s="130"/>
      <c r="L74" s="174"/>
      <c r="M74" s="179"/>
      <c r="N74" s="179"/>
      <c r="O74" s="179"/>
      <c r="P74" s="179"/>
      <c r="Q74" s="179"/>
      <c r="R74" s="153"/>
      <c r="S74" s="153"/>
      <c r="T74" s="153"/>
      <c r="U74" s="153"/>
      <c r="V74" s="153"/>
      <c r="W74" s="153"/>
      <c r="X74" s="153"/>
      <c r="CA74" s="125"/>
      <c r="CB74" s="136"/>
      <c r="CC74" s="125"/>
      <c r="CD74" s="154"/>
      <c r="CX74" s="153"/>
    </row>
    <row r="75" spans="2:102">
      <c r="B75" s="125"/>
      <c r="C75" s="136"/>
      <c r="D75" s="144"/>
      <c r="E75" s="173"/>
      <c r="F75" s="173"/>
      <c r="G75" s="130"/>
      <c r="H75" s="130"/>
      <c r="L75" s="174"/>
      <c r="M75" s="179"/>
      <c r="N75" s="179"/>
      <c r="O75" s="179"/>
      <c r="P75" s="179"/>
      <c r="Q75" s="179"/>
      <c r="R75" s="153"/>
      <c r="S75" s="153"/>
      <c r="T75" s="153"/>
      <c r="U75" s="153"/>
      <c r="V75" s="153"/>
      <c r="W75" s="153"/>
      <c r="X75" s="153"/>
      <c r="CA75" s="125"/>
      <c r="CB75" s="136"/>
      <c r="CC75" s="125"/>
      <c r="CD75" s="154"/>
      <c r="CX75" s="153"/>
    </row>
    <row r="76" spans="2:102">
      <c r="B76" s="125"/>
      <c r="C76" s="136"/>
      <c r="D76" s="144"/>
      <c r="E76" s="173"/>
      <c r="F76" s="173"/>
      <c r="G76" s="130"/>
      <c r="H76" s="130"/>
      <c r="L76" s="174"/>
      <c r="M76" s="179"/>
      <c r="N76" s="179"/>
      <c r="O76" s="179"/>
      <c r="P76" s="179"/>
      <c r="Q76" s="179"/>
      <c r="R76" s="153"/>
      <c r="S76" s="153"/>
      <c r="T76" s="153"/>
      <c r="U76" s="153"/>
      <c r="V76" s="153"/>
      <c r="W76" s="153"/>
      <c r="X76" s="153"/>
      <c r="CA76" s="125"/>
      <c r="CB76" s="136"/>
      <c r="CC76" s="125"/>
      <c r="CD76" s="154"/>
      <c r="CX76" s="153"/>
    </row>
    <row r="77" spans="2:102">
      <c r="B77" s="125"/>
      <c r="C77" s="136"/>
      <c r="D77" s="144"/>
      <c r="E77" s="173"/>
      <c r="F77" s="173"/>
      <c r="G77" s="130"/>
      <c r="H77" s="130"/>
      <c r="L77" s="174"/>
      <c r="M77" s="179"/>
      <c r="N77" s="179"/>
      <c r="O77" s="179"/>
      <c r="P77" s="179"/>
      <c r="Q77" s="179"/>
      <c r="R77" s="153"/>
      <c r="S77" s="153"/>
      <c r="T77" s="153"/>
      <c r="U77" s="153"/>
      <c r="V77" s="153"/>
      <c r="W77" s="153"/>
      <c r="X77" s="153"/>
      <c r="CA77" s="125"/>
      <c r="CB77" s="136"/>
      <c r="CC77" s="125"/>
      <c r="CD77" s="154"/>
      <c r="CX77" s="153"/>
    </row>
    <row r="78" spans="2:102">
      <c r="B78" s="125"/>
      <c r="C78" s="136"/>
      <c r="D78" s="144"/>
      <c r="E78" s="173"/>
      <c r="F78" s="173"/>
      <c r="G78" s="130"/>
      <c r="H78" s="130"/>
      <c r="L78" s="174"/>
      <c r="M78" s="179"/>
      <c r="N78" s="179"/>
      <c r="O78" s="179"/>
      <c r="P78" s="179"/>
      <c r="Q78" s="179"/>
      <c r="R78" s="153"/>
      <c r="S78" s="153"/>
      <c r="T78" s="153"/>
      <c r="U78" s="153"/>
      <c r="V78" s="153"/>
      <c r="W78" s="153"/>
      <c r="X78" s="153"/>
      <c r="CA78" s="125"/>
      <c r="CB78" s="136"/>
      <c r="CC78" s="125"/>
      <c r="CD78" s="154"/>
      <c r="CE78" s="154"/>
      <c r="CF78" s="154"/>
      <c r="CG78" s="154"/>
      <c r="CH78" s="154"/>
      <c r="CI78" s="154"/>
      <c r="CX78" s="153"/>
    </row>
    <row r="79" spans="2:102">
      <c r="B79" s="125"/>
      <c r="C79" s="136"/>
      <c r="D79" s="144"/>
      <c r="E79" s="130"/>
      <c r="F79" s="130"/>
      <c r="G79" s="130"/>
      <c r="H79" s="130"/>
      <c r="L79" s="130"/>
      <c r="CA79" s="125"/>
      <c r="CB79" s="136"/>
      <c r="CC79" s="125"/>
      <c r="CD79" s="154"/>
      <c r="CL79" s="153"/>
      <c r="CM79" s="153"/>
      <c r="CN79" s="153"/>
      <c r="CO79" s="153"/>
      <c r="CP79" s="153"/>
      <c r="CQ79" s="153"/>
      <c r="CR79" s="153"/>
      <c r="CS79" s="153"/>
      <c r="CT79" s="153"/>
      <c r="CU79" s="153"/>
      <c r="CV79" s="153"/>
      <c r="CW79" s="153"/>
      <c r="CX79" s="153"/>
    </row>
    <row r="80" spans="2:102">
      <c r="B80" s="125"/>
      <c r="C80" s="136"/>
      <c r="D80" s="144"/>
      <c r="E80" s="130"/>
      <c r="F80" s="130"/>
      <c r="G80" s="130"/>
      <c r="H80" s="130"/>
      <c r="L80" s="130"/>
      <c r="CA80" s="125"/>
      <c r="CB80" s="136"/>
      <c r="CC80" s="125"/>
      <c r="CD80" s="154"/>
      <c r="CL80" s="153"/>
      <c r="CM80" s="153"/>
      <c r="CN80" s="153"/>
      <c r="CO80" s="153"/>
      <c r="CP80" s="153"/>
      <c r="CQ80" s="153"/>
      <c r="CR80" s="153"/>
      <c r="CS80" s="153"/>
      <c r="CT80" s="153"/>
      <c r="CU80" s="153"/>
      <c r="CV80" s="153"/>
      <c r="CW80" s="153"/>
      <c r="CX80" s="153"/>
    </row>
    <row r="81" spans="2:102">
      <c r="B81" s="125"/>
      <c r="C81" s="136"/>
      <c r="D81" s="144"/>
      <c r="E81" s="130"/>
      <c r="F81" s="130"/>
      <c r="G81" s="130"/>
      <c r="H81" s="130"/>
      <c r="L81" s="130"/>
      <c r="CA81" s="125"/>
      <c r="CB81" s="136"/>
      <c r="CC81" s="125"/>
      <c r="CD81" s="154"/>
      <c r="CL81" s="153"/>
      <c r="CM81" s="153"/>
      <c r="CN81" s="153"/>
      <c r="CO81" s="153"/>
      <c r="CP81" s="153"/>
      <c r="CQ81" s="153"/>
      <c r="CR81" s="153"/>
      <c r="CS81" s="153"/>
      <c r="CT81" s="153"/>
      <c r="CU81" s="153"/>
      <c r="CV81" s="153"/>
      <c r="CW81" s="153"/>
      <c r="CX81" s="153"/>
    </row>
    <row r="82" spans="2:102">
      <c r="B82" s="125"/>
      <c r="C82" s="136"/>
      <c r="D82" s="144"/>
      <c r="E82" s="130"/>
      <c r="F82" s="130"/>
      <c r="G82" s="130"/>
      <c r="H82" s="130"/>
      <c r="L82" s="130"/>
      <c r="CA82" s="125"/>
      <c r="CB82" s="136"/>
      <c r="CC82" s="125"/>
      <c r="CD82" s="154"/>
      <c r="CL82" s="153"/>
      <c r="CM82" s="153"/>
      <c r="CN82" s="153"/>
      <c r="CO82" s="153"/>
      <c r="CP82" s="153"/>
      <c r="CQ82" s="153"/>
      <c r="CR82" s="153"/>
      <c r="CS82" s="153"/>
      <c r="CT82" s="153"/>
      <c r="CU82" s="153"/>
      <c r="CV82" s="153"/>
      <c r="CW82" s="153"/>
      <c r="CX82" s="153"/>
    </row>
    <row r="83" spans="2:102">
      <c r="B83" s="125"/>
      <c r="C83" s="136"/>
      <c r="D83" s="144"/>
      <c r="E83" s="130"/>
      <c r="F83" s="130"/>
      <c r="G83" s="130"/>
      <c r="H83" s="130"/>
      <c r="L83" s="130"/>
      <c r="CA83" s="125"/>
      <c r="CB83" s="136"/>
      <c r="CC83" s="125"/>
      <c r="CD83" s="154"/>
      <c r="CL83" s="153"/>
      <c r="CM83" s="153"/>
      <c r="CN83" s="153"/>
      <c r="CO83" s="153"/>
      <c r="CP83" s="153"/>
      <c r="CQ83" s="153"/>
      <c r="CR83" s="153"/>
      <c r="CS83" s="153"/>
      <c r="CT83" s="153"/>
      <c r="CU83" s="153"/>
      <c r="CV83" s="153"/>
      <c r="CW83" s="153"/>
      <c r="CX83" s="153"/>
    </row>
    <row r="84" spans="2:102">
      <c r="B84" s="125"/>
      <c r="C84" s="136"/>
      <c r="D84" s="144"/>
      <c r="E84" s="130"/>
      <c r="F84" s="130"/>
      <c r="G84" s="130"/>
      <c r="H84" s="130"/>
      <c r="L84" s="180"/>
      <c r="M84" s="181"/>
      <c r="N84" s="181"/>
      <c r="O84" s="181"/>
      <c r="P84" s="182"/>
      <c r="Q84" s="153"/>
      <c r="R84" s="153"/>
      <c r="S84" s="153"/>
      <c r="T84" s="153"/>
      <c r="U84" s="153"/>
      <c r="V84" s="153"/>
      <c r="CA84" s="125"/>
      <c r="CB84" s="136"/>
      <c r="CC84" s="125"/>
      <c r="CD84" s="154"/>
      <c r="CV84" s="153"/>
      <c r="CW84" s="153"/>
      <c r="CX84" s="153"/>
    </row>
    <row r="85" spans="2:102">
      <c r="B85" s="125"/>
      <c r="C85" s="136"/>
      <c r="D85" s="144"/>
      <c r="E85" s="130"/>
      <c r="F85" s="130"/>
      <c r="G85" s="130"/>
      <c r="H85" s="130"/>
      <c r="L85" s="180"/>
      <c r="M85" s="181"/>
      <c r="N85" s="181"/>
      <c r="O85" s="181"/>
      <c r="P85" s="182"/>
      <c r="Q85" s="153"/>
      <c r="R85" s="153"/>
      <c r="S85" s="153"/>
      <c r="T85" s="153"/>
      <c r="U85" s="153"/>
      <c r="V85" s="153"/>
      <c r="CA85" s="125"/>
      <c r="CB85" s="136"/>
      <c r="CC85" s="125"/>
      <c r="CD85" s="154"/>
      <c r="CV85" s="153"/>
      <c r="CW85" s="153"/>
      <c r="CX85" s="153"/>
    </row>
    <row r="86" spans="2:102">
      <c r="B86" s="125"/>
      <c r="C86" s="136"/>
      <c r="D86" s="144"/>
      <c r="E86" s="130"/>
      <c r="F86" s="130"/>
      <c r="G86" s="130"/>
      <c r="H86" s="130"/>
      <c r="L86" s="180"/>
      <c r="M86" s="181"/>
      <c r="N86" s="181"/>
      <c r="O86" s="181"/>
      <c r="P86" s="182"/>
      <c r="Q86" s="153"/>
      <c r="R86" s="153"/>
      <c r="S86" s="153"/>
      <c r="T86" s="153"/>
      <c r="U86" s="153"/>
      <c r="V86" s="153"/>
      <c r="CA86" s="125"/>
      <c r="CB86" s="136"/>
      <c r="CC86" s="125"/>
      <c r="CD86" s="154"/>
      <c r="CV86" s="153"/>
      <c r="CW86" s="153"/>
      <c r="CX86" s="153"/>
    </row>
    <row r="87" spans="2:102">
      <c r="B87" s="125"/>
      <c r="C87" s="136"/>
      <c r="D87" s="144"/>
      <c r="E87" s="130"/>
      <c r="F87" s="130"/>
      <c r="G87" s="130"/>
      <c r="H87" s="130"/>
      <c r="L87" s="183"/>
      <c r="M87" s="184"/>
      <c r="N87" s="184"/>
      <c r="O87" s="184"/>
      <c r="P87" s="182"/>
      <c r="Q87" s="153"/>
      <c r="R87" s="153"/>
      <c r="S87" s="153"/>
      <c r="T87" s="153"/>
      <c r="U87" s="153"/>
      <c r="V87" s="153"/>
      <c r="CA87" s="125"/>
      <c r="CB87" s="136"/>
      <c r="CC87" s="125"/>
      <c r="CD87" s="154"/>
      <c r="CV87" s="153"/>
      <c r="CW87" s="153"/>
      <c r="CX87" s="153"/>
    </row>
    <row r="88" spans="2:102">
      <c r="B88" s="125"/>
      <c r="C88" s="136"/>
      <c r="D88" s="144"/>
      <c r="E88" s="130"/>
      <c r="F88" s="130"/>
      <c r="G88" s="130"/>
      <c r="H88" s="130"/>
      <c r="L88" s="176"/>
      <c r="M88" s="177"/>
      <c r="N88" s="177"/>
      <c r="O88" s="177"/>
      <c r="P88" s="153"/>
      <c r="Q88" s="153"/>
      <c r="R88" s="153"/>
      <c r="S88" s="153"/>
      <c r="T88" s="153"/>
      <c r="U88" s="153"/>
      <c r="V88" s="153"/>
      <c r="CA88" s="125"/>
      <c r="CB88" s="136"/>
      <c r="CC88" s="125"/>
      <c r="CD88" s="154"/>
      <c r="CV88" s="153"/>
      <c r="CW88" s="153"/>
      <c r="CX88" s="153"/>
    </row>
    <row r="89" spans="2:102">
      <c r="B89" s="125"/>
      <c r="C89" s="136"/>
      <c r="D89" s="144"/>
      <c r="E89" s="130"/>
      <c r="F89" s="130"/>
      <c r="G89" s="130"/>
      <c r="H89" s="130"/>
      <c r="L89" s="130"/>
      <c r="CA89" s="125"/>
      <c r="CB89" s="136"/>
      <c r="CC89" s="125"/>
      <c r="CD89" s="154"/>
      <c r="CL89" s="153"/>
      <c r="CM89" s="153"/>
      <c r="CN89" s="153"/>
      <c r="CO89" s="153"/>
      <c r="CP89" s="153"/>
      <c r="CQ89" s="153"/>
      <c r="CR89" s="153"/>
      <c r="CS89" s="153"/>
      <c r="CT89" s="153"/>
      <c r="CU89" s="153"/>
      <c r="CV89" s="153"/>
      <c r="CW89" s="153"/>
      <c r="CX89" s="153"/>
    </row>
    <row r="90" spans="2:102">
      <c r="B90" s="125"/>
      <c r="C90" s="136"/>
      <c r="D90" s="144"/>
      <c r="E90" s="130"/>
      <c r="F90" s="130"/>
      <c r="G90" s="130"/>
      <c r="H90" s="130"/>
      <c r="L90" s="130"/>
      <c r="CA90" s="125"/>
      <c r="CB90" s="136"/>
      <c r="CC90" s="125"/>
      <c r="CD90" s="154"/>
      <c r="CL90" s="153"/>
      <c r="CM90" s="153"/>
      <c r="CN90" s="153"/>
      <c r="CO90" s="153"/>
      <c r="CP90" s="153"/>
      <c r="CQ90" s="153"/>
      <c r="CR90" s="153"/>
      <c r="CS90" s="153"/>
      <c r="CT90" s="153"/>
      <c r="CU90" s="153"/>
      <c r="CV90" s="153"/>
      <c r="CW90" s="153"/>
      <c r="CX90" s="153"/>
    </row>
    <row r="91" spans="2:102">
      <c r="B91" s="125"/>
      <c r="C91" s="136"/>
      <c r="D91" s="144"/>
      <c r="E91" s="130"/>
      <c r="F91" s="130"/>
      <c r="G91" s="130"/>
      <c r="H91" s="130"/>
      <c r="L91" s="130"/>
      <c r="CA91" s="125"/>
      <c r="CB91" s="136"/>
      <c r="CC91" s="125"/>
      <c r="CD91" s="154"/>
      <c r="CL91" s="153"/>
      <c r="CM91" s="153"/>
      <c r="CN91" s="153"/>
      <c r="CO91" s="153"/>
      <c r="CP91" s="153"/>
      <c r="CQ91" s="153"/>
      <c r="CR91" s="153"/>
      <c r="CS91" s="153"/>
      <c r="CT91" s="153"/>
      <c r="CU91" s="153"/>
      <c r="CV91" s="153"/>
      <c r="CW91" s="153"/>
      <c r="CX91" s="153"/>
    </row>
    <row r="92" spans="2:102">
      <c r="B92" s="125"/>
      <c r="C92" s="136"/>
      <c r="D92" s="144"/>
      <c r="E92" s="130"/>
      <c r="F92" s="130"/>
      <c r="G92" s="130"/>
      <c r="H92" s="130"/>
      <c r="L92" s="185"/>
      <c r="CA92" s="125"/>
      <c r="CB92" s="136"/>
      <c r="CC92" s="125"/>
      <c r="CD92" s="171"/>
      <c r="CL92" s="153"/>
      <c r="CM92" s="153"/>
      <c r="CN92" s="153"/>
      <c r="CO92" s="153"/>
      <c r="CP92" s="153"/>
      <c r="CQ92" s="153"/>
      <c r="CR92" s="153"/>
      <c r="CS92" s="153"/>
      <c r="CT92" s="153"/>
      <c r="CU92" s="153"/>
      <c r="CV92" s="153"/>
      <c r="CW92" s="153"/>
      <c r="CX92" s="153"/>
    </row>
    <row r="93" spans="2:102">
      <c r="B93" s="125"/>
      <c r="C93" s="136"/>
      <c r="D93" s="144"/>
      <c r="E93" s="130"/>
      <c r="F93" s="130"/>
      <c r="G93" s="130"/>
      <c r="H93" s="130"/>
      <c r="L93" s="185"/>
      <c r="CA93" s="125"/>
      <c r="CB93" s="136"/>
      <c r="CC93" s="125"/>
      <c r="CD93" s="171"/>
      <c r="CL93" s="153"/>
      <c r="CM93" s="153"/>
      <c r="CN93" s="153"/>
      <c r="CO93" s="153"/>
      <c r="CP93" s="153"/>
      <c r="CQ93" s="153"/>
      <c r="CR93" s="153"/>
      <c r="CS93" s="153"/>
      <c r="CT93" s="153"/>
      <c r="CU93" s="153"/>
      <c r="CV93" s="153"/>
      <c r="CW93" s="153"/>
      <c r="CX93" s="153"/>
    </row>
    <row r="94" spans="2:102">
      <c r="B94" s="125"/>
      <c r="C94" s="136"/>
      <c r="D94" s="144"/>
      <c r="E94" s="130"/>
      <c r="F94" s="130"/>
      <c r="G94" s="130"/>
      <c r="H94" s="130"/>
      <c r="L94" s="185"/>
      <c r="CA94" s="125"/>
      <c r="CB94" s="136"/>
      <c r="CC94" s="125"/>
      <c r="CD94" s="171"/>
      <c r="CL94" s="153"/>
      <c r="CM94" s="153"/>
      <c r="CN94" s="153"/>
      <c r="CO94" s="153"/>
      <c r="CP94" s="153"/>
      <c r="CQ94" s="153"/>
      <c r="CR94" s="153"/>
      <c r="CS94" s="153"/>
      <c r="CT94" s="153"/>
      <c r="CU94" s="153"/>
      <c r="CV94" s="153"/>
      <c r="CW94" s="153"/>
      <c r="CX94" s="153"/>
    </row>
    <row r="95" spans="2:102">
      <c r="B95" s="125"/>
      <c r="C95" s="136"/>
      <c r="D95" s="144"/>
      <c r="E95" s="155"/>
      <c r="F95" s="155"/>
      <c r="CA95" s="125"/>
      <c r="CB95" s="136"/>
      <c r="CD95" s="154"/>
      <c r="CN95" s="155"/>
      <c r="CO95" s="155"/>
      <c r="CP95" s="155"/>
      <c r="CQ95" s="155"/>
      <c r="CR95" s="155"/>
    </row>
    <row r="96" spans="2:102">
      <c r="B96" s="125"/>
      <c r="C96" s="136"/>
      <c r="D96" s="144"/>
      <c r="E96" s="155"/>
      <c r="F96" s="155"/>
      <c r="CA96" s="125"/>
      <c r="CB96" s="136"/>
      <c r="CD96" s="154"/>
      <c r="CN96" s="155"/>
      <c r="CO96" s="155"/>
      <c r="CP96" s="155"/>
      <c r="CQ96" s="155"/>
      <c r="CR96" s="155"/>
    </row>
    <row r="97" spans="2:96">
      <c r="B97" s="125"/>
      <c r="C97" s="136"/>
      <c r="D97" s="144"/>
      <c r="E97" s="155"/>
      <c r="F97" s="155"/>
      <c r="CA97" s="125"/>
      <c r="CB97" s="136"/>
      <c r="CD97" s="154"/>
      <c r="CN97" s="155"/>
      <c r="CO97" s="155"/>
      <c r="CP97" s="155"/>
      <c r="CQ97" s="155"/>
      <c r="CR97" s="155"/>
    </row>
    <row r="98" spans="2:96">
      <c r="B98" s="125"/>
      <c r="C98" s="136"/>
      <c r="D98" s="144"/>
      <c r="E98" s="155"/>
      <c r="F98" s="155"/>
      <c r="CA98" s="125"/>
      <c r="CB98" s="136"/>
      <c r="CD98" s="154"/>
      <c r="CN98" s="155"/>
      <c r="CO98" s="155"/>
      <c r="CP98" s="155"/>
      <c r="CQ98" s="155"/>
      <c r="CR98" s="155"/>
    </row>
    <row r="99" spans="2:96">
      <c r="B99" s="125"/>
      <c r="C99" s="136"/>
      <c r="D99" s="144"/>
      <c r="E99" s="155"/>
      <c r="F99" s="155"/>
      <c r="CA99" s="125"/>
      <c r="CB99" s="136"/>
      <c r="CD99" s="154"/>
      <c r="CN99" s="155"/>
      <c r="CO99" s="155"/>
      <c r="CP99" s="155"/>
      <c r="CQ99" s="155"/>
      <c r="CR99" s="155"/>
    </row>
    <row r="100" spans="2:96">
      <c r="B100" s="125"/>
      <c r="C100" s="136"/>
      <c r="D100" s="144"/>
      <c r="E100" s="155"/>
      <c r="F100" s="155"/>
      <c r="CA100" s="125"/>
      <c r="CB100" s="136"/>
      <c r="CD100" s="154"/>
      <c r="CN100" s="155"/>
      <c r="CO100" s="155"/>
      <c r="CP100" s="155"/>
      <c r="CQ100" s="155"/>
      <c r="CR100" s="155"/>
    </row>
    <row r="101" spans="2:96">
      <c r="B101" s="125"/>
      <c r="C101" s="136"/>
      <c r="D101" s="144"/>
      <c r="E101" s="155"/>
      <c r="F101" s="155"/>
      <c r="CA101" s="125"/>
      <c r="CB101" s="136"/>
      <c r="CD101" s="154"/>
      <c r="CN101" s="155"/>
      <c r="CO101" s="155"/>
      <c r="CP101" s="155"/>
      <c r="CQ101" s="155"/>
      <c r="CR101" s="155"/>
    </row>
    <row r="102" spans="2:96">
      <c r="B102" s="125"/>
      <c r="C102" s="136"/>
      <c r="D102" s="144"/>
      <c r="E102" s="155"/>
      <c r="F102" s="155"/>
      <c r="L102" s="186"/>
      <c r="M102" s="186"/>
      <c r="N102" s="186"/>
      <c r="O102" s="186"/>
      <c r="P102" s="155"/>
      <c r="R102" s="153"/>
      <c r="S102" s="153"/>
      <c r="T102" s="153"/>
      <c r="U102" s="153"/>
      <c r="CA102" s="125"/>
      <c r="CB102" s="136"/>
      <c r="CD102" s="187"/>
      <c r="CE102" s="187"/>
      <c r="CF102" s="187"/>
      <c r="CG102" s="187"/>
    </row>
    <row r="103" spans="2:96">
      <c r="B103" s="125"/>
      <c r="C103" s="136"/>
      <c r="D103" s="144"/>
      <c r="E103" s="155"/>
      <c r="F103" s="155"/>
      <c r="L103" s="186"/>
      <c r="M103" s="186"/>
      <c r="N103" s="186"/>
      <c r="O103" s="186"/>
      <c r="P103" s="155"/>
      <c r="R103" s="153"/>
      <c r="S103" s="153"/>
      <c r="T103" s="153"/>
      <c r="U103" s="153"/>
      <c r="CA103" s="125"/>
      <c r="CB103" s="136"/>
      <c r="CD103" s="187"/>
      <c r="CE103" s="187"/>
      <c r="CF103" s="187"/>
      <c r="CG103" s="187"/>
    </row>
    <row r="104" spans="2:96">
      <c r="B104" s="125"/>
      <c r="C104" s="136"/>
      <c r="D104" s="144"/>
      <c r="E104" s="155"/>
      <c r="F104" s="155"/>
      <c r="L104" s="186"/>
      <c r="M104" s="186"/>
      <c r="N104" s="186"/>
      <c r="O104" s="186"/>
      <c r="P104" s="155"/>
      <c r="R104" s="153"/>
      <c r="S104" s="153"/>
      <c r="T104" s="153"/>
      <c r="U104" s="153"/>
      <c r="CA104" s="125"/>
      <c r="CB104" s="136"/>
      <c r="CD104" s="187"/>
      <c r="CE104" s="187"/>
      <c r="CF104" s="187"/>
      <c r="CG104" s="187"/>
    </row>
    <row r="105" spans="2:96">
      <c r="B105" s="125"/>
      <c r="C105" s="136"/>
      <c r="D105" s="144"/>
      <c r="E105" s="155"/>
      <c r="F105" s="155"/>
      <c r="L105" s="186"/>
      <c r="M105" s="186"/>
      <c r="N105" s="186"/>
      <c r="O105" s="186"/>
      <c r="P105" s="155"/>
      <c r="R105" s="153"/>
      <c r="S105" s="153"/>
      <c r="T105" s="153"/>
      <c r="U105" s="153"/>
      <c r="CA105" s="125"/>
      <c r="CB105" s="136"/>
      <c r="CD105" s="187"/>
      <c r="CE105" s="187"/>
      <c r="CF105" s="187"/>
      <c r="CG105" s="187"/>
    </row>
    <row r="106" spans="2:96">
      <c r="B106" s="125"/>
      <c r="C106" s="136"/>
      <c r="D106" s="144"/>
      <c r="E106" s="155"/>
      <c r="F106" s="155"/>
      <c r="L106" s="186"/>
      <c r="M106" s="186"/>
      <c r="N106" s="186"/>
      <c r="O106" s="186"/>
      <c r="P106" s="155"/>
      <c r="R106" s="153"/>
      <c r="S106" s="153"/>
      <c r="T106" s="153"/>
      <c r="U106" s="153"/>
      <c r="CA106" s="125"/>
      <c r="CB106" s="136"/>
      <c r="CD106" s="187"/>
      <c r="CE106" s="187"/>
      <c r="CF106" s="187"/>
      <c r="CG106" s="187"/>
    </row>
    <row r="107" spans="2:96">
      <c r="B107" s="125"/>
      <c r="C107" s="136"/>
      <c r="D107" s="144"/>
      <c r="E107" s="155"/>
      <c r="F107" s="155"/>
      <c r="L107" s="155"/>
      <c r="M107" s="155"/>
      <c r="N107" s="155"/>
      <c r="O107" s="155"/>
      <c r="P107" s="155"/>
      <c r="R107" s="153"/>
      <c r="CA107" s="125"/>
      <c r="CB107" s="136"/>
      <c r="CD107" s="187"/>
    </row>
    <row r="108" spans="2:96">
      <c r="B108" s="125"/>
      <c r="C108" s="136"/>
      <c r="D108" s="144"/>
      <c r="E108" s="155"/>
      <c r="F108" s="155"/>
      <c r="L108" s="155"/>
      <c r="M108" s="155"/>
      <c r="N108" s="155"/>
      <c r="O108" s="155"/>
      <c r="P108" s="155"/>
      <c r="R108" s="153"/>
      <c r="CA108" s="125"/>
      <c r="CB108" s="136"/>
      <c r="CD108" s="187"/>
    </row>
    <row r="109" spans="2:96">
      <c r="B109" s="125"/>
      <c r="C109" s="136"/>
      <c r="D109" s="144"/>
      <c r="E109" s="130"/>
      <c r="F109" s="155"/>
      <c r="L109" s="155"/>
      <c r="M109" s="155"/>
      <c r="N109" s="155"/>
      <c r="O109" s="155"/>
      <c r="P109" s="155"/>
      <c r="CA109" s="125"/>
      <c r="CB109" s="136"/>
      <c r="CD109" s="171"/>
    </row>
    <row r="110" spans="2:96">
      <c r="B110" s="125"/>
      <c r="C110" s="136"/>
      <c r="D110" s="144"/>
      <c r="E110" s="130"/>
      <c r="F110" s="155"/>
      <c r="L110" s="155"/>
      <c r="M110" s="155"/>
      <c r="N110" s="155"/>
      <c r="O110" s="155"/>
      <c r="P110" s="155"/>
      <c r="CA110" s="125"/>
      <c r="CB110" s="136"/>
      <c r="CD110" s="171"/>
    </row>
    <row r="111" spans="2:96">
      <c r="B111" s="125"/>
      <c r="C111" s="136"/>
      <c r="D111" s="144"/>
      <c r="E111" s="130"/>
      <c r="F111" s="155"/>
      <c r="L111" s="155"/>
      <c r="M111" s="155"/>
      <c r="N111" s="155"/>
      <c r="O111" s="155"/>
      <c r="P111" s="155"/>
      <c r="CA111" s="125"/>
      <c r="CB111" s="136"/>
      <c r="CD111" s="171"/>
    </row>
    <row r="112" spans="2:96">
      <c r="B112" s="125"/>
      <c r="C112" s="136"/>
      <c r="D112" s="144"/>
      <c r="E112" s="130"/>
      <c r="F112" s="155"/>
      <c r="L112" s="155"/>
      <c r="M112" s="155"/>
      <c r="N112" s="155"/>
      <c r="O112" s="155"/>
      <c r="P112" s="155"/>
      <c r="CA112" s="125"/>
      <c r="CB112" s="136"/>
      <c r="CD112" s="171"/>
    </row>
    <row r="113" spans="2:90">
      <c r="B113" s="125"/>
      <c r="C113" s="136"/>
      <c r="D113" s="144"/>
      <c r="E113" s="130"/>
      <c r="F113" s="155"/>
      <c r="L113" s="155"/>
      <c r="M113" s="155"/>
      <c r="N113" s="155"/>
      <c r="O113" s="155"/>
      <c r="P113" s="155"/>
      <c r="CA113" s="125"/>
      <c r="CB113" s="136"/>
      <c r="CD113" s="171"/>
    </row>
    <row r="114" spans="2:90">
      <c r="B114" s="125"/>
      <c r="C114" s="136"/>
      <c r="D114" s="144"/>
      <c r="E114" s="130"/>
      <c r="F114" s="155"/>
      <c r="L114" s="155"/>
      <c r="M114" s="155"/>
      <c r="N114" s="155"/>
      <c r="O114" s="155"/>
      <c r="P114" s="155"/>
      <c r="CA114" s="125"/>
      <c r="CB114" s="136"/>
      <c r="CD114" s="171"/>
    </row>
    <row r="115" spans="2:90">
      <c r="B115" s="125"/>
      <c r="C115" s="136"/>
      <c r="D115" s="144"/>
      <c r="E115" s="130"/>
      <c r="F115" s="155"/>
      <c r="L115" s="155"/>
      <c r="M115" s="155"/>
      <c r="N115" s="155"/>
      <c r="O115" s="155"/>
      <c r="P115" s="155"/>
      <c r="CA115" s="125"/>
      <c r="CB115" s="136"/>
      <c r="CD115" s="171"/>
    </row>
    <row r="116" spans="2:90">
      <c r="B116" s="125"/>
      <c r="C116" s="136"/>
      <c r="D116" s="144"/>
      <c r="E116" s="153"/>
      <c r="F116" s="153"/>
      <c r="CA116" s="125"/>
      <c r="CB116" s="136"/>
      <c r="CD116" s="154"/>
      <c r="CH116" s="153"/>
      <c r="CI116" s="153"/>
      <c r="CJ116" s="153"/>
      <c r="CK116" s="153"/>
      <c r="CL116" s="153"/>
    </row>
    <row r="117" spans="2:90">
      <c r="B117" s="125"/>
      <c r="C117" s="136"/>
      <c r="D117" s="144"/>
      <c r="E117" s="153"/>
      <c r="F117" s="153"/>
      <c r="CA117" s="125"/>
      <c r="CB117" s="136"/>
      <c r="CD117" s="154"/>
      <c r="CH117" s="153"/>
      <c r="CI117" s="153"/>
      <c r="CJ117" s="153"/>
      <c r="CK117" s="153"/>
      <c r="CL117" s="153"/>
    </row>
    <row r="118" spans="2:90">
      <c r="B118" s="125"/>
      <c r="C118" s="136"/>
      <c r="D118" s="144"/>
      <c r="E118" s="153"/>
      <c r="F118" s="153"/>
      <c r="L118" s="188"/>
      <c r="CA118" s="125"/>
      <c r="CB118" s="136"/>
      <c r="CC118" s="125"/>
      <c r="CD118" s="154"/>
    </row>
    <row r="119" spans="2:90">
      <c r="B119" s="125"/>
      <c r="C119" s="136"/>
      <c r="D119" s="144"/>
      <c r="E119" s="153"/>
      <c r="F119" s="153"/>
      <c r="L119" s="188"/>
      <c r="CA119" s="125"/>
      <c r="CB119" s="136"/>
      <c r="CC119" s="125"/>
      <c r="CD119" s="154"/>
    </row>
    <row r="120" spans="2:90">
      <c r="B120" s="125"/>
      <c r="C120" s="136"/>
      <c r="D120" s="144"/>
      <c r="E120" s="153"/>
      <c r="F120" s="153"/>
      <c r="L120" s="153"/>
      <c r="CA120" s="125"/>
      <c r="CB120" s="136"/>
      <c r="CC120" s="125"/>
      <c r="CD120" s="154"/>
    </row>
    <row r="121" spans="2:90">
      <c r="B121" s="125"/>
      <c r="C121" s="136"/>
      <c r="D121" s="144"/>
      <c r="E121" s="153"/>
      <c r="F121" s="153"/>
      <c r="L121" s="189"/>
      <c r="CA121" s="125"/>
      <c r="CB121" s="136"/>
      <c r="CC121" s="125"/>
      <c r="CD121" s="154"/>
    </row>
    <row r="122" spans="2:90">
      <c r="B122" s="125"/>
      <c r="C122" s="136"/>
      <c r="D122" s="144"/>
      <c r="E122" s="153"/>
      <c r="F122" s="153"/>
      <c r="L122" s="182"/>
      <c r="CA122" s="125"/>
      <c r="CB122" s="136"/>
      <c r="CC122" s="125"/>
      <c r="CD122" s="154"/>
    </row>
    <row r="123" spans="2:90">
      <c r="C123" s="136"/>
      <c r="D123" s="136"/>
      <c r="CB123" s="136"/>
    </row>
    <row r="124" spans="2:90">
      <c r="C124" s="136"/>
      <c r="D124" s="136"/>
      <c r="CB124" s="136"/>
    </row>
    <row r="125" spans="2:90">
      <c r="CB125" s="136"/>
    </row>
    <row r="126" spans="2:90">
      <c r="CB126" s="13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216DE-679A-2444-82DE-1F7C968509E2}">
  <dimension ref="A3"/>
  <sheetViews>
    <sheetView workbookViewId="0">
      <selection activeCell="K36" sqref="K36"/>
    </sheetView>
  </sheetViews>
  <sheetFormatPr defaultColWidth="11.25" defaultRowHeight="15.75"/>
  <sheetData>
    <row r="3" spans="1:1">
      <c r="A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ENTER EMPLOYEE ID</vt:lpstr>
      <vt:lpstr>Introduction</vt:lpstr>
      <vt:lpstr>Elasticity</vt:lpstr>
      <vt:lpstr>Company Stores</vt:lpstr>
      <vt:lpstr>Company Website</vt:lpstr>
      <vt:lpstr>Model</vt:lpstr>
      <vt:lpstr>Scratch</vt:lpstr>
      <vt:lpstr>X</vt:lpstr>
      <vt:lpstr>Potential changs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horwitz</dc:creator>
  <cp:lastModifiedBy>CHRISTOPHER GUZMAN SILVA</cp:lastModifiedBy>
  <dcterms:created xsi:type="dcterms:W3CDTF">2021-10-16T12:20:25Z</dcterms:created>
  <dcterms:modified xsi:type="dcterms:W3CDTF">2023-05-17T02:07:24Z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1855b2-0a05-4494-a903-f3f23f3f98e0_Enabled">
    <vt:lpwstr>true</vt:lpwstr>
  </property>
  <property fmtid="{D5CDD505-2E9C-101B-9397-08002B2CF9AE}" pid="3" name="MSIP_Label_fa1855b2-0a05-4494-a903-f3f23f3f98e0_SetDate">
    <vt:lpwstr>2022-10-17T14:59:55Z</vt:lpwstr>
  </property>
  <property fmtid="{D5CDD505-2E9C-101B-9397-08002B2CF9AE}" pid="4" name="MSIP_Label_fa1855b2-0a05-4494-a903-f3f23f3f98e0_Method">
    <vt:lpwstr>Standard</vt:lpwstr>
  </property>
  <property fmtid="{D5CDD505-2E9C-101B-9397-08002B2CF9AE}" pid="5" name="MSIP_Label_fa1855b2-0a05-4494-a903-f3f23f3f98e0_Name">
    <vt:lpwstr>defa4170-0d19-0005-0004-bc88714345d2</vt:lpwstr>
  </property>
  <property fmtid="{D5CDD505-2E9C-101B-9397-08002B2CF9AE}" pid="6" name="MSIP_Label_fa1855b2-0a05-4494-a903-f3f23f3f98e0_SiteId">
    <vt:lpwstr>6f60f0b3-5f06-4e09-9715-989dba8cc7d8</vt:lpwstr>
  </property>
  <property fmtid="{D5CDD505-2E9C-101B-9397-08002B2CF9AE}" pid="7" name="MSIP_Label_fa1855b2-0a05-4494-a903-f3f23f3f98e0_ActionId">
    <vt:lpwstr>977bb394-4c35-404d-bbdf-d08e1ef6ba21</vt:lpwstr>
  </property>
  <property fmtid="{D5CDD505-2E9C-101B-9397-08002B2CF9AE}" pid="8" name="MSIP_Label_fa1855b2-0a05-4494-a903-f3f23f3f98e0_ContentBits">
    <vt:lpwstr>0</vt:lpwstr>
  </property>
</Properties>
</file>