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6320"/>
  </bookViews>
  <sheets>
    <sheet name="3yr monthly discountet cashflow" sheetId="1" r:id="rId1"/>
    <sheet name="Revenue Analysis" sheetId="2" r:id="rId2"/>
    <sheet name="Cost Analysis" sheetId="3" r:id="rId3"/>
    <sheet name="Profitability Analysis" sheetId="4" r:id="rId4"/>
    <sheet name="Running Profit Analysis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<sst xmlns="http://schemas.openxmlformats.org/spreadsheetml/2006/main" count="141" uniqueCount="88">
  <si>
    <t>Accelerate prepaid gross subscriber additions</t>
  </si>
  <si>
    <t xml:space="preserve">Adjustable Parameters </t>
  </si>
  <si>
    <t xml:space="preserve">option 1: partner with a leading retail chain that has approximately 2,000 locations; </t>
  </si>
  <si>
    <t xml:space="preserve">option 2: build stores directly. Due to overall capacity and resource constraints, Mobility will only be able to deploy 1,500 stores over 8 months. </t>
  </si>
  <si>
    <t>Assumption: new 1500 stores are built at the speed of 188 stores per month</t>
  </si>
  <si>
    <t>Base information collected</t>
  </si>
  <si>
    <t>location</t>
  </si>
  <si>
    <t>Added location</t>
  </si>
  <si>
    <t>time</t>
  </si>
  <si>
    <t>unit/location</t>
  </si>
  <si>
    <t>commision/M</t>
  </si>
  <si>
    <t>Annual</t>
  </si>
  <si>
    <t>Rent</t>
  </si>
  <si>
    <t>Fixture</t>
  </si>
  <si>
    <t>Share_split</t>
  </si>
  <si>
    <t>Pre-Paid Avg Revenue</t>
  </si>
  <si>
    <t>Churn/M</t>
  </si>
  <si>
    <t>partner</t>
  </si>
  <si>
    <t>now</t>
  </si>
  <si>
    <t>BELL</t>
  </si>
  <si>
    <t>8 months</t>
  </si>
  <si>
    <t>Analysis on business logic</t>
  </si>
  <si>
    <t>1. Location increase 188 for BELL option, while 2000 location for Retail Partner</t>
  </si>
  <si>
    <r>
      <rPr>
        <sz val="11"/>
        <color rgb="FFFF0000"/>
        <rFont val="Calibri"/>
        <charset val="134"/>
        <scheme val="minor"/>
      </rPr>
      <t xml:space="preserve">2. Running Revenue is accumulated with Running sum of all previous months,which is caused by </t>
    </r>
    <r>
      <rPr>
        <b/>
        <sz val="11"/>
        <color rgb="FFFF0000"/>
        <rFont val="Calibri"/>
        <charset val="134"/>
        <scheme val="minor"/>
      </rPr>
      <t>running units</t>
    </r>
  </si>
  <si>
    <t>3. Churn rate is applied onto Running Revenue for each month</t>
  </si>
  <si>
    <t>4. all the fixure, rent, salary are annual per location</t>
  </si>
  <si>
    <t>5. Estimate is going to be dynamic base on the parameter defined in $N$1</t>
  </si>
  <si>
    <t>Financial Modeling</t>
  </si>
  <si>
    <t>Discounted Rate</t>
  </si>
  <si>
    <t>Partner-Retail Chain</t>
  </si>
  <si>
    <t>Month</t>
  </si>
  <si>
    <t>Location</t>
  </si>
  <si>
    <t>Monthly_Unit</t>
  </si>
  <si>
    <t>Monthly_Rev</t>
  </si>
  <si>
    <t>Running Service Revenue</t>
  </si>
  <si>
    <t>Cost(Churn)</t>
  </si>
  <si>
    <t>Cost(Comm)</t>
  </si>
  <si>
    <t>Cost(Share Split)</t>
  </si>
  <si>
    <t>Profit Margin</t>
  </si>
  <si>
    <t>Total Cost</t>
  </si>
  <si>
    <t>Runing profit</t>
  </si>
  <si>
    <t>Monthly_NewUnitRev</t>
  </si>
  <si>
    <t>Running_Revenue</t>
  </si>
  <si>
    <t>CostRentFix</t>
  </si>
  <si>
    <t>Cost_SB</t>
  </si>
  <si>
    <t>Profit</t>
  </si>
  <si>
    <t>Running profit</t>
  </si>
  <si>
    <t>% comparison</t>
  </si>
  <si>
    <t>202007- 1</t>
  </si>
  <si>
    <t>202008 - 2</t>
  </si>
  <si>
    <t>202009 - 3</t>
  </si>
  <si>
    <t>202010 - 4</t>
  </si>
  <si>
    <t>202011 - 5</t>
  </si>
  <si>
    <t>202012 - 6</t>
  </si>
  <si>
    <t>202101 - 7</t>
  </si>
  <si>
    <t xml:space="preserve">202102 - 8 </t>
  </si>
  <si>
    <t>202103 - 9</t>
  </si>
  <si>
    <t>202104 - 10</t>
  </si>
  <si>
    <t>202105 -11</t>
  </si>
  <si>
    <t>202106 -12</t>
  </si>
  <si>
    <t>202107 -13</t>
  </si>
  <si>
    <t>202108 - 14</t>
  </si>
  <si>
    <t>202109 - 15</t>
  </si>
  <si>
    <t>202110 -16</t>
  </si>
  <si>
    <t>202111 -17</t>
  </si>
  <si>
    <t>202112 -18</t>
  </si>
  <si>
    <t>202201 -19</t>
  </si>
  <si>
    <t>202202 -20</t>
  </si>
  <si>
    <t>202203 -21</t>
  </si>
  <si>
    <t>202204 -22</t>
  </si>
  <si>
    <t>202205 -23</t>
  </si>
  <si>
    <t>202206 -24</t>
  </si>
  <si>
    <t>202207 -25</t>
  </si>
  <si>
    <t>202208 -26</t>
  </si>
  <si>
    <t>202209 -27</t>
  </si>
  <si>
    <t>202210 -28</t>
  </si>
  <si>
    <t>202211 -29</t>
  </si>
  <si>
    <t>202212 -30</t>
  </si>
  <si>
    <t>202301 -31</t>
  </si>
  <si>
    <t>202302 - 32</t>
  </si>
  <si>
    <t>202303 - 33</t>
  </si>
  <si>
    <t>202304 -34</t>
  </si>
  <si>
    <t>202305 -35</t>
  </si>
  <si>
    <t>202306 -36</t>
  </si>
  <si>
    <t>cashflow beginning</t>
  </si>
  <si>
    <t>Cashflow deduction</t>
  </si>
  <si>
    <t>Option 1</t>
  </si>
  <si>
    <t>Option 2</t>
  </si>
</sst>
</file>

<file path=xl/styles.xml><?xml version="1.0" encoding="utf-8"?>
<styleSheet xmlns="http://schemas.openxmlformats.org/spreadsheetml/2006/main">
  <numFmts count="7">
    <numFmt numFmtId="176" formatCode="&quot;$&quot;#,##0"/>
    <numFmt numFmtId="177" formatCode="_-&quot;$&quot;* #,##0_-;\-&quot;$&quot;* #,##0_-;_-&quot;$&quot;* &quot;-&quot;??_-;_-@_-"/>
    <numFmt numFmtId="43" formatCode="_-* #,##0.00_-;\-* #,##0.00_-;_-* &quot;-&quot;??_-;_-@_-"/>
    <numFmt numFmtId="178" formatCode="#,##0_);[Red]\(#,##0\)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9">
    <font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4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0000FF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3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13" borderId="13" applyNumberFormat="0" applyFont="0" applyAlignment="0" applyProtection="0">
      <alignment vertical="center"/>
    </xf>
    <xf numFmtId="0" fontId="16" fillId="12" borderId="1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7" borderId="12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1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Font="1" applyFill="1" applyAlignment="1"/>
    <xf numFmtId="177" fontId="0" fillId="0" borderId="0" xfId="27" applyNumberFormat="1" applyFont="1" applyAlignment="1"/>
    <xf numFmtId="0" fontId="0" fillId="0" borderId="0" xfId="0" applyFont="1" applyFill="1" applyBorder="1" applyAlignment="1"/>
    <xf numFmtId="176" fontId="0" fillId="0" borderId="0" xfId="0" applyNumberFormat="1" applyFont="1" applyFill="1" applyAlignment="1"/>
    <xf numFmtId="0" fontId="0" fillId="2" borderId="0" xfId="0" applyFont="1" applyFill="1" applyBorder="1" applyAlignment="1"/>
    <xf numFmtId="0" fontId="1" fillId="3" borderId="0" xfId="0" applyFont="1" applyFill="1" applyBorder="1" applyAlignment="1"/>
    <xf numFmtId="10" fontId="0" fillId="0" borderId="0" xfId="0" applyNumberFormat="1" applyFont="1" applyFill="1" applyAlignment="1"/>
    <xf numFmtId="9" fontId="0" fillId="0" borderId="0" xfId="47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5" fillId="4" borderId="1" xfId="0" applyFont="1" applyFill="1" applyBorder="1" applyAlignment="1">
      <alignment horizontal="left"/>
    </xf>
    <xf numFmtId="0" fontId="0" fillId="0" borderId="2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6" fillId="5" borderId="6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" fontId="0" fillId="0" borderId="2" xfId="0" applyNumberFormat="1" applyFont="1" applyFill="1" applyBorder="1" applyAlignment="1"/>
    <xf numFmtId="176" fontId="0" fillId="0" borderId="2" xfId="0" applyNumberFormat="1" applyFont="1" applyFill="1" applyBorder="1" applyAlignment="1"/>
    <xf numFmtId="0" fontId="0" fillId="2" borderId="2" xfId="0" applyFont="1" applyFill="1" applyBorder="1" applyAlignment="1"/>
    <xf numFmtId="1" fontId="0" fillId="2" borderId="2" xfId="0" applyNumberFormat="1" applyFont="1" applyFill="1" applyBorder="1" applyAlignment="1"/>
    <xf numFmtId="176" fontId="0" fillId="2" borderId="2" xfId="0" applyNumberFormat="1" applyFont="1" applyFill="1" applyBorder="1" applyAlignment="1"/>
    <xf numFmtId="0" fontId="1" fillId="3" borderId="2" xfId="0" applyFont="1" applyFill="1" applyBorder="1" applyAlignment="1"/>
    <xf numFmtId="1" fontId="0" fillId="3" borderId="2" xfId="0" applyNumberFormat="1" applyFont="1" applyFill="1" applyBorder="1" applyAlignment="1"/>
    <xf numFmtId="176" fontId="0" fillId="3" borderId="2" xfId="0" applyNumberFormat="1" applyFont="1" applyFill="1" applyBorder="1" applyAlignment="1"/>
    <xf numFmtId="0" fontId="0" fillId="6" borderId="2" xfId="0" applyFont="1" applyFill="1" applyBorder="1" applyAlignment="1"/>
    <xf numFmtId="176" fontId="6" fillId="0" borderId="2" xfId="0" applyNumberFormat="1" applyFont="1" applyFill="1" applyBorder="1" applyAlignment="1"/>
    <xf numFmtId="0" fontId="7" fillId="7" borderId="5" xfId="32" applyFont="1" applyFill="1" applyBorder="1" applyAlignment="1">
      <alignment horizontal="center"/>
    </xf>
    <xf numFmtId="0" fontId="7" fillId="7" borderId="6" xfId="32" applyFont="1" applyFill="1" applyBorder="1" applyAlignment="1">
      <alignment horizontal="center"/>
    </xf>
    <xf numFmtId="9" fontId="8" fillId="0" borderId="2" xfId="0" applyNumberFormat="1" applyFont="1" applyFill="1" applyBorder="1" applyAlignment="1"/>
    <xf numFmtId="0" fontId="0" fillId="0" borderId="7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left"/>
    </xf>
    <xf numFmtId="2" fontId="0" fillId="0" borderId="0" xfId="0" applyNumberFormat="1" applyFont="1" applyFill="1" applyAlignment="1"/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4" xfId="0" applyFont="1" applyFill="1" applyBorder="1" applyAlignment="1"/>
    <xf numFmtId="176" fontId="0" fillId="0" borderId="9" xfId="0" applyNumberFormat="1" applyFont="1" applyFill="1" applyBorder="1" applyAlignment="1"/>
    <xf numFmtId="0" fontId="0" fillId="0" borderId="2" xfId="0" applyFont="1" applyFill="1" applyBorder="1" applyAlignment="1">
      <alignment horizontal="right"/>
    </xf>
    <xf numFmtId="176" fontId="1" fillId="5" borderId="2" xfId="0" applyNumberFormat="1" applyFont="1" applyFill="1" applyBorder="1" applyAlignment="1"/>
    <xf numFmtId="0" fontId="0" fillId="2" borderId="2" xfId="0" applyFont="1" applyFill="1" applyBorder="1" applyAlignment="1">
      <alignment horizontal="right"/>
    </xf>
    <xf numFmtId="176" fontId="4" fillId="0" borderId="9" xfId="0" applyNumberFormat="1" applyFont="1" applyFill="1" applyBorder="1" applyAlignment="1"/>
    <xf numFmtId="176" fontId="8" fillId="3" borderId="2" xfId="0" applyNumberFormat="1" applyFont="1" applyFill="1" applyBorder="1" applyAlignment="1"/>
    <xf numFmtId="0" fontId="1" fillId="3" borderId="2" xfId="0" applyFont="1" applyFill="1" applyBorder="1" applyAlignment="1">
      <alignment horizontal="right"/>
    </xf>
    <xf numFmtId="176" fontId="4" fillId="8" borderId="9" xfId="0" applyNumberFormat="1" applyFont="1" applyFill="1" applyBorder="1" applyAlignment="1"/>
    <xf numFmtId="176" fontId="4" fillId="0" borderId="0" xfId="0" applyNumberFormat="1" applyFont="1" applyFill="1" applyAlignment="1"/>
    <xf numFmtId="1" fontId="4" fillId="5" borderId="7" xfId="33" applyNumberFormat="1" applyFont="1" applyFill="1" applyBorder="1" applyAlignment="1"/>
    <xf numFmtId="10" fontId="0" fillId="0" borderId="2" xfId="0" applyNumberFormat="1" applyFont="1" applyFill="1" applyBorder="1" applyAlignment="1"/>
    <xf numFmtId="9" fontId="0" fillId="0" borderId="2" xfId="0" applyNumberFormat="1" applyFont="1" applyFill="1" applyBorder="1" applyAlignment="1"/>
    <xf numFmtId="176" fontId="9" fillId="3" borderId="2" xfId="0" applyNumberFormat="1" applyFont="1" applyFill="1" applyBorder="1" applyAlignment="1"/>
    <xf numFmtId="176" fontId="4" fillId="8" borderId="0" xfId="0" applyNumberFormat="1" applyFont="1" applyFill="1" applyAlignment="1"/>
    <xf numFmtId="9" fontId="6" fillId="0" borderId="0" xfId="47" applyFont="1" applyFill="1" applyAlignment="1"/>
    <xf numFmtId="9" fontId="0" fillId="9" borderId="0" xfId="47" applyFont="1" applyFill="1" applyAlignment="1"/>
    <xf numFmtId="9" fontId="1" fillId="0" borderId="0" xfId="47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FF4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 Revenue</a:t>
            </a:r>
            <a:endParaRPr lang="en-CA"/>
          </a:p>
        </c:rich>
      </c:tx>
      <c:layout>
        <c:manualLayout>
          <c:xMode val="edge"/>
          <c:yMode val="edge"/>
          <c:x val="0.363305555555556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'[1]Revenue Analysis'!$D$7</c:f>
              <c:strCache>
                <c:ptCount val="1"/>
                <c:pt idx="0">
                  <c:v>Option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'[1]Revenue Analysis'!$D$8:$D$43</c:f>
              <c:numCache>
                <c:formatCode>"$"#,##0</c:formatCode>
                <c:ptCount val="36"/>
                <c:pt idx="0">
                  <c:v>1900000</c:v>
                </c:pt>
                <c:pt idx="1">
                  <c:v>3800000</c:v>
                </c:pt>
                <c:pt idx="2">
                  <c:v>5700000</c:v>
                </c:pt>
                <c:pt idx="3">
                  <c:v>7600000</c:v>
                </c:pt>
                <c:pt idx="4">
                  <c:v>9500000</c:v>
                </c:pt>
                <c:pt idx="5">
                  <c:v>11400000</c:v>
                </c:pt>
                <c:pt idx="6">
                  <c:v>13300000</c:v>
                </c:pt>
                <c:pt idx="7">
                  <c:v>15200000</c:v>
                </c:pt>
                <c:pt idx="8">
                  <c:v>17100000</c:v>
                </c:pt>
                <c:pt idx="9">
                  <c:v>19000000</c:v>
                </c:pt>
                <c:pt idx="10">
                  <c:v>20900000</c:v>
                </c:pt>
                <c:pt idx="11">
                  <c:v>22800000</c:v>
                </c:pt>
                <c:pt idx="12">
                  <c:v>24700000</c:v>
                </c:pt>
                <c:pt idx="13">
                  <c:v>26600000</c:v>
                </c:pt>
                <c:pt idx="14">
                  <c:v>28500000</c:v>
                </c:pt>
                <c:pt idx="15">
                  <c:v>30400000</c:v>
                </c:pt>
                <c:pt idx="16">
                  <c:v>32300000</c:v>
                </c:pt>
                <c:pt idx="17">
                  <c:v>34200000</c:v>
                </c:pt>
                <c:pt idx="18">
                  <c:v>36100000</c:v>
                </c:pt>
                <c:pt idx="19">
                  <c:v>38000000</c:v>
                </c:pt>
                <c:pt idx="20">
                  <c:v>39900000</c:v>
                </c:pt>
                <c:pt idx="21">
                  <c:v>41800000</c:v>
                </c:pt>
                <c:pt idx="22">
                  <c:v>43700000</c:v>
                </c:pt>
                <c:pt idx="23">
                  <c:v>45600000</c:v>
                </c:pt>
                <c:pt idx="24">
                  <c:v>47500000</c:v>
                </c:pt>
                <c:pt idx="25">
                  <c:v>49400000</c:v>
                </c:pt>
                <c:pt idx="26">
                  <c:v>51300000</c:v>
                </c:pt>
                <c:pt idx="27">
                  <c:v>53200000</c:v>
                </c:pt>
                <c:pt idx="28">
                  <c:v>55100000</c:v>
                </c:pt>
                <c:pt idx="29">
                  <c:v>57000000</c:v>
                </c:pt>
                <c:pt idx="30">
                  <c:v>58900000</c:v>
                </c:pt>
                <c:pt idx="31">
                  <c:v>60800000</c:v>
                </c:pt>
                <c:pt idx="32">
                  <c:v>62700000</c:v>
                </c:pt>
                <c:pt idx="33">
                  <c:v>64600000</c:v>
                </c:pt>
                <c:pt idx="34">
                  <c:v>66500000</c:v>
                </c:pt>
                <c:pt idx="35">
                  <c:v>68400000</c:v>
                </c:pt>
              </c:numCache>
            </c:numRef>
          </c:val>
        </c:ser>
        <c:ser>
          <c:idx val="1"/>
          <c:order val="1"/>
          <c:tx>
            <c:strRef>
              <c:f>'[1]Revenue Analysis'!$E$7</c:f>
              <c:strCache>
                <c:ptCount val="1"/>
                <c:pt idx="0">
                  <c:v>Option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'[1]Revenue Analysis'!$E$8:$E$43</c:f>
              <c:numCache>
                <c:formatCode>"$"#,##0</c:formatCode>
                <c:ptCount val="36"/>
                <c:pt idx="0">
                  <c:v>263200</c:v>
                </c:pt>
                <c:pt idx="1">
                  <c:v>789600</c:v>
                </c:pt>
                <c:pt idx="2">
                  <c:v>1579200</c:v>
                </c:pt>
                <c:pt idx="3">
                  <c:v>2632000</c:v>
                </c:pt>
                <c:pt idx="4">
                  <c:v>3948000</c:v>
                </c:pt>
                <c:pt idx="5">
                  <c:v>5527200</c:v>
                </c:pt>
                <c:pt idx="6">
                  <c:v>7369600</c:v>
                </c:pt>
                <c:pt idx="7">
                  <c:v>9469600</c:v>
                </c:pt>
                <c:pt idx="8">
                  <c:v>11569600</c:v>
                </c:pt>
                <c:pt idx="9">
                  <c:v>13669600</c:v>
                </c:pt>
                <c:pt idx="10">
                  <c:v>15769600</c:v>
                </c:pt>
                <c:pt idx="11">
                  <c:v>17869600</c:v>
                </c:pt>
                <c:pt idx="12">
                  <c:v>19969600</c:v>
                </c:pt>
                <c:pt idx="13">
                  <c:v>22069600</c:v>
                </c:pt>
                <c:pt idx="14">
                  <c:v>24169600</c:v>
                </c:pt>
                <c:pt idx="15">
                  <c:v>26269600</c:v>
                </c:pt>
                <c:pt idx="16">
                  <c:v>28369600</c:v>
                </c:pt>
                <c:pt idx="17">
                  <c:v>30469600</c:v>
                </c:pt>
                <c:pt idx="18">
                  <c:v>32569600</c:v>
                </c:pt>
                <c:pt idx="19">
                  <c:v>34669600</c:v>
                </c:pt>
                <c:pt idx="20">
                  <c:v>36769600</c:v>
                </c:pt>
                <c:pt idx="21">
                  <c:v>38869600</c:v>
                </c:pt>
                <c:pt idx="22">
                  <c:v>40969600</c:v>
                </c:pt>
                <c:pt idx="23">
                  <c:v>43069600</c:v>
                </c:pt>
                <c:pt idx="24">
                  <c:v>45169600</c:v>
                </c:pt>
                <c:pt idx="25">
                  <c:v>47269600</c:v>
                </c:pt>
                <c:pt idx="26">
                  <c:v>49369600</c:v>
                </c:pt>
                <c:pt idx="27">
                  <c:v>51469600</c:v>
                </c:pt>
                <c:pt idx="28">
                  <c:v>53569600</c:v>
                </c:pt>
                <c:pt idx="29">
                  <c:v>55669600</c:v>
                </c:pt>
                <c:pt idx="30">
                  <c:v>57769600</c:v>
                </c:pt>
                <c:pt idx="31">
                  <c:v>59869600</c:v>
                </c:pt>
                <c:pt idx="32">
                  <c:v>61969600</c:v>
                </c:pt>
                <c:pt idx="33">
                  <c:v>64069600</c:v>
                </c:pt>
                <c:pt idx="34">
                  <c:v>66169600</c:v>
                </c:pt>
                <c:pt idx="35">
                  <c:v>68269600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910728"/>
        <c:axId val="617911056"/>
      </c:barChart>
      <c:catAx>
        <c:axId val="61791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911056"/>
        <c:crosses val="autoZero"/>
        <c:auto val="1"/>
        <c:lblAlgn val="ctr"/>
        <c:lblOffset val="100"/>
        <c:noMultiLvlLbl val="0"/>
      </c:catAx>
      <c:valAx>
        <c:axId val="6179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91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 Cost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'[1]Cost Analysis'!$D$5</c:f>
              <c:strCache>
                <c:ptCount val="1"/>
                <c:pt idx="0">
                  <c:v>Option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'[1]Cost Analysis'!$D$6:$D$41</c:f>
              <c:numCache>
                <c:formatCode>"$"#,##0</c:formatCode>
                <c:ptCount val="36"/>
                <c:pt idx="0">
                  <c:v>7663460</c:v>
                </c:pt>
                <c:pt idx="1">
                  <c:v>8106920</c:v>
                </c:pt>
                <c:pt idx="2">
                  <c:v>8550380</c:v>
                </c:pt>
                <c:pt idx="3">
                  <c:v>8993840</c:v>
                </c:pt>
                <c:pt idx="4">
                  <c:v>9437300</c:v>
                </c:pt>
                <c:pt idx="5">
                  <c:v>9880760</c:v>
                </c:pt>
                <c:pt idx="6">
                  <c:v>10324220</c:v>
                </c:pt>
                <c:pt idx="7">
                  <c:v>10767680</c:v>
                </c:pt>
                <c:pt idx="8">
                  <c:v>11211140</c:v>
                </c:pt>
                <c:pt idx="9">
                  <c:v>11654600</c:v>
                </c:pt>
                <c:pt idx="10">
                  <c:v>12098060</c:v>
                </c:pt>
                <c:pt idx="11">
                  <c:v>12541520</c:v>
                </c:pt>
                <c:pt idx="12">
                  <c:v>12984980</c:v>
                </c:pt>
                <c:pt idx="13">
                  <c:v>13428440</c:v>
                </c:pt>
                <c:pt idx="14">
                  <c:v>13871900</c:v>
                </c:pt>
                <c:pt idx="15">
                  <c:v>14315360</c:v>
                </c:pt>
                <c:pt idx="16">
                  <c:v>14758820</c:v>
                </c:pt>
                <c:pt idx="17">
                  <c:v>15202280</c:v>
                </c:pt>
                <c:pt idx="18">
                  <c:v>15645740</c:v>
                </c:pt>
                <c:pt idx="19">
                  <c:v>16089200</c:v>
                </c:pt>
                <c:pt idx="20">
                  <c:v>16532660</c:v>
                </c:pt>
                <c:pt idx="21">
                  <c:v>16976120</c:v>
                </c:pt>
                <c:pt idx="22">
                  <c:v>17419580</c:v>
                </c:pt>
                <c:pt idx="23">
                  <c:v>17863040</c:v>
                </c:pt>
                <c:pt idx="24">
                  <c:v>18306500</c:v>
                </c:pt>
                <c:pt idx="25">
                  <c:v>18749960</c:v>
                </c:pt>
                <c:pt idx="26">
                  <c:v>19193420</c:v>
                </c:pt>
                <c:pt idx="27">
                  <c:v>19636880</c:v>
                </c:pt>
                <c:pt idx="28">
                  <c:v>20080340</c:v>
                </c:pt>
                <c:pt idx="29">
                  <c:v>20523800</c:v>
                </c:pt>
                <c:pt idx="30">
                  <c:v>20967260</c:v>
                </c:pt>
                <c:pt idx="31">
                  <c:v>21410720</c:v>
                </c:pt>
                <c:pt idx="32">
                  <c:v>21854180</c:v>
                </c:pt>
                <c:pt idx="33">
                  <c:v>22297640</c:v>
                </c:pt>
                <c:pt idx="34">
                  <c:v>22741100</c:v>
                </c:pt>
                <c:pt idx="35">
                  <c:v>23184560</c:v>
                </c:pt>
              </c:numCache>
            </c:numRef>
          </c:val>
        </c:ser>
        <c:ser>
          <c:idx val="1"/>
          <c:order val="1"/>
          <c:tx>
            <c:strRef>
              <c:f>'[1]Cost Analysis'!$E$5</c:f>
              <c:strCache>
                <c:ptCount val="1"/>
                <c:pt idx="0">
                  <c:v>Option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'[1]Cost Analysis'!$E$6:$E$41</c:f>
              <c:numCache>
                <c:formatCode>"$"#,##0</c:formatCode>
                <c:ptCount val="36"/>
                <c:pt idx="0">
                  <c:v>1355229.33333333</c:v>
                </c:pt>
                <c:pt idx="1">
                  <c:v>2718354.66666667</c:v>
                </c:pt>
                <c:pt idx="2">
                  <c:v>4089376</c:v>
                </c:pt>
                <c:pt idx="3">
                  <c:v>5468293.33333333</c:v>
                </c:pt>
                <c:pt idx="4">
                  <c:v>6855106.66666667</c:v>
                </c:pt>
                <c:pt idx="5">
                  <c:v>8249816</c:v>
                </c:pt>
                <c:pt idx="6">
                  <c:v>9652421.33333333</c:v>
                </c:pt>
                <c:pt idx="7">
                  <c:v>11034088</c:v>
                </c:pt>
                <c:pt idx="8">
                  <c:v>11097088</c:v>
                </c:pt>
                <c:pt idx="9">
                  <c:v>11160088</c:v>
                </c:pt>
                <c:pt idx="10">
                  <c:v>11223088</c:v>
                </c:pt>
                <c:pt idx="11">
                  <c:v>11286088</c:v>
                </c:pt>
                <c:pt idx="12">
                  <c:v>11349088</c:v>
                </c:pt>
                <c:pt idx="13">
                  <c:v>11412088</c:v>
                </c:pt>
                <c:pt idx="14">
                  <c:v>11475088</c:v>
                </c:pt>
                <c:pt idx="15">
                  <c:v>11538088</c:v>
                </c:pt>
                <c:pt idx="16">
                  <c:v>11601088</c:v>
                </c:pt>
                <c:pt idx="17">
                  <c:v>11664088</c:v>
                </c:pt>
                <c:pt idx="18">
                  <c:v>11727088</c:v>
                </c:pt>
                <c:pt idx="19">
                  <c:v>11790088</c:v>
                </c:pt>
                <c:pt idx="20">
                  <c:v>11853088</c:v>
                </c:pt>
                <c:pt idx="21">
                  <c:v>11916088</c:v>
                </c:pt>
                <c:pt idx="22">
                  <c:v>11979088</c:v>
                </c:pt>
                <c:pt idx="23">
                  <c:v>12042088</c:v>
                </c:pt>
                <c:pt idx="24">
                  <c:v>12105088</c:v>
                </c:pt>
                <c:pt idx="25">
                  <c:v>12168088</c:v>
                </c:pt>
                <c:pt idx="26">
                  <c:v>12231088</c:v>
                </c:pt>
                <c:pt idx="27">
                  <c:v>12294088</c:v>
                </c:pt>
                <c:pt idx="28">
                  <c:v>12357088</c:v>
                </c:pt>
                <c:pt idx="29">
                  <c:v>12420088</c:v>
                </c:pt>
                <c:pt idx="30">
                  <c:v>12483088</c:v>
                </c:pt>
                <c:pt idx="31">
                  <c:v>12546088</c:v>
                </c:pt>
                <c:pt idx="32">
                  <c:v>12609088</c:v>
                </c:pt>
                <c:pt idx="33">
                  <c:v>12672088</c:v>
                </c:pt>
                <c:pt idx="34">
                  <c:v>12735088</c:v>
                </c:pt>
                <c:pt idx="35">
                  <c:v>12798088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985856"/>
        <c:axId val="765976016"/>
      </c:barChart>
      <c:catAx>
        <c:axId val="76598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976016"/>
        <c:crosses val="autoZero"/>
        <c:auto val="1"/>
        <c:lblAlgn val="ctr"/>
        <c:lblOffset val="100"/>
        <c:noMultiLvlLbl val="0"/>
      </c:catAx>
      <c:valAx>
        <c:axId val="7659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9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Profitablity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'[1]Profitability Analysis'!$E$5</c:f>
              <c:strCache>
                <c:ptCount val="1"/>
                <c:pt idx="0">
                  <c:v>Option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'[1]Profitability Analysis'!$E$6:$E$41</c:f>
              <c:numCache>
                <c:formatCode>_-"$"* #,##0_-;\-"$"* #,##0_-;_-"$"* "-"??_-;_-@_-</c:formatCode>
                <c:ptCount val="36"/>
                <c:pt idx="0">
                  <c:v>-5763460</c:v>
                </c:pt>
                <c:pt idx="1">
                  <c:v>-4306920</c:v>
                </c:pt>
                <c:pt idx="2">
                  <c:v>-2850380</c:v>
                </c:pt>
                <c:pt idx="3">
                  <c:v>-1393840</c:v>
                </c:pt>
                <c:pt idx="4">
                  <c:v>62700</c:v>
                </c:pt>
                <c:pt idx="5">
                  <c:v>1519240</c:v>
                </c:pt>
                <c:pt idx="6">
                  <c:v>2975780</c:v>
                </c:pt>
                <c:pt idx="7">
                  <c:v>4432320</c:v>
                </c:pt>
                <c:pt idx="8">
                  <c:v>5888860</c:v>
                </c:pt>
                <c:pt idx="9">
                  <c:v>7345400</c:v>
                </c:pt>
                <c:pt idx="10">
                  <c:v>8801940</c:v>
                </c:pt>
                <c:pt idx="11">
                  <c:v>10258480</c:v>
                </c:pt>
                <c:pt idx="12">
                  <c:v>11715020</c:v>
                </c:pt>
                <c:pt idx="13">
                  <c:v>13171560</c:v>
                </c:pt>
                <c:pt idx="14">
                  <c:v>14628100</c:v>
                </c:pt>
                <c:pt idx="15">
                  <c:v>16084640</c:v>
                </c:pt>
                <c:pt idx="16">
                  <c:v>17541180</c:v>
                </c:pt>
                <c:pt idx="17">
                  <c:v>18997720</c:v>
                </c:pt>
                <c:pt idx="18">
                  <c:v>20454260</c:v>
                </c:pt>
                <c:pt idx="19">
                  <c:v>21910800</c:v>
                </c:pt>
                <c:pt idx="20">
                  <c:v>23367340</c:v>
                </c:pt>
                <c:pt idx="21">
                  <c:v>24823880</c:v>
                </c:pt>
                <c:pt idx="22">
                  <c:v>26280420</c:v>
                </c:pt>
                <c:pt idx="23">
                  <c:v>27736960</c:v>
                </c:pt>
                <c:pt idx="24">
                  <c:v>29193500</c:v>
                </c:pt>
                <c:pt idx="25">
                  <c:v>30650040</c:v>
                </c:pt>
                <c:pt idx="26">
                  <c:v>32106580</c:v>
                </c:pt>
                <c:pt idx="27">
                  <c:v>33563120</c:v>
                </c:pt>
                <c:pt idx="28">
                  <c:v>35019660</c:v>
                </c:pt>
                <c:pt idx="29">
                  <c:v>36476200</c:v>
                </c:pt>
                <c:pt idx="30">
                  <c:v>37932740</c:v>
                </c:pt>
                <c:pt idx="31">
                  <c:v>39389280</c:v>
                </c:pt>
                <c:pt idx="32">
                  <c:v>40845820</c:v>
                </c:pt>
                <c:pt idx="33">
                  <c:v>42302360</c:v>
                </c:pt>
                <c:pt idx="34">
                  <c:v>43758900</c:v>
                </c:pt>
                <c:pt idx="35">
                  <c:v>45215440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'[1]Profitability Analysis'!$F$5</c:f>
              <c:strCache>
                <c:ptCount val="1"/>
                <c:pt idx="0">
                  <c:v>Option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'[1]Profitability Analysis'!$F$6:$F$41</c:f>
              <c:numCache>
                <c:formatCode>_-"$"* #,##0_-;\-"$"* #,##0_-;_-"$"* "-"??_-;_-@_-</c:formatCode>
                <c:ptCount val="36"/>
                <c:pt idx="0">
                  <c:v>-1092029.33333333</c:v>
                </c:pt>
                <c:pt idx="1">
                  <c:v>-1928754.66666667</c:v>
                </c:pt>
                <c:pt idx="2">
                  <c:v>-2510176</c:v>
                </c:pt>
                <c:pt idx="3">
                  <c:v>-2836293.33333333</c:v>
                </c:pt>
                <c:pt idx="4">
                  <c:v>-2907106.66666667</c:v>
                </c:pt>
                <c:pt idx="5">
                  <c:v>-2722616</c:v>
                </c:pt>
                <c:pt idx="6">
                  <c:v>-2282821.33333333</c:v>
                </c:pt>
                <c:pt idx="7">
                  <c:v>-1564488</c:v>
                </c:pt>
                <c:pt idx="8">
                  <c:v>472512</c:v>
                </c:pt>
                <c:pt idx="9">
                  <c:v>2509512</c:v>
                </c:pt>
                <c:pt idx="10">
                  <c:v>4546512</c:v>
                </c:pt>
                <c:pt idx="11">
                  <c:v>6583512</c:v>
                </c:pt>
                <c:pt idx="12">
                  <c:v>8620512</c:v>
                </c:pt>
                <c:pt idx="13">
                  <c:v>10657512</c:v>
                </c:pt>
                <c:pt idx="14">
                  <c:v>12694512</c:v>
                </c:pt>
                <c:pt idx="15">
                  <c:v>14731512</c:v>
                </c:pt>
                <c:pt idx="16">
                  <c:v>16768512</c:v>
                </c:pt>
                <c:pt idx="17">
                  <c:v>18805512</c:v>
                </c:pt>
                <c:pt idx="18">
                  <c:v>20842512</c:v>
                </c:pt>
                <c:pt idx="19">
                  <c:v>22879512</c:v>
                </c:pt>
                <c:pt idx="20">
                  <c:v>24916512</c:v>
                </c:pt>
                <c:pt idx="21">
                  <c:v>26953512</c:v>
                </c:pt>
                <c:pt idx="22">
                  <c:v>28990512</c:v>
                </c:pt>
                <c:pt idx="23">
                  <c:v>31027512</c:v>
                </c:pt>
                <c:pt idx="24">
                  <c:v>33064512</c:v>
                </c:pt>
                <c:pt idx="25">
                  <c:v>35101512</c:v>
                </c:pt>
                <c:pt idx="26">
                  <c:v>37138512</c:v>
                </c:pt>
                <c:pt idx="27">
                  <c:v>39175512</c:v>
                </c:pt>
                <c:pt idx="28">
                  <c:v>41212512</c:v>
                </c:pt>
                <c:pt idx="29">
                  <c:v>43249512</c:v>
                </c:pt>
                <c:pt idx="30">
                  <c:v>45286512</c:v>
                </c:pt>
                <c:pt idx="31">
                  <c:v>47323512</c:v>
                </c:pt>
                <c:pt idx="32">
                  <c:v>49360512</c:v>
                </c:pt>
                <c:pt idx="33">
                  <c:v>51397512</c:v>
                </c:pt>
                <c:pt idx="34">
                  <c:v>53434512</c:v>
                </c:pt>
                <c:pt idx="35">
                  <c:v>55471512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7913680"/>
        <c:axId val="617915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'[1]Profitability Analysis'!$D$5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{202007,202008,202009,202010,202011,202012,202101,202102,202103,202104,202105,202106,202107,202108,202109,202110,202111,202112,202201,202202,202203,202204,202205,202206,202207,202208,202209,202210,202211,202212,202301,202302,202303,202304,202305,202306}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202007</c:v>
                      </c:pt>
                      <c:pt idx="1">
                        <c:v>202008</c:v>
                      </c:pt>
                      <c:pt idx="2">
                        <c:v>202009</c:v>
                      </c:pt>
                      <c:pt idx="3">
                        <c:v>202010</c:v>
                      </c:pt>
                      <c:pt idx="4">
                        <c:v>202011</c:v>
                      </c:pt>
                      <c:pt idx="5">
                        <c:v>202012</c:v>
                      </c:pt>
                      <c:pt idx="6">
                        <c:v>202101</c:v>
                      </c:pt>
                      <c:pt idx="7">
                        <c:v>202102</c:v>
                      </c:pt>
                      <c:pt idx="8">
                        <c:v>202103</c:v>
                      </c:pt>
                      <c:pt idx="9">
                        <c:v>202104</c:v>
                      </c:pt>
                      <c:pt idx="10">
                        <c:v>202105</c:v>
                      </c:pt>
                      <c:pt idx="11">
                        <c:v>202106</c:v>
                      </c:pt>
                      <c:pt idx="12">
                        <c:v>202107</c:v>
                      </c:pt>
                      <c:pt idx="13">
                        <c:v>202108</c:v>
                      </c:pt>
                      <c:pt idx="14">
                        <c:v>202109</c:v>
                      </c:pt>
                      <c:pt idx="15">
                        <c:v>202110</c:v>
                      </c:pt>
                      <c:pt idx="16">
                        <c:v>202111</c:v>
                      </c:pt>
                      <c:pt idx="17">
                        <c:v>202112</c:v>
                      </c:pt>
                      <c:pt idx="18">
                        <c:v>202201</c:v>
                      </c:pt>
                      <c:pt idx="19">
                        <c:v>202202</c:v>
                      </c:pt>
                      <c:pt idx="20">
                        <c:v>202203</c:v>
                      </c:pt>
                      <c:pt idx="21">
                        <c:v>202204</c:v>
                      </c:pt>
                      <c:pt idx="22">
                        <c:v>202205</c:v>
                      </c:pt>
                      <c:pt idx="23">
                        <c:v>202206</c:v>
                      </c:pt>
                      <c:pt idx="24">
                        <c:v>202207</c:v>
                      </c:pt>
                      <c:pt idx="25">
                        <c:v>202208</c:v>
                      </c:pt>
                      <c:pt idx="26">
                        <c:v>202209</c:v>
                      </c:pt>
                      <c:pt idx="27">
                        <c:v>202210</c:v>
                      </c:pt>
                      <c:pt idx="28">
                        <c:v>202211</c:v>
                      </c:pt>
                      <c:pt idx="29">
                        <c:v>202212</c:v>
                      </c:pt>
                      <c:pt idx="30">
                        <c:v>202301</c:v>
                      </c:pt>
                      <c:pt idx="31">
                        <c:v>202302</c:v>
                      </c:pt>
                      <c:pt idx="32">
                        <c:v>202303</c:v>
                      </c:pt>
                      <c:pt idx="33">
                        <c:v>202304</c:v>
                      </c:pt>
                      <c:pt idx="34">
                        <c:v>202305</c:v>
                      </c:pt>
                      <c:pt idx="35">
                        <c:v>202306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179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915320"/>
        <c:crosses val="autoZero"/>
        <c:auto val="1"/>
        <c:lblAlgn val="ctr"/>
        <c:lblOffset val="100"/>
        <c:noMultiLvlLbl val="0"/>
      </c:catAx>
      <c:valAx>
        <c:axId val="61791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913680"/>
        <c:crosses val="autoZero"/>
        <c:crossBetween val="between"/>
      </c:valAx>
      <c:spPr>
        <a:noFill/>
        <a:ln>
          <a:solidFill>
            <a:schemeClr val="accent5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Runing Profit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Profit Analysis'!$D$6</c:f>
              <c:strCache>
                <c:ptCount val="1"/>
                <c:pt idx="0">
                  <c:v>Option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'Running Profit Analysis'!$D$7:$D$42</c:f>
              <c:numCache>
                <c:formatCode>#,##0_);[Red]\(#,##0\)</c:formatCode>
                <c:ptCount val="36"/>
                <c:pt idx="0">
                  <c:v>-5763460</c:v>
                </c:pt>
                <c:pt idx="1">
                  <c:v>-10070380</c:v>
                </c:pt>
                <c:pt idx="2">
                  <c:v>-12920760</c:v>
                </c:pt>
                <c:pt idx="3">
                  <c:v>-14314600</c:v>
                </c:pt>
                <c:pt idx="4">
                  <c:v>-14251900</c:v>
                </c:pt>
                <c:pt idx="5">
                  <c:v>-12732660</c:v>
                </c:pt>
                <c:pt idx="6">
                  <c:v>-9756880</c:v>
                </c:pt>
                <c:pt idx="7">
                  <c:v>-5324560</c:v>
                </c:pt>
                <c:pt idx="8">
                  <c:v>564300</c:v>
                </c:pt>
                <c:pt idx="9">
                  <c:v>7909700</c:v>
                </c:pt>
                <c:pt idx="10">
                  <c:v>16711640</c:v>
                </c:pt>
                <c:pt idx="11">
                  <c:v>26970120</c:v>
                </c:pt>
                <c:pt idx="12">
                  <c:v>38685140</c:v>
                </c:pt>
                <c:pt idx="13">
                  <c:v>51856700</c:v>
                </c:pt>
                <c:pt idx="14">
                  <c:v>66484800</c:v>
                </c:pt>
                <c:pt idx="15">
                  <c:v>82569440</c:v>
                </c:pt>
                <c:pt idx="16">
                  <c:v>100110620</c:v>
                </c:pt>
                <c:pt idx="17">
                  <c:v>119108340</c:v>
                </c:pt>
                <c:pt idx="18">
                  <c:v>139562600</c:v>
                </c:pt>
                <c:pt idx="19">
                  <c:v>161473400</c:v>
                </c:pt>
                <c:pt idx="20">
                  <c:v>184840740</c:v>
                </c:pt>
                <c:pt idx="21">
                  <c:v>209664620</c:v>
                </c:pt>
                <c:pt idx="22">
                  <c:v>235945040</c:v>
                </c:pt>
                <c:pt idx="23">
                  <c:v>263682000</c:v>
                </c:pt>
                <c:pt idx="24">
                  <c:v>292875500</c:v>
                </c:pt>
                <c:pt idx="25">
                  <c:v>323525540</c:v>
                </c:pt>
                <c:pt idx="26">
                  <c:v>355632120</c:v>
                </c:pt>
                <c:pt idx="27">
                  <c:v>389195240</c:v>
                </c:pt>
                <c:pt idx="28">
                  <c:v>424214900</c:v>
                </c:pt>
                <c:pt idx="29">
                  <c:v>460691100</c:v>
                </c:pt>
                <c:pt idx="30">
                  <c:v>498623840</c:v>
                </c:pt>
                <c:pt idx="31">
                  <c:v>538013120</c:v>
                </c:pt>
                <c:pt idx="32">
                  <c:v>578858940</c:v>
                </c:pt>
                <c:pt idx="33">
                  <c:v>621161300</c:v>
                </c:pt>
                <c:pt idx="34">
                  <c:v>664920200</c:v>
                </c:pt>
                <c:pt idx="35">
                  <c:v>710135640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'Running Profit Analysis'!$E$6</c:f>
              <c:strCache>
                <c:ptCount val="1"/>
                <c:pt idx="0">
                  <c:v>Option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'Running Profit Analysis'!$E$7:$E$42</c:f>
              <c:numCache>
                <c:formatCode>#,##0_);[Red]\(#,##0\)</c:formatCode>
                <c:ptCount val="36"/>
                <c:pt idx="0">
                  <c:v>-1092029.33333333</c:v>
                </c:pt>
                <c:pt idx="1">
                  <c:v>-3020784</c:v>
                </c:pt>
                <c:pt idx="2">
                  <c:v>-5530960</c:v>
                </c:pt>
                <c:pt idx="3">
                  <c:v>-8367253.33333333</c:v>
                </c:pt>
                <c:pt idx="4">
                  <c:v>-11274360</c:v>
                </c:pt>
                <c:pt idx="5">
                  <c:v>-13996976</c:v>
                </c:pt>
                <c:pt idx="6">
                  <c:v>-16279797.3333333</c:v>
                </c:pt>
                <c:pt idx="7">
                  <c:v>-17844285.3333333</c:v>
                </c:pt>
                <c:pt idx="8">
                  <c:v>-17371773.3333333</c:v>
                </c:pt>
                <c:pt idx="9">
                  <c:v>-14862261.3333333</c:v>
                </c:pt>
                <c:pt idx="10">
                  <c:v>-10315749.3333333</c:v>
                </c:pt>
                <c:pt idx="11">
                  <c:v>-3732237.33333334</c:v>
                </c:pt>
                <c:pt idx="12">
                  <c:v>4888274.66666666</c:v>
                </c:pt>
                <c:pt idx="13">
                  <c:v>15545786.6666667</c:v>
                </c:pt>
                <c:pt idx="14">
                  <c:v>28240298.6666667</c:v>
                </c:pt>
                <c:pt idx="15">
                  <c:v>42971810.6666667</c:v>
                </c:pt>
                <c:pt idx="16">
                  <c:v>59740322.6666667</c:v>
                </c:pt>
                <c:pt idx="17">
                  <c:v>78545834.6666667</c:v>
                </c:pt>
                <c:pt idx="18">
                  <c:v>99388346.6666667</c:v>
                </c:pt>
                <c:pt idx="19">
                  <c:v>122267858.666667</c:v>
                </c:pt>
                <c:pt idx="20">
                  <c:v>147184370.666667</c:v>
                </c:pt>
                <c:pt idx="21">
                  <c:v>174137882.666667</c:v>
                </c:pt>
                <c:pt idx="22">
                  <c:v>203128394.666667</c:v>
                </c:pt>
                <c:pt idx="23">
                  <c:v>234155906.666667</c:v>
                </c:pt>
                <c:pt idx="24">
                  <c:v>267220418.666667</c:v>
                </c:pt>
                <c:pt idx="25">
                  <c:v>302321930.666667</c:v>
                </c:pt>
                <c:pt idx="26">
                  <c:v>339460442.666667</c:v>
                </c:pt>
                <c:pt idx="27">
                  <c:v>378635954.666667</c:v>
                </c:pt>
                <c:pt idx="28">
                  <c:v>419848466.666667</c:v>
                </c:pt>
                <c:pt idx="29">
                  <c:v>463097978.666667</c:v>
                </c:pt>
                <c:pt idx="30">
                  <c:v>508384490.666667</c:v>
                </c:pt>
                <c:pt idx="31">
                  <c:v>555708002.666667</c:v>
                </c:pt>
                <c:pt idx="32">
                  <c:v>605068514.666667</c:v>
                </c:pt>
                <c:pt idx="33">
                  <c:v>656466026.666667</c:v>
                </c:pt>
                <c:pt idx="34">
                  <c:v>709900538.666667</c:v>
                </c:pt>
                <c:pt idx="35">
                  <c:v>765372050.666667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7050587"/>
        <c:axId val="567351898"/>
      </c:lineChart>
      <c:catAx>
        <c:axId val="7970505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351898"/>
        <c:crosses val="autoZero"/>
        <c:auto val="1"/>
        <c:lblAlgn val="ctr"/>
        <c:lblOffset val="100"/>
        <c:noMultiLvlLbl val="0"/>
      </c:catAx>
      <c:valAx>
        <c:axId val="567351898"/>
        <c:scaling>
          <c:orientation val="minMax"/>
          <c:max val="7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0505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259080</xdr:colOff>
      <xdr:row>14</xdr:row>
      <xdr:rowOff>87630</xdr:rowOff>
    </xdr:from>
    <xdr:to>
      <xdr:col>13</xdr:col>
      <xdr:colOff>563880</xdr:colOff>
      <xdr:row>29</xdr:row>
      <xdr:rowOff>87630</xdr:rowOff>
    </xdr:to>
    <xdr:graphicFrame>
      <xdr:nvGraphicFramePr>
        <xdr:cNvPr id="2" name="Chart 1"/>
        <xdr:cNvGraphicFramePr/>
      </xdr:nvGraphicFramePr>
      <xdr:xfrm>
        <a:off x="4955540" y="2576830"/>
        <a:ext cx="542544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419100</xdr:colOff>
      <xdr:row>14</xdr:row>
      <xdr:rowOff>72390</xdr:rowOff>
    </xdr:from>
    <xdr:to>
      <xdr:col>14</xdr:col>
      <xdr:colOff>114300</xdr:colOff>
      <xdr:row>29</xdr:row>
      <xdr:rowOff>72390</xdr:rowOff>
    </xdr:to>
    <xdr:graphicFrame>
      <xdr:nvGraphicFramePr>
        <xdr:cNvPr id="2" name="Chart 1"/>
        <xdr:cNvGraphicFramePr/>
      </xdr:nvGraphicFramePr>
      <xdr:xfrm>
        <a:off x="5115560" y="2561590"/>
        <a:ext cx="554736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426720</xdr:colOff>
      <xdr:row>7</xdr:row>
      <xdr:rowOff>121285</xdr:rowOff>
    </xdr:from>
    <xdr:to>
      <xdr:col>19</xdr:col>
      <xdr:colOff>144780</xdr:colOff>
      <xdr:row>28</xdr:row>
      <xdr:rowOff>174625</xdr:rowOff>
    </xdr:to>
    <xdr:graphicFrame>
      <xdr:nvGraphicFramePr>
        <xdr:cNvPr id="2" name="Chart 1"/>
        <xdr:cNvGraphicFramePr/>
      </xdr:nvGraphicFramePr>
      <xdr:xfrm>
        <a:off x="5773420" y="1365885"/>
        <a:ext cx="9227820" cy="3787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0.2014</cdr:x>
      <cdr:y>0.46771</cdr:y>
    </cdr:from>
    <cdr:to>
      <cdr:x>0.21137</cdr:x>
      <cdr:y>0.78474</cdr:y>
    </cdr:to>
    <cdr:cxnSp>
      <cdr:nvCxnSpPr>
        <cdr:cNvPr id="2" name="Straight Arrow Connector 1"/>
        <cdr:cNvCxnSpPr/>
      </cdr:nvCxnSpPr>
      <cdr:spPr xmlns:a="http://schemas.openxmlformats.org/drawingml/2006/main">
        <a:xfrm xmlns:a="http://schemas.openxmlformats.org/drawingml/2006/main">
          <a:off x="1855158" y="1792073"/>
          <a:ext cx="91837" cy="1214729"/>
        </a:xfrm>
        <a:prstGeom xmlns:a="http://schemas.openxmlformats.org/drawingml/2006/main" prst="straightConnector1">
          <a:avLst/>
        </a:prstGeom>
        <a:ln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0.10169</cdr:x>
      <cdr:y>0.31115</cdr:y>
    </cdr:from>
    <cdr:to>
      <cdr:x>0.28714</cdr:x>
      <cdr:y>0.60861</cdr:y>
    </cdr:to>
    <cdr:sp>
      <cdr:nvSpPr>
        <cdr:cNvPr id="3" name="Oval 2"/>
        <cdr:cNvSpPr/>
      </cdr:nvSpPr>
      <cdr:spPr xmlns:a="http://schemas.openxmlformats.org/drawingml/2006/main">
        <a:xfrm xmlns:a="http://schemas.openxmlformats.org/drawingml/2006/main">
          <a:off x="777240" y="1211580"/>
          <a:ext cx="1417320" cy="1158240"/>
        </a:xfrm>
        <a:prstGeom xmlns:a="http://schemas.openxmlformats.org/drawingml/2006/main" prst="ellipse">
          <a:avLst/>
        </a:prstGeom>
        <a:solidFill>
          <a:schemeClr val="bg1"/>
        </a:solidFill>
        <a:ln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vertOverflow="clip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chemeClr val="accent2"/>
              </a:solidFill>
            </a:rPr>
            <a:t>Month 5 is Breakeven</a:t>
          </a:r>
          <a:r>
            <a:rPr lang="en-US" baseline="0">
              <a:solidFill>
                <a:schemeClr val="accent2"/>
              </a:solidFill>
            </a:rPr>
            <a:t> point for Option 1</a:t>
          </a:r>
          <a:endParaRPr lang="en-US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0.31373</cdr:x>
      <cdr:y>0.24201</cdr:y>
    </cdr:from>
    <cdr:to>
      <cdr:x>0.49917</cdr:x>
      <cdr:y>0.53947</cdr:y>
    </cdr:to>
    <cdr:sp>
      <cdr:nvSpPr>
        <cdr:cNvPr id="4" name="Oval 3"/>
        <cdr:cNvSpPr/>
      </cdr:nvSpPr>
      <cdr:spPr xmlns:a="http://schemas.openxmlformats.org/drawingml/2006/main">
        <a:xfrm xmlns:a="http://schemas.openxmlformats.org/drawingml/2006/main">
          <a:off x="2397760" y="942340"/>
          <a:ext cx="1417320" cy="1158240"/>
        </a:xfrm>
        <a:prstGeom xmlns:a="http://schemas.openxmlformats.org/drawingml/2006/main" prst="ellipse">
          <a:avLst/>
        </a:prstGeom>
        <a:solidFill>
          <a:schemeClr val="bg1"/>
        </a:solidFill>
        <a:ln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chemeClr val="accent5"/>
              </a:solidFill>
            </a:rPr>
            <a:t>Month 9 is Breakeven</a:t>
          </a:r>
          <a:r>
            <a:rPr lang="en-US" baseline="0">
              <a:solidFill>
                <a:schemeClr val="accent5"/>
              </a:solidFill>
            </a:rPr>
            <a:t> point for Option 2</a:t>
          </a:r>
          <a:endParaRPr lang="en-US">
            <a:solidFill>
              <a:schemeClr val="accent5"/>
            </a:solidFill>
          </a:endParaRPr>
        </a:p>
      </cdr:txBody>
    </cdr:sp>
  </cdr:relSizeAnchor>
  <cdr:relSizeAnchor xmlns:cdr="http://schemas.openxmlformats.org/drawingml/2006/chartDrawing">
    <cdr:from>
      <cdr:x>0.31505</cdr:x>
      <cdr:y>0.52642</cdr:y>
    </cdr:from>
    <cdr:to>
      <cdr:x>0.3659</cdr:x>
      <cdr:y>0.77299</cdr:y>
    </cdr:to>
    <cdr:cxnSp>
      <cdr:nvCxnSpPr>
        <cdr:cNvPr id="5" name="Straight Arrow Connector 4"/>
        <cdr:cNvCxnSpPr/>
      </cdr:nvCxnSpPr>
      <cdr:spPr xmlns:a="http://schemas.openxmlformats.org/drawingml/2006/main">
        <a:xfrm xmlns:a="http://schemas.openxmlformats.org/drawingml/2006/main" flipH="1">
          <a:off x="2407920" y="2049780"/>
          <a:ext cx="388620" cy="960120"/>
        </a:xfrm>
        <a:prstGeom xmlns:a="http://schemas.openxmlformats.org/drawingml/2006/main" prst="straightConnector1">
          <a:avLst/>
        </a:prstGeom>
        <a:ln>
          <a:solidFill>
            <a:schemeClr val="accent5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0.69159</cdr:x>
      <cdr:y>0.44749</cdr:y>
    </cdr:from>
    <cdr:to>
      <cdr:x>0.91027</cdr:x>
      <cdr:y>0.74494</cdr:y>
    </cdr:to>
    <cdr:sp>
      <cdr:nvSpPr>
        <cdr:cNvPr id="6" name="Oval 5"/>
        <cdr:cNvSpPr/>
      </cdr:nvSpPr>
      <cdr:spPr xmlns:a="http://schemas.openxmlformats.org/drawingml/2006/main">
        <a:xfrm xmlns:a="http://schemas.openxmlformats.org/drawingml/2006/main">
          <a:off x="5285740" y="1742440"/>
          <a:ext cx="1671320" cy="1158240"/>
        </a:xfrm>
        <a:prstGeom xmlns:a="http://schemas.openxmlformats.org/drawingml/2006/main" prst="ellipse">
          <a:avLst/>
        </a:prstGeom>
        <a:solidFill>
          <a:schemeClr val="bg1"/>
        </a:solidFill>
        <a:ln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chemeClr val="accent5"/>
              </a:solidFill>
            </a:rPr>
            <a:t>Month 3-19</a:t>
          </a:r>
          <a:r>
            <a:rPr lang="en-US" baseline="0">
              <a:solidFill>
                <a:schemeClr val="accent5"/>
              </a:solidFill>
            </a:rPr>
            <a:t> option 1 is better</a:t>
          </a:r>
          <a:endParaRPr lang="en-US" baseline="0">
            <a:solidFill>
              <a:schemeClr val="accent5"/>
            </a:solidFill>
          </a:endParaRPr>
        </a:p>
        <a:p>
          <a:pPr algn="ctr"/>
          <a:r>
            <a:rPr lang="en-US" baseline="0">
              <a:solidFill>
                <a:schemeClr val="accent5"/>
              </a:solidFill>
            </a:rPr>
            <a:t>month 19+ option 2 is better</a:t>
          </a:r>
          <a:endParaRPr lang="en-US">
            <a:solidFill>
              <a:schemeClr val="accent5"/>
            </a:solidFill>
          </a:endParaRPr>
        </a:p>
      </cdr:txBody>
    </cdr:sp>
  </cdr:relSizeAnchor>
  <cdr:relSizeAnchor xmlns:cdr="http://schemas.openxmlformats.org/drawingml/2006/chartDrawing">
    <cdr:from>
      <cdr:x>0.55035</cdr:x>
      <cdr:y>0.55969</cdr:y>
    </cdr:from>
    <cdr:to>
      <cdr:x>0.69159</cdr:x>
      <cdr:y>0.59622</cdr:y>
    </cdr:to>
    <cdr:cxnSp>
      <cdr:nvCxnSpPr>
        <cdr:cNvPr id="7" name="Straight Arrow Connector 6"/>
        <cdr:cNvCxnSpPr>
          <a:stCxn xmlns:a="http://schemas.openxmlformats.org/drawingml/2006/main" id="13" idx="2"/>
        </cdr:cNvCxnSpPr>
      </cdr:nvCxnSpPr>
      <cdr:spPr xmlns:a="http://schemas.openxmlformats.org/drawingml/2006/main">
        <a:xfrm xmlns:a="http://schemas.openxmlformats.org/drawingml/2006/main" flipH="1" flipV="1">
          <a:off x="4206240" y="2179320"/>
          <a:ext cx="1079500" cy="142240"/>
        </a:xfrm>
        <a:prstGeom xmlns:a="http://schemas.openxmlformats.org/drawingml/2006/main" prst="straightConnector1">
          <a:avLst/>
        </a:prstGeom>
        <a:ln>
          <a:solidFill>
            <a:schemeClr val="accent5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691515</xdr:colOff>
      <xdr:row>5</xdr:row>
      <xdr:rowOff>20320</xdr:rowOff>
    </xdr:from>
    <xdr:to>
      <xdr:col>14</xdr:col>
      <xdr:colOff>357505</xdr:colOff>
      <xdr:row>44</xdr:row>
      <xdr:rowOff>86995</xdr:rowOff>
    </xdr:to>
    <xdr:graphicFrame>
      <xdr:nvGraphicFramePr>
        <xdr:cNvPr id="4" name="Chart 3"/>
        <xdr:cNvGraphicFramePr/>
      </xdr:nvGraphicFramePr>
      <xdr:xfrm>
        <a:off x="5324475" y="909320"/>
        <a:ext cx="6249670" cy="7000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565150</xdr:colOff>
      <xdr:row>22</xdr:row>
      <xdr:rowOff>131445</xdr:rowOff>
    </xdr:from>
    <xdr:to>
      <xdr:col>9</xdr:col>
      <xdr:colOff>242570</xdr:colOff>
      <xdr:row>30</xdr:row>
      <xdr:rowOff>151130</xdr:rowOff>
    </xdr:to>
    <xdr:sp>
      <xdr:nvSpPr>
        <xdr:cNvPr id="5" name="Oval 4"/>
        <xdr:cNvSpPr/>
      </xdr:nvSpPr>
      <xdr:spPr>
        <a:xfrm>
          <a:off x="5929630" y="4043045"/>
          <a:ext cx="1871980" cy="1442085"/>
        </a:xfrm>
        <a:prstGeom prst="ellipse">
          <a:avLst/>
        </a:prstGeom>
        <a:solidFill>
          <a:schemeClr val="bg1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chemeClr val="accent2"/>
              </a:solidFill>
            </a:rPr>
            <a:t>In Month 6, the running profit of the partner store exceeds the self store</a:t>
          </a:r>
          <a:endParaRPr lang="en-U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490220</xdr:colOff>
      <xdr:row>5</xdr:row>
      <xdr:rowOff>170815</xdr:rowOff>
    </xdr:from>
    <xdr:to>
      <xdr:col>13</xdr:col>
      <xdr:colOff>167640</xdr:colOff>
      <xdr:row>14</xdr:row>
      <xdr:rowOff>13970</xdr:rowOff>
    </xdr:to>
    <xdr:sp>
      <xdr:nvSpPr>
        <xdr:cNvPr id="6" name="Oval 5"/>
        <xdr:cNvSpPr/>
      </xdr:nvSpPr>
      <xdr:spPr>
        <a:xfrm>
          <a:off x="8780780" y="1059815"/>
          <a:ext cx="1871980" cy="1443355"/>
        </a:xfrm>
        <a:prstGeom prst="ellipse">
          <a:avLst/>
        </a:prstGeom>
        <a:solidFill>
          <a:schemeClr val="bg1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chemeClr val="accent2"/>
              </a:solidFill>
            </a:rPr>
            <a:t>In Month 29, the running profit of the self store exceeds the partner store</a:t>
          </a:r>
          <a:endParaRPr lang="en-US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75565</xdr:colOff>
      <xdr:row>31</xdr:row>
      <xdr:rowOff>33655</xdr:rowOff>
    </xdr:from>
    <xdr:to>
      <xdr:col>8</xdr:col>
      <xdr:colOff>165100</xdr:colOff>
      <xdr:row>37</xdr:row>
      <xdr:rowOff>72390</xdr:rowOff>
    </xdr:to>
    <xdr:cxnSp>
      <xdr:nvCxnSpPr>
        <xdr:cNvPr id="7" name="Straight Arrow Connector 6"/>
        <xdr:cNvCxnSpPr/>
      </xdr:nvCxnSpPr>
      <xdr:spPr>
        <a:xfrm>
          <a:off x="6903085" y="5545455"/>
          <a:ext cx="89535" cy="1105535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22860</xdr:colOff>
      <xdr:row>13</xdr:row>
      <xdr:rowOff>159385</xdr:rowOff>
    </xdr:from>
    <xdr:to>
      <xdr:col>12</xdr:col>
      <xdr:colOff>647065</xdr:colOff>
      <xdr:row>18</xdr:row>
      <xdr:rowOff>75565</xdr:rowOff>
    </xdr:to>
    <xdr:cxnSp>
      <xdr:nvCxnSpPr>
        <xdr:cNvPr id="8" name="Straight Arrow Connector 7"/>
        <xdr:cNvCxnSpPr/>
      </xdr:nvCxnSpPr>
      <xdr:spPr>
        <a:xfrm>
          <a:off x="9776460" y="2470785"/>
          <a:ext cx="624205" cy="80518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ychen/Desktop/Grinding/Financial%20Reporting%20-BELL/Bell%20Case-Jiaqi%20Zhe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 year monthly discounted cashf"/>
      <sheetName val="Revenue Analysis"/>
      <sheetName val="Cost Analysis"/>
      <sheetName val="Profitability Analysis"/>
    </sheetNames>
    <sheetDataSet>
      <sheetData sheetId="0"/>
      <sheetData sheetId="1">
        <row r="7">
          <cell r="D7" t="str">
            <v>Option 1</v>
          </cell>
          <cell r="E7" t="str">
            <v>Option 2</v>
          </cell>
        </row>
        <row r="8">
          <cell r="D8">
            <v>1900000</v>
          </cell>
          <cell r="E8">
            <v>263200</v>
          </cell>
        </row>
        <row r="9">
          <cell r="D9">
            <v>3800000</v>
          </cell>
          <cell r="E9">
            <v>789600</v>
          </cell>
        </row>
        <row r="10">
          <cell r="D10">
            <v>5700000</v>
          </cell>
          <cell r="E10">
            <v>1579200</v>
          </cell>
        </row>
        <row r="11">
          <cell r="D11">
            <v>7600000</v>
          </cell>
          <cell r="E11">
            <v>2632000</v>
          </cell>
        </row>
        <row r="12">
          <cell r="D12">
            <v>9500000</v>
          </cell>
          <cell r="E12">
            <v>3948000</v>
          </cell>
        </row>
        <row r="13">
          <cell r="D13">
            <v>11400000</v>
          </cell>
          <cell r="E13">
            <v>5527200</v>
          </cell>
        </row>
        <row r="14">
          <cell r="D14">
            <v>13300000</v>
          </cell>
          <cell r="E14">
            <v>7369600</v>
          </cell>
        </row>
        <row r="15">
          <cell r="D15">
            <v>15200000</v>
          </cell>
          <cell r="E15">
            <v>9469600</v>
          </cell>
        </row>
        <row r="16">
          <cell r="D16">
            <v>17100000</v>
          </cell>
          <cell r="E16">
            <v>11569600</v>
          </cell>
        </row>
        <row r="17">
          <cell r="D17">
            <v>19000000</v>
          </cell>
          <cell r="E17">
            <v>13669600</v>
          </cell>
        </row>
        <row r="18">
          <cell r="D18">
            <v>20900000</v>
          </cell>
          <cell r="E18">
            <v>15769600</v>
          </cell>
        </row>
        <row r="19">
          <cell r="D19">
            <v>22800000</v>
          </cell>
          <cell r="E19">
            <v>17869600</v>
          </cell>
        </row>
        <row r="20">
          <cell r="D20">
            <v>24700000</v>
          </cell>
          <cell r="E20">
            <v>19969600</v>
          </cell>
        </row>
        <row r="21">
          <cell r="D21">
            <v>26600000</v>
          </cell>
          <cell r="E21">
            <v>22069600</v>
          </cell>
        </row>
        <row r="22">
          <cell r="D22">
            <v>28500000</v>
          </cell>
          <cell r="E22">
            <v>24169600</v>
          </cell>
        </row>
        <row r="23">
          <cell r="D23">
            <v>30400000</v>
          </cell>
          <cell r="E23">
            <v>26269600</v>
          </cell>
        </row>
        <row r="24">
          <cell r="D24">
            <v>32300000</v>
          </cell>
          <cell r="E24">
            <v>28369600</v>
          </cell>
        </row>
        <row r="25">
          <cell r="D25">
            <v>34200000</v>
          </cell>
          <cell r="E25">
            <v>30469600</v>
          </cell>
        </row>
        <row r="26">
          <cell r="D26">
            <v>36100000</v>
          </cell>
          <cell r="E26">
            <v>32569600</v>
          </cell>
        </row>
        <row r="27">
          <cell r="D27">
            <v>38000000</v>
          </cell>
          <cell r="E27">
            <v>34669600</v>
          </cell>
        </row>
        <row r="28">
          <cell r="D28">
            <v>39900000</v>
          </cell>
          <cell r="E28">
            <v>36769600</v>
          </cell>
        </row>
        <row r="29">
          <cell r="D29">
            <v>41800000</v>
          </cell>
          <cell r="E29">
            <v>38869600</v>
          </cell>
        </row>
        <row r="30">
          <cell r="D30">
            <v>43700000</v>
          </cell>
          <cell r="E30">
            <v>40969600</v>
          </cell>
        </row>
        <row r="31">
          <cell r="D31">
            <v>45600000</v>
          </cell>
          <cell r="E31">
            <v>43069600</v>
          </cell>
        </row>
        <row r="32">
          <cell r="D32">
            <v>47500000</v>
          </cell>
          <cell r="E32">
            <v>45169600</v>
          </cell>
        </row>
        <row r="33">
          <cell r="D33">
            <v>49400000</v>
          </cell>
          <cell r="E33">
            <v>47269600</v>
          </cell>
        </row>
        <row r="34">
          <cell r="D34">
            <v>51300000</v>
          </cell>
          <cell r="E34">
            <v>49369600</v>
          </cell>
        </row>
        <row r="35">
          <cell r="D35">
            <v>53200000</v>
          </cell>
          <cell r="E35">
            <v>51469600</v>
          </cell>
        </row>
        <row r="36">
          <cell r="D36">
            <v>55100000</v>
          </cell>
          <cell r="E36">
            <v>53569600</v>
          </cell>
        </row>
        <row r="37">
          <cell r="D37">
            <v>57000000</v>
          </cell>
          <cell r="E37">
            <v>55669600</v>
          </cell>
        </row>
        <row r="38">
          <cell r="D38">
            <v>58900000</v>
          </cell>
          <cell r="E38">
            <v>57769600</v>
          </cell>
        </row>
        <row r="39">
          <cell r="D39">
            <v>60800000</v>
          </cell>
          <cell r="E39">
            <v>59869600</v>
          </cell>
        </row>
        <row r="40">
          <cell r="D40">
            <v>62700000</v>
          </cell>
          <cell r="E40">
            <v>61969600</v>
          </cell>
        </row>
        <row r="41">
          <cell r="D41">
            <v>64600000</v>
          </cell>
          <cell r="E41">
            <v>64069600</v>
          </cell>
        </row>
        <row r="42">
          <cell r="D42">
            <v>66500000</v>
          </cell>
          <cell r="E42">
            <v>66169600</v>
          </cell>
        </row>
        <row r="43">
          <cell r="D43">
            <v>68400000</v>
          </cell>
          <cell r="E43">
            <v>68269600</v>
          </cell>
        </row>
      </sheetData>
      <sheetData sheetId="2">
        <row r="5">
          <cell r="D5" t="str">
            <v>Option 1</v>
          </cell>
          <cell r="E5" t="str">
            <v>Option 2</v>
          </cell>
        </row>
        <row r="6">
          <cell r="D6">
            <v>7663460</v>
          </cell>
          <cell r="E6">
            <v>1355229.33333333</v>
          </cell>
        </row>
        <row r="7">
          <cell r="D7">
            <v>8106920</v>
          </cell>
          <cell r="E7">
            <v>2718354.66666667</v>
          </cell>
        </row>
        <row r="8">
          <cell r="D8">
            <v>8550380</v>
          </cell>
          <cell r="E8">
            <v>4089376</v>
          </cell>
        </row>
        <row r="9">
          <cell r="D9">
            <v>8993840</v>
          </cell>
          <cell r="E9">
            <v>5468293.33333333</v>
          </cell>
        </row>
        <row r="10">
          <cell r="D10">
            <v>9437300</v>
          </cell>
          <cell r="E10">
            <v>6855106.66666667</v>
          </cell>
        </row>
        <row r="11">
          <cell r="D11">
            <v>9880760</v>
          </cell>
          <cell r="E11">
            <v>8249816</v>
          </cell>
        </row>
        <row r="12">
          <cell r="D12">
            <v>10324220</v>
          </cell>
          <cell r="E12">
            <v>9652421.33333333</v>
          </cell>
        </row>
        <row r="13">
          <cell r="D13">
            <v>10767680</v>
          </cell>
          <cell r="E13">
            <v>11034088</v>
          </cell>
        </row>
        <row r="14">
          <cell r="D14">
            <v>11211140</v>
          </cell>
          <cell r="E14">
            <v>11097088</v>
          </cell>
        </row>
        <row r="15">
          <cell r="D15">
            <v>11654600</v>
          </cell>
          <cell r="E15">
            <v>11160088</v>
          </cell>
        </row>
        <row r="16">
          <cell r="D16">
            <v>12098060</v>
          </cell>
          <cell r="E16">
            <v>11223088</v>
          </cell>
        </row>
        <row r="17">
          <cell r="D17">
            <v>12541520</v>
          </cell>
          <cell r="E17">
            <v>11286088</v>
          </cell>
        </row>
        <row r="18">
          <cell r="D18">
            <v>12984980</v>
          </cell>
          <cell r="E18">
            <v>11349088</v>
          </cell>
        </row>
        <row r="19">
          <cell r="D19">
            <v>13428440</v>
          </cell>
          <cell r="E19">
            <v>11412088</v>
          </cell>
        </row>
        <row r="20">
          <cell r="D20">
            <v>13871900</v>
          </cell>
          <cell r="E20">
            <v>11475088</v>
          </cell>
        </row>
        <row r="21">
          <cell r="D21">
            <v>14315360</v>
          </cell>
          <cell r="E21">
            <v>11538088</v>
          </cell>
        </row>
        <row r="22">
          <cell r="D22">
            <v>14758820</v>
          </cell>
          <cell r="E22">
            <v>11601088</v>
          </cell>
        </row>
        <row r="23">
          <cell r="D23">
            <v>15202280</v>
          </cell>
          <cell r="E23">
            <v>11664088</v>
          </cell>
        </row>
        <row r="24">
          <cell r="D24">
            <v>15645740</v>
          </cell>
          <cell r="E24">
            <v>11727088</v>
          </cell>
        </row>
        <row r="25">
          <cell r="D25">
            <v>16089200</v>
          </cell>
          <cell r="E25">
            <v>11790088</v>
          </cell>
        </row>
        <row r="26">
          <cell r="D26">
            <v>16532660</v>
          </cell>
          <cell r="E26">
            <v>11853088</v>
          </cell>
        </row>
        <row r="27">
          <cell r="D27">
            <v>16976120</v>
          </cell>
          <cell r="E27">
            <v>11916088</v>
          </cell>
        </row>
        <row r="28">
          <cell r="D28">
            <v>17419580</v>
          </cell>
          <cell r="E28">
            <v>11979088</v>
          </cell>
        </row>
        <row r="29">
          <cell r="D29">
            <v>17863040</v>
          </cell>
          <cell r="E29">
            <v>12042088</v>
          </cell>
        </row>
        <row r="30">
          <cell r="D30">
            <v>18306500</v>
          </cell>
          <cell r="E30">
            <v>12105088</v>
          </cell>
        </row>
        <row r="31">
          <cell r="D31">
            <v>18749960</v>
          </cell>
          <cell r="E31">
            <v>12168088</v>
          </cell>
        </row>
        <row r="32">
          <cell r="D32">
            <v>19193420</v>
          </cell>
          <cell r="E32">
            <v>12231088</v>
          </cell>
        </row>
        <row r="33">
          <cell r="D33">
            <v>19636880</v>
          </cell>
          <cell r="E33">
            <v>12294088</v>
          </cell>
        </row>
        <row r="34">
          <cell r="D34">
            <v>20080340</v>
          </cell>
          <cell r="E34">
            <v>12357088</v>
          </cell>
        </row>
        <row r="35">
          <cell r="D35">
            <v>20523800</v>
          </cell>
          <cell r="E35">
            <v>12420088</v>
          </cell>
        </row>
        <row r="36">
          <cell r="D36">
            <v>20967260</v>
          </cell>
          <cell r="E36">
            <v>12483088</v>
          </cell>
        </row>
        <row r="37">
          <cell r="D37">
            <v>21410720</v>
          </cell>
          <cell r="E37">
            <v>12546088</v>
          </cell>
        </row>
        <row r="38">
          <cell r="D38">
            <v>21854180</v>
          </cell>
          <cell r="E38">
            <v>12609088</v>
          </cell>
        </row>
        <row r="39">
          <cell r="D39">
            <v>22297640</v>
          </cell>
          <cell r="E39">
            <v>12672088</v>
          </cell>
        </row>
        <row r="40">
          <cell r="D40">
            <v>22741100</v>
          </cell>
          <cell r="E40">
            <v>12735088</v>
          </cell>
        </row>
        <row r="41">
          <cell r="D41">
            <v>23184560</v>
          </cell>
          <cell r="E41">
            <v>12798088</v>
          </cell>
        </row>
      </sheetData>
      <sheetData sheetId="3">
        <row r="5">
          <cell r="D5" t="str">
            <v>Month</v>
          </cell>
          <cell r="E5" t="str">
            <v>Option 1</v>
          </cell>
          <cell r="F5" t="str">
            <v>Option 2</v>
          </cell>
        </row>
        <row r="6">
          <cell r="E6">
            <v>-5763460</v>
          </cell>
          <cell r="F6">
            <v>-1092029.33333333</v>
          </cell>
        </row>
        <row r="7">
          <cell r="E7">
            <v>-4306920</v>
          </cell>
          <cell r="F7">
            <v>-1928754.66666667</v>
          </cell>
        </row>
        <row r="8">
          <cell r="E8">
            <v>-2850380</v>
          </cell>
          <cell r="F8">
            <v>-2510176</v>
          </cell>
        </row>
        <row r="9">
          <cell r="E9">
            <v>-1393840</v>
          </cell>
          <cell r="F9">
            <v>-2836293.33333333</v>
          </cell>
        </row>
        <row r="10">
          <cell r="E10">
            <v>62700</v>
          </cell>
          <cell r="F10">
            <v>-2907106.66666667</v>
          </cell>
        </row>
        <row r="11">
          <cell r="E11">
            <v>1519240</v>
          </cell>
          <cell r="F11">
            <v>-2722616</v>
          </cell>
        </row>
        <row r="12">
          <cell r="E12">
            <v>2975780</v>
          </cell>
          <cell r="F12">
            <v>-2282821.33333333</v>
          </cell>
        </row>
        <row r="13">
          <cell r="E13">
            <v>4432320</v>
          </cell>
          <cell r="F13">
            <v>-1564488</v>
          </cell>
        </row>
        <row r="14">
          <cell r="E14">
            <v>5888860</v>
          </cell>
          <cell r="F14">
            <v>472512</v>
          </cell>
        </row>
        <row r="15">
          <cell r="E15">
            <v>7345400</v>
          </cell>
          <cell r="F15">
            <v>2509512</v>
          </cell>
        </row>
        <row r="16">
          <cell r="E16">
            <v>8801940</v>
          </cell>
          <cell r="F16">
            <v>4546512</v>
          </cell>
        </row>
        <row r="17">
          <cell r="E17">
            <v>10258480</v>
          </cell>
          <cell r="F17">
            <v>6583512</v>
          </cell>
        </row>
        <row r="18">
          <cell r="E18">
            <v>11715020</v>
          </cell>
          <cell r="F18">
            <v>8620512</v>
          </cell>
        </row>
        <row r="19">
          <cell r="E19">
            <v>13171560</v>
          </cell>
          <cell r="F19">
            <v>10657512</v>
          </cell>
        </row>
        <row r="20">
          <cell r="E20">
            <v>14628100</v>
          </cell>
          <cell r="F20">
            <v>12694512</v>
          </cell>
        </row>
        <row r="21">
          <cell r="E21">
            <v>16084640</v>
          </cell>
          <cell r="F21">
            <v>14731512</v>
          </cell>
        </row>
        <row r="22">
          <cell r="E22">
            <v>17541180</v>
          </cell>
          <cell r="F22">
            <v>16768512</v>
          </cell>
        </row>
        <row r="23">
          <cell r="E23">
            <v>18997720</v>
          </cell>
          <cell r="F23">
            <v>18805512</v>
          </cell>
        </row>
        <row r="24">
          <cell r="E24">
            <v>20454260</v>
          </cell>
          <cell r="F24">
            <v>20842512</v>
          </cell>
        </row>
        <row r="25">
          <cell r="E25">
            <v>21910800</v>
          </cell>
          <cell r="F25">
            <v>22879512</v>
          </cell>
        </row>
        <row r="26">
          <cell r="E26">
            <v>23367340</v>
          </cell>
          <cell r="F26">
            <v>24916512</v>
          </cell>
        </row>
        <row r="27">
          <cell r="E27">
            <v>24823880</v>
          </cell>
          <cell r="F27">
            <v>26953512</v>
          </cell>
        </row>
        <row r="28">
          <cell r="E28">
            <v>26280420</v>
          </cell>
          <cell r="F28">
            <v>28990512</v>
          </cell>
        </row>
        <row r="29">
          <cell r="E29">
            <v>27736960</v>
          </cell>
          <cell r="F29">
            <v>31027512</v>
          </cell>
        </row>
        <row r="30">
          <cell r="E30">
            <v>29193500</v>
          </cell>
          <cell r="F30">
            <v>33064512</v>
          </cell>
        </row>
        <row r="31">
          <cell r="E31">
            <v>30650040</v>
          </cell>
          <cell r="F31">
            <v>35101512</v>
          </cell>
        </row>
        <row r="32">
          <cell r="E32">
            <v>32106580</v>
          </cell>
          <cell r="F32">
            <v>37138512</v>
          </cell>
        </row>
        <row r="33">
          <cell r="E33">
            <v>33563120</v>
          </cell>
          <cell r="F33">
            <v>39175512</v>
          </cell>
        </row>
        <row r="34">
          <cell r="E34">
            <v>35019660</v>
          </cell>
          <cell r="F34">
            <v>41212512</v>
          </cell>
        </row>
        <row r="35">
          <cell r="E35">
            <v>36476200</v>
          </cell>
          <cell r="F35">
            <v>43249512</v>
          </cell>
        </row>
        <row r="36">
          <cell r="E36">
            <v>37932740</v>
          </cell>
          <cell r="F36">
            <v>45286512</v>
          </cell>
        </row>
        <row r="37">
          <cell r="E37">
            <v>39389280</v>
          </cell>
          <cell r="F37">
            <v>47323512</v>
          </cell>
        </row>
        <row r="38">
          <cell r="E38">
            <v>40845820</v>
          </cell>
          <cell r="F38">
            <v>49360512</v>
          </cell>
        </row>
        <row r="39">
          <cell r="E39">
            <v>42302360</v>
          </cell>
          <cell r="F39">
            <v>51397512</v>
          </cell>
        </row>
        <row r="40">
          <cell r="E40">
            <v>43758900</v>
          </cell>
          <cell r="F40">
            <v>53434512</v>
          </cell>
        </row>
        <row r="41">
          <cell r="E41">
            <v>45215440</v>
          </cell>
          <cell r="F41">
            <v>55471512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3"/>
  <sheetViews>
    <sheetView tabSelected="1" zoomScale="92" zoomScaleNormal="92" topLeftCell="G10" workbookViewId="0">
      <selection activeCell="U41" sqref="U41"/>
    </sheetView>
  </sheetViews>
  <sheetFormatPr defaultColWidth="9" defaultRowHeight="14"/>
  <cols>
    <col min="1" max="1" width="10.6171875" style="2" customWidth="1"/>
    <col min="2" max="2" width="10.6640625" style="2" customWidth="1"/>
    <col min="3" max="3" width="13.78125" style="2" customWidth="1"/>
    <col min="4" max="4" width="15.3359375" style="2" customWidth="1"/>
    <col min="5" max="5" width="21.890625" style="2" customWidth="1"/>
    <col min="6" max="6" width="14.78125" style="2" customWidth="1"/>
    <col min="7" max="7" width="14.5546875" style="2" customWidth="1"/>
    <col min="8" max="8" width="15.2890625" style="2" customWidth="1"/>
    <col min="9" max="9" width="13.4453125" style="2" customWidth="1"/>
    <col min="10" max="10" width="12.5546875" style="2" customWidth="1"/>
    <col min="11" max="11" width="12.75" style="2" customWidth="1"/>
    <col min="12" max="12" width="20.1875" style="2" customWidth="1"/>
    <col min="13" max="13" width="10.5546875" style="2" customWidth="1"/>
    <col min="14" max="14" width="11.5546875" style="2" customWidth="1"/>
    <col min="15" max="15" width="13.78125" style="2" customWidth="1"/>
    <col min="16" max="16" width="14.21875" style="2" customWidth="1"/>
    <col min="17" max="17" width="15.4453125" style="2" customWidth="1"/>
    <col min="18" max="18" width="11.6640625" style="2" customWidth="1"/>
    <col min="19" max="19" width="15.125" style="2" customWidth="1"/>
    <col min="20" max="20" width="12.5546875" style="2" customWidth="1"/>
    <col min="21" max="21" width="12.75" style="2" customWidth="1"/>
    <col min="22" max="22" width="10.890625" style="2" customWidth="1"/>
    <col min="23" max="23" width="12.25" style="2" customWidth="1"/>
    <col min="24" max="24" width="13.3125" style="8" hidden="1" customWidth="1"/>
    <col min="25" max="25" width="13.3125" style="9" customWidth="1"/>
    <col min="26" max="26" width="12.4375" style="2"/>
    <col min="27" max="16384" width="9" style="2"/>
  </cols>
  <sheetData>
    <row r="1" s="2" customFormat="1" ht="16.4" spans="1:25">
      <c r="A1" s="10" t="s">
        <v>0</v>
      </c>
      <c r="I1" s="34" t="s">
        <v>1</v>
      </c>
      <c r="J1" s="35"/>
      <c r="K1" s="35"/>
      <c r="L1" s="35"/>
      <c r="M1" s="35"/>
      <c r="N1" s="53">
        <v>0</v>
      </c>
      <c r="X1" s="8"/>
      <c r="Y1" s="9"/>
    </row>
    <row r="2" s="2" customFormat="1" spans="1:25">
      <c r="A2" s="11"/>
      <c r="X2" s="8"/>
      <c r="Y2" s="9"/>
    </row>
    <row r="3" s="2" customFormat="1" spans="1:25">
      <c r="A3" s="12" t="s">
        <v>2</v>
      </c>
      <c r="X3" s="8"/>
      <c r="Y3" s="9"/>
    </row>
    <row r="4" s="2" customFormat="1" spans="1:25">
      <c r="A4" s="12" t="s">
        <v>3</v>
      </c>
      <c r="X4" s="8"/>
      <c r="Y4" s="9"/>
    </row>
    <row r="5" s="2" customFormat="1" spans="1:25">
      <c r="A5" s="2" t="s">
        <v>4</v>
      </c>
      <c r="X5" s="8"/>
      <c r="Y5" s="9"/>
    </row>
    <row r="6" s="2" customFormat="1" spans="1:25">
      <c r="A6" s="13" t="s">
        <v>5</v>
      </c>
      <c r="B6" s="13"/>
      <c r="C6" s="13"/>
      <c r="D6" s="13"/>
      <c r="X6" s="8"/>
      <c r="Y6" s="9"/>
    </row>
    <row r="7" s="2" customFormat="1" spans="1:25">
      <c r="A7" s="14"/>
      <c r="B7" s="14"/>
      <c r="C7" s="14" t="s">
        <v>6</v>
      </c>
      <c r="D7" s="14" t="s">
        <v>7</v>
      </c>
      <c r="E7" s="32" t="s">
        <v>8</v>
      </c>
      <c r="F7" s="14" t="s">
        <v>9</v>
      </c>
      <c r="G7" s="14" t="s">
        <v>10</v>
      </c>
      <c r="H7" s="14" t="s">
        <v>11</v>
      </c>
      <c r="I7" s="14" t="s">
        <v>12</v>
      </c>
      <c r="J7" s="14" t="s">
        <v>13</v>
      </c>
      <c r="K7" s="14" t="s">
        <v>14</v>
      </c>
      <c r="L7" s="14" t="s">
        <v>15</v>
      </c>
      <c r="M7" s="14" t="s">
        <v>16</v>
      </c>
      <c r="X7" s="8"/>
      <c r="Y7" s="9"/>
    </row>
    <row r="8" s="2" customFormat="1" spans="1:25">
      <c r="A8" s="15">
        <v>202007</v>
      </c>
      <c r="B8" s="14" t="s">
        <v>17</v>
      </c>
      <c r="C8" s="14">
        <v>2000</v>
      </c>
      <c r="D8" s="14"/>
      <c r="E8" s="32" t="s">
        <v>18</v>
      </c>
      <c r="F8" s="14">
        <v>38</v>
      </c>
      <c r="G8" s="14">
        <v>95</v>
      </c>
      <c r="H8" s="14">
        <v>0</v>
      </c>
      <c r="I8" s="14">
        <v>0</v>
      </c>
      <c r="J8" s="14">
        <v>0</v>
      </c>
      <c r="K8" s="36">
        <v>0.2</v>
      </c>
      <c r="L8" s="14">
        <v>25</v>
      </c>
      <c r="M8" s="54">
        <v>0.0334</v>
      </c>
      <c r="X8" s="8"/>
      <c r="Y8" s="9"/>
    </row>
    <row r="9" s="2" customFormat="1" spans="1:25">
      <c r="A9" s="16"/>
      <c r="B9" s="14" t="s">
        <v>19</v>
      </c>
      <c r="C9" s="14">
        <v>1500</v>
      </c>
      <c r="D9" s="14">
        <v>188</v>
      </c>
      <c r="E9" s="32" t="s">
        <v>20</v>
      </c>
      <c r="F9" s="14">
        <v>50</v>
      </c>
      <c r="G9" s="14">
        <v>10</v>
      </c>
      <c r="H9" s="14">
        <v>30000</v>
      </c>
      <c r="I9" s="14">
        <v>40000</v>
      </c>
      <c r="J9" s="14">
        <v>10000</v>
      </c>
      <c r="K9" s="14">
        <v>0</v>
      </c>
      <c r="L9" s="14">
        <v>28</v>
      </c>
      <c r="M9" s="55">
        <v>0.03</v>
      </c>
      <c r="X9" s="8"/>
      <c r="Y9" s="9"/>
    </row>
    <row r="10" s="2" customFormat="1" spans="3:25">
      <c r="C10" s="2">
        <f>188*2</f>
        <v>376</v>
      </c>
      <c r="X10" s="8"/>
      <c r="Y10" s="9"/>
    </row>
    <row r="11" s="2" customFormat="1" spans="1:25">
      <c r="A11" s="17" t="s">
        <v>21</v>
      </c>
      <c r="B11" s="17"/>
      <c r="C11" s="17"/>
      <c r="D11" s="17"/>
      <c r="X11" s="8"/>
      <c r="Y11" s="9"/>
    </row>
    <row r="12" s="2" customFormat="1" spans="1:25">
      <c r="A12" s="18" t="s">
        <v>22</v>
      </c>
      <c r="B12" s="19"/>
      <c r="C12" s="19"/>
      <c r="D12" s="19"/>
      <c r="E12" s="19"/>
      <c r="F12" s="19"/>
      <c r="G12" s="19"/>
      <c r="H12" s="19"/>
      <c r="I12" s="37"/>
      <c r="X12" s="8"/>
      <c r="Y12" s="9"/>
    </row>
    <row r="13" s="2" customFormat="1" spans="1:25">
      <c r="A13" s="20" t="s">
        <v>23</v>
      </c>
      <c r="B13" s="21"/>
      <c r="C13" s="21"/>
      <c r="D13" s="21"/>
      <c r="E13" s="21"/>
      <c r="F13" s="21"/>
      <c r="G13" s="21"/>
      <c r="H13" s="21"/>
      <c r="I13" s="38"/>
      <c r="X13" s="8"/>
      <c r="Y13" s="9"/>
    </row>
    <row r="14" s="2" customFormat="1" spans="1:25">
      <c r="A14" s="18" t="s">
        <v>24</v>
      </c>
      <c r="B14" s="19"/>
      <c r="C14" s="19"/>
      <c r="D14" s="19"/>
      <c r="E14" s="19"/>
      <c r="F14" s="19"/>
      <c r="G14" s="19"/>
      <c r="H14" s="19"/>
      <c r="I14" s="37"/>
      <c r="X14" s="8"/>
      <c r="Y14" s="9"/>
    </row>
    <row r="15" s="2" customFormat="1" spans="1:25">
      <c r="A15" s="18" t="s">
        <v>25</v>
      </c>
      <c r="B15" s="19"/>
      <c r="C15" s="19"/>
      <c r="D15" s="19"/>
      <c r="E15" s="19"/>
      <c r="F15" s="19"/>
      <c r="G15" s="19"/>
      <c r="H15" s="19"/>
      <c r="I15" s="37"/>
      <c r="X15" s="8"/>
      <c r="Y15" s="9"/>
    </row>
    <row r="16" s="2" customFormat="1" spans="1:25">
      <c r="A16" s="18" t="s">
        <v>26</v>
      </c>
      <c r="B16" s="19"/>
      <c r="C16" s="19"/>
      <c r="D16" s="19"/>
      <c r="E16" s="19"/>
      <c r="F16" s="19"/>
      <c r="G16" s="19"/>
      <c r="H16" s="19"/>
      <c r="I16" s="37"/>
      <c r="X16" s="8"/>
      <c r="Y16" s="9"/>
    </row>
    <row r="17" s="2" customFormat="1" spans="1:25">
      <c r="A17" s="4"/>
      <c r="B17" s="4"/>
      <c r="C17" s="4"/>
      <c r="D17" s="4"/>
      <c r="E17" s="4"/>
      <c r="F17" s="4"/>
      <c r="G17" s="4"/>
      <c r="H17" s="4"/>
      <c r="I17" s="4"/>
      <c r="X17" s="8"/>
      <c r="Y17" s="9"/>
    </row>
    <row r="18" s="2" customFormat="1" spans="1:25">
      <c r="A18" s="4"/>
      <c r="B18" s="4"/>
      <c r="C18" s="4"/>
      <c r="D18" s="4"/>
      <c r="E18" s="4"/>
      <c r="F18" s="4"/>
      <c r="G18" s="4"/>
      <c r="H18" s="4"/>
      <c r="I18" s="4"/>
      <c r="J18" s="2"/>
      <c r="X18" s="8"/>
      <c r="Y18" s="9"/>
    </row>
    <row r="19" s="2" customFormat="1" spans="20:25">
      <c r="T19" s="39"/>
      <c r="X19" s="8"/>
      <c r="Y19" s="9"/>
    </row>
    <row r="20" s="2" customFormat="1" spans="1:25">
      <c r="A20" s="13" t="s">
        <v>27</v>
      </c>
      <c r="B20" s="13"/>
      <c r="C20" s="13"/>
      <c r="D20" s="13"/>
      <c r="I20" s="39"/>
      <c r="J20" s="39"/>
      <c r="N20" s="39"/>
      <c r="S20" s="2" t="s">
        <v>28</v>
      </c>
      <c r="T20" s="39">
        <v>0.05</v>
      </c>
      <c r="X20" s="8"/>
      <c r="Y20" s="9"/>
    </row>
    <row r="21" s="2" customFormat="1" spans="1:25">
      <c r="A21" s="14"/>
      <c r="B21" s="22" t="s">
        <v>29</v>
      </c>
      <c r="C21" s="23"/>
      <c r="D21" s="23"/>
      <c r="E21" s="23"/>
      <c r="F21" s="23"/>
      <c r="G21" s="23"/>
      <c r="H21" s="23"/>
      <c r="I21" s="40"/>
      <c r="J21" s="14"/>
      <c r="K21" s="41" t="s">
        <v>19</v>
      </c>
      <c r="L21" s="42"/>
      <c r="M21" s="42"/>
      <c r="N21" s="42"/>
      <c r="O21" s="42"/>
      <c r="P21" s="42"/>
      <c r="Q21" s="42"/>
      <c r="R21" s="42"/>
      <c r="S21" s="42"/>
      <c r="T21" s="42"/>
      <c r="U21" s="4"/>
      <c r="X21" s="8"/>
      <c r="Y21" s="9"/>
    </row>
    <row r="22" s="2" customFormat="1" spans="1:25">
      <c r="A22" s="14" t="s">
        <v>30</v>
      </c>
      <c r="B22" s="14" t="s">
        <v>31</v>
      </c>
      <c r="C22" s="14" t="s">
        <v>32</v>
      </c>
      <c r="D22" s="14" t="s">
        <v>33</v>
      </c>
      <c r="E22" s="14" t="s">
        <v>34</v>
      </c>
      <c r="F22" s="14" t="s">
        <v>35</v>
      </c>
      <c r="G22" s="14" t="s">
        <v>36</v>
      </c>
      <c r="H22" s="14" t="s">
        <v>37</v>
      </c>
      <c r="I22" s="43" t="s">
        <v>38</v>
      </c>
      <c r="J22" s="14" t="s">
        <v>39</v>
      </c>
      <c r="K22" s="4" t="s">
        <v>40</v>
      </c>
      <c r="L22" s="14" t="s">
        <v>30</v>
      </c>
      <c r="M22" s="43" t="s">
        <v>31</v>
      </c>
      <c r="N22" s="43" t="s">
        <v>32</v>
      </c>
      <c r="O22" s="43" t="s">
        <v>41</v>
      </c>
      <c r="P22" s="43" t="s">
        <v>42</v>
      </c>
      <c r="Q22" s="14" t="s">
        <v>35</v>
      </c>
      <c r="R22" s="14" t="s">
        <v>36</v>
      </c>
      <c r="S22" s="14" t="s">
        <v>43</v>
      </c>
      <c r="T22" s="14" t="s">
        <v>44</v>
      </c>
      <c r="U22" s="14" t="s">
        <v>45</v>
      </c>
      <c r="V22" s="14" t="s">
        <v>39</v>
      </c>
      <c r="W22" s="4" t="s">
        <v>46</v>
      </c>
      <c r="X22" s="8" t="s">
        <v>47</v>
      </c>
      <c r="Y22" s="9" t="s">
        <v>47</v>
      </c>
    </row>
    <row r="23" s="2" customFormat="1" spans="1:25">
      <c r="A23" s="14" t="s">
        <v>48</v>
      </c>
      <c r="B23" s="24">
        <v>2000</v>
      </c>
      <c r="C23" s="24">
        <f>$B23*($F$8+$N$1)</f>
        <v>76000</v>
      </c>
      <c r="D23" s="25">
        <f t="shared" ref="D23:D58" si="0">$C23*$L$8</f>
        <v>1900000</v>
      </c>
      <c r="E23" s="25">
        <f>D23</f>
        <v>1900000</v>
      </c>
      <c r="F23" s="25">
        <f t="shared" ref="F23:F58" si="1">E23*$M$8</f>
        <v>63460</v>
      </c>
      <c r="G23" s="25">
        <f t="shared" ref="G23:G58" si="2">$C23*$G$8</f>
        <v>7220000</v>
      </c>
      <c r="H23" s="25">
        <f t="shared" ref="H23:H58" si="3">$E23*$K$8</f>
        <v>380000</v>
      </c>
      <c r="I23" s="25">
        <f>E23-F23-G23-H23</f>
        <v>-5763460</v>
      </c>
      <c r="J23" s="25">
        <f t="shared" ref="J23:J58" si="4">SUM(F23:H23)</f>
        <v>7663460</v>
      </c>
      <c r="K23" s="44">
        <f>I23</f>
        <v>-5763460</v>
      </c>
      <c r="L23" s="45" t="s">
        <v>48</v>
      </c>
      <c r="M23" s="24">
        <f>D9</f>
        <v>188</v>
      </c>
      <c r="N23" s="24">
        <f>$M23*($F$9+$N$1)</f>
        <v>9400</v>
      </c>
      <c r="O23" s="25">
        <f t="shared" ref="O23:O58" si="5">$N23*$L$9</f>
        <v>263200</v>
      </c>
      <c r="P23" s="25">
        <f>O23</f>
        <v>263200</v>
      </c>
      <c r="Q23" s="25">
        <f>O23*$M$9</f>
        <v>7896</v>
      </c>
      <c r="R23" s="25">
        <f t="shared" ref="R23:R58" si="6">N23*$G$9</f>
        <v>94000</v>
      </c>
      <c r="S23" s="25">
        <f>188*10000/12+40000/12*188</f>
        <v>783333.333333333</v>
      </c>
      <c r="T23" s="25">
        <f t="shared" ref="T23:T58" si="7">30000/12*M23</f>
        <v>470000</v>
      </c>
      <c r="U23" s="25">
        <f t="shared" ref="U23:U58" si="8">P23-Q23-R23-S23-T23</f>
        <v>-1092029.33333333</v>
      </c>
      <c r="V23" s="25">
        <f t="shared" ref="V23:V58" si="9">SUM(Q23:T23)</f>
        <v>1355229.33333333</v>
      </c>
      <c r="W23" s="5">
        <f>U23</f>
        <v>-1092029.33333333</v>
      </c>
      <c r="X23" s="8">
        <f>(K23-W23)/W23</f>
        <v>4.27775200177773</v>
      </c>
      <c r="Y23" s="58">
        <f>K23/W23</f>
        <v>5.27775200177773</v>
      </c>
    </row>
    <row r="24" s="2" customFormat="1" spans="1:25">
      <c r="A24" s="14" t="s">
        <v>49</v>
      </c>
      <c r="B24" s="24">
        <v>2000</v>
      </c>
      <c r="C24" s="24">
        <f>$B24*($F$8+$N$1)</f>
        <v>76000</v>
      </c>
      <c r="D24" s="25">
        <f t="shared" si="0"/>
        <v>1900000</v>
      </c>
      <c r="E24" s="25">
        <f>SUM($D$23:D24)</f>
        <v>3800000</v>
      </c>
      <c r="F24" s="25">
        <f t="shared" si="1"/>
        <v>126920</v>
      </c>
      <c r="G24" s="25">
        <f t="shared" si="2"/>
        <v>7220000</v>
      </c>
      <c r="H24" s="25">
        <f t="shared" si="3"/>
        <v>760000</v>
      </c>
      <c r="I24" s="25">
        <f t="shared" ref="I23:I58" si="10">E24-F24-G24-H24</f>
        <v>-4306920</v>
      </c>
      <c r="J24" s="25">
        <f t="shared" si="4"/>
        <v>8106920</v>
      </c>
      <c r="K24" s="44">
        <f>SUM(I23:I24)</f>
        <v>-10070380</v>
      </c>
      <c r="L24" s="45" t="s">
        <v>49</v>
      </c>
      <c r="M24" s="24">
        <f t="shared" ref="M24:M29" si="11">M23+188</f>
        <v>376</v>
      </c>
      <c r="N24" s="24">
        <f>$M24*($F$9+$N$1)</f>
        <v>18800</v>
      </c>
      <c r="O24" s="25">
        <f t="shared" si="5"/>
        <v>526400</v>
      </c>
      <c r="P24" s="25">
        <f>SUM($O$23:O24)</f>
        <v>789600</v>
      </c>
      <c r="Q24" s="25">
        <f t="shared" ref="Q24:Q58" si="12">$P24*$M$9</f>
        <v>23688</v>
      </c>
      <c r="R24" s="25">
        <f t="shared" si="6"/>
        <v>188000</v>
      </c>
      <c r="S24" s="25">
        <f>M24*10000/12+40000/12*M24</f>
        <v>1566666.66666667</v>
      </c>
      <c r="T24" s="25">
        <f t="shared" si="7"/>
        <v>940000</v>
      </c>
      <c r="U24" s="25">
        <f t="shared" si="8"/>
        <v>-1928754.66666667</v>
      </c>
      <c r="V24" s="25">
        <f t="shared" si="9"/>
        <v>2718354.66666667</v>
      </c>
      <c r="W24" s="5">
        <f>SUM(U23:U24)</f>
        <v>-3020784</v>
      </c>
      <c r="X24" s="8">
        <f t="shared" ref="X24:X58" si="13">(K24-W24)/W24</f>
        <v>2.33369747721121</v>
      </c>
      <c r="Y24" s="58">
        <f t="shared" ref="Y24:Y58" si="14">K24/W24</f>
        <v>3.33369747721121</v>
      </c>
    </row>
    <row r="25" s="2" customFormat="1" spans="1:25">
      <c r="A25" s="14" t="s">
        <v>50</v>
      </c>
      <c r="B25" s="24">
        <v>2000</v>
      </c>
      <c r="C25" s="24">
        <f>$B25*($F$8+$N$1)</f>
        <v>76000</v>
      </c>
      <c r="D25" s="25">
        <f t="shared" si="0"/>
        <v>1900000</v>
      </c>
      <c r="E25" s="25">
        <f>SUM($D$23:D25)</f>
        <v>5700000</v>
      </c>
      <c r="F25" s="25">
        <f t="shared" si="1"/>
        <v>190380</v>
      </c>
      <c r="G25" s="25">
        <f t="shared" si="2"/>
        <v>7220000</v>
      </c>
      <c r="H25" s="25">
        <f t="shared" si="3"/>
        <v>1140000</v>
      </c>
      <c r="I25" s="25">
        <f t="shared" si="10"/>
        <v>-2850380</v>
      </c>
      <c r="J25" s="25">
        <f t="shared" si="4"/>
        <v>8550380</v>
      </c>
      <c r="K25" s="44">
        <f>SUM(I23:I25)</f>
        <v>-12920760</v>
      </c>
      <c r="L25" s="45" t="s">
        <v>50</v>
      </c>
      <c r="M25" s="24">
        <f t="shared" si="11"/>
        <v>564</v>
      </c>
      <c r="N25" s="24">
        <f>$M25*($F$9+$N$1)</f>
        <v>28200</v>
      </c>
      <c r="O25" s="25">
        <f t="shared" si="5"/>
        <v>789600</v>
      </c>
      <c r="P25" s="25">
        <f>SUM($O$23:O25)</f>
        <v>1579200</v>
      </c>
      <c r="Q25" s="25">
        <f>$P25*$M$9</f>
        <v>47376</v>
      </c>
      <c r="R25" s="25">
        <f>N25*$G$9</f>
        <v>282000</v>
      </c>
      <c r="S25" s="25">
        <f>M25*10000/12+40000/12*M25</f>
        <v>2350000</v>
      </c>
      <c r="T25" s="25">
        <f t="shared" si="7"/>
        <v>1410000</v>
      </c>
      <c r="U25" s="25">
        <f t="shared" si="8"/>
        <v>-2510176</v>
      </c>
      <c r="V25" s="25">
        <f t="shared" si="9"/>
        <v>4089376</v>
      </c>
      <c r="W25" s="5">
        <f>SUM(U23:U25)</f>
        <v>-5530960</v>
      </c>
      <c r="X25" s="8">
        <f t="shared" si="13"/>
        <v>1.33607908934435</v>
      </c>
      <c r="Y25" s="58">
        <f t="shared" si="14"/>
        <v>2.33607908934435</v>
      </c>
    </row>
    <row r="26" s="2" customFormat="1" spans="1:25">
      <c r="A26" s="14" t="s">
        <v>51</v>
      </c>
      <c r="B26" s="24">
        <v>2000</v>
      </c>
      <c r="C26" s="24">
        <f>$B26*($F$8+$N$1)</f>
        <v>76000</v>
      </c>
      <c r="D26" s="25">
        <f t="shared" si="0"/>
        <v>1900000</v>
      </c>
      <c r="E26" s="25">
        <f>SUM($D$23:D26)</f>
        <v>7600000</v>
      </c>
      <c r="F26" s="25">
        <f t="shared" si="1"/>
        <v>253840</v>
      </c>
      <c r="G26" s="25">
        <f t="shared" si="2"/>
        <v>7220000</v>
      </c>
      <c r="H26" s="25">
        <f t="shared" si="3"/>
        <v>1520000</v>
      </c>
      <c r="I26" s="25">
        <f t="shared" si="10"/>
        <v>-1393840</v>
      </c>
      <c r="J26" s="25">
        <f t="shared" si="4"/>
        <v>8993840</v>
      </c>
      <c r="K26" s="44">
        <f>SUM($I$23:I26)</f>
        <v>-14314600</v>
      </c>
      <c r="L26" s="45" t="s">
        <v>51</v>
      </c>
      <c r="M26" s="24">
        <f t="shared" si="11"/>
        <v>752</v>
      </c>
      <c r="N26" s="24">
        <f>$M26*($F$9+$N$1)</f>
        <v>37600</v>
      </c>
      <c r="O26" s="25">
        <f t="shared" si="5"/>
        <v>1052800</v>
      </c>
      <c r="P26" s="25">
        <f>SUM($O$23:O26)</f>
        <v>2632000</v>
      </c>
      <c r="Q26" s="25">
        <f t="shared" si="12"/>
        <v>78960</v>
      </c>
      <c r="R26" s="25">
        <f t="shared" si="6"/>
        <v>376000</v>
      </c>
      <c r="S26" s="25">
        <f>M26*10000/12+40000/12*M26</f>
        <v>3133333.33333333</v>
      </c>
      <c r="T26" s="25">
        <f t="shared" si="7"/>
        <v>1880000</v>
      </c>
      <c r="U26" s="25">
        <f t="shared" si="8"/>
        <v>-2836293.33333333</v>
      </c>
      <c r="V26" s="25">
        <f t="shared" si="9"/>
        <v>5468293.33333333</v>
      </c>
      <c r="W26" s="5">
        <f>SUM($U$23:U26)</f>
        <v>-8367253.33333333</v>
      </c>
      <c r="X26" s="8">
        <f t="shared" si="13"/>
        <v>0.710788406868682</v>
      </c>
      <c r="Y26" s="58">
        <f t="shared" si="14"/>
        <v>1.71078840686868</v>
      </c>
    </row>
    <row r="27" s="2" customFormat="1" spans="1:25">
      <c r="A27" s="14" t="s">
        <v>52</v>
      </c>
      <c r="B27" s="24">
        <v>2000</v>
      </c>
      <c r="C27" s="24">
        <f>$B27*($F$8+$N$1)</f>
        <v>76000</v>
      </c>
      <c r="D27" s="25">
        <f t="shared" si="0"/>
        <v>1900000</v>
      </c>
      <c r="E27" s="25">
        <f>SUM($D$23:D27)</f>
        <v>9500000</v>
      </c>
      <c r="F27" s="25">
        <f t="shared" si="1"/>
        <v>317300</v>
      </c>
      <c r="G27" s="25">
        <f t="shared" si="2"/>
        <v>7220000</v>
      </c>
      <c r="H27" s="25">
        <f t="shared" si="3"/>
        <v>1900000</v>
      </c>
      <c r="I27" s="46">
        <f t="shared" si="10"/>
        <v>62700</v>
      </c>
      <c r="J27" s="25">
        <f t="shared" si="4"/>
        <v>9437300</v>
      </c>
      <c r="K27" s="44">
        <f>SUM($I$23:I27)</f>
        <v>-14251900</v>
      </c>
      <c r="L27" s="45" t="s">
        <v>52</v>
      </c>
      <c r="M27" s="24">
        <f t="shared" si="11"/>
        <v>940</v>
      </c>
      <c r="N27" s="24">
        <f>$M27*($F$9+$N$1)</f>
        <v>47000</v>
      </c>
      <c r="O27" s="25">
        <f t="shared" si="5"/>
        <v>1316000</v>
      </c>
      <c r="P27" s="25">
        <f>SUM($O$23:O27)</f>
        <v>3948000</v>
      </c>
      <c r="Q27" s="25">
        <f t="shared" si="12"/>
        <v>118440</v>
      </c>
      <c r="R27" s="25">
        <f t="shared" si="6"/>
        <v>470000</v>
      </c>
      <c r="S27" s="25">
        <f t="shared" ref="S24:S58" si="15">M27*10000/12+40000/12*M27</f>
        <v>3916666.66666667</v>
      </c>
      <c r="T27" s="25">
        <f t="shared" si="7"/>
        <v>2350000</v>
      </c>
      <c r="U27" s="25">
        <f t="shared" si="8"/>
        <v>-2907106.66666667</v>
      </c>
      <c r="V27" s="25">
        <f t="shared" si="9"/>
        <v>6855106.66666667</v>
      </c>
      <c r="W27" s="5">
        <f>SUM($U$23:U27)</f>
        <v>-11274360</v>
      </c>
      <c r="X27" s="8">
        <f t="shared" si="13"/>
        <v>0.264098361237356</v>
      </c>
      <c r="Y27" s="58">
        <f t="shared" si="14"/>
        <v>1.26409836123736</v>
      </c>
    </row>
    <row r="28" s="2" customFormat="1" spans="1:25">
      <c r="A28" s="14" t="s">
        <v>53</v>
      </c>
      <c r="B28" s="24">
        <v>2000</v>
      </c>
      <c r="C28" s="24">
        <f>$B28*($F$8+$N$1)</f>
        <v>76000</v>
      </c>
      <c r="D28" s="25">
        <f t="shared" si="0"/>
        <v>1900000</v>
      </c>
      <c r="E28" s="25">
        <f>SUM($D$23:D28)</f>
        <v>11400000</v>
      </c>
      <c r="F28" s="25">
        <f t="shared" si="1"/>
        <v>380760</v>
      </c>
      <c r="G28" s="25">
        <f t="shared" si="2"/>
        <v>7220000</v>
      </c>
      <c r="H28" s="25">
        <f t="shared" si="3"/>
        <v>2280000</v>
      </c>
      <c r="I28" s="25">
        <f t="shared" si="10"/>
        <v>1519240</v>
      </c>
      <c r="J28" s="25">
        <f t="shared" si="4"/>
        <v>9880760</v>
      </c>
      <c r="K28" s="44">
        <f>SUM($I$23:I28)</f>
        <v>-12732660</v>
      </c>
      <c r="L28" s="45" t="s">
        <v>53</v>
      </c>
      <c r="M28" s="24">
        <f t="shared" si="11"/>
        <v>1128</v>
      </c>
      <c r="N28" s="24">
        <f>$M28*($F$9+$N$1)</f>
        <v>56400</v>
      </c>
      <c r="O28" s="25">
        <f t="shared" si="5"/>
        <v>1579200</v>
      </c>
      <c r="P28" s="25">
        <f>SUM($O$23:O28)</f>
        <v>5527200</v>
      </c>
      <c r="Q28" s="25">
        <f t="shared" si="12"/>
        <v>165816</v>
      </c>
      <c r="R28" s="25">
        <f t="shared" si="6"/>
        <v>564000</v>
      </c>
      <c r="S28" s="25">
        <f t="shared" si="15"/>
        <v>4700000</v>
      </c>
      <c r="T28" s="25">
        <f t="shared" si="7"/>
        <v>2820000</v>
      </c>
      <c r="U28" s="25">
        <f t="shared" si="8"/>
        <v>-2722616</v>
      </c>
      <c r="V28" s="25">
        <f t="shared" si="9"/>
        <v>8249816</v>
      </c>
      <c r="W28" s="5">
        <f>SUM($U$23:U28)</f>
        <v>-13996976</v>
      </c>
      <c r="X28" s="8">
        <f t="shared" si="13"/>
        <v>-0.0903277965183339</v>
      </c>
      <c r="Y28" s="58">
        <f t="shared" si="14"/>
        <v>0.909672203481666</v>
      </c>
    </row>
    <row r="29" s="2" customFormat="1" spans="1:25">
      <c r="A29" s="14" t="s">
        <v>54</v>
      </c>
      <c r="B29" s="24">
        <v>2000</v>
      </c>
      <c r="C29" s="24">
        <f>$B29*($F$8+$N$1)</f>
        <v>76000</v>
      </c>
      <c r="D29" s="25">
        <f t="shared" si="0"/>
        <v>1900000</v>
      </c>
      <c r="E29" s="25">
        <f>SUM($D$23:D29)</f>
        <v>13300000</v>
      </c>
      <c r="F29" s="25">
        <f t="shared" si="1"/>
        <v>444220</v>
      </c>
      <c r="G29" s="25">
        <f t="shared" si="2"/>
        <v>7220000</v>
      </c>
      <c r="H29" s="25">
        <f t="shared" si="3"/>
        <v>2660000</v>
      </c>
      <c r="I29" s="25">
        <f t="shared" si="10"/>
        <v>2975780</v>
      </c>
      <c r="J29" s="25">
        <f t="shared" si="4"/>
        <v>10324220</v>
      </c>
      <c r="K29" s="44">
        <f>SUM($I$23:I29)</f>
        <v>-9756880</v>
      </c>
      <c r="L29" s="45" t="s">
        <v>54</v>
      </c>
      <c r="M29" s="24">
        <f t="shared" si="11"/>
        <v>1316</v>
      </c>
      <c r="N29" s="24">
        <f>$M29*($F$9+$N$1)</f>
        <v>65800</v>
      </c>
      <c r="O29" s="25">
        <f t="shared" si="5"/>
        <v>1842400</v>
      </c>
      <c r="P29" s="25">
        <f>SUM($O$23:O29)</f>
        <v>7369600</v>
      </c>
      <c r="Q29" s="25">
        <f t="shared" si="12"/>
        <v>221088</v>
      </c>
      <c r="R29" s="25">
        <f t="shared" si="6"/>
        <v>658000</v>
      </c>
      <c r="S29" s="25">
        <f>M29*10000/12+40000/12*M29</f>
        <v>5483333.33333333</v>
      </c>
      <c r="T29" s="25">
        <f t="shared" si="7"/>
        <v>3290000</v>
      </c>
      <c r="U29" s="25">
        <f t="shared" si="8"/>
        <v>-2282821.33333333</v>
      </c>
      <c r="V29" s="25">
        <f t="shared" si="9"/>
        <v>9652421.33333333</v>
      </c>
      <c r="W29" s="5">
        <f>SUM($U$23:U29)</f>
        <v>-16279797.3333333</v>
      </c>
      <c r="X29" s="8">
        <f t="shared" si="13"/>
        <v>-0.400675585805819</v>
      </c>
      <c r="Y29" s="58">
        <f t="shared" si="14"/>
        <v>0.599324414194181</v>
      </c>
    </row>
    <row r="30" s="2" customFormat="1" spans="1:26">
      <c r="A30" s="26" t="s">
        <v>55</v>
      </c>
      <c r="B30" s="27">
        <v>2000</v>
      </c>
      <c r="C30" s="27">
        <f>$B30*($F$8+$N$1)</f>
        <v>76000</v>
      </c>
      <c r="D30" s="28">
        <f t="shared" si="0"/>
        <v>1900000</v>
      </c>
      <c r="E30" s="28">
        <f>SUM($D$23:D30)</f>
        <v>15200000</v>
      </c>
      <c r="F30" s="28">
        <f t="shared" si="1"/>
        <v>507680</v>
      </c>
      <c r="G30" s="28">
        <f t="shared" si="2"/>
        <v>7220000</v>
      </c>
      <c r="H30" s="28">
        <f t="shared" si="3"/>
        <v>3040000</v>
      </c>
      <c r="I30" s="28">
        <f t="shared" si="10"/>
        <v>4432320</v>
      </c>
      <c r="J30" s="25">
        <f t="shared" si="4"/>
        <v>10767680</v>
      </c>
      <c r="K30" s="44">
        <f>SUM($I$23:I30)</f>
        <v>-5324560</v>
      </c>
      <c r="L30" s="47" t="s">
        <v>55</v>
      </c>
      <c r="M30" s="27">
        <f>M29+184</f>
        <v>1500</v>
      </c>
      <c r="N30" s="27">
        <f>$M30*($F$9+$N$1)</f>
        <v>75000</v>
      </c>
      <c r="O30" s="28">
        <f t="shared" si="5"/>
        <v>2100000</v>
      </c>
      <c r="P30" s="28">
        <f>SUM($O$23:O30)</f>
        <v>9469600</v>
      </c>
      <c r="Q30" s="25">
        <f t="shared" si="12"/>
        <v>284088</v>
      </c>
      <c r="R30" s="28">
        <f t="shared" si="6"/>
        <v>750000</v>
      </c>
      <c r="S30" s="28">
        <f>M30*10000/12+40000/12*M30</f>
        <v>6250000</v>
      </c>
      <c r="T30" s="28">
        <f t="shared" si="7"/>
        <v>3750000</v>
      </c>
      <c r="U30" s="28">
        <f t="shared" si="8"/>
        <v>-1564488</v>
      </c>
      <c r="V30" s="25">
        <f t="shared" si="9"/>
        <v>11034088</v>
      </c>
      <c r="W30" s="52">
        <f>SUM($U$23:U30)</f>
        <v>-17844285.3333333</v>
      </c>
      <c r="X30" s="8">
        <f t="shared" si="13"/>
        <v>-0.701609792685076</v>
      </c>
      <c r="Y30" s="58">
        <f>K30/W30</f>
        <v>0.298390207314924</v>
      </c>
      <c r="Z30" s="5">
        <f>SUM(U23:U30)</f>
        <v>-17844285.3333333</v>
      </c>
    </row>
    <row r="31" s="2" customFormat="1" spans="1:25">
      <c r="A31" s="14" t="s">
        <v>56</v>
      </c>
      <c r="B31" s="24">
        <v>2000</v>
      </c>
      <c r="C31" s="24">
        <f>$B31*($F$8+$N$1)</f>
        <v>76000</v>
      </c>
      <c r="D31" s="25">
        <f t="shared" si="0"/>
        <v>1900000</v>
      </c>
      <c r="E31" s="25">
        <f>SUM($D$23:D31)</f>
        <v>17100000</v>
      </c>
      <c r="F31" s="25">
        <f t="shared" si="1"/>
        <v>571140</v>
      </c>
      <c r="G31" s="25">
        <f t="shared" si="2"/>
        <v>7220000</v>
      </c>
      <c r="H31" s="25">
        <f t="shared" si="3"/>
        <v>3420000</v>
      </c>
      <c r="I31" s="25">
        <f t="shared" si="10"/>
        <v>5888860</v>
      </c>
      <c r="J31" s="25">
        <f t="shared" si="4"/>
        <v>11211140</v>
      </c>
      <c r="K31" s="44">
        <f>SUM($I$23:I31)</f>
        <v>564300</v>
      </c>
      <c r="L31" s="45" t="s">
        <v>56</v>
      </c>
      <c r="M31" s="24">
        <f t="shared" ref="M31:M58" si="16">M30</f>
        <v>1500</v>
      </c>
      <c r="N31" s="24">
        <f>$M31*($F$9+$N$1)</f>
        <v>75000</v>
      </c>
      <c r="O31" s="25">
        <f t="shared" si="5"/>
        <v>2100000</v>
      </c>
      <c r="P31" s="25">
        <f>SUM($O$23:O31)</f>
        <v>11569600</v>
      </c>
      <c r="Q31" s="25">
        <f t="shared" si="12"/>
        <v>347088</v>
      </c>
      <c r="R31" s="25">
        <f t="shared" si="6"/>
        <v>750000</v>
      </c>
      <c r="S31" s="25">
        <f>M31*10000/12+40000/12*M31</f>
        <v>6250000</v>
      </c>
      <c r="T31" s="25">
        <f t="shared" si="7"/>
        <v>3750000</v>
      </c>
      <c r="U31" s="46">
        <f t="shared" si="8"/>
        <v>472512</v>
      </c>
      <c r="V31" s="25">
        <f t="shared" si="9"/>
        <v>11097088</v>
      </c>
      <c r="W31" s="5">
        <f>SUM($U$23:U31)</f>
        <v>-17371773.3333333</v>
      </c>
      <c r="X31" s="8">
        <f t="shared" si="13"/>
        <v>-1.03248373031193</v>
      </c>
      <c r="Y31" s="59"/>
    </row>
    <row r="32" s="2" customFormat="1" spans="1:25">
      <c r="A32" s="14" t="s">
        <v>57</v>
      </c>
      <c r="B32" s="24">
        <v>2000</v>
      </c>
      <c r="C32" s="24">
        <f>$B32*($F$8+$N$1)</f>
        <v>76000</v>
      </c>
      <c r="D32" s="25">
        <f t="shared" si="0"/>
        <v>1900000</v>
      </c>
      <c r="E32" s="25">
        <f>SUM($D$23:D32)</f>
        <v>19000000</v>
      </c>
      <c r="F32" s="25">
        <f t="shared" si="1"/>
        <v>634600</v>
      </c>
      <c r="G32" s="25">
        <f t="shared" si="2"/>
        <v>7220000</v>
      </c>
      <c r="H32" s="25">
        <f t="shared" si="3"/>
        <v>3800000</v>
      </c>
      <c r="I32" s="25">
        <f t="shared" si="10"/>
        <v>7345400</v>
      </c>
      <c r="J32" s="25">
        <f t="shared" si="4"/>
        <v>11654600</v>
      </c>
      <c r="K32" s="44">
        <f>SUM($I$23:I32)</f>
        <v>7909700</v>
      </c>
      <c r="L32" s="45" t="s">
        <v>57</v>
      </c>
      <c r="M32" s="24">
        <f t="shared" si="16"/>
        <v>1500</v>
      </c>
      <c r="N32" s="24">
        <f>$M32*($F$9+$N$1)</f>
        <v>75000</v>
      </c>
      <c r="O32" s="25">
        <f t="shared" si="5"/>
        <v>2100000</v>
      </c>
      <c r="P32" s="25">
        <f>SUM($O$23:O32)</f>
        <v>13669600</v>
      </c>
      <c r="Q32" s="25">
        <f t="shared" si="12"/>
        <v>410088</v>
      </c>
      <c r="R32" s="25">
        <f t="shared" si="6"/>
        <v>750000</v>
      </c>
      <c r="S32" s="25">
        <f>M32*10000/12+40000/12*M32</f>
        <v>6250000</v>
      </c>
      <c r="T32" s="25">
        <f t="shared" si="7"/>
        <v>3750000</v>
      </c>
      <c r="U32" s="25">
        <f t="shared" si="8"/>
        <v>2509512</v>
      </c>
      <c r="V32" s="25">
        <f t="shared" si="9"/>
        <v>11160088</v>
      </c>
      <c r="W32" s="5">
        <f>SUM($U$23:U32)</f>
        <v>-14862261.3333333</v>
      </c>
      <c r="X32" s="8">
        <f t="shared" si="13"/>
        <v>-1.53220030401834</v>
      </c>
      <c r="Y32" s="59"/>
    </row>
    <row r="33" s="2" customFormat="1" spans="1:25">
      <c r="A33" s="14" t="s">
        <v>58</v>
      </c>
      <c r="B33" s="24">
        <v>2000</v>
      </c>
      <c r="C33" s="24">
        <f>$B33*($F$8+$N$1)</f>
        <v>76000</v>
      </c>
      <c r="D33" s="25">
        <f t="shared" si="0"/>
        <v>1900000</v>
      </c>
      <c r="E33" s="25">
        <f>SUM($D$23:D33)</f>
        <v>20900000</v>
      </c>
      <c r="F33" s="25">
        <f t="shared" si="1"/>
        <v>698060</v>
      </c>
      <c r="G33" s="25">
        <f t="shared" si="2"/>
        <v>7220000</v>
      </c>
      <c r="H33" s="25">
        <f t="shared" si="3"/>
        <v>4180000</v>
      </c>
      <c r="I33" s="25">
        <f t="shared" si="10"/>
        <v>8801940</v>
      </c>
      <c r="J33" s="25">
        <f t="shared" si="4"/>
        <v>12098060</v>
      </c>
      <c r="K33" s="44">
        <f>SUM($I$23:I33)</f>
        <v>16711640</v>
      </c>
      <c r="L33" s="45" t="s">
        <v>58</v>
      </c>
      <c r="M33" s="24">
        <f t="shared" si="16"/>
        <v>1500</v>
      </c>
      <c r="N33" s="24">
        <f>$M33*($F$9+$N$1)</f>
        <v>75000</v>
      </c>
      <c r="O33" s="25">
        <f t="shared" si="5"/>
        <v>2100000</v>
      </c>
      <c r="P33" s="25">
        <f>SUM($O$23:O33)</f>
        <v>15769600</v>
      </c>
      <c r="Q33" s="25">
        <f t="shared" si="12"/>
        <v>473088</v>
      </c>
      <c r="R33" s="25">
        <f t="shared" si="6"/>
        <v>750000</v>
      </c>
      <c r="S33" s="25">
        <f>M33*10000/12+40000/12*M33</f>
        <v>6250000</v>
      </c>
      <c r="T33" s="25">
        <f t="shared" si="7"/>
        <v>3750000</v>
      </c>
      <c r="U33" s="25">
        <f t="shared" si="8"/>
        <v>4546512</v>
      </c>
      <c r="V33" s="25">
        <f t="shared" si="9"/>
        <v>11223088</v>
      </c>
      <c r="W33" s="5">
        <f>SUM($U$23:U33)</f>
        <v>-10315749.3333333</v>
      </c>
      <c r="X33" s="8">
        <f t="shared" si="13"/>
        <v>-2.62001222208837</v>
      </c>
      <c r="Y33" s="59"/>
    </row>
    <row r="34" s="2" customFormat="1" spans="1:25">
      <c r="A34" s="14" t="s">
        <v>59</v>
      </c>
      <c r="B34" s="24">
        <v>2000</v>
      </c>
      <c r="C34" s="24">
        <f>$B34*($F$8+$N$1)</f>
        <v>76000</v>
      </c>
      <c r="D34" s="25">
        <f t="shared" si="0"/>
        <v>1900000</v>
      </c>
      <c r="E34" s="25">
        <f>SUM($D$23:D34)</f>
        <v>22800000</v>
      </c>
      <c r="F34" s="25">
        <f t="shared" si="1"/>
        <v>761520</v>
      </c>
      <c r="G34" s="25">
        <f t="shared" si="2"/>
        <v>7220000</v>
      </c>
      <c r="H34" s="25">
        <f t="shared" si="3"/>
        <v>4560000</v>
      </c>
      <c r="I34" s="25">
        <f t="shared" si="10"/>
        <v>10258480</v>
      </c>
      <c r="J34" s="25">
        <f t="shared" si="4"/>
        <v>12541520</v>
      </c>
      <c r="K34" s="44">
        <f>SUM($I$23:I34)</f>
        <v>26970120</v>
      </c>
      <c r="L34" s="45" t="s">
        <v>59</v>
      </c>
      <c r="M34" s="24">
        <f t="shared" si="16"/>
        <v>1500</v>
      </c>
      <c r="N34" s="24">
        <f>$M34*($F$9+$N$1)</f>
        <v>75000</v>
      </c>
      <c r="O34" s="25">
        <f t="shared" si="5"/>
        <v>2100000</v>
      </c>
      <c r="P34" s="25">
        <f>SUM($O$23:O34)</f>
        <v>17869600</v>
      </c>
      <c r="Q34" s="25">
        <f t="shared" si="12"/>
        <v>536088</v>
      </c>
      <c r="R34" s="25">
        <f t="shared" si="6"/>
        <v>750000</v>
      </c>
      <c r="S34" s="25">
        <f t="shared" si="15"/>
        <v>6250000</v>
      </c>
      <c r="T34" s="25">
        <f t="shared" si="7"/>
        <v>3750000</v>
      </c>
      <c r="U34" s="25">
        <f t="shared" si="8"/>
        <v>6583512</v>
      </c>
      <c r="V34" s="25">
        <f t="shared" si="9"/>
        <v>11286088</v>
      </c>
      <c r="W34" s="5">
        <f>SUM($U$23:U34)</f>
        <v>-3732237.33333334</v>
      </c>
      <c r="X34" s="8">
        <f t="shared" si="13"/>
        <v>-8.22626070939397</v>
      </c>
      <c r="Y34" s="59"/>
    </row>
    <row r="35" s="2" customFormat="1" spans="1:25">
      <c r="A35" s="14" t="s">
        <v>60</v>
      </c>
      <c r="B35" s="24">
        <v>2000</v>
      </c>
      <c r="C35" s="24">
        <f>$B35*($F$8+$N$1)</f>
        <v>76000</v>
      </c>
      <c r="D35" s="25">
        <f t="shared" si="0"/>
        <v>1900000</v>
      </c>
      <c r="E35" s="25">
        <f>SUM($D$23:D35)</f>
        <v>24700000</v>
      </c>
      <c r="F35" s="25">
        <f t="shared" si="1"/>
        <v>824980</v>
      </c>
      <c r="G35" s="25">
        <f t="shared" si="2"/>
        <v>7220000</v>
      </c>
      <c r="H35" s="25">
        <f t="shared" si="3"/>
        <v>4940000</v>
      </c>
      <c r="I35" s="25">
        <f t="shared" si="10"/>
        <v>11715020</v>
      </c>
      <c r="J35" s="25">
        <f t="shared" si="4"/>
        <v>12984980</v>
      </c>
      <c r="K35" s="48">
        <f>SUM($I$23:I35)</f>
        <v>38685140</v>
      </c>
      <c r="L35" s="45" t="s">
        <v>60</v>
      </c>
      <c r="M35" s="24">
        <f t="shared" si="16"/>
        <v>1500</v>
      </c>
      <c r="N35" s="24">
        <f>$M35*($F$9+$N$1)</f>
        <v>75000</v>
      </c>
      <c r="O35" s="25">
        <f t="shared" si="5"/>
        <v>2100000</v>
      </c>
      <c r="P35" s="25">
        <f>SUM($O$23:O35)</f>
        <v>19969600</v>
      </c>
      <c r="Q35" s="25">
        <f t="shared" si="12"/>
        <v>599088</v>
      </c>
      <c r="R35" s="25">
        <f t="shared" si="6"/>
        <v>750000</v>
      </c>
      <c r="S35" s="25">
        <f t="shared" si="15"/>
        <v>6250000</v>
      </c>
      <c r="T35" s="25">
        <f t="shared" si="7"/>
        <v>3750000</v>
      </c>
      <c r="U35" s="25">
        <f t="shared" si="8"/>
        <v>8620512</v>
      </c>
      <c r="V35" s="25">
        <f t="shared" si="9"/>
        <v>11349088</v>
      </c>
      <c r="W35" s="52">
        <f>SUM($U$23:U35)</f>
        <v>4888274.66666666</v>
      </c>
      <c r="X35" s="8">
        <f t="shared" si="13"/>
        <v>6.91386381452652</v>
      </c>
      <c r="Y35" s="60">
        <f t="shared" si="14"/>
        <v>7.91386381452652</v>
      </c>
    </row>
    <row r="36" s="2" customFormat="1" spans="1:25">
      <c r="A36" s="14" t="s">
        <v>61</v>
      </c>
      <c r="B36" s="24">
        <v>2000</v>
      </c>
      <c r="C36" s="24">
        <f>$B36*($F$8+$N$1)</f>
        <v>76000</v>
      </c>
      <c r="D36" s="25">
        <f t="shared" si="0"/>
        <v>1900000</v>
      </c>
      <c r="E36" s="25">
        <f>SUM($D$23:D36)</f>
        <v>26600000</v>
      </c>
      <c r="F36" s="25">
        <f t="shared" si="1"/>
        <v>888440</v>
      </c>
      <c r="G36" s="25">
        <f t="shared" si="2"/>
        <v>7220000</v>
      </c>
      <c r="H36" s="25">
        <f t="shared" si="3"/>
        <v>5320000</v>
      </c>
      <c r="I36" s="25">
        <f t="shared" si="10"/>
        <v>13171560</v>
      </c>
      <c r="J36" s="25">
        <f t="shared" si="4"/>
        <v>13428440</v>
      </c>
      <c r="K36" s="44">
        <f>SUM($I$23:I36)</f>
        <v>51856700</v>
      </c>
      <c r="L36" s="45" t="s">
        <v>61</v>
      </c>
      <c r="M36" s="24">
        <f t="shared" si="16"/>
        <v>1500</v>
      </c>
      <c r="N36" s="24">
        <f>$M36*($F$9+$N$1)</f>
        <v>75000</v>
      </c>
      <c r="O36" s="25">
        <f t="shared" si="5"/>
        <v>2100000</v>
      </c>
      <c r="P36" s="25">
        <f>SUM($O$23:O36)</f>
        <v>22069600</v>
      </c>
      <c r="Q36" s="25">
        <f t="shared" si="12"/>
        <v>662088</v>
      </c>
      <c r="R36" s="25">
        <f t="shared" si="6"/>
        <v>750000</v>
      </c>
      <c r="S36" s="25">
        <f t="shared" si="15"/>
        <v>6250000</v>
      </c>
      <c r="T36" s="25">
        <f t="shared" si="7"/>
        <v>3750000</v>
      </c>
      <c r="U36" s="25">
        <f t="shared" si="8"/>
        <v>10657512</v>
      </c>
      <c r="V36" s="25">
        <f t="shared" si="9"/>
        <v>11412088</v>
      </c>
      <c r="W36" s="5">
        <f>SUM($U$23:U36)</f>
        <v>15545786.6666667</v>
      </c>
      <c r="X36" s="8">
        <f t="shared" si="13"/>
        <v>2.33573984462242</v>
      </c>
      <c r="Y36" s="60">
        <f t="shared" si="14"/>
        <v>3.33573984462242</v>
      </c>
    </row>
    <row r="37" s="2" customFormat="1" spans="1:25">
      <c r="A37" s="14" t="s">
        <v>62</v>
      </c>
      <c r="B37" s="24">
        <v>2000</v>
      </c>
      <c r="C37" s="24">
        <f>$B37*($F$8+$N$1)</f>
        <v>76000</v>
      </c>
      <c r="D37" s="25">
        <f t="shared" si="0"/>
        <v>1900000</v>
      </c>
      <c r="E37" s="25">
        <f>SUM($D$23:D37)</f>
        <v>28500000</v>
      </c>
      <c r="F37" s="25">
        <f t="shared" si="1"/>
        <v>951900</v>
      </c>
      <c r="G37" s="25">
        <f t="shared" si="2"/>
        <v>7220000</v>
      </c>
      <c r="H37" s="25">
        <f t="shared" si="3"/>
        <v>5700000</v>
      </c>
      <c r="I37" s="25">
        <f t="shared" si="10"/>
        <v>14628100</v>
      </c>
      <c r="J37" s="25">
        <f t="shared" si="4"/>
        <v>13871900</v>
      </c>
      <c r="K37" s="44">
        <f>SUM($I$23:I37)</f>
        <v>66484800</v>
      </c>
      <c r="L37" s="45" t="s">
        <v>62</v>
      </c>
      <c r="M37" s="24">
        <f t="shared" si="16"/>
        <v>1500</v>
      </c>
      <c r="N37" s="24">
        <f>$M37*($F$9+$N$1)</f>
        <v>75000</v>
      </c>
      <c r="O37" s="25">
        <f t="shared" si="5"/>
        <v>2100000</v>
      </c>
      <c r="P37" s="25">
        <f>SUM($O$23:O37)</f>
        <v>24169600</v>
      </c>
      <c r="Q37" s="25">
        <f t="shared" si="12"/>
        <v>725088</v>
      </c>
      <c r="R37" s="25">
        <f t="shared" si="6"/>
        <v>750000</v>
      </c>
      <c r="S37" s="25">
        <f t="shared" si="15"/>
        <v>6250000</v>
      </c>
      <c r="T37" s="25">
        <f t="shared" si="7"/>
        <v>3750000</v>
      </c>
      <c r="U37" s="25">
        <f t="shared" si="8"/>
        <v>12694512</v>
      </c>
      <c r="V37" s="25">
        <f t="shared" si="9"/>
        <v>11475088</v>
      </c>
      <c r="W37" s="5">
        <f>SUM($U$23:U37)</f>
        <v>28240298.6666667</v>
      </c>
      <c r="X37" s="8">
        <f t="shared" si="13"/>
        <v>1.35425272178425</v>
      </c>
      <c r="Y37" s="60">
        <f t="shared" si="14"/>
        <v>2.35425272178425</v>
      </c>
    </row>
    <row r="38" s="2" customFormat="1" spans="1:25">
      <c r="A38" s="14" t="s">
        <v>63</v>
      </c>
      <c r="B38" s="24">
        <v>2000</v>
      </c>
      <c r="C38" s="24">
        <f>$B38*($F$8+$N$1)</f>
        <v>76000</v>
      </c>
      <c r="D38" s="25">
        <f t="shared" si="0"/>
        <v>1900000</v>
      </c>
      <c r="E38" s="25">
        <f>SUM($D$23:D38)</f>
        <v>30400000</v>
      </c>
      <c r="F38" s="25">
        <f t="shared" si="1"/>
        <v>1015360</v>
      </c>
      <c r="G38" s="25">
        <f t="shared" si="2"/>
        <v>7220000</v>
      </c>
      <c r="H38" s="25">
        <f t="shared" si="3"/>
        <v>6080000</v>
      </c>
      <c r="I38" s="25">
        <f t="shared" si="10"/>
        <v>16084640</v>
      </c>
      <c r="J38" s="25">
        <f t="shared" si="4"/>
        <v>14315360</v>
      </c>
      <c r="K38" s="44">
        <f>SUM($I$23:I38)</f>
        <v>82569440</v>
      </c>
      <c r="L38" s="45" t="s">
        <v>63</v>
      </c>
      <c r="M38" s="24">
        <f t="shared" si="16"/>
        <v>1500</v>
      </c>
      <c r="N38" s="24">
        <f>$M38*($F$9+$N$1)</f>
        <v>75000</v>
      </c>
      <c r="O38" s="25">
        <f t="shared" si="5"/>
        <v>2100000</v>
      </c>
      <c r="P38" s="25">
        <f>SUM($O$23:O38)</f>
        <v>26269600</v>
      </c>
      <c r="Q38" s="25">
        <f t="shared" si="12"/>
        <v>788088</v>
      </c>
      <c r="R38" s="25">
        <f t="shared" si="6"/>
        <v>750000</v>
      </c>
      <c r="S38" s="25">
        <f t="shared" si="15"/>
        <v>6250000</v>
      </c>
      <c r="T38" s="25">
        <f t="shared" si="7"/>
        <v>3750000</v>
      </c>
      <c r="U38" s="25">
        <f t="shared" si="8"/>
        <v>14731512</v>
      </c>
      <c r="V38" s="25">
        <f t="shared" si="9"/>
        <v>11538088</v>
      </c>
      <c r="W38" s="5">
        <f>SUM($U$23:U38)</f>
        <v>42971810.6666667</v>
      </c>
      <c r="X38" s="8">
        <f t="shared" si="13"/>
        <v>0.921479191102583</v>
      </c>
      <c r="Y38" s="60">
        <f t="shared" si="14"/>
        <v>1.92147919110258</v>
      </c>
    </row>
    <row r="39" s="2" customFormat="1" spans="1:25">
      <c r="A39" s="14" t="s">
        <v>64</v>
      </c>
      <c r="B39" s="24">
        <v>2000</v>
      </c>
      <c r="C39" s="24">
        <f>$B39*($F$8+$N$1)</f>
        <v>76000</v>
      </c>
      <c r="D39" s="25">
        <f t="shared" si="0"/>
        <v>1900000</v>
      </c>
      <c r="E39" s="25">
        <f>SUM($D$23:D39)</f>
        <v>32300000</v>
      </c>
      <c r="F39" s="25">
        <f t="shared" si="1"/>
        <v>1078820</v>
      </c>
      <c r="G39" s="25">
        <f t="shared" si="2"/>
        <v>7220000</v>
      </c>
      <c r="H39" s="25">
        <f t="shared" si="3"/>
        <v>6460000</v>
      </c>
      <c r="I39" s="25">
        <f t="shared" si="10"/>
        <v>17541180</v>
      </c>
      <c r="J39" s="25">
        <f t="shared" si="4"/>
        <v>14758820</v>
      </c>
      <c r="K39" s="44">
        <f>SUM($I$23:I39)</f>
        <v>100110620</v>
      </c>
      <c r="L39" s="45" t="s">
        <v>64</v>
      </c>
      <c r="M39" s="24">
        <f t="shared" si="16"/>
        <v>1500</v>
      </c>
      <c r="N39" s="24">
        <f>$M39*($F$9+$N$1)</f>
        <v>75000</v>
      </c>
      <c r="O39" s="25">
        <f t="shared" si="5"/>
        <v>2100000</v>
      </c>
      <c r="P39" s="25">
        <f>SUM($O$23:O39)</f>
        <v>28369600</v>
      </c>
      <c r="Q39" s="25">
        <f t="shared" si="12"/>
        <v>851088</v>
      </c>
      <c r="R39" s="25">
        <f t="shared" si="6"/>
        <v>750000</v>
      </c>
      <c r="S39" s="25">
        <f t="shared" si="15"/>
        <v>6250000</v>
      </c>
      <c r="T39" s="25">
        <f t="shared" si="7"/>
        <v>3750000</v>
      </c>
      <c r="U39" s="25">
        <f t="shared" si="8"/>
        <v>16768512</v>
      </c>
      <c r="V39" s="25">
        <f t="shared" si="9"/>
        <v>11601088</v>
      </c>
      <c r="W39" s="5">
        <f>SUM($U$23:U39)</f>
        <v>59740322.6666667</v>
      </c>
      <c r="X39" s="8">
        <f t="shared" si="13"/>
        <v>0.675762960949971</v>
      </c>
      <c r="Y39" s="60">
        <f t="shared" si="14"/>
        <v>1.67576296094997</v>
      </c>
    </row>
    <row r="40" s="2" customFormat="1" spans="1:25">
      <c r="A40" s="14" t="s">
        <v>65</v>
      </c>
      <c r="B40" s="24">
        <v>2000</v>
      </c>
      <c r="C40" s="24">
        <f>$B40*($F$8+$N$1)</f>
        <v>76000</v>
      </c>
      <c r="D40" s="25">
        <f t="shared" si="0"/>
        <v>1900000</v>
      </c>
      <c r="E40" s="25">
        <f>SUM($D$23:D40)</f>
        <v>34200000</v>
      </c>
      <c r="F40" s="25">
        <f t="shared" si="1"/>
        <v>1142280</v>
      </c>
      <c r="G40" s="25">
        <f t="shared" si="2"/>
        <v>7220000</v>
      </c>
      <c r="H40" s="25">
        <f t="shared" si="3"/>
        <v>6840000</v>
      </c>
      <c r="I40" s="25">
        <f t="shared" si="10"/>
        <v>18997720</v>
      </c>
      <c r="J40" s="25">
        <f t="shared" si="4"/>
        <v>15202280</v>
      </c>
      <c r="K40" s="44">
        <f>SUM($I$23:I40)</f>
        <v>119108340</v>
      </c>
      <c r="L40" s="45" t="s">
        <v>65</v>
      </c>
      <c r="M40" s="24">
        <f t="shared" si="16"/>
        <v>1500</v>
      </c>
      <c r="N40" s="24">
        <f>$M40*($F$9+$N$1)</f>
        <v>75000</v>
      </c>
      <c r="O40" s="25">
        <f t="shared" si="5"/>
        <v>2100000</v>
      </c>
      <c r="P40" s="25">
        <f>SUM($O$23:O40)</f>
        <v>30469600</v>
      </c>
      <c r="Q40" s="25">
        <f t="shared" si="12"/>
        <v>914088</v>
      </c>
      <c r="R40" s="25">
        <f t="shared" si="6"/>
        <v>750000</v>
      </c>
      <c r="S40" s="25">
        <f t="shared" si="15"/>
        <v>6250000</v>
      </c>
      <c r="T40" s="25">
        <f t="shared" si="7"/>
        <v>3750000</v>
      </c>
      <c r="U40" s="25">
        <f t="shared" si="8"/>
        <v>18805512</v>
      </c>
      <c r="V40" s="25">
        <f t="shared" si="9"/>
        <v>11664088</v>
      </c>
      <c r="W40" s="5">
        <f>SUM($U$23:U40)</f>
        <v>78545834.6666667</v>
      </c>
      <c r="X40" s="8">
        <f t="shared" si="13"/>
        <v>0.516418286284343</v>
      </c>
      <c r="Y40" s="60">
        <f t="shared" si="14"/>
        <v>1.51641828628434</v>
      </c>
    </row>
    <row r="41" s="2" customFormat="1" spans="1:25">
      <c r="A41" s="29" t="s">
        <v>66</v>
      </c>
      <c r="B41" s="30">
        <v>2000</v>
      </c>
      <c r="C41" s="30">
        <f>$B41*($F$8+$N$1)</f>
        <v>76000</v>
      </c>
      <c r="D41" s="31">
        <f t="shared" si="0"/>
        <v>1900000</v>
      </c>
      <c r="E41" s="31">
        <f>SUM($D$23:D41)</f>
        <v>36100000</v>
      </c>
      <c r="F41" s="31">
        <f t="shared" si="1"/>
        <v>1205740</v>
      </c>
      <c r="G41" s="31">
        <f t="shared" si="2"/>
        <v>7220000</v>
      </c>
      <c r="H41" s="31">
        <f t="shared" si="3"/>
        <v>7220000</v>
      </c>
      <c r="I41" s="49">
        <f t="shared" si="10"/>
        <v>20454260</v>
      </c>
      <c r="J41" s="25">
        <f t="shared" si="4"/>
        <v>15645740</v>
      </c>
      <c r="K41" s="44">
        <f>SUM($I$23:I41)</f>
        <v>139562600</v>
      </c>
      <c r="L41" s="50" t="s">
        <v>66</v>
      </c>
      <c r="M41" s="30">
        <f t="shared" si="16"/>
        <v>1500</v>
      </c>
      <c r="N41" s="30">
        <f>$M41*($F$9+$N$1)</f>
        <v>75000</v>
      </c>
      <c r="O41" s="31">
        <f t="shared" si="5"/>
        <v>2100000</v>
      </c>
      <c r="P41" s="31">
        <f>SUM($O$23:O41)</f>
        <v>32569600</v>
      </c>
      <c r="Q41" s="25">
        <f t="shared" si="12"/>
        <v>977088</v>
      </c>
      <c r="R41" s="31">
        <f t="shared" si="6"/>
        <v>750000</v>
      </c>
      <c r="S41" s="31">
        <f t="shared" si="15"/>
        <v>6250000</v>
      </c>
      <c r="T41" s="31">
        <f t="shared" si="7"/>
        <v>3750000</v>
      </c>
      <c r="U41" s="56">
        <f t="shared" si="8"/>
        <v>20842512</v>
      </c>
      <c r="V41" s="25">
        <f t="shared" si="9"/>
        <v>11727088</v>
      </c>
      <c r="W41" s="5">
        <f>SUM($U$23:U41)</f>
        <v>99388346.6666667</v>
      </c>
      <c r="X41" s="8">
        <f t="shared" si="13"/>
        <v>0.404214927410672</v>
      </c>
      <c r="Y41" s="60">
        <f t="shared" si="14"/>
        <v>1.40421492741067</v>
      </c>
    </row>
    <row r="42" s="2" customFormat="1" spans="1:25">
      <c r="A42" s="14" t="s">
        <v>67</v>
      </c>
      <c r="B42" s="24">
        <v>2000</v>
      </c>
      <c r="C42" s="24">
        <f>$B42*($F$8+$N$1)</f>
        <v>76000</v>
      </c>
      <c r="D42" s="25">
        <f t="shared" si="0"/>
        <v>1900000</v>
      </c>
      <c r="E42" s="25">
        <f>SUM($D$23:D42)</f>
        <v>38000000</v>
      </c>
      <c r="F42" s="25">
        <f t="shared" si="1"/>
        <v>1269200</v>
      </c>
      <c r="G42" s="25">
        <f t="shared" si="2"/>
        <v>7220000</v>
      </c>
      <c r="H42" s="25">
        <f t="shared" si="3"/>
        <v>7600000</v>
      </c>
      <c r="I42" s="25">
        <f t="shared" si="10"/>
        <v>21910800</v>
      </c>
      <c r="J42" s="25">
        <f t="shared" si="4"/>
        <v>16089200</v>
      </c>
      <c r="K42" s="44">
        <f>SUM($I$23:I42)</f>
        <v>161473400</v>
      </c>
      <c r="L42" s="45" t="s">
        <v>67</v>
      </c>
      <c r="M42" s="24">
        <f t="shared" si="16"/>
        <v>1500</v>
      </c>
      <c r="N42" s="24">
        <f>$M42*($F$9+$N$1)</f>
        <v>75000</v>
      </c>
      <c r="O42" s="25">
        <f t="shared" si="5"/>
        <v>2100000</v>
      </c>
      <c r="P42" s="25">
        <f>SUM($O$23:O42)</f>
        <v>34669600</v>
      </c>
      <c r="Q42" s="25">
        <f t="shared" si="12"/>
        <v>1040088</v>
      </c>
      <c r="R42" s="25">
        <f t="shared" si="6"/>
        <v>750000</v>
      </c>
      <c r="S42" s="25">
        <f t="shared" si="15"/>
        <v>6250000</v>
      </c>
      <c r="T42" s="25">
        <f t="shared" si="7"/>
        <v>3750000</v>
      </c>
      <c r="U42" s="25">
        <f t="shared" si="8"/>
        <v>22879512</v>
      </c>
      <c r="V42" s="25">
        <f t="shared" si="9"/>
        <v>11790088</v>
      </c>
      <c r="W42" s="5">
        <f>SUM($U$23:U42)</f>
        <v>122267858.666667</v>
      </c>
      <c r="X42" s="8">
        <f t="shared" si="13"/>
        <v>0.320652882620752</v>
      </c>
      <c r="Y42" s="60">
        <f t="shared" si="14"/>
        <v>1.32065288262075</v>
      </c>
    </row>
    <row r="43" s="2" customFormat="1" spans="1:25">
      <c r="A43" s="14" t="s">
        <v>68</v>
      </c>
      <c r="B43" s="24">
        <v>2000</v>
      </c>
      <c r="C43" s="24">
        <f>$B43*($F$8+$N$1)</f>
        <v>76000</v>
      </c>
      <c r="D43" s="25">
        <f t="shared" si="0"/>
        <v>1900000</v>
      </c>
      <c r="E43" s="25">
        <f>SUM($D$23:D43)</f>
        <v>39900000</v>
      </c>
      <c r="F43" s="25">
        <f t="shared" si="1"/>
        <v>1332660</v>
      </c>
      <c r="G43" s="25">
        <f t="shared" si="2"/>
        <v>7220000</v>
      </c>
      <c r="H43" s="25">
        <f t="shared" si="3"/>
        <v>7980000</v>
      </c>
      <c r="I43" s="25">
        <f t="shared" si="10"/>
        <v>23367340</v>
      </c>
      <c r="J43" s="25">
        <f t="shared" si="4"/>
        <v>16532660</v>
      </c>
      <c r="K43" s="44">
        <f>SUM($I$23:I43)</f>
        <v>184840740</v>
      </c>
      <c r="L43" s="45" t="s">
        <v>68</v>
      </c>
      <c r="M43" s="24">
        <f t="shared" si="16"/>
        <v>1500</v>
      </c>
      <c r="N43" s="24">
        <f>$M43*($F$9+$N$1)</f>
        <v>75000</v>
      </c>
      <c r="O43" s="25">
        <f t="shared" si="5"/>
        <v>2100000</v>
      </c>
      <c r="P43" s="25">
        <f>SUM($O$23:O43)</f>
        <v>36769600</v>
      </c>
      <c r="Q43" s="25">
        <f t="shared" si="12"/>
        <v>1103088</v>
      </c>
      <c r="R43" s="25">
        <f t="shared" si="6"/>
        <v>750000</v>
      </c>
      <c r="S43" s="25">
        <f t="shared" si="15"/>
        <v>6250000</v>
      </c>
      <c r="T43" s="25">
        <f t="shared" si="7"/>
        <v>3750000</v>
      </c>
      <c r="U43" s="25">
        <f t="shared" si="8"/>
        <v>24916512</v>
      </c>
      <c r="V43" s="25">
        <f t="shared" si="9"/>
        <v>11853088</v>
      </c>
      <c r="W43" s="5">
        <f>SUM($U$23:U43)</f>
        <v>147184370.666667</v>
      </c>
      <c r="X43" s="8">
        <f t="shared" si="13"/>
        <v>0.255844891429505</v>
      </c>
      <c r="Y43" s="60">
        <f t="shared" si="14"/>
        <v>1.2558448914295</v>
      </c>
    </row>
    <row r="44" s="2" customFormat="1" spans="1:25">
      <c r="A44" s="14" t="s">
        <v>69</v>
      </c>
      <c r="B44" s="24">
        <v>2000</v>
      </c>
      <c r="C44" s="24">
        <f>$B44*($F$8+$N$1)</f>
        <v>76000</v>
      </c>
      <c r="D44" s="25">
        <f t="shared" si="0"/>
        <v>1900000</v>
      </c>
      <c r="E44" s="25">
        <f>SUM($D$23:D44)</f>
        <v>41800000</v>
      </c>
      <c r="F44" s="25">
        <f t="shared" si="1"/>
        <v>1396120</v>
      </c>
      <c r="G44" s="25">
        <f t="shared" si="2"/>
        <v>7220000</v>
      </c>
      <c r="H44" s="25">
        <f t="shared" si="3"/>
        <v>8360000</v>
      </c>
      <c r="I44" s="25">
        <f t="shared" si="10"/>
        <v>24823880</v>
      </c>
      <c r="J44" s="25">
        <f t="shared" si="4"/>
        <v>16976120</v>
      </c>
      <c r="K44" s="44">
        <f>SUM($I$23:I44)</f>
        <v>209664620</v>
      </c>
      <c r="L44" s="45" t="s">
        <v>69</v>
      </c>
      <c r="M44" s="24">
        <f t="shared" si="16"/>
        <v>1500</v>
      </c>
      <c r="N44" s="24">
        <f>$M44*($F$9+$N$1)</f>
        <v>75000</v>
      </c>
      <c r="O44" s="25">
        <f t="shared" si="5"/>
        <v>2100000</v>
      </c>
      <c r="P44" s="25">
        <f>SUM($O$23:O44)</f>
        <v>38869600</v>
      </c>
      <c r="Q44" s="25">
        <f t="shared" si="12"/>
        <v>1166088</v>
      </c>
      <c r="R44" s="25">
        <f t="shared" si="6"/>
        <v>750000</v>
      </c>
      <c r="S44" s="25">
        <f t="shared" si="15"/>
        <v>6250000</v>
      </c>
      <c r="T44" s="25">
        <f t="shared" si="7"/>
        <v>3750000</v>
      </c>
      <c r="U44" s="25">
        <f t="shared" si="8"/>
        <v>26953512</v>
      </c>
      <c r="V44" s="25">
        <f t="shared" si="9"/>
        <v>11916088</v>
      </c>
      <c r="W44" s="5">
        <f>SUM($U$23:U44)</f>
        <v>174137882.666667</v>
      </c>
      <c r="X44" s="8">
        <f t="shared" si="13"/>
        <v>0.204014983927066</v>
      </c>
      <c r="Y44" s="60">
        <f t="shared" si="14"/>
        <v>1.20401498392707</v>
      </c>
    </row>
    <row r="45" s="2" customFormat="1" spans="1:25">
      <c r="A45" s="14" t="s">
        <v>70</v>
      </c>
      <c r="B45" s="24">
        <v>2000</v>
      </c>
      <c r="C45" s="24">
        <f>$B45*($F$8+$N$1)</f>
        <v>76000</v>
      </c>
      <c r="D45" s="25">
        <f t="shared" si="0"/>
        <v>1900000</v>
      </c>
      <c r="E45" s="25">
        <f>SUM($D$23:D45)</f>
        <v>43700000</v>
      </c>
      <c r="F45" s="25">
        <f t="shared" si="1"/>
        <v>1459580</v>
      </c>
      <c r="G45" s="25">
        <f t="shared" si="2"/>
        <v>7220000</v>
      </c>
      <c r="H45" s="25">
        <f t="shared" si="3"/>
        <v>8740000</v>
      </c>
      <c r="I45" s="25">
        <f t="shared" si="10"/>
        <v>26280420</v>
      </c>
      <c r="J45" s="25">
        <f t="shared" si="4"/>
        <v>17419580</v>
      </c>
      <c r="K45" s="44">
        <f>SUM($I$23:I45)</f>
        <v>235945040</v>
      </c>
      <c r="L45" s="45" t="s">
        <v>70</v>
      </c>
      <c r="M45" s="24">
        <f t="shared" si="16"/>
        <v>1500</v>
      </c>
      <c r="N45" s="24">
        <f>$M45*($F$9+$N$1)</f>
        <v>75000</v>
      </c>
      <c r="O45" s="25">
        <f t="shared" si="5"/>
        <v>2100000</v>
      </c>
      <c r="P45" s="25">
        <f>SUM($O$23:O45)</f>
        <v>40969600</v>
      </c>
      <c r="Q45" s="25">
        <f t="shared" si="12"/>
        <v>1229088</v>
      </c>
      <c r="R45" s="25">
        <f t="shared" si="6"/>
        <v>750000</v>
      </c>
      <c r="S45" s="25">
        <f t="shared" si="15"/>
        <v>6250000</v>
      </c>
      <c r="T45" s="25">
        <f t="shared" si="7"/>
        <v>3750000</v>
      </c>
      <c r="U45" s="25">
        <f t="shared" si="8"/>
        <v>28990512</v>
      </c>
      <c r="V45" s="25">
        <f t="shared" si="9"/>
        <v>11979088</v>
      </c>
      <c r="W45" s="5">
        <f>SUM($U$23:U45)</f>
        <v>203128394.666667</v>
      </c>
      <c r="X45" s="8">
        <f t="shared" si="13"/>
        <v>0.161556169373491</v>
      </c>
      <c r="Y45" s="60">
        <f t="shared" si="14"/>
        <v>1.16155616937349</v>
      </c>
    </row>
    <row r="46" s="2" customFormat="1" spans="1:25">
      <c r="A46" s="14" t="s">
        <v>71</v>
      </c>
      <c r="B46" s="24">
        <v>2000</v>
      </c>
      <c r="C46" s="24">
        <f>$B46*($F$8+$N$1)</f>
        <v>76000</v>
      </c>
      <c r="D46" s="25">
        <f t="shared" si="0"/>
        <v>1900000</v>
      </c>
      <c r="E46" s="25">
        <f>SUM($D$23:D46)</f>
        <v>45600000</v>
      </c>
      <c r="F46" s="25">
        <f t="shared" si="1"/>
        <v>1523040</v>
      </c>
      <c r="G46" s="25">
        <f t="shared" si="2"/>
        <v>7220000</v>
      </c>
      <c r="H46" s="25">
        <f t="shared" si="3"/>
        <v>9120000</v>
      </c>
      <c r="I46" s="25">
        <f t="shared" si="10"/>
        <v>27736960</v>
      </c>
      <c r="J46" s="25">
        <f t="shared" si="4"/>
        <v>17863040</v>
      </c>
      <c r="K46" s="44">
        <f>SUM($I$23:I46)</f>
        <v>263682000</v>
      </c>
      <c r="L46" s="45" t="s">
        <v>71</v>
      </c>
      <c r="M46" s="24">
        <f t="shared" si="16"/>
        <v>1500</v>
      </c>
      <c r="N46" s="24">
        <f>$M46*($F$9+$N$1)</f>
        <v>75000</v>
      </c>
      <c r="O46" s="25">
        <f t="shared" si="5"/>
        <v>2100000</v>
      </c>
      <c r="P46" s="25">
        <f>SUM($O$23:O46)</f>
        <v>43069600</v>
      </c>
      <c r="Q46" s="25">
        <f t="shared" si="12"/>
        <v>1292088</v>
      </c>
      <c r="R46" s="25">
        <f t="shared" si="6"/>
        <v>750000</v>
      </c>
      <c r="S46" s="25">
        <f t="shared" si="15"/>
        <v>6250000</v>
      </c>
      <c r="T46" s="25">
        <f t="shared" si="7"/>
        <v>3750000</v>
      </c>
      <c r="U46" s="25">
        <f t="shared" si="8"/>
        <v>31027512</v>
      </c>
      <c r="V46" s="25">
        <f t="shared" si="9"/>
        <v>12042088</v>
      </c>
      <c r="W46" s="5">
        <f>SUM($U$23:U46)</f>
        <v>234155906.666667</v>
      </c>
      <c r="X46" s="8">
        <f t="shared" si="13"/>
        <v>0.12609587241959</v>
      </c>
      <c r="Y46" s="60">
        <f t="shared" si="14"/>
        <v>1.12609587241959</v>
      </c>
    </row>
    <row r="47" s="2" customFormat="1" spans="1:25">
      <c r="A47" s="14" t="s">
        <v>72</v>
      </c>
      <c r="B47" s="24">
        <v>2000</v>
      </c>
      <c r="C47" s="24">
        <f>$B47*($F$8+$N$1)</f>
        <v>76000</v>
      </c>
      <c r="D47" s="25">
        <f t="shared" si="0"/>
        <v>1900000</v>
      </c>
      <c r="E47" s="25">
        <f>SUM($D$23:D47)</f>
        <v>47500000</v>
      </c>
      <c r="F47" s="25">
        <f t="shared" si="1"/>
        <v>1586500</v>
      </c>
      <c r="G47" s="25">
        <f t="shared" si="2"/>
        <v>7220000</v>
      </c>
      <c r="H47" s="25">
        <f t="shared" si="3"/>
        <v>9500000</v>
      </c>
      <c r="I47" s="25">
        <f t="shared" si="10"/>
        <v>29193500</v>
      </c>
      <c r="J47" s="25">
        <f t="shared" si="4"/>
        <v>18306500</v>
      </c>
      <c r="K47" s="44">
        <f>SUM($I$23:I47)</f>
        <v>292875500</v>
      </c>
      <c r="L47" s="45" t="s">
        <v>72</v>
      </c>
      <c r="M47" s="24">
        <f t="shared" si="16"/>
        <v>1500</v>
      </c>
      <c r="N47" s="24">
        <f>$M47*($F$9+$N$1)</f>
        <v>75000</v>
      </c>
      <c r="O47" s="25">
        <f t="shared" si="5"/>
        <v>2100000</v>
      </c>
      <c r="P47" s="25">
        <f>SUM($O$23:O47)</f>
        <v>45169600</v>
      </c>
      <c r="Q47" s="25">
        <f t="shared" si="12"/>
        <v>1355088</v>
      </c>
      <c r="R47" s="25">
        <f t="shared" si="6"/>
        <v>750000</v>
      </c>
      <c r="S47" s="25">
        <f t="shared" si="15"/>
        <v>6250000</v>
      </c>
      <c r="T47" s="25">
        <f t="shared" si="7"/>
        <v>3750000</v>
      </c>
      <c r="U47" s="25">
        <f t="shared" si="8"/>
        <v>33064512</v>
      </c>
      <c r="V47" s="25">
        <f t="shared" si="9"/>
        <v>12105088</v>
      </c>
      <c r="W47" s="5">
        <f>SUM($U$23:U47)</f>
        <v>267220418.666667</v>
      </c>
      <c r="X47" s="8">
        <f t="shared" si="13"/>
        <v>0.0960071893508098</v>
      </c>
      <c r="Y47" s="60">
        <f t="shared" si="14"/>
        <v>1.09600718935081</v>
      </c>
    </row>
    <row r="48" s="2" customFormat="1" spans="1:25">
      <c r="A48" s="14" t="s">
        <v>73</v>
      </c>
      <c r="B48" s="24">
        <v>2000</v>
      </c>
      <c r="C48" s="24">
        <f>$B48*($F$8+$N$1)</f>
        <v>76000</v>
      </c>
      <c r="D48" s="25">
        <f t="shared" si="0"/>
        <v>1900000</v>
      </c>
      <c r="E48" s="25">
        <f>SUM($D$23:D48)</f>
        <v>49400000</v>
      </c>
      <c r="F48" s="25">
        <f t="shared" si="1"/>
        <v>1649960</v>
      </c>
      <c r="G48" s="25">
        <f t="shared" si="2"/>
        <v>7220000</v>
      </c>
      <c r="H48" s="25">
        <f t="shared" si="3"/>
        <v>9880000</v>
      </c>
      <c r="I48" s="25">
        <f t="shared" si="10"/>
        <v>30650040</v>
      </c>
      <c r="J48" s="25">
        <f t="shared" si="4"/>
        <v>18749960</v>
      </c>
      <c r="K48" s="44">
        <f>SUM($I$23:I48)</f>
        <v>323525540</v>
      </c>
      <c r="L48" s="45" t="s">
        <v>73</v>
      </c>
      <c r="M48" s="24">
        <f t="shared" si="16"/>
        <v>1500</v>
      </c>
      <c r="N48" s="24">
        <f>$M48*($F$9+$N$1)</f>
        <v>75000</v>
      </c>
      <c r="O48" s="25">
        <f t="shared" si="5"/>
        <v>2100000</v>
      </c>
      <c r="P48" s="25">
        <f>SUM($O$23:O48)</f>
        <v>47269600</v>
      </c>
      <c r="Q48" s="25">
        <f t="shared" si="12"/>
        <v>1418088</v>
      </c>
      <c r="R48" s="25">
        <f t="shared" si="6"/>
        <v>750000</v>
      </c>
      <c r="S48" s="25">
        <f t="shared" si="15"/>
        <v>6250000</v>
      </c>
      <c r="T48" s="25">
        <f t="shared" si="7"/>
        <v>3750000</v>
      </c>
      <c r="U48" s="25">
        <f t="shared" si="8"/>
        <v>35101512</v>
      </c>
      <c r="V48" s="25">
        <f t="shared" si="9"/>
        <v>12168088</v>
      </c>
      <c r="W48" s="5">
        <f>SUM($U$23:U48)</f>
        <v>302321930.666667</v>
      </c>
      <c r="X48" s="8">
        <f t="shared" si="13"/>
        <v>0.070135862411887</v>
      </c>
      <c r="Y48" s="9">
        <f t="shared" si="14"/>
        <v>1.07013586241189</v>
      </c>
    </row>
    <row r="49" s="2" customFormat="1" spans="1:25">
      <c r="A49" s="14" t="s">
        <v>74</v>
      </c>
      <c r="B49" s="24">
        <v>2000</v>
      </c>
      <c r="C49" s="24">
        <f>$B49*($F$8+$N$1)</f>
        <v>76000</v>
      </c>
      <c r="D49" s="25">
        <f t="shared" si="0"/>
        <v>1900000</v>
      </c>
      <c r="E49" s="25">
        <f>SUM($D$23:D49)</f>
        <v>51300000</v>
      </c>
      <c r="F49" s="25">
        <f t="shared" si="1"/>
        <v>1713420</v>
      </c>
      <c r="G49" s="25">
        <f t="shared" si="2"/>
        <v>7220000</v>
      </c>
      <c r="H49" s="25">
        <f t="shared" si="3"/>
        <v>10260000</v>
      </c>
      <c r="I49" s="25">
        <f t="shared" si="10"/>
        <v>32106580</v>
      </c>
      <c r="J49" s="25">
        <f t="shared" si="4"/>
        <v>19193420</v>
      </c>
      <c r="K49" s="44">
        <f>SUM($I$23:I49)</f>
        <v>355632120</v>
      </c>
      <c r="L49" s="45" t="s">
        <v>74</v>
      </c>
      <c r="M49" s="24">
        <f t="shared" si="16"/>
        <v>1500</v>
      </c>
      <c r="N49" s="24">
        <f>$M49*($F$9+$N$1)</f>
        <v>75000</v>
      </c>
      <c r="O49" s="25">
        <f t="shared" si="5"/>
        <v>2100000</v>
      </c>
      <c r="P49" s="25">
        <f>SUM($O$23:O49)</f>
        <v>49369600</v>
      </c>
      <c r="Q49" s="25">
        <f t="shared" si="12"/>
        <v>1481088</v>
      </c>
      <c r="R49" s="25">
        <f t="shared" si="6"/>
        <v>750000</v>
      </c>
      <c r="S49" s="25">
        <f t="shared" si="15"/>
        <v>6250000</v>
      </c>
      <c r="T49" s="25">
        <f t="shared" si="7"/>
        <v>3750000</v>
      </c>
      <c r="U49" s="25">
        <f t="shared" si="8"/>
        <v>37138512</v>
      </c>
      <c r="V49" s="25">
        <f t="shared" si="9"/>
        <v>12231088</v>
      </c>
      <c r="W49" s="5">
        <f>SUM($U$23:U49)</f>
        <v>339460442.666667</v>
      </c>
      <c r="X49" s="8">
        <f t="shared" si="13"/>
        <v>0.0476393573468976</v>
      </c>
      <c r="Y49" s="9">
        <f t="shared" si="14"/>
        <v>1.0476393573469</v>
      </c>
    </row>
    <row r="50" s="2" customFormat="1" spans="1:25">
      <c r="A50" s="14" t="s">
        <v>75</v>
      </c>
      <c r="B50" s="24">
        <v>2000</v>
      </c>
      <c r="C50" s="24">
        <f>$B50*($F$8+$N$1)</f>
        <v>76000</v>
      </c>
      <c r="D50" s="25">
        <f t="shared" si="0"/>
        <v>1900000</v>
      </c>
      <c r="E50" s="25">
        <f>SUM($D$23:D50)</f>
        <v>53200000</v>
      </c>
      <c r="F50" s="25">
        <f t="shared" si="1"/>
        <v>1776880</v>
      </c>
      <c r="G50" s="25">
        <f t="shared" si="2"/>
        <v>7220000</v>
      </c>
      <c r="H50" s="25">
        <f t="shared" si="3"/>
        <v>10640000</v>
      </c>
      <c r="I50" s="25">
        <f t="shared" si="10"/>
        <v>33563120</v>
      </c>
      <c r="J50" s="25">
        <f t="shared" si="4"/>
        <v>19636880</v>
      </c>
      <c r="K50" s="44">
        <f>SUM($I$23:I50)</f>
        <v>389195240</v>
      </c>
      <c r="L50" s="45" t="s">
        <v>75</v>
      </c>
      <c r="M50" s="24">
        <f t="shared" si="16"/>
        <v>1500</v>
      </c>
      <c r="N50" s="24">
        <f>$M50*($F$9+$N$1)</f>
        <v>75000</v>
      </c>
      <c r="O50" s="25">
        <f t="shared" si="5"/>
        <v>2100000</v>
      </c>
      <c r="P50" s="25">
        <f>SUM($O$23:O50)</f>
        <v>51469600</v>
      </c>
      <c r="Q50" s="25">
        <f t="shared" si="12"/>
        <v>1544088</v>
      </c>
      <c r="R50" s="25">
        <f t="shared" si="6"/>
        <v>750000</v>
      </c>
      <c r="S50" s="25">
        <f t="shared" si="15"/>
        <v>6250000</v>
      </c>
      <c r="T50" s="25">
        <f t="shared" si="7"/>
        <v>3750000</v>
      </c>
      <c r="U50" s="25">
        <f t="shared" si="8"/>
        <v>39175512</v>
      </c>
      <c r="V50" s="25">
        <f t="shared" si="9"/>
        <v>12294088</v>
      </c>
      <c r="W50" s="5">
        <f>SUM($U$23:U50)</f>
        <v>378635954.666667</v>
      </c>
      <c r="X50" s="8">
        <f t="shared" si="13"/>
        <v>0.0278876984691781</v>
      </c>
      <c r="Y50" s="9">
        <f t="shared" si="14"/>
        <v>1.02788769846918</v>
      </c>
    </row>
    <row r="51" s="2" customFormat="1" spans="1:25">
      <c r="A51" s="14" t="s">
        <v>76</v>
      </c>
      <c r="B51" s="24">
        <v>2000</v>
      </c>
      <c r="C51" s="24">
        <f>$B51*($F$8+$N$1)</f>
        <v>76000</v>
      </c>
      <c r="D51" s="25">
        <f t="shared" si="0"/>
        <v>1900000</v>
      </c>
      <c r="E51" s="25">
        <f>SUM($D$23:D51)</f>
        <v>55100000</v>
      </c>
      <c r="F51" s="25">
        <f t="shared" si="1"/>
        <v>1840340</v>
      </c>
      <c r="G51" s="25">
        <f t="shared" si="2"/>
        <v>7220000</v>
      </c>
      <c r="H51" s="25">
        <f t="shared" si="3"/>
        <v>11020000</v>
      </c>
      <c r="I51" s="25">
        <f t="shared" si="10"/>
        <v>35019660</v>
      </c>
      <c r="J51" s="25">
        <f t="shared" si="4"/>
        <v>20080340</v>
      </c>
      <c r="K51" s="44">
        <f>SUM($I$23:I51)</f>
        <v>424214900</v>
      </c>
      <c r="L51" s="45" t="s">
        <v>76</v>
      </c>
      <c r="M51" s="24">
        <f t="shared" si="16"/>
        <v>1500</v>
      </c>
      <c r="N51" s="24">
        <f>$M51*($F$9+$N$1)</f>
        <v>75000</v>
      </c>
      <c r="O51" s="25">
        <f t="shared" si="5"/>
        <v>2100000</v>
      </c>
      <c r="P51" s="25">
        <f>SUM($O$23:O51)</f>
        <v>53569600</v>
      </c>
      <c r="Q51" s="25">
        <f t="shared" si="12"/>
        <v>1607088</v>
      </c>
      <c r="R51" s="25">
        <f t="shared" si="6"/>
        <v>750000</v>
      </c>
      <c r="S51" s="25">
        <f t="shared" si="15"/>
        <v>6250000</v>
      </c>
      <c r="T51" s="25">
        <f t="shared" si="7"/>
        <v>3750000</v>
      </c>
      <c r="U51" s="25">
        <f t="shared" si="8"/>
        <v>41212512</v>
      </c>
      <c r="V51" s="25">
        <f t="shared" si="9"/>
        <v>12357088</v>
      </c>
      <c r="W51" s="5">
        <f>SUM($U$23:U51)</f>
        <v>419848466.666667</v>
      </c>
      <c r="X51" s="8">
        <f t="shared" si="13"/>
        <v>0.0104000221032129</v>
      </c>
      <c r="Y51" s="9">
        <f t="shared" si="14"/>
        <v>1.01040002210321</v>
      </c>
    </row>
    <row r="52" s="2" customFormat="1" spans="1:25">
      <c r="A52" s="14" t="s">
        <v>77</v>
      </c>
      <c r="B52" s="24">
        <v>2000</v>
      </c>
      <c r="C52" s="24">
        <f>$B52*($F$8+$N$1)</f>
        <v>76000</v>
      </c>
      <c r="D52" s="25">
        <f t="shared" si="0"/>
        <v>1900000</v>
      </c>
      <c r="E52" s="25">
        <f>SUM($D$23:D52)</f>
        <v>57000000</v>
      </c>
      <c r="F52" s="25">
        <f t="shared" si="1"/>
        <v>1903800</v>
      </c>
      <c r="G52" s="25">
        <f t="shared" si="2"/>
        <v>7220000</v>
      </c>
      <c r="H52" s="25">
        <f t="shared" si="3"/>
        <v>11400000</v>
      </c>
      <c r="I52" s="25">
        <f t="shared" si="10"/>
        <v>36476200</v>
      </c>
      <c r="J52" s="25">
        <f t="shared" si="4"/>
        <v>20523800</v>
      </c>
      <c r="K52" s="51">
        <f>SUM($I$23:I52)</f>
        <v>460691100</v>
      </c>
      <c r="L52" s="45" t="s">
        <v>77</v>
      </c>
      <c r="M52" s="24">
        <f t="shared" si="16"/>
        <v>1500</v>
      </c>
      <c r="N52" s="24">
        <f>$M52*($F$9+$N$1)</f>
        <v>75000</v>
      </c>
      <c r="O52" s="25">
        <f t="shared" si="5"/>
        <v>2100000</v>
      </c>
      <c r="P52" s="25">
        <f>SUM($O$23:O52)</f>
        <v>55669600</v>
      </c>
      <c r="Q52" s="25">
        <f t="shared" si="12"/>
        <v>1670088</v>
      </c>
      <c r="R52" s="25">
        <f t="shared" si="6"/>
        <v>750000</v>
      </c>
      <c r="S52" s="25">
        <f t="shared" si="15"/>
        <v>6250000</v>
      </c>
      <c r="T52" s="25">
        <f t="shared" si="7"/>
        <v>3750000</v>
      </c>
      <c r="U52" s="25">
        <f t="shared" si="8"/>
        <v>43249512</v>
      </c>
      <c r="V52" s="25">
        <f t="shared" si="9"/>
        <v>12420088</v>
      </c>
      <c r="W52" s="57">
        <f>SUM($U$23:U52)</f>
        <v>463097978.666667</v>
      </c>
      <c r="X52" s="8">
        <f t="shared" si="13"/>
        <v>-0.00519734219872092</v>
      </c>
      <c r="Y52" s="9">
        <f t="shared" si="14"/>
        <v>0.994802657801279</v>
      </c>
    </row>
    <row r="53" s="2" customFormat="1" spans="1:25">
      <c r="A53" s="14" t="s">
        <v>78</v>
      </c>
      <c r="B53" s="24">
        <v>2000</v>
      </c>
      <c r="C53" s="24">
        <f>$B53*($F$8+$N$1)</f>
        <v>76000</v>
      </c>
      <c r="D53" s="25">
        <f t="shared" si="0"/>
        <v>1900000</v>
      </c>
      <c r="E53" s="25">
        <f>SUM($D$23:D53)</f>
        <v>58900000</v>
      </c>
      <c r="F53" s="25">
        <f t="shared" si="1"/>
        <v>1967260</v>
      </c>
      <c r="G53" s="25">
        <f t="shared" si="2"/>
        <v>7220000</v>
      </c>
      <c r="H53" s="25">
        <f t="shared" si="3"/>
        <v>11780000</v>
      </c>
      <c r="I53" s="25">
        <f t="shared" si="10"/>
        <v>37932740</v>
      </c>
      <c r="J53" s="25">
        <f t="shared" si="4"/>
        <v>20967260</v>
      </c>
      <c r="K53" s="44">
        <f>SUM($I$23:I53)</f>
        <v>498623840</v>
      </c>
      <c r="L53" s="45" t="s">
        <v>78</v>
      </c>
      <c r="M53" s="24">
        <f t="shared" si="16"/>
        <v>1500</v>
      </c>
      <c r="N53" s="24">
        <f>$M53*($F$9+$N$1)</f>
        <v>75000</v>
      </c>
      <c r="O53" s="25">
        <f t="shared" si="5"/>
        <v>2100000</v>
      </c>
      <c r="P53" s="25">
        <f>SUM($O$23:O53)</f>
        <v>57769600</v>
      </c>
      <c r="Q53" s="25">
        <f t="shared" si="12"/>
        <v>1733088</v>
      </c>
      <c r="R53" s="25">
        <f t="shared" si="6"/>
        <v>750000</v>
      </c>
      <c r="S53" s="25">
        <f t="shared" si="15"/>
        <v>6250000</v>
      </c>
      <c r="T53" s="25">
        <f t="shared" si="7"/>
        <v>3750000</v>
      </c>
      <c r="U53" s="25">
        <f t="shared" si="8"/>
        <v>45286512</v>
      </c>
      <c r="V53" s="25">
        <f t="shared" si="9"/>
        <v>12483088</v>
      </c>
      <c r="W53" s="5">
        <f>SUM($U$23:U53)</f>
        <v>508384490.666667</v>
      </c>
      <c r="X53" s="8">
        <f t="shared" si="13"/>
        <v>-0.0191993478279935</v>
      </c>
      <c r="Y53" s="9">
        <f t="shared" si="14"/>
        <v>0.980800652172007</v>
      </c>
    </row>
    <row r="54" s="2" customFormat="1" spans="1:25">
      <c r="A54" s="14" t="s">
        <v>79</v>
      </c>
      <c r="B54" s="24">
        <v>2000</v>
      </c>
      <c r="C54" s="24">
        <f>$B54*($F$8+$N$1)</f>
        <v>76000</v>
      </c>
      <c r="D54" s="25">
        <f t="shared" si="0"/>
        <v>1900000</v>
      </c>
      <c r="E54" s="25">
        <f>SUM($D$23:D54)</f>
        <v>60800000</v>
      </c>
      <c r="F54" s="25">
        <f t="shared" si="1"/>
        <v>2030720</v>
      </c>
      <c r="G54" s="25">
        <f t="shared" si="2"/>
        <v>7220000</v>
      </c>
      <c r="H54" s="25">
        <f t="shared" si="3"/>
        <v>12160000</v>
      </c>
      <c r="I54" s="25">
        <f t="shared" si="10"/>
        <v>39389280</v>
      </c>
      <c r="J54" s="25">
        <f t="shared" si="4"/>
        <v>21410720</v>
      </c>
      <c r="K54" s="44">
        <f>SUM($I$23:I54)</f>
        <v>538013120</v>
      </c>
      <c r="L54" s="45" t="s">
        <v>79</v>
      </c>
      <c r="M54" s="24">
        <f t="shared" si="16"/>
        <v>1500</v>
      </c>
      <c r="N54" s="24">
        <f>$M54*($F$9+$N$1)</f>
        <v>75000</v>
      </c>
      <c r="O54" s="25">
        <f t="shared" si="5"/>
        <v>2100000</v>
      </c>
      <c r="P54" s="25">
        <f>SUM($O$23:O54)</f>
        <v>59869600</v>
      </c>
      <c r="Q54" s="25">
        <f t="shared" si="12"/>
        <v>1796088</v>
      </c>
      <c r="R54" s="25">
        <f t="shared" si="6"/>
        <v>750000</v>
      </c>
      <c r="S54" s="25">
        <f t="shared" si="15"/>
        <v>6250000</v>
      </c>
      <c r="T54" s="25">
        <f t="shared" si="7"/>
        <v>3750000</v>
      </c>
      <c r="U54" s="25">
        <f t="shared" si="8"/>
        <v>47323512</v>
      </c>
      <c r="V54" s="25">
        <f t="shared" si="9"/>
        <v>12546088</v>
      </c>
      <c r="W54" s="5">
        <f>SUM($U$23:U54)</f>
        <v>555708002.666667</v>
      </c>
      <c r="X54" s="8">
        <f t="shared" si="13"/>
        <v>-0.031842051188312</v>
      </c>
      <c r="Y54" s="9">
        <f t="shared" si="14"/>
        <v>0.968157948811688</v>
      </c>
    </row>
    <row r="55" s="2" customFormat="1" spans="1:25">
      <c r="A55" s="14" t="s">
        <v>80</v>
      </c>
      <c r="B55" s="24">
        <v>2000</v>
      </c>
      <c r="C55" s="24">
        <f>$B55*($F$8+$N$1)</f>
        <v>76000</v>
      </c>
      <c r="D55" s="25">
        <f t="shared" si="0"/>
        <v>1900000</v>
      </c>
      <c r="E55" s="25">
        <f>SUM($D$23:D55)</f>
        <v>62700000</v>
      </c>
      <c r="F55" s="25">
        <f t="shared" si="1"/>
        <v>2094180</v>
      </c>
      <c r="G55" s="25">
        <f t="shared" si="2"/>
        <v>7220000</v>
      </c>
      <c r="H55" s="25">
        <f t="shared" si="3"/>
        <v>12540000</v>
      </c>
      <c r="I55" s="25">
        <f t="shared" si="10"/>
        <v>40845820</v>
      </c>
      <c r="J55" s="25">
        <f t="shared" si="4"/>
        <v>21854180</v>
      </c>
      <c r="K55" s="44">
        <f>SUM($I$23:I55)</f>
        <v>578858940</v>
      </c>
      <c r="L55" s="45" t="s">
        <v>80</v>
      </c>
      <c r="M55" s="24">
        <f t="shared" si="16"/>
        <v>1500</v>
      </c>
      <c r="N55" s="24">
        <f>$M55*($F$9+$N$1)</f>
        <v>75000</v>
      </c>
      <c r="O55" s="25">
        <f t="shared" si="5"/>
        <v>2100000</v>
      </c>
      <c r="P55" s="25">
        <f>SUM($O$23:O55)</f>
        <v>61969600</v>
      </c>
      <c r="Q55" s="25">
        <f t="shared" si="12"/>
        <v>1859088</v>
      </c>
      <c r="R55" s="25">
        <f t="shared" si="6"/>
        <v>750000</v>
      </c>
      <c r="S55" s="25">
        <f t="shared" si="15"/>
        <v>6250000</v>
      </c>
      <c r="T55" s="25">
        <f t="shared" si="7"/>
        <v>3750000</v>
      </c>
      <c r="U55" s="25">
        <f t="shared" si="8"/>
        <v>49360512</v>
      </c>
      <c r="V55" s="25">
        <f t="shared" si="9"/>
        <v>12609088</v>
      </c>
      <c r="W55" s="5">
        <f>SUM($U$23:U55)</f>
        <v>605068514.666667</v>
      </c>
      <c r="X55" s="8">
        <f t="shared" si="13"/>
        <v>-0.0433167055157473</v>
      </c>
      <c r="Y55" s="9">
        <f t="shared" si="14"/>
        <v>0.956683294484253</v>
      </c>
    </row>
    <row r="56" s="2" customFormat="1" spans="1:25">
      <c r="A56" s="14" t="s">
        <v>81</v>
      </c>
      <c r="B56" s="24">
        <v>2000</v>
      </c>
      <c r="C56" s="24">
        <f>$B56*($F$8+$N$1)</f>
        <v>76000</v>
      </c>
      <c r="D56" s="25">
        <f t="shared" si="0"/>
        <v>1900000</v>
      </c>
      <c r="E56" s="25">
        <f>SUM($D$23:D56)</f>
        <v>64600000</v>
      </c>
      <c r="F56" s="25">
        <f t="shared" si="1"/>
        <v>2157640</v>
      </c>
      <c r="G56" s="25">
        <f t="shared" si="2"/>
        <v>7220000</v>
      </c>
      <c r="H56" s="25">
        <f t="shared" si="3"/>
        <v>12920000</v>
      </c>
      <c r="I56" s="25">
        <f t="shared" si="10"/>
        <v>42302360</v>
      </c>
      <c r="J56" s="25">
        <f t="shared" si="4"/>
        <v>22297640</v>
      </c>
      <c r="K56" s="44">
        <f>SUM($I$23:I56)</f>
        <v>621161300</v>
      </c>
      <c r="L56" s="45" t="s">
        <v>81</v>
      </c>
      <c r="M56" s="24">
        <f t="shared" si="16"/>
        <v>1500</v>
      </c>
      <c r="N56" s="24">
        <f>$M56*($F$9+$N$1)</f>
        <v>75000</v>
      </c>
      <c r="O56" s="25">
        <f t="shared" si="5"/>
        <v>2100000</v>
      </c>
      <c r="P56" s="25">
        <f>SUM($O$23:O56)</f>
        <v>64069600</v>
      </c>
      <c r="Q56" s="25">
        <f t="shared" si="12"/>
        <v>1922088</v>
      </c>
      <c r="R56" s="25">
        <f t="shared" si="6"/>
        <v>750000</v>
      </c>
      <c r="S56" s="25">
        <f t="shared" si="15"/>
        <v>6250000</v>
      </c>
      <c r="T56" s="25">
        <f t="shared" si="7"/>
        <v>3750000</v>
      </c>
      <c r="U56" s="25">
        <f t="shared" si="8"/>
        <v>51397512</v>
      </c>
      <c r="V56" s="25">
        <f t="shared" si="9"/>
        <v>12672088</v>
      </c>
      <c r="W56" s="5">
        <f>SUM($U$23:U56)</f>
        <v>656466026.666667</v>
      </c>
      <c r="X56" s="8">
        <f t="shared" si="13"/>
        <v>-0.0537799752501028</v>
      </c>
      <c r="Y56" s="9">
        <f t="shared" si="14"/>
        <v>0.946220024749897</v>
      </c>
    </row>
    <row r="57" s="2" customFormat="1" spans="1:25">
      <c r="A57" s="14" t="s">
        <v>82</v>
      </c>
      <c r="B57" s="24">
        <v>2000</v>
      </c>
      <c r="C57" s="24">
        <f>$B57*($F$8+$N$1)</f>
        <v>76000</v>
      </c>
      <c r="D57" s="25">
        <f t="shared" si="0"/>
        <v>1900000</v>
      </c>
      <c r="E57" s="25">
        <f>SUM($D$23:D57)</f>
        <v>66500000</v>
      </c>
      <c r="F57" s="25">
        <f t="shared" si="1"/>
        <v>2221100</v>
      </c>
      <c r="G57" s="25">
        <f t="shared" si="2"/>
        <v>7220000</v>
      </c>
      <c r="H57" s="25">
        <f t="shared" si="3"/>
        <v>13300000</v>
      </c>
      <c r="I57" s="25">
        <f t="shared" si="10"/>
        <v>43758900</v>
      </c>
      <c r="J57" s="25">
        <f t="shared" si="4"/>
        <v>22741100</v>
      </c>
      <c r="K57" s="44">
        <f>SUM($I$23:I57)</f>
        <v>664920200</v>
      </c>
      <c r="L57" s="45" t="s">
        <v>82</v>
      </c>
      <c r="M57" s="24">
        <f t="shared" si="16"/>
        <v>1500</v>
      </c>
      <c r="N57" s="24">
        <f>$M57*($F$9+$N$1)</f>
        <v>75000</v>
      </c>
      <c r="O57" s="25">
        <f t="shared" si="5"/>
        <v>2100000</v>
      </c>
      <c r="P57" s="25">
        <f>SUM($O$23:O57)</f>
        <v>66169600</v>
      </c>
      <c r="Q57" s="25">
        <f t="shared" si="12"/>
        <v>1985088</v>
      </c>
      <c r="R57" s="25">
        <f t="shared" si="6"/>
        <v>750000</v>
      </c>
      <c r="S57" s="25">
        <f t="shared" si="15"/>
        <v>6250000</v>
      </c>
      <c r="T57" s="25">
        <f t="shared" si="7"/>
        <v>3750000</v>
      </c>
      <c r="U57" s="25">
        <f t="shared" si="8"/>
        <v>53434512</v>
      </c>
      <c r="V57" s="25">
        <f t="shared" si="9"/>
        <v>12735088</v>
      </c>
      <c r="W57" s="5">
        <f>SUM($U$23:U57)</f>
        <v>709900538.666667</v>
      </c>
      <c r="X57" s="8">
        <f t="shared" si="13"/>
        <v>-0.0633614657500452</v>
      </c>
      <c r="Y57" s="9">
        <f t="shared" si="14"/>
        <v>0.936638534249955</v>
      </c>
    </row>
    <row r="58" s="2" customFormat="1" spans="1:25">
      <c r="A58" s="14" t="s">
        <v>83</v>
      </c>
      <c r="B58" s="24">
        <v>2000</v>
      </c>
      <c r="C58" s="24">
        <f>$B58*($F$8+$N$1)</f>
        <v>76000</v>
      </c>
      <c r="D58" s="25">
        <f t="shared" si="0"/>
        <v>1900000</v>
      </c>
      <c r="E58" s="33">
        <f>SUM($D$23:D58)</f>
        <v>68400000</v>
      </c>
      <c r="F58" s="25">
        <f t="shared" si="1"/>
        <v>2284560</v>
      </c>
      <c r="G58" s="25">
        <f t="shared" si="2"/>
        <v>7220000</v>
      </c>
      <c r="H58" s="25">
        <f t="shared" si="3"/>
        <v>13680000</v>
      </c>
      <c r="I58" s="25">
        <f t="shared" si="10"/>
        <v>45215440</v>
      </c>
      <c r="J58" s="25">
        <f t="shared" si="4"/>
        <v>23184560</v>
      </c>
      <c r="K58" s="44">
        <f>SUM($I$23:I58)</f>
        <v>710135640</v>
      </c>
      <c r="L58" s="45" t="s">
        <v>83</v>
      </c>
      <c r="M58" s="24">
        <f t="shared" si="16"/>
        <v>1500</v>
      </c>
      <c r="N58" s="24">
        <f>$M58*($F$9+$N$1)</f>
        <v>75000</v>
      </c>
      <c r="O58" s="25">
        <f t="shared" si="5"/>
        <v>2100000</v>
      </c>
      <c r="P58" s="25">
        <f>SUM($O$23:O58)</f>
        <v>68269600</v>
      </c>
      <c r="Q58" s="25">
        <f t="shared" si="12"/>
        <v>2048088</v>
      </c>
      <c r="R58" s="25">
        <f t="shared" si="6"/>
        <v>750000</v>
      </c>
      <c r="S58" s="25">
        <f t="shared" si="15"/>
        <v>6250000</v>
      </c>
      <c r="T58" s="25">
        <f t="shared" si="7"/>
        <v>3750000</v>
      </c>
      <c r="U58" s="25">
        <f t="shared" si="8"/>
        <v>55471512</v>
      </c>
      <c r="V58" s="25">
        <f t="shared" si="9"/>
        <v>12798088</v>
      </c>
      <c r="W58" s="5">
        <f>SUM($U$23:U58)</f>
        <v>765372050.666667</v>
      </c>
      <c r="X58" s="8">
        <f t="shared" si="13"/>
        <v>-0.0721693594880473</v>
      </c>
      <c r="Y58" s="9">
        <f t="shared" si="14"/>
        <v>0.927830640511953</v>
      </c>
    </row>
    <row r="59" spans="9:21">
      <c r="I59" s="46">
        <f>SUM(I23:I58)</f>
        <v>710135640</v>
      </c>
      <c r="U59" s="46">
        <f>SUM(U23:U58)</f>
        <v>765372050.666667</v>
      </c>
    </row>
    <row r="60" spans="9:9">
      <c r="I60" s="5"/>
    </row>
    <row r="61" spans="8:11">
      <c r="H61" s="2" t="s">
        <v>84</v>
      </c>
      <c r="I61" s="25">
        <v>1611000000</v>
      </c>
      <c r="J61" s="2" t="s">
        <v>85</v>
      </c>
      <c r="K61" s="52">
        <f>SUM(I23:I26)</f>
        <v>-14314600</v>
      </c>
    </row>
    <row r="62" spans="9:9">
      <c r="I62" s="5"/>
    </row>
    <row r="63" spans="11:11">
      <c r="K63" s="5"/>
    </row>
  </sheetData>
  <mergeCells count="12">
    <mergeCell ref="I1:M1"/>
    <mergeCell ref="A6:D6"/>
    <mergeCell ref="A11:D11"/>
    <mergeCell ref="A12:I12"/>
    <mergeCell ref="A13:I13"/>
    <mergeCell ref="A14:I14"/>
    <mergeCell ref="A15:I15"/>
    <mergeCell ref="A16:I16"/>
    <mergeCell ref="A20:D20"/>
    <mergeCell ref="B21:I21"/>
    <mergeCell ref="K21:T21"/>
    <mergeCell ref="A8:A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E43"/>
  <sheetViews>
    <sheetView topLeftCell="A3" workbookViewId="0">
      <selection activeCell="E10" sqref="E10"/>
    </sheetView>
  </sheetViews>
  <sheetFormatPr defaultColWidth="9" defaultRowHeight="14" outlineLevelCol="4"/>
  <cols>
    <col min="1" max="3" width="9" style="2"/>
    <col min="4" max="5" width="10.890625" style="2" customWidth="1"/>
    <col min="6" max="16384" width="9" style="2"/>
  </cols>
  <sheetData>
    <row r="7" s="2" customFormat="1" spans="4:5">
      <c r="D7" s="2" t="s">
        <v>86</v>
      </c>
      <c r="E7" s="2" t="s">
        <v>87</v>
      </c>
    </row>
    <row r="8" s="2" customFormat="1" spans="4:5">
      <c r="D8" s="5">
        <v>1900000</v>
      </c>
      <c r="E8" s="5">
        <v>263200</v>
      </c>
    </row>
    <row r="9" s="2" customFormat="1" spans="4:5">
      <c r="D9" s="5">
        <v>3800000</v>
      </c>
      <c r="E9" s="5">
        <v>789600</v>
      </c>
    </row>
    <row r="10" s="2" customFormat="1" spans="4:5">
      <c r="D10" s="5">
        <v>5700000</v>
      </c>
      <c r="E10" s="5">
        <v>1579200</v>
      </c>
    </row>
    <row r="11" s="2" customFormat="1" spans="4:5">
      <c r="D11" s="5">
        <v>7600000</v>
      </c>
      <c r="E11" s="5">
        <v>2632000</v>
      </c>
    </row>
    <row r="12" s="2" customFormat="1" spans="4:5">
      <c r="D12" s="5">
        <v>9500000</v>
      </c>
      <c r="E12" s="5">
        <v>3948000</v>
      </c>
    </row>
    <row r="13" s="2" customFormat="1" spans="4:5">
      <c r="D13" s="5">
        <v>11400000</v>
      </c>
      <c r="E13" s="5">
        <v>5527200</v>
      </c>
    </row>
    <row r="14" s="2" customFormat="1" spans="4:5">
      <c r="D14" s="5">
        <v>13300000</v>
      </c>
      <c r="E14" s="5">
        <v>7369600</v>
      </c>
    </row>
    <row r="15" s="2" customFormat="1" spans="4:5">
      <c r="D15" s="5">
        <v>15200000</v>
      </c>
      <c r="E15" s="5">
        <v>9469600</v>
      </c>
    </row>
    <row r="16" s="2" customFormat="1" spans="4:5">
      <c r="D16" s="5">
        <v>17100000</v>
      </c>
      <c r="E16" s="5">
        <v>11569600</v>
      </c>
    </row>
    <row r="17" s="2" customFormat="1" spans="4:5">
      <c r="D17" s="5">
        <v>19000000</v>
      </c>
      <c r="E17" s="5">
        <v>13669600</v>
      </c>
    </row>
    <row r="18" s="2" customFormat="1" spans="4:5">
      <c r="D18" s="5">
        <v>20900000</v>
      </c>
      <c r="E18" s="5">
        <v>15769600</v>
      </c>
    </row>
    <row r="19" s="2" customFormat="1" spans="4:5">
      <c r="D19" s="5">
        <v>22800000</v>
      </c>
      <c r="E19" s="5">
        <v>17869600</v>
      </c>
    </row>
    <row r="20" s="2" customFormat="1" spans="4:5">
      <c r="D20" s="5">
        <v>24700000</v>
      </c>
      <c r="E20" s="5">
        <v>19969600</v>
      </c>
    </row>
    <row r="21" s="2" customFormat="1" spans="4:5">
      <c r="D21" s="5">
        <v>26600000</v>
      </c>
      <c r="E21" s="5">
        <v>22069600</v>
      </c>
    </row>
    <row r="22" s="2" customFormat="1" spans="4:5">
      <c r="D22" s="5">
        <v>28500000</v>
      </c>
      <c r="E22" s="5">
        <v>24169600</v>
      </c>
    </row>
    <row r="23" s="2" customFormat="1" spans="4:5">
      <c r="D23" s="5">
        <v>30400000</v>
      </c>
      <c r="E23" s="5">
        <v>26269600</v>
      </c>
    </row>
    <row r="24" s="2" customFormat="1" spans="4:5">
      <c r="D24" s="5">
        <v>32300000</v>
      </c>
      <c r="E24" s="5">
        <v>28369600</v>
      </c>
    </row>
    <row r="25" s="2" customFormat="1" spans="4:5">
      <c r="D25" s="5">
        <v>34200000</v>
      </c>
      <c r="E25" s="5">
        <v>30469600</v>
      </c>
    </row>
    <row r="26" s="2" customFormat="1" spans="4:5">
      <c r="D26" s="5">
        <v>36100000</v>
      </c>
      <c r="E26" s="5">
        <v>32569600</v>
      </c>
    </row>
    <row r="27" s="2" customFormat="1" spans="4:5">
      <c r="D27" s="5">
        <v>38000000</v>
      </c>
      <c r="E27" s="5">
        <v>34669600</v>
      </c>
    </row>
    <row r="28" s="2" customFormat="1" spans="4:5">
      <c r="D28" s="5">
        <v>39900000</v>
      </c>
      <c r="E28" s="5">
        <v>36769600</v>
      </c>
    </row>
    <row r="29" s="2" customFormat="1" spans="4:5">
      <c r="D29" s="5">
        <v>41800000</v>
      </c>
      <c r="E29" s="5">
        <v>38869600</v>
      </c>
    </row>
    <row r="30" s="2" customFormat="1" spans="4:5">
      <c r="D30" s="5">
        <v>43700000</v>
      </c>
      <c r="E30" s="5">
        <v>40969600</v>
      </c>
    </row>
    <row r="31" s="2" customFormat="1" spans="4:5">
      <c r="D31" s="5">
        <v>45600000</v>
      </c>
      <c r="E31" s="5">
        <v>43069600</v>
      </c>
    </row>
    <row r="32" s="2" customFormat="1" spans="4:5">
      <c r="D32" s="5">
        <v>47500000</v>
      </c>
      <c r="E32" s="5">
        <v>45169600</v>
      </c>
    </row>
    <row r="33" s="2" customFormat="1" spans="4:5">
      <c r="D33" s="5">
        <v>49400000</v>
      </c>
      <c r="E33" s="5">
        <v>47269600</v>
      </c>
    </row>
    <row r="34" s="2" customFormat="1" spans="4:5">
      <c r="D34" s="5">
        <v>51300000</v>
      </c>
      <c r="E34" s="5">
        <v>49369600</v>
      </c>
    </row>
    <row r="35" s="2" customFormat="1" spans="4:5">
      <c r="D35" s="5">
        <v>53200000</v>
      </c>
      <c r="E35" s="5">
        <v>51469600</v>
      </c>
    </row>
    <row r="36" s="2" customFormat="1" spans="4:5">
      <c r="D36" s="5">
        <v>55100000</v>
      </c>
      <c r="E36" s="5">
        <v>53569600</v>
      </c>
    </row>
    <row r="37" s="2" customFormat="1" spans="4:5">
      <c r="D37" s="5">
        <v>57000000</v>
      </c>
      <c r="E37" s="5">
        <v>55669600</v>
      </c>
    </row>
    <row r="38" s="2" customFormat="1" spans="4:5">
      <c r="D38" s="5">
        <v>58900000</v>
      </c>
      <c r="E38" s="5">
        <v>57769600</v>
      </c>
    </row>
    <row r="39" s="2" customFormat="1" spans="4:5">
      <c r="D39" s="5">
        <v>60800000</v>
      </c>
      <c r="E39" s="5">
        <v>59869600</v>
      </c>
    </row>
    <row r="40" s="2" customFormat="1" spans="4:5">
      <c r="D40" s="5">
        <v>62700000</v>
      </c>
      <c r="E40" s="5">
        <v>61969600</v>
      </c>
    </row>
    <row r="41" s="2" customFormat="1" spans="4:5">
      <c r="D41" s="5">
        <v>64600000</v>
      </c>
      <c r="E41" s="5">
        <v>64069600</v>
      </c>
    </row>
    <row r="42" s="2" customFormat="1" spans="4:5">
      <c r="D42" s="5">
        <v>66500000</v>
      </c>
      <c r="E42" s="5">
        <v>66169600</v>
      </c>
    </row>
    <row r="43" s="2" customFormat="1" spans="4:5">
      <c r="D43" s="5">
        <v>68400000</v>
      </c>
      <c r="E43" s="5">
        <v>68269600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41"/>
  <sheetViews>
    <sheetView workbookViewId="0">
      <selection activeCell="G32" sqref="G32"/>
    </sheetView>
  </sheetViews>
  <sheetFormatPr defaultColWidth="9" defaultRowHeight="14" outlineLevelCol="4"/>
  <cols>
    <col min="1" max="3" width="9" style="2"/>
    <col min="4" max="5" width="10.890625" style="2" customWidth="1"/>
    <col min="6" max="16384" width="9" style="2"/>
  </cols>
  <sheetData>
    <row r="5" s="2" customFormat="1" spans="3:5">
      <c r="C5" s="4" t="s">
        <v>30</v>
      </c>
      <c r="D5" s="2" t="s">
        <v>86</v>
      </c>
      <c r="E5" s="2" t="s">
        <v>87</v>
      </c>
    </row>
    <row r="6" s="2" customFormat="1" spans="3:5">
      <c r="C6" s="4">
        <v>202007</v>
      </c>
      <c r="D6" s="5">
        <v>7663460</v>
      </c>
      <c r="E6" s="5">
        <v>1355229.33333333</v>
      </c>
    </row>
    <row r="7" s="2" customFormat="1" spans="3:5">
      <c r="C7" s="4">
        <v>202008</v>
      </c>
      <c r="D7" s="5">
        <v>8106920</v>
      </c>
      <c r="E7" s="5">
        <v>2718354.66666667</v>
      </c>
    </row>
    <row r="8" s="2" customFormat="1" spans="3:5">
      <c r="C8" s="4">
        <v>202009</v>
      </c>
      <c r="D8" s="5">
        <v>8550380</v>
      </c>
      <c r="E8" s="5">
        <v>4089376</v>
      </c>
    </row>
    <row r="9" s="2" customFormat="1" spans="3:5">
      <c r="C9" s="4">
        <v>202010</v>
      </c>
      <c r="D9" s="5">
        <v>8993840</v>
      </c>
      <c r="E9" s="5">
        <v>5468293.33333333</v>
      </c>
    </row>
    <row r="10" s="2" customFormat="1" spans="3:5">
      <c r="C10" s="4">
        <v>202011</v>
      </c>
      <c r="D10" s="5">
        <v>9437300</v>
      </c>
      <c r="E10" s="5">
        <v>6855106.66666667</v>
      </c>
    </row>
    <row r="11" s="2" customFormat="1" spans="3:5">
      <c r="C11" s="4">
        <v>202012</v>
      </c>
      <c r="D11" s="5">
        <v>9880760</v>
      </c>
      <c r="E11" s="5">
        <v>8249816</v>
      </c>
    </row>
    <row r="12" s="2" customFormat="1" spans="3:5">
      <c r="C12" s="4">
        <v>202101</v>
      </c>
      <c r="D12" s="5">
        <v>10324220</v>
      </c>
      <c r="E12" s="5">
        <v>9652421.33333333</v>
      </c>
    </row>
    <row r="13" s="2" customFormat="1" spans="3:5">
      <c r="C13" s="6">
        <v>202102</v>
      </c>
      <c r="D13" s="5">
        <v>10767680</v>
      </c>
      <c r="E13" s="5">
        <v>11034088</v>
      </c>
    </row>
    <row r="14" s="2" customFormat="1" spans="3:5">
      <c r="C14" s="4">
        <v>202103</v>
      </c>
      <c r="D14" s="5">
        <v>11211140</v>
      </c>
      <c r="E14" s="5">
        <v>11097088</v>
      </c>
    </row>
    <row r="15" s="2" customFormat="1" spans="3:5">
      <c r="C15" s="4">
        <v>202104</v>
      </c>
      <c r="D15" s="5">
        <v>11654600</v>
      </c>
      <c r="E15" s="5">
        <v>11160088</v>
      </c>
    </row>
    <row r="16" s="2" customFormat="1" spans="3:5">
      <c r="C16" s="4">
        <v>202105</v>
      </c>
      <c r="D16" s="5">
        <v>12098060</v>
      </c>
      <c r="E16" s="5">
        <v>11223088</v>
      </c>
    </row>
    <row r="17" s="2" customFormat="1" spans="3:5">
      <c r="C17" s="4">
        <v>202106</v>
      </c>
      <c r="D17" s="5">
        <v>12541520</v>
      </c>
      <c r="E17" s="5">
        <v>11286088</v>
      </c>
    </row>
    <row r="18" s="2" customFormat="1" spans="3:5">
      <c r="C18" s="4">
        <v>202107</v>
      </c>
      <c r="D18" s="5">
        <v>12984980</v>
      </c>
      <c r="E18" s="5">
        <v>11349088</v>
      </c>
    </row>
    <row r="19" s="2" customFormat="1" spans="3:5">
      <c r="C19" s="4">
        <v>202108</v>
      </c>
      <c r="D19" s="5">
        <v>13428440</v>
      </c>
      <c r="E19" s="5">
        <v>11412088</v>
      </c>
    </row>
    <row r="20" s="2" customFormat="1" spans="3:5">
      <c r="C20" s="4">
        <v>202109</v>
      </c>
      <c r="D20" s="5">
        <v>13871900</v>
      </c>
      <c r="E20" s="5">
        <v>11475088</v>
      </c>
    </row>
    <row r="21" s="2" customFormat="1" spans="3:5">
      <c r="C21" s="4">
        <v>202110</v>
      </c>
      <c r="D21" s="5">
        <v>14315360</v>
      </c>
      <c r="E21" s="5">
        <v>11538088</v>
      </c>
    </row>
    <row r="22" s="2" customFormat="1" spans="3:5">
      <c r="C22" s="4">
        <v>202111</v>
      </c>
      <c r="D22" s="5">
        <v>14758820</v>
      </c>
      <c r="E22" s="5">
        <v>11601088</v>
      </c>
    </row>
    <row r="23" s="2" customFormat="1" spans="3:5">
      <c r="C23" s="4">
        <v>202112</v>
      </c>
      <c r="D23" s="5">
        <v>15202280</v>
      </c>
      <c r="E23" s="5">
        <v>11664088</v>
      </c>
    </row>
    <row r="24" s="2" customFormat="1" spans="3:5">
      <c r="C24" s="7">
        <v>202201</v>
      </c>
      <c r="D24" s="5">
        <v>15645740</v>
      </c>
      <c r="E24" s="5">
        <v>11727088</v>
      </c>
    </row>
    <row r="25" s="2" customFormat="1" spans="3:5">
      <c r="C25" s="4">
        <v>202202</v>
      </c>
      <c r="D25" s="5">
        <v>16089200</v>
      </c>
      <c r="E25" s="5">
        <v>11790088</v>
      </c>
    </row>
    <row r="26" s="2" customFormat="1" spans="3:5">
      <c r="C26" s="4">
        <v>202203</v>
      </c>
      <c r="D26" s="5">
        <v>16532660</v>
      </c>
      <c r="E26" s="5">
        <v>11853088</v>
      </c>
    </row>
    <row r="27" s="2" customFormat="1" spans="3:5">
      <c r="C27" s="4">
        <v>202204</v>
      </c>
      <c r="D27" s="5">
        <v>16976120</v>
      </c>
      <c r="E27" s="5">
        <v>11916088</v>
      </c>
    </row>
    <row r="28" s="2" customFormat="1" spans="3:5">
      <c r="C28" s="4">
        <v>202205</v>
      </c>
      <c r="D28" s="5">
        <v>17419580</v>
      </c>
      <c r="E28" s="5">
        <v>11979088</v>
      </c>
    </row>
    <row r="29" s="2" customFormat="1" spans="3:5">
      <c r="C29" s="4">
        <v>202206</v>
      </c>
      <c r="D29" s="5">
        <v>17863040</v>
      </c>
      <c r="E29" s="5">
        <v>12042088</v>
      </c>
    </row>
    <row r="30" s="2" customFormat="1" spans="3:5">
      <c r="C30" s="4">
        <v>202207</v>
      </c>
      <c r="D30" s="5">
        <v>18306500</v>
      </c>
      <c r="E30" s="5">
        <v>12105088</v>
      </c>
    </row>
    <row r="31" s="2" customFormat="1" spans="3:5">
      <c r="C31" s="4">
        <v>202208</v>
      </c>
      <c r="D31" s="5">
        <v>18749960</v>
      </c>
      <c r="E31" s="5">
        <v>12168088</v>
      </c>
    </row>
    <row r="32" s="2" customFormat="1" spans="3:5">
      <c r="C32" s="4">
        <v>202209</v>
      </c>
      <c r="D32" s="5">
        <v>19193420</v>
      </c>
      <c r="E32" s="5">
        <v>12231088</v>
      </c>
    </row>
    <row r="33" s="2" customFormat="1" spans="3:5">
      <c r="C33" s="4">
        <v>202210</v>
      </c>
      <c r="D33" s="5">
        <v>19636880</v>
      </c>
      <c r="E33" s="5">
        <v>12294088</v>
      </c>
    </row>
    <row r="34" s="2" customFormat="1" spans="3:5">
      <c r="C34" s="4">
        <v>202211</v>
      </c>
      <c r="D34" s="5">
        <v>20080340</v>
      </c>
      <c r="E34" s="5">
        <v>12357088</v>
      </c>
    </row>
    <row r="35" s="2" customFormat="1" spans="3:5">
      <c r="C35" s="4">
        <v>202212</v>
      </c>
      <c r="D35" s="5">
        <v>20523800</v>
      </c>
      <c r="E35" s="5">
        <v>12420088</v>
      </c>
    </row>
    <row r="36" s="2" customFormat="1" spans="3:5">
      <c r="C36" s="4">
        <v>202301</v>
      </c>
      <c r="D36" s="5">
        <v>20967260</v>
      </c>
      <c r="E36" s="5">
        <v>12483088</v>
      </c>
    </row>
    <row r="37" s="2" customFormat="1" spans="3:5">
      <c r="C37" s="4">
        <v>202302</v>
      </c>
      <c r="D37" s="5">
        <v>21410720</v>
      </c>
      <c r="E37" s="5">
        <v>12546088</v>
      </c>
    </row>
    <row r="38" s="2" customFormat="1" spans="3:5">
      <c r="C38" s="4">
        <v>202303</v>
      </c>
      <c r="D38" s="5">
        <v>21854180</v>
      </c>
      <c r="E38" s="5">
        <v>12609088</v>
      </c>
    </row>
    <row r="39" s="2" customFormat="1" spans="3:5">
      <c r="C39" s="4">
        <v>202304</v>
      </c>
      <c r="D39" s="5">
        <v>22297640</v>
      </c>
      <c r="E39" s="5">
        <v>12672088</v>
      </c>
    </row>
    <row r="40" s="2" customFormat="1" spans="3:5">
      <c r="C40" s="4">
        <v>202305</v>
      </c>
      <c r="D40" s="5">
        <v>22741100</v>
      </c>
      <c r="E40" s="5">
        <v>12735088</v>
      </c>
    </row>
    <row r="41" s="2" customFormat="1" spans="3:5">
      <c r="C41" s="4">
        <v>202306</v>
      </c>
      <c r="D41" s="5">
        <v>23184560</v>
      </c>
      <c r="E41" s="5">
        <v>12798088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F41"/>
  <sheetViews>
    <sheetView workbookViewId="0">
      <selection activeCell="E5" sqref="E5:F5"/>
    </sheetView>
  </sheetViews>
  <sheetFormatPr defaultColWidth="9" defaultRowHeight="14" outlineLevelCol="5"/>
  <cols>
    <col min="1" max="4" width="9" style="2"/>
    <col min="5" max="6" width="14.890625" style="2" customWidth="1"/>
    <col min="7" max="16384" width="9" style="2"/>
  </cols>
  <sheetData>
    <row r="5" s="2" customFormat="1" spans="4:6">
      <c r="D5" s="2" t="s">
        <v>30</v>
      </c>
      <c r="E5" s="2" t="s">
        <v>86</v>
      </c>
      <c r="F5" s="2" t="s">
        <v>87</v>
      </c>
    </row>
    <row r="6" s="2" customFormat="1" spans="4:6">
      <c r="D6" s="2">
        <v>202007</v>
      </c>
      <c r="E6" s="3">
        <v>-5763460</v>
      </c>
      <c r="F6" s="3">
        <v>-1092029.33333333</v>
      </c>
    </row>
    <row r="7" s="2" customFormat="1" spans="4:6">
      <c r="D7" s="2">
        <v>202008</v>
      </c>
      <c r="E7" s="3">
        <v>-4306920</v>
      </c>
      <c r="F7" s="3">
        <v>-1928754.66666667</v>
      </c>
    </row>
    <row r="8" s="2" customFormat="1" spans="4:6">
      <c r="D8" s="2">
        <v>202009</v>
      </c>
      <c r="E8" s="3">
        <v>-2850380</v>
      </c>
      <c r="F8" s="3">
        <v>-2510176</v>
      </c>
    </row>
    <row r="9" s="2" customFormat="1" spans="4:6">
      <c r="D9" s="2">
        <v>202010</v>
      </c>
      <c r="E9" s="3">
        <v>-1393840</v>
      </c>
      <c r="F9" s="3">
        <v>-2836293.33333333</v>
      </c>
    </row>
    <row r="10" s="2" customFormat="1" spans="4:6">
      <c r="D10" s="2">
        <v>202011</v>
      </c>
      <c r="E10" s="3">
        <v>62700</v>
      </c>
      <c r="F10" s="3">
        <v>-2907106.66666667</v>
      </c>
    </row>
    <row r="11" s="2" customFormat="1" spans="4:6">
      <c r="D11" s="2">
        <v>202012</v>
      </c>
      <c r="E11" s="3">
        <v>1519240</v>
      </c>
      <c r="F11" s="3">
        <v>-2722616</v>
      </c>
    </row>
    <row r="12" s="2" customFormat="1" spans="4:6">
      <c r="D12" s="2">
        <v>202101</v>
      </c>
      <c r="E12" s="3">
        <v>2975780</v>
      </c>
      <c r="F12" s="3">
        <v>-2282821.33333333</v>
      </c>
    </row>
    <row r="13" s="2" customFormat="1" spans="4:6">
      <c r="D13" s="2">
        <v>202102</v>
      </c>
      <c r="E13" s="3">
        <v>4432320</v>
      </c>
      <c r="F13" s="3">
        <v>-1564488</v>
      </c>
    </row>
    <row r="14" s="2" customFormat="1" spans="4:6">
      <c r="D14" s="2">
        <v>202103</v>
      </c>
      <c r="E14" s="3">
        <v>5888860</v>
      </c>
      <c r="F14" s="3">
        <v>472512</v>
      </c>
    </row>
    <row r="15" s="2" customFormat="1" spans="4:6">
      <c r="D15" s="2">
        <v>202104</v>
      </c>
      <c r="E15" s="3">
        <v>7345400</v>
      </c>
      <c r="F15" s="3">
        <v>2509512</v>
      </c>
    </row>
    <row r="16" s="2" customFormat="1" spans="4:6">
      <c r="D16" s="2">
        <v>202105</v>
      </c>
      <c r="E16" s="3">
        <v>8801940</v>
      </c>
      <c r="F16" s="3">
        <v>4546512</v>
      </c>
    </row>
    <row r="17" s="2" customFormat="1" spans="4:6">
      <c r="D17" s="2">
        <v>202106</v>
      </c>
      <c r="E17" s="3">
        <v>10258480</v>
      </c>
      <c r="F17" s="3">
        <v>6583512</v>
      </c>
    </row>
    <row r="18" s="2" customFormat="1" spans="4:6">
      <c r="D18" s="2">
        <v>202107</v>
      </c>
      <c r="E18" s="3">
        <v>11715020</v>
      </c>
      <c r="F18" s="3">
        <v>8620512</v>
      </c>
    </row>
    <row r="19" s="2" customFormat="1" spans="4:6">
      <c r="D19" s="2">
        <v>202108</v>
      </c>
      <c r="E19" s="3">
        <v>13171560</v>
      </c>
      <c r="F19" s="3">
        <v>10657512</v>
      </c>
    </row>
    <row r="20" s="2" customFormat="1" spans="4:6">
      <c r="D20" s="2">
        <v>202109</v>
      </c>
      <c r="E20" s="3">
        <v>14628100</v>
      </c>
      <c r="F20" s="3">
        <v>12694512</v>
      </c>
    </row>
    <row r="21" s="2" customFormat="1" spans="4:6">
      <c r="D21" s="2">
        <v>202110</v>
      </c>
      <c r="E21" s="3">
        <v>16084640</v>
      </c>
      <c r="F21" s="3">
        <v>14731512</v>
      </c>
    </row>
    <row r="22" s="2" customFormat="1" spans="4:6">
      <c r="D22" s="2">
        <v>202111</v>
      </c>
      <c r="E22" s="3">
        <v>17541180</v>
      </c>
      <c r="F22" s="3">
        <v>16768512</v>
      </c>
    </row>
    <row r="23" s="2" customFormat="1" spans="4:6">
      <c r="D23" s="2">
        <v>202112</v>
      </c>
      <c r="E23" s="3">
        <v>18997720</v>
      </c>
      <c r="F23" s="3">
        <v>18805512</v>
      </c>
    </row>
    <row r="24" s="2" customFormat="1" spans="4:6">
      <c r="D24" s="2">
        <v>202201</v>
      </c>
      <c r="E24" s="3">
        <v>20454260</v>
      </c>
      <c r="F24" s="3">
        <v>20842512</v>
      </c>
    </row>
    <row r="25" s="2" customFormat="1" spans="4:6">
      <c r="D25" s="2">
        <v>202202</v>
      </c>
      <c r="E25" s="3">
        <v>21910800</v>
      </c>
      <c r="F25" s="3">
        <v>22879512</v>
      </c>
    </row>
    <row r="26" s="2" customFormat="1" spans="4:6">
      <c r="D26" s="2">
        <v>202203</v>
      </c>
      <c r="E26" s="3">
        <v>23367340</v>
      </c>
      <c r="F26" s="3">
        <v>24916512</v>
      </c>
    </row>
    <row r="27" s="2" customFormat="1" spans="4:6">
      <c r="D27" s="2">
        <v>202204</v>
      </c>
      <c r="E27" s="3">
        <v>24823880</v>
      </c>
      <c r="F27" s="3">
        <v>26953512</v>
      </c>
    </row>
    <row r="28" s="2" customFormat="1" spans="4:6">
      <c r="D28" s="2">
        <v>202205</v>
      </c>
      <c r="E28" s="3">
        <v>26280420</v>
      </c>
      <c r="F28" s="3">
        <v>28990512</v>
      </c>
    </row>
    <row r="29" s="2" customFormat="1" spans="4:6">
      <c r="D29" s="2">
        <v>202206</v>
      </c>
      <c r="E29" s="3">
        <v>27736960</v>
      </c>
      <c r="F29" s="3">
        <v>31027512</v>
      </c>
    </row>
    <row r="30" s="2" customFormat="1" spans="4:6">
      <c r="D30" s="2">
        <v>202207</v>
      </c>
      <c r="E30" s="3">
        <v>29193500</v>
      </c>
      <c r="F30" s="3">
        <v>33064512</v>
      </c>
    </row>
    <row r="31" s="2" customFormat="1" spans="4:6">
      <c r="D31" s="2">
        <v>202208</v>
      </c>
      <c r="E31" s="3">
        <v>30650040</v>
      </c>
      <c r="F31" s="3">
        <v>35101512</v>
      </c>
    </row>
    <row r="32" s="2" customFormat="1" spans="4:6">
      <c r="D32" s="2">
        <v>202209</v>
      </c>
      <c r="E32" s="3">
        <v>32106580</v>
      </c>
      <c r="F32" s="3">
        <v>37138512</v>
      </c>
    </row>
    <row r="33" s="2" customFormat="1" spans="4:6">
      <c r="D33" s="2">
        <v>202210</v>
      </c>
      <c r="E33" s="3">
        <v>33563120</v>
      </c>
      <c r="F33" s="3">
        <v>39175512</v>
      </c>
    </row>
    <row r="34" s="2" customFormat="1" spans="4:6">
      <c r="D34" s="2">
        <v>202211</v>
      </c>
      <c r="E34" s="3">
        <v>35019660</v>
      </c>
      <c r="F34" s="3">
        <v>41212512</v>
      </c>
    </row>
    <row r="35" s="2" customFormat="1" spans="4:6">
      <c r="D35" s="2">
        <v>202212</v>
      </c>
      <c r="E35" s="3">
        <v>36476200</v>
      </c>
      <c r="F35" s="3">
        <v>43249512</v>
      </c>
    </row>
    <row r="36" s="2" customFormat="1" spans="4:6">
      <c r="D36" s="2">
        <v>202301</v>
      </c>
      <c r="E36" s="3">
        <v>37932740</v>
      </c>
      <c r="F36" s="3">
        <v>45286512</v>
      </c>
    </row>
    <row r="37" s="2" customFormat="1" spans="4:6">
      <c r="D37" s="2">
        <v>202302</v>
      </c>
      <c r="E37" s="3">
        <v>39389280</v>
      </c>
      <c r="F37" s="3">
        <v>47323512</v>
      </c>
    </row>
    <row r="38" s="2" customFormat="1" spans="4:6">
      <c r="D38" s="2">
        <v>202303</v>
      </c>
      <c r="E38" s="3">
        <v>40845820</v>
      </c>
      <c r="F38" s="3">
        <v>49360512</v>
      </c>
    </row>
    <row r="39" s="2" customFormat="1" spans="4:6">
      <c r="D39" s="2">
        <v>202304</v>
      </c>
      <c r="E39" s="3">
        <v>42302360</v>
      </c>
      <c r="F39" s="3">
        <v>51397512</v>
      </c>
    </row>
    <row r="40" s="2" customFormat="1" spans="4:6">
      <c r="D40" s="2">
        <v>202305</v>
      </c>
      <c r="E40" s="3">
        <v>43758900</v>
      </c>
      <c r="F40" s="3">
        <v>53434512</v>
      </c>
    </row>
    <row r="41" s="2" customFormat="1" spans="4:6">
      <c r="D41" s="2">
        <v>202306</v>
      </c>
      <c r="E41" s="3">
        <v>45215440</v>
      </c>
      <c r="F41" s="3">
        <v>55471512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42"/>
  <sheetViews>
    <sheetView workbookViewId="0">
      <selection activeCell="Q18" sqref="Q18:Q19"/>
    </sheetView>
  </sheetViews>
  <sheetFormatPr defaultColWidth="9" defaultRowHeight="14" outlineLevelCol="4"/>
  <cols>
    <col min="4" max="5" width="15" style="1"/>
  </cols>
  <sheetData>
    <row r="5" spans="4:5">
      <c r="D5" s="2"/>
      <c r="E5" s="2"/>
    </row>
    <row r="6" spans="3:5">
      <c r="C6" s="2" t="s">
        <v>30</v>
      </c>
      <c r="D6" s="1" t="s">
        <v>86</v>
      </c>
      <c r="E6" s="2" t="s">
        <v>87</v>
      </c>
    </row>
    <row r="7" spans="3:5">
      <c r="C7" s="2">
        <v>202007</v>
      </c>
      <c r="D7" s="1">
        <f>'3yr monthly discountet cashflow'!K23</f>
        <v>-5763460</v>
      </c>
      <c r="E7" s="1">
        <f>'3yr monthly discountet cashflow'!W23</f>
        <v>-1092029.33333333</v>
      </c>
    </row>
    <row r="8" spans="3:5">
      <c r="C8" s="2">
        <v>202008</v>
      </c>
      <c r="D8" s="1">
        <f>'3yr monthly discountet cashflow'!K24</f>
        <v>-10070380</v>
      </c>
      <c r="E8" s="1">
        <f>'3yr monthly discountet cashflow'!W24</f>
        <v>-3020784</v>
      </c>
    </row>
    <row r="9" spans="3:5">
      <c r="C9" s="2">
        <v>202009</v>
      </c>
      <c r="D9" s="1">
        <f>'3yr monthly discountet cashflow'!K25</f>
        <v>-12920760</v>
      </c>
      <c r="E9" s="1">
        <f>'3yr monthly discountet cashflow'!W25</f>
        <v>-5530960</v>
      </c>
    </row>
    <row r="10" spans="3:5">
      <c r="C10" s="2">
        <v>202010</v>
      </c>
      <c r="D10" s="1">
        <f>'3yr monthly discountet cashflow'!K26</f>
        <v>-14314600</v>
      </c>
      <c r="E10" s="1">
        <f>'3yr monthly discountet cashflow'!W26</f>
        <v>-8367253.33333333</v>
      </c>
    </row>
    <row r="11" spans="3:5">
      <c r="C11" s="2">
        <v>202011</v>
      </c>
      <c r="D11" s="1">
        <f>'3yr monthly discountet cashflow'!K27</f>
        <v>-14251900</v>
      </c>
      <c r="E11" s="1">
        <f>'3yr monthly discountet cashflow'!W27</f>
        <v>-11274360</v>
      </c>
    </row>
    <row r="12" spans="3:5">
      <c r="C12" s="2">
        <v>202012</v>
      </c>
      <c r="D12" s="1">
        <f>'3yr monthly discountet cashflow'!K28</f>
        <v>-12732660</v>
      </c>
      <c r="E12" s="1">
        <f>'3yr monthly discountet cashflow'!W28</f>
        <v>-13996976</v>
      </c>
    </row>
    <row r="13" spans="3:5">
      <c r="C13" s="2">
        <v>202101</v>
      </c>
      <c r="D13" s="1">
        <f>'3yr monthly discountet cashflow'!K29</f>
        <v>-9756880</v>
      </c>
      <c r="E13" s="1">
        <f>'3yr monthly discountet cashflow'!W29</f>
        <v>-16279797.3333333</v>
      </c>
    </row>
    <row r="14" spans="3:5">
      <c r="C14" s="2">
        <v>202102</v>
      </c>
      <c r="D14" s="1">
        <f>'3yr monthly discountet cashflow'!K30</f>
        <v>-5324560</v>
      </c>
      <c r="E14" s="1">
        <f>'3yr monthly discountet cashflow'!W30</f>
        <v>-17844285.3333333</v>
      </c>
    </row>
    <row r="15" spans="3:5">
      <c r="C15" s="2">
        <v>202103</v>
      </c>
      <c r="D15" s="1">
        <f>'3yr monthly discountet cashflow'!K31</f>
        <v>564300</v>
      </c>
      <c r="E15" s="1">
        <f>'3yr monthly discountet cashflow'!W31</f>
        <v>-17371773.3333333</v>
      </c>
    </row>
    <row r="16" spans="3:5">
      <c r="C16" s="2">
        <v>202104</v>
      </c>
      <c r="D16" s="1">
        <f>'3yr monthly discountet cashflow'!K32</f>
        <v>7909700</v>
      </c>
      <c r="E16" s="1">
        <f>'3yr monthly discountet cashflow'!W32</f>
        <v>-14862261.3333333</v>
      </c>
    </row>
    <row r="17" spans="3:5">
      <c r="C17" s="2">
        <v>202105</v>
      </c>
      <c r="D17" s="1">
        <f>'3yr monthly discountet cashflow'!K33</f>
        <v>16711640</v>
      </c>
      <c r="E17" s="1">
        <f>'3yr monthly discountet cashflow'!W33</f>
        <v>-10315749.3333333</v>
      </c>
    </row>
    <row r="18" spans="3:5">
      <c r="C18" s="2">
        <v>202106</v>
      </c>
      <c r="D18" s="1">
        <f>'3yr monthly discountet cashflow'!K34</f>
        <v>26970120</v>
      </c>
      <c r="E18" s="1">
        <f>'3yr monthly discountet cashflow'!W34</f>
        <v>-3732237.33333334</v>
      </c>
    </row>
    <row r="19" spans="3:5">
      <c r="C19" s="2">
        <v>202107</v>
      </c>
      <c r="D19" s="1">
        <f>'3yr monthly discountet cashflow'!K35</f>
        <v>38685140</v>
      </c>
      <c r="E19" s="1">
        <f>'3yr monthly discountet cashflow'!W35</f>
        <v>4888274.66666666</v>
      </c>
    </row>
    <row r="20" spans="3:5">
      <c r="C20" s="2">
        <v>202108</v>
      </c>
      <c r="D20" s="1">
        <f>'3yr monthly discountet cashflow'!K36</f>
        <v>51856700</v>
      </c>
      <c r="E20" s="1">
        <f>'3yr monthly discountet cashflow'!W36</f>
        <v>15545786.6666667</v>
      </c>
    </row>
    <row r="21" spans="3:5">
      <c r="C21" s="2">
        <v>202109</v>
      </c>
      <c r="D21" s="1">
        <f>'3yr monthly discountet cashflow'!K37</f>
        <v>66484800</v>
      </c>
      <c r="E21" s="1">
        <f>'3yr monthly discountet cashflow'!W37</f>
        <v>28240298.6666667</v>
      </c>
    </row>
    <row r="22" spans="3:5">
      <c r="C22" s="2">
        <v>202110</v>
      </c>
      <c r="D22" s="1">
        <f>'3yr monthly discountet cashflow'!K38</f>
        <v>82569440</v>
      </c>
      <c r="E22" s="1">
        <f>'3yr monthly discountet cashflow'!W38</f>
        <v>42971810.6666667</v>
      </c>
    </row>
    <row r="23" spans="3:5">
      <c r="C23" s="2">
        <v>202111</v>
      </c>
      <c r="D23" s="1">
        <f>'3yr monthly discountet cashflow'!K39</f>
        <v>100110620</v>
      </c>
      <c r="E23" s="1">
        <f>'3yr monthly discountet cashflow'!W39</f>
        <v>59740322.6666667</v>
      </c>
    </row>
    <row r="24" spans="3:5">
      <c r="C24" s="2">
        <v>202112</v>
      </c>
      <c r="D24" s="1">
        <f>'3yr monthly discountet cashflow'!K40</f>
        <v>119108340</v>
      </c>
      <c r="E24" s="1">
        <f>'3yr monthly discountet cashflow'!W40</f>
        <v>78545834.6666667</v>
      </c>
    </row>
    <row r="25" spans="3:5">
      <c r="C25" s="2">
        <v>202201</v>
      </c>
      <c r="D25" s="1">
        <f>'3yr monthly discountet cashflow'!K41</f>
        <v>139562600</v>
      </c>
      <c r="E25" s="1">
        <f>'3yr monthly discountet cashflow'!W41</f>
        <v>99388346.6666667</v>
      </c>
    </row>
    <row r="26" spans="3:5">
      <c r="C26" s="2">
        <v>202202</v>
      </c>
      <c r="D26" s="1">
        <f>'3yr monthly discountet cashflow'!K42</f>
        <v>161473400</v>
      </c>
      <c r="E26" s="1">
        <f>'3yr monthly discountet cashflow'!W42</f>
        <v>122267858.666667</v>
      </c>
    </row>
    <row r="27" spans="3:5">
      <c r="C27" s="2">
        <v>202203</v>
      </c>
      <c r="D27" s="1">
        <f>'3yr monthly discountet cashflow'!K43</f>
        <v>184840740</v>
      </c>
      <c r="E27" s="1">
        <f>'3yr monthly discountet cashflow'!W43</f>
        <v>147184370.666667</v>
      </c>
    </row>
    <row r="28" spans="3:5">
      <c r="C28" s="2">
        <v>202204</v>
      </c>
      <c r="D28" s="1">
        <f>'3yr monthly discountet cashflow'!K44</f>
        <v>209664620</v>
      </c>
      <c r="E28" s="1">
        <f>'3yr monthly discountet cashflow'!W44</f>
        <v>174137882.666667</v>
      </c>
    </row>
    <row r="29" spans="3:5">
      <c r="C29" s="2">
        <v>202205</v>
      </c>
      <c r="D29" s="1">
        <f>'3yr monthly discountet cashflow'!K45</f>
        <v>235945040</v>
      </c>
      <c r="E29" s="1">
        <f>'3yr monthly discountet cashflow'!W45</f>
        <v>203128394.666667</v>
      </c>
    </row>
    <row r="30" spans="3:5">
      <c r="C30" s="2">
        <v>202206</v>
      </c>
      <c r="D30" s="1">
        <f>'3yr monthly discountet cashflow'!K46</f>
        <v>263682000</v>
      </c>
      <c r="E30" s="1">
        <f>'3yr monthly discountet cashflow'!W46</f>
        <v>234155906.666667</v>
      </c>
    </row>
    <row r="31" spans="3:5">
      <c r="C31" s="2">
        <v>202207</v>
      </c>
      <c r="D31" s="1">
        <f>'3yr monthly discountet cashflow'!K47</f>
        <v>292875500</v>
      </c>
      <c r="E31" s="1">
        <f>'3yr monthly discountet cashflow'!W47</f>
        <v>267220418.666667</v>
      </c>
    </row>
    <row r="32" spans="3:5">
      <c r="C32" s="2">
        <v>202208</v>
      </c>
      <c r="D32" s="1">
        <f>'3yr monthly discountet cashflow'!K48</f>
        <v>323525540</v>
      </c>
      <c r="E32" s="1">
        <f>'3yr monthly discountet cashflow'!W48</f>
        <v>302321930.666667</v>
      </c>
    </row>
    <row r="33" spans="3:5">
      <c r="C33" s="2">
        <v>202209</v>
      </c>
      <c r="D33" s="1">
        <f>'3yr monthly discountet cashflow'!K49</f>
        <v>355632120</v>
      </c>
      <c r="E33" s="1">
        <f>'3yr monthly discountet cashflow'!W49</f>
        <v>339460442.666667</v>
      </c>
    </row>
    <row r="34" spans="3:5">
      <c r="C34" s="2">
        <v>202210</v>
      </c>
      <c r="D34" s="1">
        <f>'3yr monthly discountet cashflow'!K50</f>
        <v>389195240</v>
      </c>
      <c r="E34" s="1">
        <f>'3yr monthly discountet cashflow'!W50</f>
        <v>378635954.666667</v>
      </c>
    </row>
    <row r="35" spans="3:5">
      <c r="C35" s="2">
        <v>202211</v>
      </c>
      <c r="D35" s="1">
        <f>'3yr monthly discountet cashflow'!K51</f>
        <v>424214900</v>
      </c>
      <c r="E35" s="1">
        <f>'3yr monthly discountet cashflow'!W51</f>
        <v>419848466.666667</v>
      </c>
    </row>
    <row r="36" spans="3:5">
      <c r="C36" s="2">
        <v>202212</v>
      </c>
      <c r="D36" s="1">
        <f>'3yr monthly discountet cashflow'!K52</f>
        <v>460691100</v>
      </c>
      <c r="E36" s="1">
        <f>'3yr monthly discountet cashflow'!W52</f>
        <v>463097978.666667</v>
      </c>
    </row>
    <row r="37" spans="3:5">
      <c r="C37" s="2">
        <v>202301</v>
      </c>
      <c r="D37" s="1">
        <f>'3yr monthly discountet cashflow'!K53</f>
        <v>498623840</v>
      </c>
      <c r="E37" s="1">
        <f>'3yr monthly discountet cashflow'!W53</f>
        <v>508384490.666667</v>
      </c>
    </row>
    <row r="38" spans="3:5">
      <c r="C38" s="2">
        <v>202302</v>
      </c>
      <c r="D38" s="1">
        <f>'3yr monthly discountet cashflow'!K54</f>
        <v>538013120</v>
      </c>
      <c r="E38" s="1">
        <f>'3yr monthly discountet cashflow'!W54</f>
        <v>555708002.666667</v>
      </c>
    </row>
    <row r="39" spans="3:5">
      <c r="C39" s="2">
        <v>202303</v>
      </c>
      <c r="D39" s="1">
        <f>'3yr monthly discountet cashflow'!K55</f>
        <v>578858940</v>
      </c>
      <c r="E39" s="1">
        <f>'3yr monthly discountet cashflow'!W55</f>
        <v>605068514.666667</v>
      </c>
    </row>
    <row r="40" spans="3:5">
      <c r="C40" s="2">
        <v>202304</v>
      </c>
      <c r="D40" s="1">
        <f>'3yr monthly discountet cashflow'!K56</f>
        <v>621161300</v>
      </c>
      <c r="E40" s="1">
        <f>'3yr monthly discountet cashflow'!W56</f>
        <v>656466026.666667</v>
      </c>
    </row>
    <row r="41" spans="3:5">
      <c r="C41" s="2">
        <v>202305</v>
      </c>
      <c r="D41" s="1">
        <f>'3yr monthly discountet cashflow'!K57</f>
        <v>664920200</v>
      </c>
      <c r="E41" s="1">
        <f>'3yr monthly discountet cashflow'!W57</f>
        <v>709900538.666667</v>
      </c>
    </row>
    <row r="42" spans="3:5">
      <c r="C42" s="2">
        <v>202306</v>
      </c>
      <c r="D42" s="1">
        <f>'3yr monthly discountet cashflow'!K58</f>
        <v>710135640</v>
      </c>
      <c r="E42" s="1">
        <f>'3yr monthly discountet cashflow'!W58</f>
        <v>765372050.666667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3yr monthly discountet cashflow</vt:lpstr>
      <vt:lpstr>Revenue Analysis</vt:lpstr>
      <vt:lpstr>Cost Analysis</vt:lpstr>
      <vt:lpstr>Profitability Analysis</vt:lpstr>
      <vt:lpstr>Running Profit 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christychen</dc:creator>
  <cp:lastModifiedBy>Christy Chen</cp:lastModifiedBy>
  <dcterms:created xsi:type="dcterms:W3CDTF">2023-03-30T04:11:00Z</dcterms:created>
  <dcterms:modified xsi:type="dcterms:W3CDTF">2023-04-11T13:50:00Z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