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840" firstSheet="1" activeTab="4"/>
  </bookViews>
  <sheets>
    <sheet name="Output metric vs. Input metrics" sheetId="3" r:id="rId1"/>
    <sheet name="Recovery of Mobility" sheetId="1" r:id="rId2"/>
    <sheet name="Increase market share" sheetId="2" r:id="rId3"/>
    <sheet name="Invest in new tech" sheetId="4" r:id="rId4"/>
    <sheet name="Reduce costs" sheetId="5" r:id="rId5"/>
  </sheets>
  <calcPr calcId="144525"/>
</workbook>
</file>

<file path=xl/sharedStrings.xml><?xml version="1.0" encoding="utf-8"?>
<sst xmlns="http://schemas.openxmlformats.org/spreadsheetml/2006/main" count="109" uniqueCount="81">
  <si>
    <t>(in millions)</t>
  </si>
  <si>
    <t>2023 Growth Rate</t>
  </si>
  <si>
    <t>Notes</t>
  </si>
  <si>
    <t>Increase in revenue:</t>
  </si>
  <si>
    <t>black=given</t>
  </si>
  <si>
    <t>Increase market share for APAC</t>
  </si>
  <si>
    <t>blue = calculation</t>
  </si>
  <si>
    <t>Gross Bookings - Mobility Bookings recovered from pre-pandemic</t>
  </si>
  <si>
    <t>orange=assumptions</t>
  </si>
  <si>
    <t>Decrease in operating expenses:</t>
  </si>
  <si>
    <t>Reduce Cost with new technology - AI to optimize idle and empty times</t>
  </si>
  <si>
    <t>This is unusually high, so it is a good idea to dig further into it.</t>
  </si>
  <si>
    <t>decrease driver and rider acuisition costs</t>
  </si>
  <si>
    <t>UK VAT won’t be considered, so remove it for 2023</t>
  </si>
  <si>
    <t>Adjusted EBITDA</t>
  </si>
  <si>
    <t>Increase in Revenue:</t>
  </si>
  <si>
    <t>Gross Bookings three months eneded:</t>
  </si>
  <si>
    <t>Mobility</t>
  </si>
  <si>
    <t>Parameter:</t>
  </si>
  <si>
    <t>Delivery</t>
  </si>
  <si>
    <t>% increase in gross bookings for mobility</t>
  </si>
  <si>
    <t>Freight</t>
  </si>
  <si>
    <t>Gross Bookings % change quarterly:</t>
  </si>
  <si>
    <t>Assumptions:</t>
  </si>
  <si>
    <t>1) The gross bookings for mobility will follow an 18% increase(Q4 2019) in 2023</t>
  </si>
  <si>
    <t>2) The gross bookings for delivery and freight grow at the same rate as in 2022</t>
  </si>
  <si>
    <t>Calculations:</t>
  </si>
  <si>
    <t>Made up % of the gross bookings:</t>
  </si>
  <si>
    <t>1&gt; Expected gross bookings for mobility in Q4 2023</t>
  </si>
  <si>
    <t>2&gt; The new gross bookings for mobility made up % of the total bookings</t>
  </si>
  <si>
    <t>3&gt; The growth percentage after the recovery of mobility</t>
  </si>
  <si>
    <t>Sales &amp; marketing campaign cost</t>
  </si>
  <si>
    <t>Revenue generated for region:</t>
  </si>
  <si>
    <t>US &amp; CAN</t>
  </si>
  <si>
    <t>LatAm</t>
  </si>
  <si>
    <t>parameters:</t>
  </si>
  <si>
    <t>EMEA</t>
  </si>
  <si>
    <t>% increase in revenue</t>
  </si>
  <si>
    <t>APAC</t>
  </si>
  <si>
    <t>1) The revenue in the APAC region is expected to increase at the same rate as the revenue did in EMEA</t>
  </si>
  <si>
    <t>2) Uber will allocate $50M for a marketing campaign in APAC</t>
  </si>
  <si>
    <t>3) There will be 50k new drivers and an additional $100M revenue will be generated after the campaign</t>
  </si>
  <si>
    <t>1&gt; If APAC were to increase 110% in revenue, its revenue would be:</t>
  </si>
  <si>
    <t>2&gt; Additional revenue generated</t>
  </si>
  <si>
    <t>3&gt; Net gain after the campaign</t>
  </si>
  <si>
    <t>4&gt; The growth percentage</t>
  </si>
  <si>
    <t># of drivers</t>
  </si>
  <si>
    <t># of riders</t>
  </si>
  <si>
    <t>Savings($) per day:</t>
  </si>
  <si>
    <t>Parameters:</t>
  </si>
  <si>
    <t>Idle time reduction</t>
  </si>
  <si>
    <t>Average fare per trip</t>
  </si>
  <si>
    <t>Empty miles' reduction</t>
  </si>
  <si>
    <t># of monthly active drivers in 2022</t>
  </si>
  <si>
    <t>Trip distance reduction</t>
  </si>
  <si>
    <t>1) Each rider has an individual trip</t>
  </si>
  <si>
    <t>2) A city has 10,000 drivers and 100,000 riders per day</t>
  </si>
  <si>
    <t>3) Each ride covers and average distance of 10km</t>
  </si>
  <si>
    <t>4) Idle time reduction of $40000, empty miles' reduction of $100000, trip distance reduction of $50000 will be applied after the investment per day</t>
  </si>
  <si>
    <t>1&gt; Total savings per day in this senario</t>
  </si>
  <si>
    <t>3&gt; Total saving costs per year for 10,000 drivers</t>
  </si>
  <si>
    <t>3&gt; Total saving costs in 2023 for # active drivers in 2022</t>
  </si>
  <si>
    <t>4&gt; Total cost for gross bookings for mobility in 2022</t>
  </si>
  <si>
    <t>5&gt; Total percentage saved after the investment</t>
  </si>
  <si>
    <t>Acquisition costs:</t>
  </si>
  <si>
    <t>Sign-up bonus</t>
  </si>
  <si>
    <t>Referral bonus</t>
  </si>
  <si>
    <t>Total Sales &amp; Campaign Costs (per driver)</t>
  </si>
  <si>
    <t>Avg fare per trip</t>
  </si>
  <si>
    <t>Pricing Strategy - flat $10 per trip between 7:00am to 9:00am</t>
  </si>
  <si>
    <t>500 trips/day for 25 drivers - so trips per driver per day</t>
  </si>
  <si>
    <t>% increase in revenue from promotion</t>
  </si>
  <si>
    <t>% of new drivers</t>
  </si>
  <si>
    <t>1)Customer acquisition could increase in revenue of around 25% yearly</t>
  </si>
  <si>
    <t>2)Normally, it takes 21-31 drivers to complete 500 trips per day</t>
  </si>
  <si>
    <t>3) expect sales promotion will bring to Uber  about 30% more new drivers</t>
  </si>
  <si>
    <t>1&gt; new renvenue brought by new drivers</t>
  </si>
  <si>
    <t>2&gt; Cost to bring new drivers</t>
  </si>
  <si>
    <t>3&gt; Revenues for everyone, including new drivers, after the pricing adjustment</t>
  </si>
  <si>
    <t>4&gt; Rvenues for all drivers before the pricing adjustment, not including new ones</t>
  </si>
  <si>
    <t>5&gt; Growth percentage after sales promotion and pricing adjustment</t>
  </si>
</sst>
</file>

<file path=xl/styles.xml><?xml version="1.0" encoding="utf-8"?>
<styleSheet xmlns="http://schemas.openxmlformats.org/spreadsheetml/2006/main">
  <numFmts count="11">
    <numFmt numFmtId="176" formatCode="[$$-1009]#,##0_);[Red]\([$$-1009]#,##0\)"/>
    <numFmt numFmtId="177" formatCode="#,##0_);\(#,##0\)"/>
    <numFmt numFmtId="178" formatCode="0_);[Red]\(0\)"/>
    <numFmt numFmtId="42" formatCode="_-&quot;£&quot;* #,##0_-;\-&quot;£&quot;* #,##0_-;_-&quot;£&quot;* &quot;-&quot;_-;_-@_-"/>
    <numFmt numFmtId="43" formatCode="_-* #,##0.00_-;\-* #,##0.00_-;_-* &quot;-&quot;??_-;_-@_-"/>
    <numFmt numFmtId="179" formatCode="#,##0_);[Red]\(#,##0\)"/>
    <numFmt numFmtId="180" formatCode="_-[$$-1009]* #,##0.00_-;\-[$$-1009]* #,##0.00_-;_-[$$-1009]* &quot;-&quot;??_-;_-@_-"/>
    <numFmt numFmtId="181" formatCode="_-[$$-1009]* #,##0_-;\-[$$-1009]* #,##0_-;_-[$$-1009]* &quot;-&quot;??_-;_-@_-"/>
    <numFmt numFmtId="41" formatCode="_-* #,##0_-;\-* #,##0_-;_-* &quot;-&quot;_-;_-@_-"/>
    <numFmt numFmtId="182" formatCode="#,##0_ "/>
    <numFmt numFmtId="44" formatCode="_-&quot;£&quot;* #,##0.00_-;\-&quot;£&quot;* #,##0.00_-;_-&quot;£&quot;* &quot;-&quot;??_-;_-@_-"/>
  </numFmts>
  <fonts count="37">
    <font>
      <sz val="11"/>
      <color theme="1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8"/>
      <name val="Calibri"/>
      <charset val="134"/>
      <scheme val="minor"/>
    </font>
    <font>
      <sz val="12"/>
      <color rgb="FF37415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u/>
      <sz val="11"/>
      <color theme="1"/>
      <name val="Calibri"/>
      <charset val="134"/>
      <scheme val="minor"/>
    </font>
    <font>
      <u/>
      <sz val="11"/>
      <color theme="8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4E545B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2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35" fillId="30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14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3" fillId="2" borderId="2" xfId="33" applyBorder="1">
      <alignment vertical="center"/>
    </xf>
    <xf numFmtId="0" fontId="3" fillId="2" borderId="3" xfId="33" applyBorder="1">
      <alignment vertical="center"/>
    </xf>
    <xf numFmtId="0" fontId="3" fillId="2" borderId="3" xfId="33" applyFont="1" applyBorder="1">
      <alignment vertical="center"/>
    </xf>
    <xf numFmtId="0" fontId="4" fillId="0" borderId="0" xfId="0" applyFont="1" applyAlignment="1">
      <alignment horizontal="center" vertical="center" wrapText="1"/>
    </xf>
    <xf numFmtId="182" fontId="2" fillId="0" borderId="0" xfId="0" applyNumberFormat="1" applyFont="1">
      <alignment vertical="center"/>
    </xf>
    <xf numFmtId="182" fontId="1" fillId="0" borderId="0" xfId="0" applyNumberFormat="1" applyFont="1">
      <alignment vertical="center"/>
    </xf>
    <xf numFmtId="0" fontId="3" fillId="2" borderId="4" xfId="33" applyFont="1" applyBorder="1">
      <alignment vertical="center"/>
    </xf>
    <xf numFmtId="182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9" fontId="0" fillId="0" borderId="5" xfId="0" applyNumberFormat="1" applyBorder="1">
      <alignment vertical="center"/>
    </xf>
    <xf numFmtId="0" fontId="0" fillId="0" borderId="6" xfId="0" applyBorder="1" applyAlignment="1">
      <alignment horizontal="right" vertical="center"/>
    </xf>
    <xf numFmtId="182" fontId="0" fillId="0" borderId="6" xfId="0" applyNumberFormat="1" applyFont="1" applyBorder="1" applyAlignment="1">
      <alignment horizontal="right" vertical="center"/>
    </xf>
    <xf numFmtId="9" fontId="7" fillId="3" borderId="6" xfId="0" applyNumberFormat="1" applyFont="1" applyFill="1" applyBorder="1">
      <alignment vertical="center"/>
    </xf>
    <xf numFmtId="9" fontId="0" fillId="0" borderId="7" xfId="0" applyNumberFormat="1" applyBorder="1">
      <alignment vertical="center"/>
    </xf>
    <xf numFmtId="0" fontId="1" fillId="0" borderId="0" xfId="0" applyFont="1">
      <alignment vertical="center"/>
    </xf>
    <xf numFmtId="181" fontId="1" fillId="0" borderId="0" xfId="27" applyNumberFormat="1" applyFont="1">
      <alignment vertical="center"/>
    </xf>
    <xf numFmtId="180" fontId="1" fillId="0" borderId="0" xfId="27" applyNumberFormat="1" applyFont="1">
      <alignment vertical="center"/>
    </xf>
    <xf numFmtId="9" fontId="1" fillId="3" borderId="0" xfId="47" applyFont="1" applyFill="1">
      <alignment vertical="center"/>
    </xf>
    <xf numFmtId="0" fontId="0" fillId="0" borderId="1" xfId="0" applyBorder="1" applyAlignment="1">
      <alignment horizontal="right"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3" fillId="2" borderId="4" xfId="33" applyBorder="1">
      <alignment vertical="center"/>
    </xf>
    <xf numFmtId="178" fontId="1" fillId="0" borderId="0" xfId="0" applyNumberFormat="1" applyFont="1">
      <alignment vertical="center"/>
    </xf>
    <xf numFmtId="9" fontId="1" fillId="0" borderId="0" xfId="47" applyFont="1">
      <alignment vertical="center"/>
    </xf>
    <xf numFmtId="9" fontId="0" fillId="0" borderId="0" xfId="47">
      <alignment vertical="center"/>
    </xf>
    <xf numFmtId="179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9" fontId="1" fillId="0" borderId="0" xfId="47" applyFont="1" applyFill="1">
      <alignment vertical="center"/>
    </xf>
    <xf numFmtId="176" fontId="0" fillId="0" borderId="0" xfId="0" applyNumberFormat="1">
      <alignment vertical="center"/>
    </xf>
    <xf numFmtId="179" fontId="0" fillId="0" borderId="7" xfId="0" applyNumberFormat="1" applyBorder="1">
      <alignment vertical="center"/>
    </xf>
    <xf numFmtId="176" fontId="1" fillId="0" borderId="0" xfId="0" applyNumberFormat="1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5" xfId="0" applyBorder="1">
      <alignment vertical="center"/>
    </xf>
    <xf numFmtId="9" fontId="0" fillId="0" borderId="7" xfId="0" applyNumberFormat="1" applyFill="1" applyBorder="1">
      <alignment vertical="center"/>
    </xf>
    <xf numFmtId="0" fontId="3" fillId="0" borderId="0" xfId="33" applyFill="1">
      <alignment vertical="center"/>
    </xf>
    <xf numFmtId="9" fontId="0" fillId="0" borderId="0" xfId="0" applyNumberFormat="1" applyFill="1" applyBorder="1">
      <alignment vertical="center"/>
    </xf>
    <xf numFmtId="0" fontId="0" fillId="0" borderId="0" xfId="0" applyBorder="1" applyAlignment="1">
      <alignment horizontal="right" vertical="center"/>
    </xf>
    <xf numFmtId="176" fontId="1" fillId="0" borderId="0" xfId="47" applyNumberFormat="1" applyFont="1">
      <alignment vertical="center"/>
    </xf>
    <xf numFmtId="176" fontId="1" fillId="0" borderId="0" xfId="47" applyNumberFormat="1" applyFont="1" applyFill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182" fontId="0" fillId="0" borderId="0" xfId="0" applyNumberFormat="1" applyAlignment="1">
      <alignment horizontal="right" vertical="center"/>
    </xf>
    <xf numFmtId="0" fontId="10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9" fontId="1" fillId="4" borderId="0" xfId="47" applyNumberFormat="1" applyFont="1" applyFill="1">
      <alignment vertical="center"/>
    </xf>
    <xf numFmtId="0" fontId="1" fillId="0" borderId="0" xfId="0" applyFont="1" applyFill="1">
      <alignment vertical="center"/>
    </xf>
    <xf numFmtId="182" fontId="2" fillId="0" borderId="0" xfId="0" applyNumberFormat="1" applyFont="1" applyAlignment="1">
      <alignment horizontal="right" vertical="center"/>
    </xf>
    <xf numFmtId="182" fontId="11" fillId="0" borderId="0" xfId="0" applyNumberFormat="1" applyFont="1">
      <alignment vertical="center"/>
    </xf>
    <xf numFmtId="9" fontId="11" fillId="0" borderId="0" xfId="47" applyFont="1">
      <alignment vertical="center"/>
    </xf>
    <xf numFmtId="9" fontId="12" fillId="0" borderId="0" xfId="47" applyFont="1" applyFill="1">
      <alignment vertical="center"/>
    </xf>
    <xf numFmtId="182" fontId="11" fillId="0" borderId="0" xfId="0" applyNumberFormat="1" applyFont="1" applyAlignment="1">
      <alignment horizontal="right" vertical="center"/>
    </xf>
    <xf numFmtId="182" fontId="0" fillId="0" borderId="0" xfId="0" applyNumberFormat="1" applyFont="1">
      <alignment vertical="center"/>
    </xf>
    <xf numFmtId="182" fontId="2" fillId="0" borderId="0" xfId="0" applyNumberFormat="1" applyFont="1" applyFill="1">
      <alignment vertical="center"/>
    </xf>
    <xf numFmtId="9" fontId="1" fillId="0" borderId="0" xfId="47" applyFont="1" applyFill="1" applyAlignment="1">
      <alignment horizontal="right" vertical="center"/>
    </xf>
    <xf numFmtId="9" fontId="1" fillId="4" borderId="0" xfId="47" applyFont="1" applyFill="1" applyAlignment="1">
      <alignment horizontal="right" vertical="center"/>
    </xf>
    <xf numFmtId="0" fontId="0" fillId="0" borderId="0" xfId="0" applyBorder="1">
      <alignment vertical="center"/>
    </xf>
    <xf numFmtId="9" fontId="0" fillId="0" borderId="7" xfId="0" applyNumberFormat="1" applyFont="1" applyFill="1" applyBorder="1" applyAlignment="1" applyProtection="1">
      <alignment horizontal="right" vertical="center"/>
    </xf>
    <xf numFmtId="9" fontId="13" fillId="3" borderId="8" xfId="47" applyFont="1" applyFill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9" fontId="15" fillId="0" borderId="0" xfId="47" applyFont="1">
      <alignment vertical="center"/>
    </xf>
    <xf numFmtId="0" fontId="14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5" fillId="0" borderId="0" xfId="0" applyFont="1">
      <alignment vertical="center"/>
    </xf>
    <xf numFmtId="9" fontId="16" fillId="3" borderId="8" xfId="0" applyNumberFormat="1" applyFont="1" applyFill="1" applyBorder="1">
      <alignment vertical="center"/>
    </xf>
    <xf numFmtId="0" fontId="17" fillId="0" borderId="0" xfId="0" applyFont="1" applyAlignment="1">
      <alignment vertical="center" wrapText="1"/>
    </xf>
    <xf numFmtId="9" fontId="15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9" fontId="15" fillId="0" borderId="1" xfId="0" applyNumberFormat="1" applyFont="1" applyBorder="1">
      <alignment vertical="center"/>
    </xf>
    <xf numFmtId="9" fontId="15" fillId="3" borderId="0" xfId="47" applyFont="1" applyFill="1">
      <alignment vertical="center"/>
    </xf>
    <xf numFmtId="0" fontId="18" fillId="0" borderId="0" xfId="0" applyFont="1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18" sqref="A18"/>
    </sheetView>
  </sheetViews>
  <sheetFormatPr defaultColWidth="9" defaultRowHeight="14" outlineLevelCol="6"/>
  <cols>
    <col min="1" max="1" width="65.859375" customWidth="1"/>
    <col min="3" max="3" width="16.5703125" customWidth="1"/>
    <col min="4" max="4" width="27.4296875" customWidth="1"/>
    <col min="5" max="5" width="18.859375" customWidth="1"/>
    <col min="7" max="7" width="8.5703125" customWidth="1"/>
  </cols>
  <sheetData>
    <row r="1" spans="1:4">
      <c r="A1" t="s">
        <v>0</v>
      </c>
      <c r="B1" s="2">
        <v>2022</v>
      </c>
      <c r="C1" s="66" t="s">
        <v>1</v>
      </c>
      <c r="D1" s="67" t="s">
        <v>2</v>
      </c>
    </row>
    <row r="2" spans="1:4">
      <c r="A2" s="68" t="s">
        <v>3</v>
      </c>
      <c r="D2" s="38" t="s">
        <v>4</v>
      </c>
    </row>
    <row r="3" spans="1:4">
      <c r="A3" s="69" t="s">
        <v>5</v>
      </c>
      <c r="B3" s="70"/>
      <c r="C3" s="71">
        <f>'Increase market share'!F17</f>
        <v>0.0480030721966205</v>
      </c>
      <c r="D3" s="51" t="s">
        <v>6</v>
      </c>
    </row>
    <row r="4" spans="1:5">
      <c r="A4" s="72" t="s">
        <v>7</v>
      </c>
      <c r="B4" s="70">
        <v>30749</v>
      </c>
      <c r="C4" s="71">
        <f>'Recovery of Mobility'!J16</f>
        <v>0.0903615077765909</v>
      </c>
      <c r="D4" s="73" t="s">
        <v>8</v>
      </c>
      <c r="E4" s="4"/>
    </row>
    <row r="5" spans="1:5">
      <c r="A5" s="69"/>
      <c r="B5" s="70"/>
      <c r="C5" s="71"/>
      <c r="E5" s="4"/>
    </row>
    <row r="6" spans="1:3">
      <c r="A6" s="47" t="s">
        <v>9</v>
      </c>
      <c r="B6" s="70"/>
      <c r="C6" s="74"/>
    </row>
    <row r="7" ht="28" spans="1:4">
      <c r="A7" s="72" t="s">
        <v>10</v>
      </c>
      <c r="B7" s="70"/>
      <c r="C7" s="75">
        <f>'Invest in new tech'!E21</f>
        <v>0.874281589901974</v>
      </c>
      <c r="D7" s="76" t="s">
        <v>11</v>
      </c>
    </row>
    <row r="8" spans="1:3">
      <c r="A8" s="69" t="s">
        <v>12</v>
      </c>
      <c r="B8" s="70"/>
      <c r="C8" s="77">
        <f>'Reduce costs'!E22</f>
        <v>0.155555555555556</v>
      </c>
    </row>
    <row r="9" spans="1:3">
      <c r="A9" s="69"/>
      <c r="B9" s="70"/>
      <c r="C9" s="77"/>
    </row>
    <row r="10" spans="1:3">
      <c r="A10" s="78" t="s">
        <v>13</v>
      </c>
      <c r="B10" s="79">
        <v>-733</v>
      </c>
      <c r="C10" s="80">
        <f>B10/B4</f>
        <v>-0.0238381735991414</v>
      </c>
    </row>
    <row r="11" spans="1:3">
      <c r="A11" t="s">
        <v>14</v>
      </c>
      <c r="B11" s="70">
        <v>665</v>
      </c>
      <c r="C11" s="81">
        <f>SUM(C3:C4,C7:C10)</f>
        <v>1.1443635518316</v>
      </c>
    </row>
    <row r="12" spans="2:2">
      <c r="B12" s="70"/>
    </row>
    <row r="13" spans="2:2">
      <c r="B13" s="70"/>
    </row>
    <row r="14" spans="2:3">
      <c r="B14" s="70"/>
      <c r="C14" s="31"/>
    </row>
    <row r="16" ht="17.1" customHeight="1" spans="1:7">
      <c r="A16" s="82"/>
      <c r="G16" s="82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951170384838"/>
  </sheetPr>
  <dimension ref="A1:J20"/>
  <sheetViews>
    <sheetView zoomScale="106" zoomScaleNormal="106" workbookViewId="0">
      <selection activeCell="I22" sqref="I22"/>
    </sheetView>
  </sheetViews>
  <sheetFormatPr defaultColWidth="9" defaultRowHeight="14"/>
  <cols>
    <col min="1" max="1" width="13" customWidth="1"/>
    <col min="2" max="2" width="7.4296875" customWidth="1"/>
    <col min="3" max="3" width="7.5703125" customWidth="1"/>
    <col min="4" max="5" width="7.4296875" customWidth="1"/>
    <col min="6" max="7" width="8.4296875" customWidth="1"/>
    <col min="8" max="8" width="3.9296875" customWidth="1"/>
    <col min="9" max="9" width="62.2890625" customWidth="1"/>
    <col min="10" max="10" width="8.4296875" customWidth="1"/>
  </cols>
  <sheetData>
    <row r="1" spans="1:9">
      <c r="A1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5">
        <v>2023</v>
      </c>
      <c r="I1" s="1" t="s">
        <v>4</v>
      </c>
    </row>
    <row r="2" spans="1:9">
      <c r="A2" s="47" t="s">
        <v>15</v>
      </c>
      <c r="I2" s="3" t="s">
        <v>6</v>
      </c>
    </row>
    <row r="3" spans="9:9">
      <c r="I3" s="4" t="s">
        <v>8</v>
      </c>
    </row>
    <row r="4" spans="1:10">
      <c r="A4" s="48" t="s">
        <v>16</v>
      </c>
      <c r="I4" s="63"/>
      <c r="J4" s="63"/>
    </row>
    <row r="5" spans="1:10">
      <c r="A5" s="27" t="s">
        <v>17</v>
      </c>
      <c r="B5" s="49">
        <v>11479</v>
      </c>
      <c r="C5" s="49">
        <v>13512</v>
      </c>
      <c r="D5" s="49">
        <v>6789</v>
      </c>
      <c r="E5" s="13">
        <v>11340</v>
      </c>
      <c r="F5" s="13">
        <v>14894</v>
      </c>
      <c r="G5" s="10">
        <f>F5*(1+J6)</f>
        <v>17574.92</v>
      </c>
      <c r="H5" s="13"/>
      <c r="I5" s="6" t="s">
        <v>18</v>
      </c>
      <c r="J5" s="39"/>
    </row>
    <row r="6" spans="1:10">
      <c r="A6" s="27" t="s">
        <v>19</v>
      </c>
      <c r="B6" s="49">
        <v>2561</v>
      </c>
      <c r="C6" s="49">
        <v>4374</v>
      </c>
      <c r="D6" s="49">
        <v>10050</v>
      </c>
      <c r="E6" s="59">
        <v>13444</v>
      </c>
      <c r="F6" s="59">
        <v>14315</v>
      </c>
      <c r="G6" s="60">
        <f>F6*(1+F11)</f>
        <v>15242.4297084201</v>
      </c>
      <c r="I6" s="28" t="s">
        <v>20</v>
      </c>
      <c r="J6" s="64">
        <v>0.18</v>
      </c>
    </row>
    <row r="7" spans="1:7">
      <c r="A7" s="27" t="s">
        <v>21</v>
      </c>
      <c r="B7" s="49">
        <v>126</v>
      </c>
      <c r="C7" s="49">
        <v>219</v>
      </c>
      <c r="D7" s="49">
        <v>313</v>
      </c>
      <c r="E7" s="59">
        <v>1082</v>
      </c>
      <c r="F7" s="59">
        <v>1540</v>
      </c>
      <c r="G7" s="60">
        <f>F7*(1+F12)</f>
        <v>2191.86691312384</v>
      </c>
    </row>
    <row r="8" spans="1:7">
      <c r="A8" s="3"/>
      <c r="B8" s="3"/>
      <c r="C8" s="30"/>
      <c r="D8" s="30"/>
      <c r="E8" s="30"/>
      <c r="F8" s="30"/>
      <c r="G8" s="31"/>
    </row>
    <row r="9" spans="1:9">
      <c r="A9" s="50" t="s">
        <v>22</v>
      </c>
      <c r="B9" s="3"/>
      <c r="C9" s="3"/>
      <c r="D9" s="3"/>
      <c r="E9" s="3"/>
      <c r="F9" s="3"/>
      <c r="I9" s="4" t="s">
        <v>23</v>
      </c>
    </row>
    <row r="10" spans="1:9">
      <c r="A10" s="51" t="s">
        <v>17</v>
      </c>
      <c r="B10" s="3"/>
      <c r="C10" s="52">
        <f>(C$5-B$5)/B$5</f>
        <v>0.177106019688126</v>
      </c>
      <c r="D10" s="30">
        <f>(D$5-C$5)/C$5</f>
        <v>-0.497557726465364</v>
      </c>
      <c r="E10" s="30">
        <f>(E$5-D$5)/D$5</f>
        <v>0.670349094122846</v>
      </c>
      <c r="F10" s="30">
        <f>(F$5-E$5)/E$5</f>
        <v>0.313403880070547</v>
      </c>
      <c r="G10" s="31"/>
      <c r="I10" s="4" t="s">
        <v>24</v>
      </c>
    </row>
    <row r="11" spans="1:9">
      <c r="A11" s="51" t="s">
        <v>19</v>
      </c>
      <c r="B11" s="3"/>
      <c r="C11" s="30">
        <f>(C$6-B$6)/B$6</f>
        <v>0.707926591175322</v>
      </c>
      <c r="D11" s="30">
        <f>(D$6-C$6)/C$6</f>
        <v>1.29766803840878</v>
      </c>
      <c r="E11" s="30">
        <f>(E$6-D$6)/D$6</f>
        <v>0.33771144278607</v>
      </c>
      <c r="F11" s="30">
        <f>(F$6-E$6)/E$6</f>
        <v>0.0647872656947337</v>
      </c>
      <c r="I11" s="4" t="s">
        <v>25</v>
      </c>
    </row>
    <row r="12" spans="1:9">
      <c r="A12" s="51" t="s">
        <v>21</v>
      </c>
      <c r="B12" s="3"/>
      <c r="C12" s="30">
        <f>(C$7-B$7)/B$7</f>
        <v>0.738095238095238</v>
      </c>
      <c r="D12" s="30">
        <f>(D$7-C$7)/C$7</f>
        <v>0.429223744292237</v>
      </c>
      <c r="E12" s="30">
        <f>(E$7-D$7)/D$7</f>
        <v>2.45686900958466</v>
      </c>
      <c r="F12" s="30">
        <f>(F$7-E$7)/E$7</f>
        <v>0.423290203327172</v>
      </c>
      <c r="I12" s="4"/>
    </row>
    <row r="13" spans="9:10">
      <c r="I13" s="3" t="s">
        <v>26</v>
      </c>
      <c r="J13" s="13"/>
    </row>
    <row r="14" spans="1:10">
      <c r="A14" s="53" t="s">
        <v>27</v>
      </c>
      <c r="D14" s="54"/>
      <c r="E14" s="54"/>
      <c r="F14" s="54"/>
      <c r="G14" s="61"/>
      <c r="I14" s="3" t="s">
        <v>28</v>
      </c>
      <c r="J14" s="11">
        <f>F5*(1+J6)</f>
        <v>17574.92</v>
      </c>
    </row>
    <row r="15" spans="1:10">
      <c r="A15" s="51" t="s">
        <v>17</v>
      </c>
      <c r="D15" s="10"/>
      <c r="E15" s="10"/>
      <c r="F15" s="10"/>
      <c r="G15" s="62">
        <f>G5/SUM($G$5:$G$7)</f>
        <v>0.502008376536616</v>
      </c>
      <c r="H15" s="13"/>
      <c r="I15" s="3" t="s">
        <v>29</v>
      </c>
      <c r="J15" s="30">
        <f>J14/SUM(G5:G7)</f>
        <v>0.502008376536616</v>
      </c>
    </row>
    <row r="16" spans="1:10">
      <c r="A16" s="51" t="s">
        <v>19</v>
      </c>
      <c r="B16" s="55"/>
      <c r="C16" s="55"/>
      <c r="G16" s="61">
        <f>G6/SUM($G$5:$G$7)</f>
        <v>0.435383341283913</v>
      </c>
      <c r="I16" s="11" t="s">
        <v>30</v>
      </c>
      <c r="J16" s="65">
        <f>J15*J6</f>
        <v>0.0903615077765909</v>
      </c>
    </row>
    <row r="17" spans="1:9">
      <c r="A17" s="51" t="s">
        <v>21</v>
      </c>
      <c r="B17" s="56"/>
      <c r="C17" s="57"/>
      <c r="D17" s="31"/>
      <c r="E17" s="31"/>
      <c r="F17" s="31"/>
      <c r="G17" s="61">
        <f>G7/SUM($G$5:$G$7)</f>
        <v>0.0626082821794709</v>
      </c>
      <c r="I17" s="3"/>
    </row>
    <row r="18" spans="1:9">
      <c r="A18" s="58"/>
      <c r="B18" s="56"/>
      <c r="C18" s="56"/>
      <c r="I18" s="3"/>
    </row>
    <row r="19" spans="1:9">
      <c r="A19" s="58"/>
      <c r="B19" s="56"/>
      <c r="C19" s="56"/>
      <c r="I19" s="3"/>
    </row>
    <row r="20" spans="9:9">
      <c r="I20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951170384838"/>
  </sheetPr>
  <dimension ref="A1:K17"/>
  <sheetViews>
    <sheetView zoomScale="86" zoomScaleNormal="86" workbookViewId="0">
      <selection activeCell="E21" sqref="E21"/>
    </sheetView>
  </sheetViews>
  <sheetFormatPr defaultColWidth="9" defaultRowHeight="14"/>
  <cols>
    <col min="1" max="1" width="48.4296875" customWidth="1"/>
    <col min="2" max="2" width="6" customWidth="1"/>
    <col min="3" max="3" width="18.2890625" customWidth="1"/>
    <col min="5" max="5" width="90.2890625" customWidth="1"/>
    <col min="6" max="6" width="15" customWidth="1"/>
  </cols>
  <sheetData>
    <row r="1" spans="1:11">
      <c r="A1" t="s">
        <v>0</v>
      </c>
      <c r="B1" s="2">
        <v>2022</v>
      </c>
      <c r="C1" s="25">
        <v>2023</v>
      </c>
      <c r="E1" s="1" t="s">
        <v>4</v>
      </c>
      <c r="K1" s="46"/>
    </row>
    <row r="2" spans="1:5">
      <c r="A2" t="s">
        <v>31</v>
      </c>
      <c r="B2">
        <v>102</v>
      </c>
      <c r="C2" s="4">
        <v>50</v>
      </c>
      <c r="E2" s="3" t="s">
        <v>6</v>
      </c>
    </row>
    <row r="3" spans="1:5">
      <c r="A3" s="1" t="s">
        <v>32</v>
      </c>
      <c r="B3" s="1"/>
      <c r="C3" s="4"/>
      <c r="E3" s="4" t="s">
        <v>8</v>
      </c>
    </row>
    <row r="4" spans="1:3">
      <c r="A4" s="38" t="s">
        <v>33</v>
      </c>
      <c r="B4" s="1">
        <v>4976</v>
      </c>
      <c r="C4" s="4"/>
    </row>
    <row r="5" spans="1:6">
      <c r="A5" s="38" t="s">
        <v>34</v>
      </c>
      <c r="B5" s="1">
        <v>547</v>
      </c>
      <c r="C5" s="4"/>
      <c r="E5" s="6" t="s">
        <v>35</v>
      </c>
      <c r="F5" s="39"/>
    </row>
    <row r="6" spans="1:6">
      <c r="A6" s="38" t="s">
        <v>36</v>
      </c>
      <c r="B6" s="1">
        <v>2092</v>
      </c>
      <c r="C6" s="4"/>
      <c r="E6" s="28" t="s">
        <v>37</v>
      </c>
      <c r="F6" s="40">
        <v>1.1</v>
      </c>
    </row>
    <row r="7" spans="1:6">
      <c r="A7" s="38" t="s">
        <v>38</v>
      </c>
      <c r="B7" s="1">
        <v>992</v>
      </c>
      <c r="C7" s="4"/>
      <c r="E7" s="41"/>
      <c r="F7" s="42"/>
    </row>
    <row r="8" spans="1:6">
      <c r="A8" s="4"/>
      <c r="B8" s="4"/>
      <c r="C8" s="4"/>
      <c r="E8" s="4" t="s">
        <v>23</v>
      </c>
      <c r="F8" s="43"/>
    </row>
    <row r="9" spans="1:5">
      <c r="A9" s="4"/>
      <c r="B9" s="4"/>
      <c r="C9" s="4"/>
      <c r="E9" s="4" t="s">
        <v>39</v>
      </c>
    </row>
    <row r="10" spans="1:5">
      <c r="A10" s="3"/>
      <c r="B10" s="3"/>
      <c r="C10" s="3"/>
      <c r="E10" s="4" t="s">
        <v>40</v>
      </c>
    </row>
    <row r="11" spans="1:5">
      <c r="A11" s="3"/>
      <c r="B11" s="30"/>
      <c r="C11" s="34"/>
      <c r="E11" s="4" t="s">
        <v>41</v>
      </c>
    </row>
    <row r="12" spans="1:5">
      <c r="A12" s="3"/>
      <c r="B12" s="30"/>
      <c r="C12" s="34"/>
      <c r="E12" s="4"/>
    </row>
    <row r="13" spans="1:5">
      <c r="A13" s="3"/>
      <c r="B13" s="3"/>
      <c r="C13" s="3"/>
      <c r="E13" s="3" t="s">
        <v>26</v>
      </c>
    </row>
    <row r="14" spans="5:6">
      <c r="E14" s="3" t="s">
        <v>42</v>
      </c>
      <c r="F14" s="44">
        <f>B7*(1+F6)*1000000</f>
        <v>2083200000</v>
      </c>
    </row>
    <row r="15" spans="5:6">
      <c r="E15" s="3" t="s">
        <v>43</v>
      </c>
      <c r="F15" s="45">
        <f>100*1000000</f>
        <v>100000000</v>
      </c>
    </row>
    <row r="16" spans="5:6">
      <c r="E16" s="11" t="s">
        <v>44</v>
      </c>
      <c r="F16" s="45">
        <f>F15-C2*1000000</f>
        <v>50000000</v>
      </c>
    </row>
    <row r="17" spans="5:6">
      <c r="E17" s="11" t="s">
        <v>45</v>
      </c>
      <c r="F17" s="24">
        <f>((F15+F14)-F14)/F14</f>
        <v>0.0480030721966205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951170384838"/>
  </sheetPr>
  <dimension ref="A1:E24"/>
  <sheetViews>
    <sheetView zoomScale="105" zoomScaleNormal="105" workbookViewId="0">
      <selection activeCell="D19" sqref="D19"/>
    </sheetView>
  </sheetViews>
  <sheetFormatPr defaultColWidth="9" defaultRowHeight="14" outlineLevelCol="4"/>
  <cols>
    <col min="1" max="1" width="27.5703125" customWidth="1"/>
    <col min="2" max="2" width="12.4296875"/>
    <col min="4" max="4" width="58.2890625" customWidth="1"/>
    <col min="5" max="5" width="18.859375"/>
  </cols>
  <sheetData>
    <row r="1" spans="2:4">
      <c r="B1" s="25">
        <v>2023</v>
      </c>
      <c r="D1" s="1" t="s">
        <v>4</v>
      </c>
    </row>
    <row r="2" spans="1:4">
      <c r="A2" t="s">
        <v>46</v>
      </c>
      <c r="B2" s="26">
        <v>10000</v>
      </c>
      <c r="D2" s="3" t="s">
        <v>6</v>
      </c>
    </row>
    <row r="3" spans="1:4">
      <c r="A3" t="s">
        <v>47</v>
      </c>
      <c r="B3" s="26">
        <v>100000</v>
      </c>
      <c r="D3" s="4" t="s">
        <v>8</v>
      </c>
    </row>
    <row r="4" spans="2:2">
      <c r="B4" s="26"/>
    </row>
    <row r="5" spans="1:5">
      <c r="A5" s="2" t="s">
        <v>48</v>
      </c>
      <c r="B5" s="26"/>
      <c r="D5" s="6" t="s">
        <v>49</v>
      </c>
      <c r="E5" s="16"/>
    </row>
    <row r="6" spans="1:5">
      <c r="A6" s="27" t="s">
        <v>50</v>
      </c>
      <c r="B6" s="26">
        <v>40000</v>
      </c>
      <c r="D6" s="7" t="s">
        <v>51</v>
      </c>
      <c r="E6" s="17">
        <v>15</v>
      </c>
    </row>
    <row r="7" spans="1:5">
      <c r="A7" s="27" t="s">
        <v>52</v>
      </c>
      <c r="B7" s="26">
        <v>100000</v>
      </c>
      <c r="D7" s="28" t="s">
        <v>53</v>
      </c>
      <c r="E7" s="36">
        <v>5400000</v>
      </c>
    </row>
    <row r="8" spans="1:2">
      <c r="A8" s="27" t="s">
        <v>54</v>
      </c>
      <c r="B8" s="26">
        <v>50000</v>
      </c>
    </row>
    <row r="9" spans="1:4">
      <c r="A9" s="3"/>
      <c r="B9" s="29"/>
      <c r="D9" s="4" t="s">
        <v>23</v>
      </c>
    </row>
    <row r="10" spans="1:4">
      <c r="A10" s="3"/>
      <c r="B10" s="29"/>
      <c r="D10" s="4" t="s">
        <v>55</v>
      </c>
    </row>
    <row r="11" spans="1:4">
      <c r="A11" s="3"/>
      <c r="B11" s="30"/>
      <c r="C11" s="31"/>
      <c r="D11" s="4" t="s">
        <v>56</v>
      </c>
    </row>
    <row r="12" spans="1:4">
      <c r="A12" s="3"/>
      <c r="B12" s="32"/>
      <c r="D12" s="4" t="s">
        <v>57</v>
      </c>
    </row>
    <row r="13" ht="28" spans="1:4">
      <c r="A13" s="3"/>
      <c r="B13" s="32"/>
      <c r="D13" s="33" t="s">
        <v>58</v>
      </c>
    </row>
    <row r="14" spans="1:4">
      <c r="A14" s="3"/>
      <c r="B14" s="32"/>
      <c r="D14" s="33"/>
    </row>
    <row r="15" spans="1:5">
      <c r="A15" s="3"/>
      <c r="B15" s="34"/>
      <c r="E15" s="35"/>
    </row>
    <row r="16" spans="4:5">
      <c r="D16" s="3" t="s">
        <v>26</v>
      </c>
      <c r="E16" s="37"/>
    </row>
    <row r="17" spans="4:5">
      <c r="D17" s="3" t="s">
        <v>59</v>
      </c>
      <c r="E17" s="37">
        <f>SUM(B6:B8)</f>
        <v>190000</v>
      </c>
    </row>
    <row r="18" spans="4:5">
      <c r="D18" s="3" t="s">
        <v>60</v>
      </c>
      <c r="E18" s="37">
        <f>E17*365</f>
        <v>69350000</v>
      </c>
    </row>
    <row r="19" spans="4:5">
      <c r="D19" s="3" t="s">
        <v>61</v>
      </c>
      <c r="E19" s="37">
        <f>E7/B3*E18*0.5</f>
        <v>1872450000</v>
      </c>
    </row>
    <row r="20" spans="4:5">
      <c r="D20" s="3" t="s">
        <v>62</v>
      </c>
      <c r="E20" s="37">
        <f>'Recovery of Mobility'!F5*1000000</f>
        <v>14894000000</v>
      </c>
    </row>
    <row r="21" spans="4:5">
      <c r="D21" s="3" t="s">
        <v>63</v>
      </c>
      <c r="E21" s="24">
        <f>(E20-E19)/E20</f>
        <v>0.874281589901974</v>
      </c>
    </row>
    <row r="22" spans="5:5">
      <c r="E22" s="26"/>
    </row>
    <row r="23" spans="5:5">
      <c r="E23" s="31"/>
    </row>
    <row r="24" spans="4:4">
      <c r="D24" s="3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951170384838"/>
  </sheetPr>
  <dimension ref="A1:E25"/>
  <sheetViews>
    <sheetView tabSelected="1" zoomScale="118" zoomScaleNormal="118" workbookViewId="0">
      <selection activeCell="D22" sqref="D22"/>
    </sheetView>
  </sheetViews>
  <sheetFormatPr defaultColWidth="9" defaultRowHeight="14" outlineLevelCol="4"/>
  <cols>
    <col min="1" max="1" width="40.140625" customWidth="1"/>
    <col min="2" max="2" width="13.859375" customWidth="1"/>
    <col min="4" max="4" width="70.4296875" customWidth="1"/>
    <col min="5" max="5" width="17.4296875" customWidth="1"/>
  </cols>
  <sheetData>
    <row r="1" spans="4:4">
      <c r="D1" s="1" t="s">
        <v>4</v>
      </c>
    </row>
    <row r="2" spans="1:4">
      <c r="A2" s="2" t="s">
        <v>64</v>
      </c>
      <c r="B2" s="2">
        <v>2023</v>
      </c>
      <c r="D2" s="3" t="s">
        <v>6</v>
      </c>
    </row>
    <row r="3" spans="1:4">
      <c r="A3" s="1" t="s">
        <v>65</v>
      </c>
      <c r="B3">
        <v>500</v>
      </c>
      <c r="D3" s="4" t="s">
        <v>8</v>
      </c>
    </row>
    <row r="4" spans="1:2">
      <c r="A4" t="s">
        <v>66</v>
      </c>
      <c r="B4">
        <v>100</v>
      </c>
    </row>
    <row r="5" spans="1:5">
      <c r="A5" s="1" t="s">
        <v>67</v>
      </c>
      <c r="B5" s="5">
        <f>SUM(B3:B4)</f>
        <v>600</v>
      </c>
      <c r="D5" s="6" t="s">
        <v>49</v>
      </c>
      <c r="E5" s="16"/>
    </row>
    <row r="6" spans="1:5">
      <c r="A6" s="4"/>
      <c r="B6" s="4"/>
      <c r="D6" s="7" t="s">
        <v>68</v>
      </c>
      <c r="E6" s="17">
        <v>15</v>
      </c>
    </row>
    <row r="7" spans="1:5">
      <c r="A7" s="4"/>
      <c r="B7" s="4"/>
      <c r="D7" s="8" t="s">
        <v>69</v>
      </c>
      <c r="E7" s="17">
        <v>10</v>
      </c>
    </row>
    <row r="8" ht="28" spans="1:5">
      <c r="A8" s="9" t="s">
        <v>70</v>
      </c>
      <c r="B8" s="10">
        <v>20</v>
      </c>
      <c r="D8" s="8" t="s">
        <v>53</v>
      </c>
      <c r="E8" s="18">
        <v>5400000</v>
      </c>
    </row>
    <row r="9" spans="1:5">
      <c r="A9" s="3"/>
      <c r="B9" s="11"/>
      <c r="D9" s="7" t="s">
        <v>71</v>
      </c>
      <c r="E9" s="19">
        <f>E22</f>
        <v>0.155555555555556</v>
      </c>
    </row>
    <row r="10" spans="1:5">
      <c r="A10" s="3"/>
      <c r="B10" s="11"/>
      <c r="D10" s="12" t="s">
        <v>72</v>
      </c>
      <c r="E10" s="20">
        <v>0.3</v>
      </c>
    </row>
    <row r="11" spans="4:4">
      <c r="D11" s="4"/>
    </row>
    <row r="12" spans="2:4">
      <c r="B12" s="13"/>
      <c r="D12" s="4" t="s">
        <v>23</v>
      </c>
    </row>
    <row r="13" spans="2:4">
      <c r="B13" s="13"/>
      <c r="D13" s="4" t="s">
        <v>73</v>
      </c>
    </row>
    <row r="14" spans="2:4">
      <c r="B14" s="13"/>
      <c r="D14" s="4" t="s">
        <v>74</v>
      </c>
    </row>
    <row r="15" spans="4:4">
      <c r="D15" s="4" t="s">
        <v>75</v>
      </c>
    </row>
    <row r="16" spans="4:4">
      <c r="D16" s="4"/>
    </row>
    <row r="17" spans="4:5">
      <c r="D17" s="3" t="s">
        <v>26</v>
      </c>
      <c r="E17" s="21"/>
    </row>
    <row r="18" spans="4:5">
      <c r="D18" s="3" t="s">
        <v>76</v>
      </c>
      <c r="E18" s="22">
        <f>E8*B8*E6</f>
        <v>1620000000</v>
      </c>
    </row>
    <row r="19" spans="4:5">
      <c r="D19" s="3" t="s">
        <v>77</v>
      </c>
      <c r="E19" s="22">
        <f>E8*E10*B5*90%</f>
        <v>874800000</v>
      </c>
    </row>
    <row r="20" spans="4:5">
      <c r="D20" s="14" t="s">
        <v>78</v>
      </c>
      <c r="E20" s="23">
        <f>E8*130%*E7*4</f>
        <v>280800000</v>
      </c>
    </row>
    <row r="21" spans="4:5">
      <c r="D21" s="14" t="s">
        <v>79</v>
      </c>
      <c r="E21" s="23">
        <f>E8*E6*3</f>
        <v>243000000</v>
      </c>
    </row>
    <row r="22" spans="4:5">
      <c r="D22" s="3" t="s">
        <v>80</v>
      </c>
      <c r="E22" s="24">
        <f>(E20-E21)/E21</f>
        <v>0.155555555555556</v>
      </c>
    </row>
    <row r="25" ht="14.8" spans="4:4">
      <c r="D25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Output metric vs. Input metrics</vt:lpstr>
      <vt:lpstr>Recovery of Mobility</vt:lpstr>
      <vt:lpstr>Increase market share</vt:lpstr>
      <vt:lpstr>Invest in new tech</vt:lpstr>
      <vt:lpstr>Reduce costs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christychen</cp:lastModifiedBy>
  <dcterms:created xsi:type="dcterms:W3CDTF">2023-03-26T03:15:00Z</dcterms:created>
  <dcterms:modified xsi:type="dcterms:W3CDTF">2023-03-27T19:31:31Z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