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hd.ad.syr.edu\02\d8c493\Documents\Downloads\"/>
    </mc:Choice>
  </mc:AlternateContent>
  <bookViews>
    <workbookView xWindow="0" yWindow="0" windowWidth="20490" windowHeight="7620" activeTab="2"/>
  </bookViews>
  <sheets>
    <sheet name="2000" sheetId="1" r:id="rId1"/>
    <sheet name="2015" sheetId="2" r:id="rId2"/>
    <sheet name="Hypothesis Test" sheetId="9" r:id="rId3"/>
    <sheet name="_PalUtilTempWorksheet" sheetId="3" state="hidden" r:id="rId4"/>
    <sheet name="_STDS_DG1C5F5F79" sheetId="13" state="hidden" r:id="rId5"/>
    <sheet name="_STDS_DG1FBE0DA0" sheetId="14" state="hidden" r:id="rId6"/>
    <sheet name="_STDS_DG2BBB1ECF" sheetId="15" state="hidden" r:id="rId7"/>
  </sheets>
  <definedNames>
    <definedName name="ST_AdultMortality">'2000'!$E$2:$E$184</definedName>
    <definedName name="ST_AdultMortality_5">'2015'!$E$2:$E$184</definedName>
    <definedName name="ST_AdultMortalityInteraction">'2015'!$T$2:$T$184</definedName>
    <definedName name="ST_Alcohol">'2000'!$F$2:$F$184</definedName>
    <definedName name="ST_Alcohol_6">'2015'!$F$2:$F$184</definedName>
    <definedName name="ST_BMI">'2000'!$H$2:$H$184</definedName>
    <definedName name="ST_BMI_8">'2015'!$H$2:$H$184</definedName>
    <definedName name="ST_BMIInteraction">'2015'!$U$2:$U$184</definedName>
    <definedName name="ST_Country">'2000'!$A$2:$A$184</definedName>
    <definedName name="ST_Country_1">'2015'!$A$2:$A$184</definedName>
    <definedName name="ST_CurrenthealthexpenditureCHEaspercentageofgrossdomesticproductGDP">'2000'!$Q$2:$Q$184</definedName>
    <definedName name="ST_CurrenthealthexpenditureCHEaspercentageofgrossdomesticproductGDP_17">'2015'!$Q$2:$Q$184</definedName>
    <definedName name="ST_CurrenthealthexpenditureCHEpercapitainUS">'2000'!$P$2:$P$184</definedName>
    <definedName name="ST_CurrenthealthexpenditureCHEpercapitainUS_16">'2015'!$P$2:$P$184</definedName>
    <definedName name="ST_Diphtheria">'2000'!$K$2:$K$184</definedName>
    <definedName name="ST_Diphtheria_11">'2015'!$K$2:$K$184</definedName>
    <definedName name="ST_DomesticgeneralgovernmenthealthexpenditureGGHEDaspercentageofgeneralgovernmentexpenditureGGE">'2000'!$R$2:$R$184</definedName>
    <definedName name="ST_DomesticgeneralgovernmenthealthexpenditureGGHEDaspercentageofgeneralgovernmentexpenditureGGE_18">'2015'!$R$2:$R$184</definedName>
    <definedName name="ST_GDP">'2000'!$L$2:$L$184</definedName>
    <definedName name="ST_GDP_12">'2015'!$L$2:$L$184</definedName>
    <definedName name="ST_InteractionDiptheria">'2000'!$V$2:$V$184</definedName>
    <definedName name="ST_InteractionPolio">'2000'!$T$2:$T$184</definedName>
    <definedName name="ST_InteractionSchooling">'2000'!$U$2:$U$184</definedName>
    <definedName name="ST_Lifeexpectancy">'2000'!$D$2:$D$184</definedName>
    <definedName name="ST_Lifeexpectancy_4">'2015'!$D$2:$D$184</definedName>
    <definedName name="ST_Lifeexpectancy2000">'Hypothesis Test'!$M$2:$M$184</definedName>
    <definedName name="ST_Lifeexpectancy2015">'Hypothesis Test'!$N$2:$N$184</definedName>
    <definedName name="ST_PercentageExpenditure">'2000'!$G$2:$G$184</definedName>
    <definedName name="ST_PercentExpenditure">'2015'!$G$2:$G$184</definedName>
    <definedName name="ST_polio">'2000'!$I$2:$I$184</definedName>
    <definedName name="ST_Polio_9">'2015'!$I$2:$I$184</definedName>
    <definedName name="ST_Population">'2000'!$M$2:$M$184</definedName>
    <definedName name="ST_Population_13">'2015'!$M$2:$M$184</definedName>
    <definedName name="ST_Schooling">'2000'!$N$2:$N$184</definedName>
    <definedName name="ST_Schooling_14">'2015'!$N$2:$N$184</definedName>
    <definedName name="ST_SchoolingInteraction">'2015'!$V$2:$V$184</definedName>
    <definedName name="ST_Smokingprevalence">'2000'!$O$2:$O$184</definedName>
    <definedName name="ST_Smokingprevalence_15">'2015'!$O$2:$O$184</definedName>
    <definedName name="ST_Status">'2000'!$C$2:$C$184</definedName>
    <definedName name="ST_Status_3">'2015'!$C$2:$C$184</definedName>
    <definedName name="ST_StatusDummy">'2000'!$S$2:$S$184</definedName>
    <definedName name="ST_StatusDummy_19">'2015'!$S$2:$S$184</definedName>
    <definedName name="ST_Totalexpenditure">'2000'!$J$2:$J$184</definedName>
    <definedName name="ST_Totalexpenditure_10">'2015'!$J$2:$J$184</definedName>
    <definedName name="ST_Year">'2000'!$B$2:$B$184</definedName>
    <definedName name="ST_Year_2">'2015'!$B$2:$B$184</definedName>
    <definedName name="STWBD_StatToolsCorrAndCovar_CorrelationTable" hidden="1">"TRUE"</definedName>
    <definedName name="STWBD_StatToolsCorrAndCovar_CovarianceTable" hidden="1">"FALSE"</definedName>
    <definedName name="STWBD_StatToolsCorrAndCovar_HasDefaultInfo" hidden="1">"TRUE"</definedName>
    <definedName name="STWBD_StatToolsCorrAndCovar_RankOrderCorrelationTable" hidden="1">"FALSE"</definedName>
    <definedName name="STWBD_StatToolsCorrAndCovar_TableStructure" hidden="1">" 2"</definedName>
    <definedName name="STWBD_StatToolsCorrAndCovar_VariableList" hidden="1">14</definedName>
    <definedName name="STWBD_StatToolsCorrAndCovar_VariableList_1" hidden="1">"U_x0001_VG2F92A95C20787F35_x0001_"</definedName>
    <definedName name="STWBD_StatToolsCorrAndCovar_VariableList_10" hidden="1">"U_x0001_VG2694F9DE68DFC63_x0001_"</definedName>
    <definedName name="STWBD_StatToolsCorrAndCovar_VariableList_11" hidden="1">"U_x0001_VG2E170C6930925CC4_x0001_"</definedName>
    <definedName name="STWBD_StatToolsCorrAndCovar_VariableList_12" hidden="1">"U_x0001_VG11A43CE238812E67_x0001_"</definedName>
    <definedName name="STWBD_StatToolsCorrAndCovar_VariableList_13" hidden="1">"U_x0001_VG20FDA70337694A67_x0001_"</definedName>
    <definedName name="STWBD_StatToolsCorrAndCovar_VariableList_14" hidden="1">"U_x0001_VG90AF7C1C71BC3C_x0001_"</definedName>
    <definedName name="STWBD_StatToolsCorrAndCovar_VariableList_2" hidden="1">"U_x0001_VG1FD56FB38B92C9F_x0001_"</definedName>
    <definedName name="STWBD_StatToolsCorrAndCovar_VariableList_3" hidden="1">"U_x0001_VG363BBC9C2ADDD098_x0001_"</definedName>
    <definedName name="STWBD_StatToolsCorrAndCovar_VariableList_4" hidden="1">"U_x0001_VG35BE7129C99C5AC_x0001_"</definedName>
    <definedName name="STWBD_StatToolsCorrAndCovar_VariableList_5" hidden="1">"U_x0001_VG19FA0CF736ED75D0_x0001_"</definedName>
    <definedName name="STWBD_StatToolsCorrAndCovar_VariableList_6" hidden="1">"U_x0001_VG3514F26130051CC5_x0001_"</definedName>
    <definedName name="STWBD_StatToolsCorrAndCovar_VariableList_7" hidden="1">"U_x0001_VG2426D309307B902A_x0001_"</definedName>
    <definedName name="STWBD_StatToolsCorrAndCovar_VariableList_8" hidden="1">"U_x0001_VG1AF60878E35E7_x0001_"</definedName>
    <definedName name="STWBD_StatToolsCorrAndCovar_VariableList_9" hidden="1">"U_x0001_VGE7BC90624ACBC53_x0001_"</definedName>
    <definedName name="STWBD_StatToolsCorrAndCovar_VarSelectorDefaultDataSet" hidden="1">"DG1FBE0DA0"</definedName>
    <definedName name="STWBD_StatToolsHypothesisTest_AnalysisType" hidden="1">" 1"</definedName>
    <definedName name="STWBD_StatToolsHypothesisTest_DefaultDataFormat" hidden="1">" 0"</definedName>
    <definedName name="STWBD_StatToolsHypothesisTest_HasDefaultInfo" hidden="1">"TRUE"</definedName>
    <definedName name="STWBD_StatToolsHypothesisTest_InputType" hidden="1">" 0"</definedName>
    <definedName name="STWBD_StatToolsHypothesisTest_KnownPopulationStdDev" hidden="1">"FALSE"</definedName>
    <definedName name="STWBD_StatToolsHypothesisTest_MeanAlternativeType" hidden="1">" 1"</definedName>
    <definedName name="STWBD_StatToolsHypothesisTest_MeanNullValue" hidden="1">" 0"</definedName>
    <definedName name="STWBD_StatToolsHypothesisTest_MeanValueList" hidden="1">0</definedName>
    <definedName name="STWBD_StatToolsHypothesisTest_PerformFTest" hidden="1">"FALSE"</definedName>
    <definedName name="STWBD_StatToolsHypothesisTest_PerformMeanTest" hidden="1">"TRUE"</definedName>
    <definedName name="STWBD_StatToolsHypothesisTest_PerformStdDevTest" hidden="1">"FALSE"</definedName>
    <definedName name="STWBD_StatToolsHypothesisTest_SampleSizeValueList" hidden="1">0</definedName>
    <definedName name="STWBD_StatToolsHypothesisTest_SelectedVariableNameList" hidden="1">1</definedName>
    <definedName name="STWBD_StatToolsHypothesisTest_SelectedVariableNameList_1" hidden="1">"-1"</definedName>
    <definedName name="STWBD_StatToolsHypothesisTest_StdDevAlternativeType" hidden="1">" 0"</definedName>
    <definedName name="STWBD_StatToolsHypothesisTest_StdDevNullValue" hidden="1">" 1"</definedName>
    <definedName name="STWBD_StatToolsHypothesisTest_StdDevValueList" hidden="1">0</definedName>
    <definedName name="STWBD_StatToolsHypothesisTest_VariableList" hidden="1">2</definedName>
    <definedName name="STWBD_StatToolsHypothesisTest_VariableList_1" hidden="1">"U_x0001_VG1D9803B4A4D2B80_x0001_"</definedName>
    <definedName name="STWBD_StatToolsHypothesisTest_VariableList_2" hidden="1">"U_x0001_VGC127A7C18FDC755_x0001_"</definedName>
    <definedName name="STWBD_StatToolsHypothesisTest_VariableNameList" hidden="1">0</definedName>
    <definedName name="STWBD_StatToolsHypothesisTest_VariableSet" hidden="1">"Variable Set #1"</definedName>
    <definedName name="STWBD_StatToolsHypothesisTest_VarSelectorDefaultDataSet" hidden="1">"DG2BBB1ECF"</definedName>
    <definedName name="STWBD_StatToolsRegression_blockList" hidden="1">"-1"</definedName>
    <definedName name="STWBD_StatToolsRegression_CheckMulticollinearity" hidden="1">"FALSE"</definedName>
    <definedName name="STWBD_StatToolsRegression_ConfidenceLevel" hidden="1">" .95"</definedName>
    <definedName name="STWBD_StatToolsRegression_DisplayCorrelationMatrix" hidden="1">"FALSE"</definedName>
    <definedName name="STWBD_StatToolsRegression_DisplayRegressionEquation" hidden="1">"FALSE"</definedName>
    <definedName name="STWBD_StatToolsRegression_FixVariables" hidden="1">"FALSE"</definedName>
    <definedName name="STWBD_StatToolsRegression_fixVarList" hidden="1">"-1"</definedName>
    <definedName name="STWBD_StatToolsRegression_FValueToEnter" hidden="1">" 2.2"</definedName>
    <definedName name="STWBD_StatToolsRegression_FValueToLeave" hidden="1">" 1.1"</definedName>
    <definedName name="STWBD_StatToolsRegression_GraphFittedValueVsActualYValue" hidden="1">"FALSE"</definedName>
    <definedName name="STWBD_StatToolsRegression_GraphFittedValueVsXValue" hidden="1">"FALSE"</definedName>
    <definedName name="STWBD_StatToolsRegression_GraphHistogramOfResiduals" hidden="1">"FALSE"</definedName>
    <definedName name="STWBD_StatToolsRegression_GraphResidualVsFittedValue" hidden="1">"FALSE"</definedName>
    <definedName name="STWBD_StatToolsRegression_GraphResidualVsOrderIndex" hidden="1">"FALSE"</definedName>
    <definedName name="STWBD_StatToolsRegression_GraphResidualVsXValue" hidden="1">"FALSE"</definedName>
    <definedName name="STWBD_StatToolsRegression_HasDefaultInfo" hidden="1">"TRUE"</definedName>
    <definedName name="STWBD_StatToolsRegression_IdentifyOutliersInDataSet" hidden="1">"FALSE"</definedName>
    <definedName name="STWBD_StatToolsRegression_IdentifyOutliersInGraphs" hidden="1">"FALSE"</definedName>
    <definedName name="STWBD_StatToolsRegression_IncludeDerivedVariables" hidden="1">"FALSE"</definedName>
    <definedName name="STWBD_StatToolsRegression_IncludePrediction" hidden="1">"FALSE"</definedName>
    <definedName name="STWBD_StatToolsRegression_IncludeSteps" hidden="1">"FALSE"</definedName>
    <definedName name="STWBD_StatToolsRegression_NumberOfBlocks" hidden="1">" 2"</definedName>
    <definedName name="STWBD_StatToolsRegression_pValueToEnter" hidden="1">" .05"</definedName>
    <definedName name="STWBD_StatToolsRegression_pValueToLeave" hidden="1">" .1"</definedName>
    <definedName name="STWBD_StatToolsRegression_RegressionType" hidden="1">" 0"</definedName>
    <definedName name="STWBD_StatToolsRegression_StandardizeNumericVariables" hidden="1">"FALSE"</definedName>
    <definedName name="STWBD_StatToolsRegression_throughOrigin" hidden="1">"FALSE"</definedName>
    <definedName name="STWBD_StatToolsRegression_useFValue" hidden="1">"FALSE"</definedName>
    <definedName name="STWBD_StatToolsRegression_usePValue" hidden="1">"TRUE"</definedName>
    <definedName name="STWBD_StatToolsRegression_VariableDependent" hidden="1">"U_x0001_VG381047F910FB840_x0001_"</definedName>
    <definedName name="STWBD_StatToolsRegression_VariableListIndependent" hidden="1">3</definedName>
    <definedName name="STWBD_StatToolsRegression_VariableListIndependent_1" hidden="1">"U_x0001_VG12B4391F28D7B863_x0001_"</definedName>
    <definedName name="STWBD_StatToolsRegression_VariableListIndependent_2" hidden="1">"U_x0001_VGDF11F6F6104612_x0001_"</definedName>
    <definedName name="STWBD_StatToolsRegression_VariableListIndependent_3" hidden="1">"U_x0001_VG1D7F2A4E7C80E3_x0001_"</definedName>
    <definedName name="STWBD_StatToolsRegression_VarSelectorDefaultDataSet" hidden="1">"DG1FBE0DA0"</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9" i="14" l="1"/>
  <c r="B9" i="15"/>
  <c r="B9" i="13"/>
  <c r="B16" i="15"/>
  <c r="B13" i="15"/>
  <c r="B7" i="15"/>
  <c r="B3" i="15"/>
  <c r="B76" i="14"/>
  <c r="B73" i="14"/>
  <c r="B70" i="14"/>
  <c r="B67" i="14"/>
  <c r="B64" i="14"/>
  <c r="B61" i="14"/>
  <c r="B58" i="14"/>
  <c r="B55" i="14"/>
  <c r="B52" i="14"/>
  <c r="B49" i="14"/>
  <c r="B46" i="14"/>
  <c r="B43" i="14"/>
  <c r="B40" i="14"/>
  <c r="B37" i="14"/>
  <c r="B34" i="14"/>
  <c r="B31" i="14"/>
  <c r="B28" i="14"/>
  <c r="B25" i="14"/>
  <c r="B22" i="14"/>
  <c r="B19" i="14"/>
  <c r="B16" i="14"/>
  <c r="B13" i="14"/>
  <c r="B7" i="14"/>
  <c r="B3" i="14"/>
  <c r="B76" i="13"/>
  <c r="B73" i="13"/>
  <c r="B70" i="13"/>
  <c r="B67" i="13"/>
  <c r="B64" i="13"/>
  <c r="B61" i="13"/>
  <c r="B58" i="13"/>
  <c r="B55" i="13"/>
  <c r="B52" i="13"/>
  <c r="B49" i="13"/>
  <c r="B46" i="13"/>
  <c r="B43" i="13"/>
  <c r="B40" i="13"/>
  <c r="B37" i="13"/>
  <c r="B34" i="13"/>
  <c r="B31" i="13"/>
  <c r="B28" i="13"/>
  <c r="B25" i="13"/>
  <c r="B22" i="13"/>
  <c r="B19" i="13"/>
  <c r="B16" i="13"/>
  <c r="B13" i="13"/>
  <c r="B7" i="13"/>
  <c r="B3" i="13"/>
  <c r="V3" i="2"/>
  <c r="V11" i="2"/>
  <c r="V19" i="2"/>
  <c r="V27" i="2"/>
  <c r="V35" i="2"/>
  <c r="V43" i="2"/>
  <c r="V51" i="2"/>
  <c r="V59" i="2"/>
  <c r="V67" i="2"/>
  <c r="V75" i="2"/>
  <c r="V83" i="2"/>
  <c r="V91" i="2"/>
  <c r="V99" i="2"/>
  <c r="V107" i="2"/>
  <c r="V115" i="2"/>
  <c r="V123" i="2"/>
  <c r="V131" i="2"/>
  <c r="V139" i="2"/>
  <c r="V147" i="2"/>
  <c r="V155" i="2"/>
  <c r="V163" i="2"/>
  <c r="V171" i="2"/>
  <c r="V179" i="2"/>
  <c r="U4" i="2"/>
  <c r="U12" i="2"/>
  <c r="U20" i="2"/>
  <c r="U28" i="2"/>
  <c r="U36" i="2"/>
  <c r="U44" i="2"/>
  <c r="U52" i="2"/>
  <c r="U60" i="2"/>
  <c r="U68" i="2"/>
  <c r="U76" i="2"/>
  <c r="U84" i="2"/>
  <c r="U92" i="2"/>
  <c r="U100" i="2"/>
  <c r="U108" i="2"/>
  <c r="U116" i="2"/>
  <c r="U124" i="2"/>
  <c r="U132" i="2"/>
  <c r="U140" i="2"/>
  <c r="U148" i="2"/>
  <c r="U156" i="2"/>
  <c r="U164" i="2"/>
  <c r="U172" i="2"/>
  <c r="U180" i="2"/>
  <c r="T3" i="2"/>
  <c r="T5" i="2"/>
  <c r="T7" i="2"/>
  <c r="T11" i="2"/>
  <c r="T13" i="2"/>
  <c r="T15" i="2"/>
  <c r="T19" i="2"/>
  <c r="T21" i="2"/>
  <c r="T23" i="2"/>
  <c r="T27" i="2"/>
  <c r="T29" i="2"/>
  <c r="T31" i="2"/>
  <c r="T35" i="2"/>
  <c r="T37" i="2"/>
  <c r="T39" i="2"/>
  <c r="T43" i="2"/>
  <c r="T45" i="2"/>
  <c r="T47" i="2"/>
  <c r="T51" i="2"/>
  <c r="T53" i="2"/>
  <c r="T55" i="2"/>
  <c r="T59" i="2"/>
  <c r="T61" i="2"/>
  <c r="T63" i="2"/>
  <c r="T67" i="2"/>
  <c r="T69" i="2"/>
  <c r="T71" i="2"/>
  <c r="T75" i="2"/>
  <c r="T77" i="2"/>
  <c r="T79" i="2"/>
  <c r="T83" i="2"/>
  <c r="T85" i="2"/>
  <c r="T87" i="2"/>
  <c r="T91" i="2"/>
  <c r="T93" i="2"/>
  <c r="T95" i="2"/>
  <c r="T101" i="2"/>
  <c r="T103" i="2"/>
  <c r="T109" i="2"/>
  <c r="T111" i="2"/>
  <c r="T117" i="2"/>
  <c r="T119" i="2"/>
  <c r="T125" i="2"/>
  <c r="T133" i="2"/>
  <c r="T141" i="2"/>
  <c r="T149" i="2"/>
  <c r="T157" i="2"/>
  <c r="T165" i="2"/>
  <c r="T173" i="2"/>
  <c r="T181" i="2"/>
  <c r="S3" i="2"/>
  <c r="U3" i="2" s="1"/>
  <c r="S4" i="2"/>
  <c r="V4" i="2" s="1"/>
  <c r="S5" i="2"/>
  <c r="U5" i="2" s="1"/>
  <c r="S6" i="2"/>
  <c r="T6" i="2" s="1"/>
  <c r="S7" i="2"/>
  <c r="U7" i="2" s="1"/>
  <c r="S8" i="2"/>
  <c r="T8" i="2" s="1"/>
  <c r="S9" i="2"/>
  <c r="T9" i="2" s="1"/>
  <c r="S10" i="2"/>
  <c r="T10" i="2" s="1"/>
  <c r="S11" i="2"/>
  <c r="U11" i="2" s="1"/>
  <c r="S12" i="2"/>
  <c r="V12" i="2" s="1"/>
  <c r="S13" i="2"/>
  <c r="U13" i="2" s="1"/>
  <c r="S14" i="2"/>
  <c r="T14" i="2" s="1"/>
  <c r="S15" i="2"/>
  <c r="U15" i="2" s="1"/>
  <c r="S16" i="2"/>
  <c r="T16" i="2" s="1"/>
  <c r="S17" i="2"/>
  <c r="T17" i="2" s="1"/>
  <c r="S18" i="2"/>
  <c r="T18" i="2" s="1"/>
  <c r="S19" i="2"/>
  <c r="U19" i="2" s="1"/>
  <c r="S20" i="2"/>
  <c r="V20" i="2" s="1"/>
  <c r="S21" i="2"/>
  <c r="U21" i="2" s="1"/>
  <c r="S22" i="2"/>
  <c r="T22" i="2" s="1"/>
  <c r="S23" i="2"/>
  <c r="U23" i="2" s="1"/>
  <c r="S24" i="2"/>
  <c r="T24" i="2" s="1"/>
  <c r="S25" i="2"/>
  <c r="T25" i="2" s="1"/>
  <c r="S26" i="2"/>
  <c r="T26" i="2" s="1"/>
  <c r="S27" i="2"/>
  <c r="U27" i="2" s="1"/>
  <c r="S28" i="2"/>
  <c r="V28" i="2" s="1"/>
  <c r="S29" i="2"/>
  <c r="U29" i="2" s="1"/>
  <c r="S30" i="2"/>
  <c r="T30" i="2" s="1"/>
  <c r="S31" i="2"/>
  <c r="U31" i="2" s="1"/>
  <c r="S32" i="2"/>
  <c r="T32" i="2" s="1"/>
  <c r="S33" i="2"/>
  <c r="T33" i="2" s="1"/>
  <c r="S34" i="2"/>
  <c r="T34" i="2" s="1"/>
  <c r="S35" i="2"/>
  <c r="U35" i="2" s="1"/>
  <c r="S36" i="2"/>
  <c r="V36" i="2" s="1"/>
  <c r="S37" i="2"/>
  <c r="U37" i="2" s="1"/>
  <c r="S38" i="2"/>
  <c r="T38" i="2" s="1"/>
  <c r="S39" i="2"/>
  <c r="U39" i="2" s="1"/>
  <c r="S40" i="2"/>
  <c r="T40" i="2" s="1"/>
  <c r="S41" i="2"/>
  <c r="T41" i="2" s="1"/>
  <c r="S42" i="2"/>
  <c r="T42" i="2" s="1"/>
  <c r="S43" i="2"/>
  <c r="U43" i="2" s="1"/>
  <c r="S44" i="2"/>
  <c r="V44" i="2" s="1"/>
  <c r="S45" i="2"/>
  <c r="U45" i="2" s="1"/>
  <c r="S46" i="2"/>
  <c r="T46" i="2" s="1"/>
  <c r="S47" i="2"/>
  <c r="U47" i="2" s="1"/>
  <c r="S48" i="2"/>
  <c r="T48" i="2" s="1"/>
  <c r="S49" i="2"/>
  <c r="T49" i="2" s="1"/>
  <c r="S50" i="2"/>
  <c r="T50" i="2" s="1"/>
  <c r="S51" i="2"/>
  <c r="U51" i="2" s="1"/>
  <c r="S52" i="2"/>
  <c r="V52" i="2" s="1"/>
  <c r="S53" i="2"/>
  <c r="U53" i="2" s="1"/>
  <c r="S54" i="2"/>
  <c r="T54" i="2" s="1"/>
  <c r="S55" i="2"/>
  <c r="U55" i="2" s="1"/>
  <c r="S56" i="2"/>
  <c r="T56" i="2" s="1"/>
  <c r="S57" i="2"/>
  <c r="T57" i="2" s="1"/>
  <c r="S58" i="2"/>
  <c r="T58" i="2" s="1"/>
  <c r="S59" i="2"/>
  <c r="U59" i="2" s="1"/>
  <c r="S60" i="2"/>
  <c r="V60" i="2" s="1"/>
  <c r="S61" i="2"/>
  <c r="U61" i="2" s="1"/>
  <c r="S62" i="2"/>
  <c r="T62" i="2" s="1"/>
  <c r="S63" i="2"/>
  <c r="U63" i="2" s="1"/>
  <c r="S64" i="2"/>
  <c r="T64" i="2" s="1"/>
  <c r="S65" i="2"/>
  <c r="T65" i="2" s="1"/>
  <c r="S66" i="2"/>
  <c r="T66" i="2" s="1"/>
  <c r="S67" i="2"/>
  <c r="S68" i="2"/>
  <c r="V68" i="2" s="1"/>
  <c r="S69" i="2"/>
  <c r="U69" i="2" s="1"/>
  <c r="S70" i="2"/>
  <c r="T70" i="2" s="1"/>
  <c r="S71" i="2"/>
  <c r="U71" i="2" s="1"/>
  <c r="S72" i="2"/>
  <c r="T72" i="2" s="1"/>
  <c r="S73" i="2"/>
  <c r="T73" i="2" s="1"/>
  <c r="S74" i="2"/>
  <c r="T74" i="2" s="1"/>
  <c r="S75" i="2"/>
  <c r="U75" i="2" s="1"/>
  <c r="S76" i="2"/>
  <c r="V76" i="2" s="1"/>
  <c r="S77" i="2"/>
  <c r="U77" i="2" s="1"/>
  <c r="S78" i="2"/>
  <c r="T78" i="2" s="1"/>
  <c r="S79" i="2"/>
  <c r="U79" i="2" s="1"/>
  <c r="S80" i="2"/>
  <c r="T80" i="2" s="1"/>
  <c r="S81" i="2"/>
  <c r="T81" i="2" s="1"/>
  <c r="S82" i="2"/>
  <c r="T82" i="2" s="1"/>
  <c r="S83" i="2"/>
  <c r="U83" i="2" s="1"/>
  <c r="S84" i="2"/>
  <c r="V84" i="2" s="1"/>
  <c r="S85" i="2"/>
  <c r="U85" i="2" s="1"/>
  <c r="S86" i="2"/>
  <c r="T86" i="2" s="1"/>
  <c r="S87" i="2"/>
  <c r="U87" i="2" s="1"/>
  <c r="S88" i="2"/>
  <c r="T88" i="2" s="1"/>
  <c r="S89" i="2"/>
  <c r="T89" i="2" s="1"/>
  <c r="S90" i="2"/>
  <c r="T90" i="2" s="1"/>
  <c r="S91" i="2"/>
  <c r="U91" i="2" s="1"/>
  <c r="S92" i="2"/>
  <c r="V92" i="2" s="1"/>
  <c r="S93" i="2"/>
  <c r="U93" i="2" s="1"/>
  <c r="S94" i="2"/>
  <c r="T94" i="2" s="1"/>
  <c r="S95" i="2"/>
  <c r="U95" i="2" s="1"/>
  <c r="S96" i="2"/>
  <c r="T96" i="2" s="1"/>
  <c r="S97" i="2"/>
  <c r="T97" i="2" s="1"/>
  <c r="S98" i="2"/>
  <c r="T98" i="2" s="1"/>
  <c r="S99" i="2"/>
  <c r="T99" i="2" s="1"/>
  <c r="S100" i="2"/>
  <c r="V100" i="2" s="1"/>
  <c r="S101" i="2"/>
  <c r="U101" i="2" s="1"/>
  <c r="S102" i="2"/>
  <c r="T102" i="2" s="1"/>
  <c r="S103" i="2"/>
  <c r="U103" i="2" s="1"/>
  <c r="S104" i="2"/>
  <c r="T104" i="2" s="1"/>
  <c r="S105" i="2"/>
  <c r="T105" i="2" s="1"/>
  <c r="S106" i="2"/>
  <c r="T106" i="2" s="1"/>
  <c r="S107" i="2"/>
  <c r="T107" i="2" s="1"/>
  <c r="S108" i="2"/>
  <c r="V108" i="2" s="1"/>
  <c r="S109" i="2"/>
  <c r="U109" i="2" s="1"/>
  <c r="S110" i="2"/>
  <c r="T110" i="2" s="1"/>
  <c r="S111" i="2"/>
  <c r="U111" i="2" s="1"/>
  <c r="S112" i="2"/>
  <c r="T112" i="2" s="1"/>
  <c r="S113" i="2"/>
  <c r="T113" i="2" s="1"/>
  <c r="S114" i="2"/>
  <c r="T114" i="2" s="1"/>
  <c r="S115" i="2"/>
  <c r="T115" i="2" s="1"/>
  <c r="S116" i="2"/>
  <c r="V116" i="2" s="1"/>
  <c r="S117" i="2"/>
  <c r="U117" i="2" s="1"/>
  <c r="S118" i="2"/>
  <c r="T118" i="2" s="1"/>
  <c r="S119" i="2"/>
  <c r="U119" i="2" s="1"/>
  <c r="S120" i="2"/>
  <c r="T120" i="2" s="1"/>
  <c r="S121" i="2"/>
  <c r="T121" i="2" s="1"/>
  <c r="S122" i="2"/>
  <c r="T122" i="2" s="1"/>
  <c r="S123" i="2"/>
  <c r="T123" i="2" s="1"/>
  <c r="S124" i="2"/>
  <c r="V124" i="2" s="1"/>
  <c r="S125" i="2"/>
  <c r="U125" i="2" s="1"/>
  <c r="S126" i="2"/>
  <c r="T126" i="2" s="1"/>
  <c r="S127" i="2"/>
  <c r="T127" i="2" s="1"/>
  <c r="S128" i="2"/>
  <c r="T128" i="2" s="1"/>
  <c r="S129" i="2"/>
  <c r="T129" i="2" s="1"/>
  <c r="S130" i="2"/>
  <c r="T130" i="2" s="1"/>
  <c r="S131" i="2"/>
  <c r="T131" i="2" s="1"/>
  <c r="S132" i="2"/>
  <c r="V132" i="2" s="1"/>
  <c r="S133" i="2"/>
  <c r="U133" i="2" s="1"/>
  <c r="S134" i="2"/>
  <c r="T134" i="2" s="1"/>
  <c r="S135" i="2"/>
  <c r="T135" i="2" s="1"/>
  <c r="S136" i="2"/>
  <c r="T136" i="2" s="1"/>
  <c r="S137" i="2"/>
  <c r="T137" i="2" s="1"/>
  <c r="S138" i="2"/>
  <c r="T138" i="2" s="1"/>
  <c r="S139" i="2"/>
  <c r="T139" i="2" s="1"/>
  <c r="S140" i="2"/>
  <c r="V140" i="2" s="1"/>
  <c r="S141" i="2"/>
  <c r="U141" i="2" s="1"/>
  <c r="S142" i="2"/>
  <c r="T142" i="2" s="1"/>
  <c r="S143" i="2"/>
  <c r="T143" i="2" s="1"/>
  <c r="S144" i="2"/>
  <c r="T144" i="2" s="1"/>
  <c r="S145" i="2"/>
  <c r="T145" i="2" s="1"/>
  <c r="S146" i="2"/>
  <c r="T146" i="2" s="1"/>
  <c r="S147" i="2"/>
  <c r="T147" i="2" s="1"/>
  <c r="S148" i="2"/>
  <c r="V148" i="2" s="1"/>
  <c r="S149" i="2"/>
  <c r="U149" i="2" s="1"/>
  <c r="S150" i="2"/>
  <c r="T150" i="2" s="1"/>
  <c r="S151" i="2"/>
  <c r="T151" i="2" s="1"/>
  <c r="S152" i="2"/>
  <c r="T152" i="2" s="1"/>
  <c r="S153" i="2"/>
  <c r="T153" i="2" s="1"/>
  <c r="S154" i="2"/>
  <c r="T154" i="2" s="1"/>
  <c r="S155" i="2"/>
  <c r="T155" i="2" s="1"/>
  <c r="S156" i="2"/>
  <c r="V156" i="2" s="1"/>
  <c r="S157" i="2"/>
  <c r="U157" i="2" s="1"/>
  <c r="S158" i="2"/>
  <c r="T158" i="2" s="1"/>
  <c r="S159" i="2"/>
  <c r="T159" i="2" s="1"/>
  <c r="S160" i="2"/>
  <c r="T160" i="2" s="1"/>
  <c r="S161" i="2"/>
  <c r="T161" i="2" s="1"/>
  <c r="S162" i="2"/>
  <c r="T162" i="2" s="1"/>
  <c r="S163" i="2"/>
  <c r="T163" i="2" s="1"/>
  <c r="S164" i="2"/>
  <c r="V164" i="2" s="1"/>
  <c r="S165" i="2"/>
  <c r="U165" i="2" s="1"/>
  <c r="S166" i="2"/>
  <c r="T166" i="2" s="1"/>
  <c r="S167" i="2"/>
  <c r="T167" i="2" s="1"/>
  <c r="S168" i="2"/>
  <c r="T168" i="2" s="1"/>
  <c r="S169" i="2"/>
  <c r="T169" i="2" s="1"/>
  <c r="S170" i="2"/>
  <c r="T170" i="2" s="1"/>
  <c r="S171" i="2"/>
  <c r="T171" i="2" s="1"/>
  <c r="S172" i="2"/>
  <c r="V172" i="2" s="1"/>
  <c r="S173" i="2"/>
  <c r="U173" i="2" s="1"/>
  <c r="S174" i="2"/>
  <c r="T174" i="2" s="1"/>
  <c r="S175" i="2"/>
  <c r="T175" i="2" s="1"/>
  <c r="S176" i="2"/>
  <c r="T176" i="2" s="1"/>
  <c r="S177" i="2"/>
  <c r="T177" i="2" s="1"/>
  <c r="S178" i="2"/>
  <c r="T178" i="2" s="1"/>
  <c r="S179" i="2"/>
  <c r="T179" i="2" s="1"/>
  <c r="S180" i="2"/>
  <c r="V180" i="2" s="1"/>
  <c r="S181" i="2"/>
  <c r="U181" i="2" s="1"/>
  <c r="S182" i="2"/>
  <c r="T182" i="2" s="1"/>
  <c r="S183" i="2"/>
  <c r="T183" i="2" s="1"/>
  <c r="S184" i="2"/>
  <c r="T184" i="2" s="1"/>
  <c r="S2" i="2"/>
  <c r="T2" i="2" s="1"/>
  <c r="R10" i="9"/>
  <c r="Q10" i="9"/>
  <c r="B9" i="3"/>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2" i="1"/>
  <c r="AJ16" i="2"/>
  <c r="AB16" i="2"/>
  <c r="AF15" i="2"/>
  <c r="X15" i="2"/>
  <c r="AC13" i="2"/>
  <c r="AD12" i="2"/>
  <c r="AD11" i="2"/>
  <c r="AA9" i="2"/>
  <c r="Y5" i="2"/>
  <c r="AH14" i="2"/>
  <c r="AB10" i="2"/>
  <c r="AH16" i="2"/>
  <c r="Z16" i="2"/>
  <c r="AD15" i="2"/>
  <c r="AG14" i="2"/>
  <c r="Y14" i="2"/>
  <c r="AA13" i="2"/>
  <c r="AB12" i="2"/>
  <c r="AB11" i="2"/>
  <c r="AA10" i="2"/>
  <c r="Y9" i="2"/>
  <c r="Z7" i="2"/>
  <c r="X4" i="2"/>
  <c r="AF16" i="2"/>
  <c r="AB15" i="2"/>
  <c r="AG13" i="2"/>
  <c r="Z12" i="2"/>
  <c r="Y10" i="2"/>
  <c r="X7" i="2"/>
  <c r="AI15" i="2"/>
  <c r="AD14" i="2"/>
  <c r="X13" i="2"/>
  <c r="X10" i="2"/>
  <c r="AA16" i="2"/>
  <c r="AC12" i="2"/>
  <c r="X5" i="2"/>
  <c r="AG16" i="2"/>
  <c r="Y16" i="2"/>
  <c r="AC15" i="2"/>
  <c r="AF14" i="2"/>
  <c r="X14" i="2"/>
  <c r="Z13" i="2"/>
  <c r="AA12" i="2"/>
  <c r="AA11" i="2"/>
  <c r="Z10" i="2"/>
  <c r="X9" i="2"/>
  <c r="Y7" i="2"/>
  <c r="X16" i="2"/>
  <c r="AE14" i="2"/>
  <c r="Y13" i="2"/>
  <c r="Z11" i="2"/>
  <c r="AB8" i="2"/>
  <c r="AE16" i="2"/>
  <c r="AF13" i="2"/>
  <c r="Y12" i="2"/>
  <c r="AA8" i="2"/>
  <c r="Z14" i="2"/>
  <c r="Z9" i="2"/>
  <c r="AA15" i="2"/>
  <c r="Y11" i="2"/>
  <c r="Z6" i="2"/>
  <c r="AE15" i="2"/>
  <c r="AC11" i="2"/>
  <c r="AD16" i="2"/>
  <c r="AH15" i="2"/>
  <c r="Z15" i="2"/>
  <c r="AC14" i="2"/>
  <c r="AE13" i="2"/>
  <c r="AF12" i="2"/>
  <c r="X12" i="2"/>
  <c r="X11" i="2"/>
  <c r="AC9" i="2"/>
  <c r="Z8" i="2"/>
  <c r="Y6" i="2"/>
  <c r="AC16" i="2"/>
  <c r="AG15" i="2"/>
  <c r="Y15" i="2"/>
  <c r="AB14" i="2"/>
  <c r="AD13" i="2"/>
  <c r="AE12" i="2"/>
  <c r="AE11" i="2"/>
  <c r="AD10" i="2"/>
  <c r="AB9" i="2"/>
  <c r="Y8" i="2"/>
  <c r="X6" i="2"/>
  <c r="AA14" i="2"/>
  <c r="AC10" i="2"/>
  <c r="X8" i="2"/>
  <c r="AI16" i="2"/>
  <c r="AB13" i="2"/>
  <c r="AA7" i="2"/>
  <c r="R5" i="9"/>
  <c r="R3" i="9"/>
  <c r="Q5" i="9"/>
  <c r="R4" i="9"/>
  <c r="Q4" i="9"/>
  <c r="Q3" i="9"/>
  <c r="AL17" i="1"/>
  <c r="AD17" i="1"/>
  <c r="AI16" i="1"/>
  <c r="AA16" i="1"/>
  <c r="AE15" i="1"/>
  <c r="AH14" i="1"/>
  <c r="Z14" i="1"/>
  <c r="AC11" i="1"/>
  <c r="AA7" i="1"/>
  <c r="AG14" i="1"/>
  <c r="AA10" i="1"/>
  <c r="AK17" i="1"/>
  <c r="AJ17" i="1"/>
  <c r="AB17" i="1"/>
  <c r="AG16" i="1"/>
  <c r="Y16" i="1"/>
  <c r="AC15" i="1"/>
  <c r="AF14" i="1"/>
  <c r="AH13" i="1"/>
  <c r="Z13" i="1"/>
  <c r="AA12" i="1"/>
  <c r="AA11" i="1"/>
  <c r="Z10" i="1"/>
  <c r="AC8" i="1"/>
  <c r="Y7" i="1"/>
  <c r="AI17" i="1"/>
  <c r="AA17" i="1"/>
  <c r="AF16" i="1"/>
  <c r="AJ15" i="1"/>
  <c r="AB15" i="1"/>
  <c r="AE14" i="1"/>
  <c r="AG13" i="1"/>
  <c r="Y13" i="1"/>
  <c r="Z12" i="1"/>
  <c r="Z11" i="1"/>
  <c r="Y10" i="1"/>
  <c r="AB8" i="1"/>
  <c r="AA6" i="1"/>
  <c r="Z9" i="1"/>
  <c r="Z16" i="1"/>
  <c r="AA13" i="1"/>
  <c r="Z7" i="1"/>
  <c r="Y14" i="1"/>
  <c r="AH17" i="1"/>
  <c r="Z17" i="1"/>
  <c r="AE16" i="1"/>
  <c r="AI15" i="1"/>
  <c r="AA15" i="1"/>
  <c r="AD14" i="1"/>
  <c r="AF13" i="1"/>
  <c r="AG12" i="1"/>
  <c r="Y12" i="1"/>
  <c r="Y11" i="1"/>
  <c r="AD9" i="1"/>
  <c r="AA8" i="1"/>
  <c r="Z6" i="1"/>
  <c r="Y17" i="1"/>
  <c r="AD16" i="1"/>
  <c r="AH15" i="1"/>
  <c r="AC14" i="1"/>
  <c r="AE13" i="1"/>
  <c r="AF11" i="1"/>
  <c r="AC9" i="1"/>
  <c r="Y6" i="1"/>
  <c r="AC12" i="1"/>
  <c r="AH16" i="1"/>
  <c r="AB12" i="1"/>
  <c r="AG17" i="1"/>
  <c r="Z15" i="1"/>
  <c r="AF12" i="1"/>
  <c r="AE10" i="1"/>
  <c r="Z8" i="1"/>
  <c r="AB13" i="1"/>
  <c r="Y4" i="1"/>
  <c r="AD15" i="1"/>
  <c r="Y9" i="1"/>
  <c r="AF17" i="1"/>
  <c r="AK16" i="1"/>
  <c r="AC16" i="1"/>
  <c r="AG15" i="1"/>
  <c r="Y15" i="1"/>
  <c r="AB14" i="1"/>
  <c r="AD13" i="1"/>
  <c r="AE12" i="1"/>
  <c r="AE11" i="1"/>
  <c r="AD10" i="1"/>
  <c r="AB9" i="1"/>
  <c r="Y8" i="1"/>
  <c r="Z5" i="1"/>
  <c r="AE17" i="1"/>
  <c r="AJ16" i="1"/>
  <c r="AB16" i="1"/>
  <c r="AF15" i="1"/>
  <c r="AI14" i="1"/>
  <c r="AA14" i="1"/>
  <c r="AC13" i="1"/>
  <c r="AD12" i="1"/>
  <c r="AD11" i="1"/>
  <c r="AC10" i="1"/>
  <c r="AA9" i="1"/>
  <c r="AB7" i="1"/>
  <c r="Y5" i="1"/>
  <c r="AB10" i="1"/>
  <c r="AC17" i="1"/>
  <c r="AB11" i="1"/>
  <c r="T180" i="2" l="1"/>
  <c r="T172" i="2"/>
  <c r="T164" i="2"/>
  <c r="T156" i="2"/>
  <c r="T148" i="2"/>
  <c r="T140" i="2"/>
  <c r="T132" i="2"/>
  <c r="T124" i="2"/>
  <c r="T116" i="2"/>
  <c r="T108" i="2"/>
  <c r="T100" i="2"/>
  <c r="T92" i="2"/>
  <c r="T84" i="2"/>
  <c r="T76" i="2"/>
  <c r="T68" i="2"/>
  <c r="T60" i="2"/>
  <c r="T52" i="2"/>
  <c r="T44" i="2"/>
  <c r="T36" i="2"/>
  <c r="T28" i="2"/>
  <c r="T20" i="2"/>
  <c r="T12" i="2"/>
  <c r="T4" i="2"/>
  <c r="U179" i="2"/>
  <c r="U171" i="2"/>
  <c r="U163" i="2"/>
  <c r="U155" i="2"/>
  <c r="U147" i="2"/>
  <c r="U139" i="2"/>
  <c r="U131" i="2"/>
  <c r="U123" i="2"/>
  <c r="U115" i="2"/>
  <c r="U107" i="2"/>
  <c r="U99" i="2"/>
  <c r="U67" i="2"/>
  <c r="V178" i="2"/>
  <c r="V170" i="2"/>
  <c r="V162" i="2"/>
  <c r="V154" i="2"/>
  <c r="V146" i="2"/>
  <c r="V138" i="2"/>
  <c r="V130" i="2"/>
  <c r="V122" i="2"/>
  <c r="V114" i="2"/>
  <c r="V106" i="2"/>
  <c r="V98" i="2"/>
  <c r="V90" i="2"/>
  <c r="V82" i="2"/>
  <c r="V74" i="2"/>
  <c r="V66" i="2"/>
  <c r="V58" i="2"/>
  <c r="V50" i="2"/>
  <c r="V42" i="2"/>
  <c r="V34" i="2"/>
  <c r="V26" i="2"/>
  <c r="V18" i="2"/>
  <c r="V10" i="2"/>
  <c r="U178" i="2"/>
  <c r="U170" i="2"/>
  <c r="U162" i="2"/>
  <c r="U154" i="2"/>
  <c r="U146" i="2"/>
  <c r="U138" i="2"/>
  <c r="U130" i="2"/>
  <c r="U122" i="2"/>
  <c r="U114" i="2"/>
  <c r="U106" i="2"/>
  <c r="U98" i="2"/>
  <c r="U90" i="2"/>
  <c r="U82" i="2"/>
  <c r="U74" i="2"/>
  <c r="U66" i="2"/>
  <c r="U58" i="2"/>
  <c r="U50" i="2"/>
  <c r="U42" i="2"/>
  <c r="U34" i="2"/>
  <c r="U26" i="2"/>
  <c r="U18" i="2"/>
  <c r="U10" i="2"/>
  <c r="V2" i="2"/>
  <c r="V177" i="2"/>
  <c r="V169" i="2"/>
  <c r="V161" i="2"/>
  <c r="V153" i="2"/>
  <c r="V145" i="2"/>
  <c r="V137" i="2"/>
  <c r="V129" i="2"/>
  <c r="V121" i="2"/>
  <c r="V113" i="2"/>
  <c r="V105" i="2"/>
  <c r="V97" i="2"/>
  <c r="V89" i="2"/>
  <c r="V81" i="2"/>
  <c r="V73" i="2"/>
  <c r="V65" i="2"/>
  <c r="V57" i="2"/>
  <c r="V49" i="2"/>
  <c r="V41" i="2"/>
  <c r="V33" i="2"/>
  <c r="V25" i="2"/>
  <c r="V17" i="2"/>
  <c r="V9" i="2"/>
  <c r="U2" i="2"/>
  <c r="U177" i="2"/>
  <c r="U169" i="2"/>
  <c r="U161" i="2"/>
  <c r="U153" i="2"/>
  <c r="U145" i="2"/>
  <c r="U137" i="2"/>
  <c r="U129" i="2"/>
  <c r="U121" i="2"/>
  <c r="U113" i="2"/>
  <c r="U105" i="2"/>
  <c r="U97" i="2"/>
  <c r="U89" i="2"/>
  <c r="U81" i="2"/>
  <c r="U73" i="2"/>
  <c r="U65" i="2"/>
  <c r="U57" i="2"/>
  <c r="U49" i="2"/>
  <c r="U41" i="2"/>
  <c r="U33" i="2"/>
  <c r="U25" i="2"/>
  <c r="U17" i="2"/>
  <c r="U9" i="2"/>
  <c r="V184" i="2"/>
  <c r="V176" i="2"/>
  <c r="V168" i="2"/>
  <c r="V160" i="2"/>
  <c r="V152" i="2"/>
  <c r="V144" i="2"/>
  <c r="V136" i="2"/>
  <c r="V128" i="2"/>
  <c r="V120" i="2"/>
  <c r="V112" i="2"/>
  <c r="V104" i="2"/>
  <c r="V96" i="2"/>
  <c r="V88" i="2"/>
  <c r="V80" i="2"/>
  <c r="V72" i="2"/>
  <c r="V64" i="2"/>
  <c r="V56" i="2"/>
  <c r="V48" i="2"/>
  <c r="V40" i="2"/>
  <c r="V32" i="2"/>
  <c r="V24" i="2"/>
  <c r="V16" i="2"/>
  <c r="V8" i="2"/>
  <c r="U184" i="2"/>
  <c r="U176" i="2"/>
  <c r="U168" i="2"/>
  <c r="U160" i="2"/>
  <c r="U152" i="2"/>
  <c r="U144" i="2"/>
  <c r="U136" i="2"/>
  <c r="U128" i="2"/>
  <c r="U120" i="2"/>
  <c r="U112" i="2"/>
  <c r="U104" i="2"/>
  <c r="U96" i="2"/>
  <c r="U88" i="2"/>
  <c r="U80" i="2"/>
  <c r="U72" i="2"/>
  <c r="U64" i="2"/>
  <c r="U56" i="2"/>
  <c r="U48" i="2"/>
  <c r="U40" i="2"/>
  <c r="U32" i="2"/>
  <c r="U24" i="2"/>
  <c r="U16" i="2"/>
  <c r="U8" i="2"/>
  <c r="V183" i="2"/>
  <c r="V175" i="2"/>
  <c r="V167" i="2"/>
  <c r="V159" i="2"/>
  <c r="V151" i="2"/>
  <c r="V143" i="2"/>
  <c r="V135" i="2"/>
  <c r="V127" i="2"/>
  <c r="V119" i="2"/>
  <c r="V111" i="2"/>
  <c r="V103" i="2"/>
  <c r="V95" i="2"/>
  <c r="V87" i="2"/>
  <c r="V79" i="2"/>
  <c r="V71" i="2"/>
  <c r="V63" i="2"/>
  <c r="V55" i="2"/>
  <c r="V47" i="2"/>
  <c r="V39" i="2"/>
  <c r="V31" i="2"/>
  <c r="V23" i="2"/>
  <c r="V15" i="2"/>
  <c r="V7" i="2"/>
  <c r="U183" i="2"/>
  <c r="U175" i="2"/>
  <c r="U167" i="2"/>
  <c r="U159" i="2"/>
  <c r="U151" i="2"/>
  <c r="U143" i="2"/>
  <c r="U135" i="2"/>
  <c r="U127" i="2"/>
  <c r="V182" i="2"/>
  <c r="V174" i="2"/>
  <c r="V166" i="2"/>
  <c r="V158" i="2"/>
  <c r="V150" i="2"/>
  <c r="V142" i="2"/>
  <c r="V134" i="2"/>
  <c r="V126" i="2"/>
  <c r="V118" i="2"/>
  <c r="V110" i="2"/>
  <c r="V102" i="2"/>
  <c r="V94" i="2"/>
  <c r="V86" i="2"/>
  <c r="V78" i="2"/>
  <c r="V70" i="2"/>
  <c r="V62" i="2"/>
  <c r="V54" i="2"/>
  <c r="V46" i="2"/>
  <c r="V38" i="2"/>
  <c r="V30" i="2"/>
  <c r="V22" i="2"/>
  <c r="V14" i="2"/>
  <c r="V6" i="2"/>
  <c r="U182" i="2"/>
  <c r="U174" i="2"/>
  <c r="U166" i="2"/>
  <c r="U158" i="2"/>
  <c r="U150" i="2"/>
  <c r="U142" i="2"/>
  <c r="U134" i="2"/>
  <c r="U126" i="2"/>
  <c r="U118" i="2"/>
  <c r="U110" i="2"/>
  <c r="U102" i="2"/>
  <c r="U94" i="2"/>
  <c r="U86" i="2"/>
  <c r="U78" i="2"/>
  <c r="U70" i="2"/>
  <c r="U62" i="2"/>
  <c r="U54" i="2"/>
  <c r="U46" i="2"/>
  <c r="U38" i="2"/>
  <c r="U30" i="2"/>
  <c r="U22" i="2"/>
  <c r="U14" i="2"/>
  <c r="U6" i="2"/>
  <c r="V181" i="2"/>
  <c r="V173" i="2"/>
  <c r="V165" i="2"/>
  <c r="V157" i="2"/>
  <c r="V149" i="2"/>
  <c r="V141" i="2"/>
  <c r="V133" i="2"/>
  <c r="V125" i="2"/>
  <c r="V117" i="2"/>
  <c r="V109" i="2"/>
  <c r="V101" i="2"/>
  <c r="V93" i="2"/>
  <c r="V85" i="2"/>
  <c r="V77" i="2"/>
  <c r="V69" i="2"/>
  <c r="V61" i="2"/>
  <c r="V53" i="2"/>
  <c r="V45" i="2"/>
  <c r="V37" i="2"/>
  <c r="V29" i="2"/>
  <c r="V21" i="2"/>
  <c r="V13" i="2"/>
  <c r="V5" i="2"/>
  <c r="Q13" i="9"/>
  <c r="Q12" i="9" s="1"/>
  <c r="R11" i="9"/>
  <c r="Q11" i="9"/>
  <c r="R12" i="9"/>
  <c r="R13" i="9" s="1"/>
  <c r="Q14" i="9" l="1"/>
  <c r="R14" i="9"/>
  <c r="Q15" i="9"/>
  <c r="R15" i="9"/>
  <c r="R16" i="9" l="1"/>
  <c r="R18" i="9"/>
  <c r="R17" i="9"/>
  <c r="Q17" i="9"/>
  <c r="Q18" i="9"/>
  <c r="Q16" i="9"/>
</calcChain>
</file>

<file path=xl/comments1.xml><?xml version="1.0" encoding="utf-8"?>
<comments xmlns="http://schemas.openxmlformats.org/spreadsheetml/2006/main">
  <authors>
    <author>Sam Roy</author>
  </authors>
  <commentList>
    <comment ref="AT1" authorId="0" shapeId="0">
      <text>
        <r>
          <rPr>
            <b/>
            <u/>
            <sz val="9"/>
            <color indexed="81"/>
            <rFont val="Tahoma"/>
            <family val="2"/>
          </rPr>
          <t>StatTools Note:</t>
        </r>
        <r>
          <rPr>
            <sz val="9"/>
            <color indexed="81"/>
            <rFont val="Tahoma"/>
            <family val="2"/>
          </rPr>
          <t xml:space="preserve">
This is the correlation between the actual Y values and the fitted Y values.</t>
        </r>
      </text>
    </comment>
    <comment ref="AX1" authorId="0" shapeId="0">
      <text>
        <r>
          <rPr>
            <b/>
            <u/>
            <sz val="9"/>
            <color indexed="81"/>
            <rFont val="Tahoma"/>
            <family val="2"/>
          </rPr>
          <t>StatTools Note:</t>
        </r>
        <r>
          <rPr>
            <sz val="9"/>
            <color indexed="81"/>
            <rFont val="Tahoma"/>
            <family val="2"/>
          </rPr>
          <t xml:space="preserve">
Number of records which had missing or invalid data and were ignored in this report.</t>
        </r>
      </text>
    </comment>
    <comment ref="AY1" authorId="0" shapeId="0">
      <text>
        <r>
          <rPr>
            <b/>
            <u/>
            <sz val="9"/>
            <color indexed="81"/>
            <rFont val="Tahoma"/>
            <family val="2"/>
          </rPr>
          <t>StatTools Note:</t>
        </r>
        <r>
          <rPr>
            <sz val="9"/>
            <color indexed="81"/>
            <rFont val="Tahoma"/>
            <family val="2"/>
          </rPr>
          <t xml:space="preserve">
An observation with a standardized residual greater than 3 (in absolute value) is deemed an outlier.</t>
        </r>
      </text>
    </comment>
    <comment ref="BB1" authorId="0" shapeId="0">
      <text>
        <r>
          <rPr>
            <b/>
            <u/>
            <sz val="9"/>
            <color indexed="81"/>
            <rFont val="Tahoma"/>
            <family val="2"/>
          </rPr>
          <t>StatTools Note:</t>
        </r>
        <r>
          <rPr>
            <sz val="9"/>
            <color indexed="81"/>
            <rFont val="Tahoma"/>
            <family val="2"/>
          </rPr>
          <t xml:space="preserve">
This is the correlation between the actual Y values and the fitted Y values.</t>
        </r>
      </text>
    </comment>
    <comment ref="BF1" authorId="0" shapeId="0">
      <text>
        <r>
          <rPr>
            <b/>
            <u/>
            <sz val="9"/>
            <color indexed="81"/>
            <rFont val="Tahoma"/>
            <family val="2"/>
          </rPr>
          <t>StatTools Note:</t>
        </r>
        <r>
          <rPr>
            <sz val="9"/>
            <color indexed="81"/>
            <rFont val="Tahoma"/>
            <family val="2"/>
          </rPr>
          <t xml:space="preserve">
Number of records which had missing or invalid data and were ignored in this report.</t>
        </r>
      </text>
    </comment>
    <comment ref="BG1" authorId="0" shapeId="0">
      <text>
        <r>
          <rPr>
            <b/>
            <u/>
            <sz val="9"/>
            <color indexed="81"/>
            <rFont val="Tahoma"/>
            <family val="2"/>
          </rPr>
          <t>StatTools Note:</t>
        </r>
        <r>
          <rPr>
            <sz val="9"/>
            <color indexed="81"/>
            <rFont val="Tahoma"/>
            <family val="2"/>
          </rPr>
          <t xml:space="preserve">
An observation with a standardized residual greater than 3 (in absolute value) is deemed an outlier.</t>
        </r>
      </text>
    </comment>
    <comment ref="BJ1" authorId="0" shapeId="0">
      <text>
        <r>
          <rPr>
            <b/>
            <u/>
            <sz val="9"/>
            <color indexed="81"/>
            <rFont val="Tahoma"/>
            <family val="2"/>
          </rPr>
          <t>StatTools Note:</t>
        </r>
        <r>
          <rPr>
            <sz val="9"/>
            <color indexed="81"/>
            <rFont val="Tahoma"/>
            <family val="2"/>
          </rPr>
          <t xml:space="preserve">
This is the correlation between the actual Y values and the fitted Y values.</t>
        </r>
      </text>
    </comment>
    <comment ref="BN1" authorId="0" shapeId="0">
      <text>
        <r>
          <rPr>
            <b/>
            <u/>
            <sz val="9"/>
            <color indexed="81"/>
            <rFont val="Tahoma"/>
            <family val="2"/>
          </rPr>
          <t>StatTools Note:</t>
        </r>
        <r>
          <rPr>
            <sz val="9"/>
            <color indexed="81"/>
            <rFont val="Tahoma"/>
            <family val="2"/>
          </rPr>
          <t xml:space="preserve">
Number of records which had missing or invalid data and were ignored in this report.</t>
        </r>
      </text>
    </comment>
    <comment ref="BO1" authorId="0" shapeId="0">
      <text>
        <r>
          <rPr>
            <b/>
            <u/>
            <sz val="9"/>
            <color indexed="81"/>
            <rFont val="Tahoma"/>
            <family val="2"/>
          </rPr>
          <t>StatTools Note:</t>
        </r>
        <r>
          <rPr>
            <sz val="9"/>
            <color indexed="81"/>
            <rFont val="Tahoma"/>
            <family val="2"/>
          </rPr>
          <t xml:space="preserve">
An observation with a standardized residual greater than 3 (in absolute value) is deemed an outlier.</t>
        </r>
      </text>
    </comment>
    <comment ref="BR1" authorId="0" shapeId="0">
      <text>
        <r>
          <rPr>
            <b/>
            <u/>
            <sz val="9"/>
            <color indexed="81"/>
            <rFont val="Tahoma"/>
            <family val="2"/>
          </rPr>
          <t>StatTools Note:</t>
        </r>
        <r>
          <rPr>
            <sz val="9"/>
            <color indexed="81"/>
            <rFont val="Tahoma"/>
            <family val="2"/>
          </rPr>
          <t xml:space="preserve">
This is the correlation between the actual Y values and the fitted Y values.</t>
        </r>
      </text>
    </comment>
    <comment ref="BV1" authorId="0" shapeId="0">
      <text>
        <r>
          <rPr>
            <b/>
            <u/>
            <sz val="9"/>
            <color indexed="81"/>
            <rFont val="Tahoma"/>
            <family val="2"/>
          </rPr>
          <t>StatTools Note:</t>
        </r>
        <r>
          <rPr>
            <sz val="9"/>
            <color indexed="81"/>
            <rFont val="Tahoma"/>
            <family val="2"/>
          </rPr>
          <t xml:space="preserve">
Number of records which had missing or invalid data and were ignored in this report.</t>
        </r>
      </text>
    </comment>
    <comment ref="BW1" authorId="0" shapeId="0">
      <text>
        <r>
          <rPr>
            <b/>
            <u/>
            <sz val="9"/>
            <color indexed="81"/>
            <rFont val="Tahoma"/>
            <family val="2"/>
          </rPr>
          <t>StatTools Note:</t>
        </r>
        <r>
          <rPr>
            <sz val="9"/>
            <color indexed="81"/>
            <rFont val="Tahoma"/>
            <family val="2"/>
          </rPr>
          <t xml:space="preserve">
An observation with a standardized residual greater than 3 (in absolute value) is deemed an outlier.</t>
        </r>
      </text>
    </comment>
    <comment ref="BZ1" authorId="0" shapeId="0">
      <text>
        <r>
          <rPr>
            <b/>
            <u/>
            <sz val="9"/>
            <color indexed="81"/>
            <rFont val="Tahoma"/>
            <family val="2"/>
          </rPr>
          <t>StatTools Note:</t>
        </r>
        <r>
          <rPr>
            <sz val="9"/>
            <color indexed="81"/>
            <rFont val="Tahoma"/>
            <family val="2"/>
          </rPr>
          <t xml:space="preserve">
This is the correlation between the actual Y values and the fitted Y values.</t>
        </r>
      </text>
    </comment>
    <comment ref="CD1" authorId="0" shapeId="0">
      <text>
        <r>
          <rPr>
            <b/>
            <u/>
            <sz val="9"/>
            <color indexed="81"/>
            <rFont val="Tahoma"/>
            <family val="2"/>
          </rPr>
          <t>StatTools Note:</t>
        </r>
        <r>
          <rPr>
            <sz val="9"/>
            <color indexed="81"/>
            <rFont val="Tahoma"/>
            <family val="2"/>
          </rPr>
          <t xml:space="preserve">
Number of records which had missing or invalid data and were ignored in this report.</t>
        </r>
      </text>
    </comment>
    <comment ref="CE1" authorId="0" shapeId="0">
      <text>
        <r>
          <rPr>
            <b/>
            <u/>
            <sz val="9"/>
            <color indexed="81"/>
            <rFont val="Tahoma"/>
            <family val="2"/>
          </rPr>
          <t>StatTools Note:</t>
        </r>
        <r>
          <rPr>
            <sz val="9"/>
            <color indexed="81"/>
            <rFont val="Tahoma"/>
            <family val="2"/>
          </rPr>
          <t xml:space="preserve">
An observation with a standardized residual greater than 3 (in absolute value) is deemed an outlier.</t>
        </r>
      </text>
    </comment>
    <comment ref="CH1" authorId="0" shapeId="0">
      <text>
        <r>
          <rPr>
            <b/>
            <u/>
            <sz val="9"/>
            <color indexed="81"/>
            <rFont val="Tahoma"/>
            <family val="2"/>
          </rPr>
          <t>StatTools Note:</t>
        </r>
        <r>
          <rPr>
            <sz val="9"/>
            <color indexed="81"/>
            <rFont val="Tahoma"/>
            <family val="2"/>
          </rPr>
          <t xml:space="preserve">
This is the correlation between the actual Y values and the fitted Y values.</t>
        </r>
      </text>
    </comment>
    <comment ref="CL1" authorId="0" shapeId="0">
      <text>
        <r>
          <rPr>
            <b/>
            <u/>
            <sz val="9"/>
            <color indexed="81"/>
            <rFont val="Tahoma"/>
            <family val="2"/>
          </rPr>
          <t>StatTools Note:</t>
        </r>
        <r>
          <rPr>
            <sz val="9"/>
            <color indexed="81"/>
            <rFont val="Tahoma"/>
            <family val="2"/>
          </rPr>
          <t xml:space="preserve">
Number of records which had missing or invalid data and were ignored in this report.</t>
        </r>
      </text>
    </comment>
    <comment ref="CM1" authorId="0" shapeId="0">
      <text>
        <r>
          <rPr>
            <b/>
            <u/>
            <sz val="9"/>
            <color indexed="81"/>
            <rFont val="Tahoma"/>
            <family val="2"/>
          </rPr>
          <t>StatTools Note:</t>
        </r>
        <r>
          <rPr>
            <sz val="9"/>
            <color indexed="81"/>
            <rFont val="Tahoma"/>
            <family val="2"/>
          </rPr>
          <t xml:space="preserve">
An observation with a standardized residual greater than 3 (in absolute value) is deemed an outlier.</t>
        </r>
      </text>
    </comment>
    <comment ref="CP1" authorId="0" shapeId="0">
      <text>
        <r>
          <rPr>
            <b/>
            <u/>
            <sz val="9"/>
            <color indexed="81"/>
            <rFont val="Tahoma"/>
            <family val="2"/>
          </rPr>
          <t>StatTools Note:</t>
        </r>
        <r>
          <rPr>
            <sz val="9"/>
            <color indexed="81"/>
            <rFont val="Tahoma"/>
            <family val="2"/>
          </rPr>
          <t xml:space="preserve">
This is the correlation between the actual Y values and the fitted Y values.</t>
        </r>
      </text>
    </comment>
    <comment ref="CT1" authorId="0" shapeId="0">
      <text>
        <r>
          <rPr>
            <b/>
            <u/>
            <sz val="9"/>
            <color indexed="81"/>
            <rFont val="Tahoma"/>
            <family val="2"/>
          </rPr>
          <t>StatTools Note:</t>
        </r>
        <r>
          <rPr>
            <sz val="9"/>
            <color indexed="81"/>
            <rFont val="Tahoma"/>
            <family val="2"/>
          </rPr>
          <t xml:space="preserve">
Number of records which had missing or invalid data and were ignored in this report.</t>
        </r>
      </text>
    </comment>
    <comment ref="CU1" authorId="0" shapeId="0">
      <text>
        <r>
          <rPr>
            <b/>
            <u/>
            <sz val="9"/>
            <color indexed="81"/>
            <rFont val="Tahoma"/>
            <family val="2"/>
          </rPr>
          <t>StatTools Note:</t>
        </r>
        <r>
          <rPr>
            <sz val="9"/>
            <color indexed="81"/>
            <rFont val="Tahoma"/>
            <family val="2"/>
          </rPr>
          <t xml:space="preserve">
An observation with a standardized residual greater than 3 (in absolute value) is deemed an outlier.</t>
        </r>
      </text>
    </comment>
    <comment ref="CY1" authorId="0" shapeId="0">
      <text>
        <r>
          <rPr>
            <b/>
            <u/>
            <sz val="9"/>
            <color indexed="81"/>
            <rFont val="Tahoma"/>
            <family val="2"/>
          </rPr>
          <t>StatTools Note:</t>
        </r>
        <r>
          <rPr>
            <sz val="9"/>
            <color indexed="81"/>
            <rFont val="Tahoma"/>
            <family val="2"/>
          </rPr>
          <t xml:space="preserve">
This is the correlation between the actual Y values and the fitted Y values.</t>
        </r>
      </text>
    </comment>
    <comment ref="DC1" authorId="0" shapeId="0">
      <text>
        <r>
          <rPr>
            <b/>
            <u/>
            <sz val="9"/>
            <color indexed="81"/>
            <rFont val="Tahoma"/>
            <family val="2"/>
          </rPr>
          <t>StatTools Note:</t>
        </r>
        <r>
          <rPr>
            <sz val="9"/>
            <color indexed="81"/>
            <rFont val="Tahoma"/>
            <family val="2"/>
          </rPr>
          <t xml:space="preserve">
Number of records which had missing or invalid data and were ignored in this report.</t>
        </r>
      </text>
    </comment>
    <comment ref="DD1" authorId="0" shapeId="0">
      <text>
        <r>
          <rPr>
            <b/>
            <u/>
            <sz val="9"/>
            <color indexed="81"/>
            <rFont val="Tahoma"/>
            <family val="2"/>
          </rPr>
          <t>StatTools Note:</t>
        </r>
        <r>
          <rPr>
            <sz val="9"/>
            <color indexed="81"/>
            <rFont val="Tahoma"/>
            <family val="2"/>
          </rPr>
          <t xml:space="preserve">
An observation with a standardized residual greater than 3 (in absolute value) is deemed an outlier.</t>
        </r>
      </text>
    </comment>
    <comment ref="DG1" authorId="0" shapeId="0">
      <text>
        <r>
          <rPr>
            <b/>
            <u/>
            <sz val="9"/>
            <color indexed="81"/>
            <rFont val="Tahoma"/>
            <family val="2"/>
          </rPr>
          <t>StatTools Note:</t>
        </r>
        <r>
          <rPr>
            <sz val="9"/>
            <color indexed="81"/>
            <rFont val="Tahoma"/>
            <family val="2"/>
          </rPr>
          <t xml:space="preserve">
This is the correlation between the actual Y values and the fitted Y values.</t>
        </r>
      </text>
    </comment>
    <comment ref="DK1" authorId="0" shapeId="0">
      <text>
        <r>
          <rPr>
            <b/>
            <u/>
            <sz val="9"/>
            <color indexed="81"/>
            <rFont val="Tahoma"/>
            <family val="2"/>
          </rPr>
          <t>StatTools Note:</t>
        </r>
        <r>
          <rPr>
            <sz val="9"/>
            <color indexed="81"/>
            <rFont val="Tahoma"/>
            <family val="2"/>
          </rPr>
          <t xml:space="preserve">
Number of records which had missing or invalid data and were ignored in this report.</t>
        </r>
      </text>
    </comment>
    <comment ref="DL1" authorId="0" shapeId="0">
      <text>
        <r>
          <rPr>
            <b/>
            <u/>
            <sz val="9"/>
            <color indexed="81"/>
            <rFont val="Tahoma"/>
            <family val="2"/>
          </rPr>
          <t>StatTools Note:</t>
        </r>
        <r>
          <rPr>
            <sz val="9"/>
            <color indexed="81"/>
            <rFont val="Tahoma"/>
            <family val="2"/>
          </rPr>
          <t xml:space="preserve">
An observation with a standardized residual greater than 3 (in absolute value) is deemed an outlier.</t>
        </r>
      </text>
    </comment>
    <comment ref="DO1" authorId="0" shapeId="0">
      <text>
        <r>
          <rPr>
            <b/>
            <u/>
            <sz val="9"/>
            <color indexed="81"/>
            <rFont val="Tahoma"/>
            <family val="2"/>
          </rPr>
          <t>StatTools Note:</t>
        </r>
        <r>
          <rPr>
            <sz val="9"/>
            <color indexed="81"/>
            <rFont val="Tahoma"/>
            <family val="2"/>
          </rPr>
          <t xml:space="preserve">
This is the correlation between the actual Y values and the fitted Y values.</t>
        </r>
      </text>
    </comment>
    <comment ref="DS1" authorId="0" shapeId="0">
      <text>
        <r>
          <rPr>
            <b/>
            <u/>
            <sz val="9"/>
            <color indexed="81"/>
            <rFont val="Tahoma"/>
            <family val="2"/>
          </rPr>
          <t>StatTools Note:</t>
        </r>
        <r>
          <rPr>
            <sz val="9"/>
            <color indexed="81"/>
            <rFont val="Tahoma"/>
            <family val="2"/>
          </rPr>
          <t xml:space="preserve">
Number of records which had missing or invalid data and were ignored in this report.</t>
        </r>
      </text>
    </comment>
    <comment ref="DT1" authorId="0" shapeId="0">
      <text>
        <r>
          <rPr>
            <b/>
            <u/>
            <sz val="9"/>
            <color indexed="81"/>
            <rFont val="Tahoma"/>
            <family val="2"/>
          </rPr>
          <t>StatTools Note:</t>
        </r>
        <r>
          <rPr>
            <sz val="9"/>
            <color indexed="81"/>
            <rFont val="Tahoma"/>
            <family val="2"/>
          </rPr>
          <t xml:space="preserve">
An observation with a standardized residual greater than 3 (in absolute value) is deemed an outlier.</t>
        </r>
      </text>
    </comment>
    <comment ref="DW1" authorId="0" shapeId="0">
      <text>
        <r>
          <rPr>
            <b/>
            <u/>
            <sz val="9"/>
            <color indexed="81"/>
            <rFont val="Tahoma"/>
            <family val="2"/>
          </rPr>
          <t>StatTools Note:</t>
        </r>
        <r>
          <rPr>
            <sz val="9"/>
            <color indexed="81"/>
            <rFont val="Tahoma"/>
            <family val="2"/>
          </rPr>
          <t xml:space="preserve">
This is the correlation between the actual Y values and the fitted Y values.</t>
        </r>
      </text>
    </comment>
    <comment ref="EA1" authorId="0" shapeId="0">
      <text>
        <r>
          <rPr>
            <b/>
            <u/>
            <sz val="9"/>
            <color indexed="81"/>
            <rFont val="Tahoma"/>
            <family val="2"/>
          </rPr>
          <t>StatTools Note:</t>
        </r>
        <r>
          <rPr>
            <sz val="9"/>
            <color indexed="81"/>
            <rFont val="Tahoma"/>
            <family val="2"/>
          </rPr>
          <t xml:space="preserve">
Number of records which had missing or invalid data and were ignored in this report.</t>
        </r>
      </text>
    </comment>
    <comment ref="EB1" authorId="0" shapeId="0">
      <text>
        <r>
          <rPr>
            <b/>
            <u/>
            <sz val="9"/>
            <color indexed="81"/>
            <rFont val="Tahoma"/>
            <family val="2"/>
          </rPr>
          <t>StatTools Note:</t>
        </r>
        <r>
          <rPr>
            <sz val="9"/>
            <color indexed="81"/>
            <rFont val="Tahoma"/>
            <family val="2"/>
          </rPr>
          <t xml:space="preserve">
An observation with a standardized residual greater than 3 (in absolute value) is deemed an outlier.</t>
        </r>
      </text>
    </comment>
    <comment ref="EE1" authorId="0" shapeId="0">
      <text>
        <r>
          <rPr>
            <b/>
            <u/>
            <sz val="9"/>
            <color indexed="81"/>
            <rFont val="Tahoma"/>
            <family val="2"/>
          </rPr>
          <t>StatTools Note:</t>
        </r>
        <r>
          <rPr>
            <sz val="9"/>
            <color indexed="81"/>
            <rFont val="Tahoma"/>
            <family val="2"/>
          </rPr>
          <t xml:space="preserve">
This is the correlation between the actual Y values and the fitted Y values.</t>
        </r>
      </text>
    </comment>
    <comment ref="EI1" authorId="0" shapeId="0">
      <text>
        <r>
          <rPr>
            <b/>
            <u/>
            <sz val="9"/>
            <color indexed="81"/>
            <rFont val="Tahoma"/>
            <family val="2"/>
          </rPr>
          <t>StatTools Note:</t>
        </r>
        <r>
          <rPr>
            <sz val="9"/>
            <color indexed="81"/>
            <rFont val="Tahoma"/>
            <family val="2"/>
          </rPr>
          <t xml:space="preserve">
Number of records which had missing or invalid data and were ignored in this report.</t>
        </r>
      </text>
    </comment>
    <comment ref="EJ1" authorId="0" shapeId="0">
      <text>
        <r>
          <rPr>
            <b/>
            <u/>
            <sz val="9"/>
            <color indexed="81"/>
            <rFont val="Tahoma"/>
            <family val="2"/>
          </rPr>
          <t>StatTools Note:</t>
        </r>
        <r>
          <rPr>
            <sz val="9"/>
            <color indexed="81"/>
            <rFont val="Tahoma"/>
            <family val="2"/>
          </rPr>
          <t xml:space="preserve">
An observation with a standardized residual greater than 3 (in absolute value) is deemed an outlier.</t>
        </r>
      </text>
    </comment>
    <comment ref="EN1" authorId="0" shapeId="0">
      <text>
        <r>
          <rPr>
            <b/>
            <u/>
            <sz val="9"/>
            <color indexed="81"/>
            <rFont val="Tahoma"/>
            <family val="2"/>
          </rPr>
          <t>StatTools Note:</t>
        </r>
        <r>
          <rPr>
            <sz val="9"/>
            <color indexed="81"/>
            <rFont val="Tahoma"/>
            <family val="2"/>
          </rPr>
          <t xml:space="preserve">
This is the correlation between the actual Y values and the fitted Y values.</t>
        </r>
      </text>
    </comment>
    <comment ref="ER1" authorId="0" shapeId="0">
      <text>
        <r>
          <rPr>
            <b/>
            <u/>
            <sz val="9"/>
            <color indexed="81"/>
            <rFont val="Tahoma"/>
            <family val="2"/>
          </rPr>
          <t>StatTools Note:</t>
        </r>
        <r>
          <rPr>
            <sz val="9"/>
            <color indexed="81"/>
            <rFont val="Tahoma"/>
            <family val="2"/>
          </rPr>
          <t xml:space="preserve">
Number of records which had missing or invalid data and were ignored in this report.</t>
        </r>
      </text>
    </comment>
    <comment ref="ES1" authorId="0" shapeId="0">
      <text>
        <r>
          <rPr>
            <b/>
            <u/>
            <sz val="9"/>
            <color indexed="81"/>
            <rFont val="Tahoma"/>
            <family val="2"/>
          </rPr>
          <t>StatTools Note:</t>
        </r>
        <r>
          <rPr>
            <sz val="9"/>
            <color indexed="81"/>
            <rFont val="Tahoma"/>
            <family val="2"/>
          </rPr>
          <t xml:space="preserve">
An observation with a standardized residual greater than 3 (in absolute value) is deemed an outlier.</t>
        </r>
      </text>
    </comment>
    <comment ref="EV1" authorId="0" shapeId="0">
      <text>
        <r>
          <rPr>
            <b/>
            <u/>
            <sz val="9"/>
            <color indexed="81"/>
            <rFont val="Tahoma"/>
            <family val="2"/>
          </rPr>
          <t>StatTools Note:</t>
        </r>
        <r>
          <rPr>
            <sz val="9"/>
            <color indexed="81"/>
            <rFont val="Tahoma"/>
            <family val="2"/>
          </rPr>
          <t xml:space="preserve">
This is the correlation between the actual Y values and the fitted Y values.</t>
        </r>
      </text>
    </comment>
    <comment ref="EZ1" authorId="0" shapeId="0">
      <text>
        <r>
          <rPr>
            <b/>
            <u/>
            <sz val="9"/>
            <color indexed="81"/>
            <rFont val="Tahoma"/>
            <family val="2"/>
          </rPr>
          <t>StatTools Note:</t>
        </r>
        <r>
          <rPr>
            <sz val="9"/>
            <color indexed="81"/>
            <rFont val="Tahoma"/>
            <family val="2"/>
          </rPr>
          <t xml:space="preserve">
Number of records which had missing or invalid data and were ignored in this report.</t>
        </r>
      </text>
    </comment>
    <comment ref="FA1" authorId="0" shapeId="0">
      <text>
        <r>
          <rPr>
            <b/>
            <u/>
            <sz val="9"/>
            <color indexed="81"/>
            <rFont val="Tahoma"/>
            <family val="2"/>
          </rPr>
          <t>StatTools Note:</t>
        </r>
        <r>
          <rPr>
            <sz val="9"/>
            <color indexed="81"/>
            <rFont val="Tahoma"/>
            <family val="2"/>
          </rPr>
          <t xml:space="preserve">
An observation with a standardized residual greater than 3 (in absolute value) is deemed an outlier.</t>
        </r>
      </text>
    </comment>
    <comment ref="FD1" authorId="0" shapeId="0">
      <text>
        <r>
          <rPr>
            <b/>
            <u/>
            <sz val="9"/>
            <color indexed="81"/>
            <rFont val="Tahoma"/>
            <family val="2"/>
          </rPr>
          <t>StatTools Note:</t>
        </r>
        <r>
          <rPr>
            <sz val="9"/>
            <color indexed="81"/>
            <rFont val="Tahoma"/>
            <family val="2"/>
          </rPr>
          <t xml:space="preserve">
This is the correlation between the actual Y values and the fitted Y values.</t>
        </r>
      </text>
    </comment>
    <comment ref="FH1" authorId="0" shapeId="0">
      <text>
        <r>
          <rPr>
            <b/>
            <u/>
            <sz val="9"/>
            <color indexed="81"/>
            <rFont val="Tahoma"/>
            <family val="2"/>
          </rPr>
          <t>StatTools Note:</t>
        </r>
        <r>
          <rPr>
            <sz val="9"/>
            <color indexed="81"/>
            <rFont val="Tahoma"/>
            <family val="2"/>
          </rPr>
          <t xml:space="preserve">
Number of records which had missing or invalid data and were ignored in this report.</t>
        </r>
      </text>
    </comment>
    <comment ref="FI1" authorId="0" shapeId="0">
      <text>
        <r>
          <rPr>
            <b/>
            <u/>
            <sz val="9"/>
            <color indexed="81"/>
            <rFont val="Tahoma"/>
            <family val="2"/>
          </rPr>
          <t>StatTools Note:</t>
        </r>
        <r>
          <rPr>
            <sz val="9"/>
            <color indexed="81"/>
            <rFont val="Tahoma"/>
            <family val="2"/>
          </rPr>
          <t xml:space="preserve">
An observation with a standardized residual greater than 3 (in absolute value) is deemed an outlier.</t>
        </r>
      </text>
    </comment>
    <comment ref="FL1" authorId="0" shapeId="0">
      <text>
        <r>
          <rPr>
            <b/>
            <u/>
            <sz val="9"/>
            <color indexed="81"/>
            <rFont val="Tahoma"/>
            <family val="2"/>
          </rPr>
          <t>StatTools Note:</t>
        </r>
        <r>
          <rPr>
            <sz val="9"/>
            <color indexed="81"/>
            <rFont val="Tahoma"/>
            <family val="2"/>
          </rPr>
          <t xml:space="preserve">
This is the correlation between the actual Y values and the fitted Y values.</t>
        </r>
      </text>
    </comment>
    <comment ref="FP1" authorId="0" shapeId="0">
      <text>
        <r>
          <rPr>
            <b/>
            <u/>
            <sz val="9"/>
            <color indexed="81"/>
            <rFont val="Tahoma"/>
            <family val="2"/>
          </rPr>
          <t>StatTools Note:</t>
        </r>
        <r>
          <rPr>
            <sz val="9"/>
            <color indexed="81"/>
            <rFont val="Tahoma"/>
            <family val="2"/>
          </rPr>
          <t xml:space="preserve">
Number of records which had missing or invalid data and were ignored in this report.</t>
        </r>
      </text>
    </comment>
    <comment ref="FQ1" authorId="0" shapeId="0">
      <text>
        <r>
          <rPr>
            <b/>
            <u/>
            <sz val="9"/>
            <color indexed="81"/>
            <rFont val="Tahoma"/>
            <family val="2"/>
          </rPr>
          <t>StatTools Note:</t>
        </r>
        <r>
          <rPr>
            <sz val="9"/>
            <color indexed="81"/>
            <rFont val="Tahoma"/>
            <family val="2"/>
          </rPr>
          <t xml:space="preserve">
An observation with a standardized residual greater than 3 (in absolute value) is deemed an outlier.</t>
        </r>
      </text>
    </comment>
    <comment ref="FT1" authorId="0" shapeId="0">
      <text>
        <r>
          <rPr>
            <b/>
            <u/>
            <sz val="9"/>
            <color indexed="81"/>
            <rFont val="Tahoma"/>
            <family val="2"/>
          </rPr>
          <t>StatTools Note:</t>
        </r>
        <r>
          <rPr>
            <sz val="9"/>
            <color indexed="81"/>
            <rFont val="Tahoma"/>
            <family val="2"/>
          </rPr>
          <t xml:space="preserve">
This is the correlation between the actual Y values and the fitted Y values.</t>
        </r>
      </text>
    </comment>
    <comment ref="FX1" authorId="0" shapeId="0">
      <text>
        <r>
          <rPr>
            <b/>
            <u/>
            <sz val="9"/>
            <color indexed="81"/>
            <rFont val="Tahoma"/>
            <family val="2"/>
          </rPr>
          <t>StatTools Note:</t>
        </r>
        <r>
          <rPr>
            <sz val="9"/>
            <color indexed="81"/>
            <rFont val="Tahoma"/>
            <family val="2"/>
          </rPr>
          <t xml:space="preserve">
Number of records which had missing or invalid data and were ignored in this report.</t>
        </r>
      </text>
    </comment>
    <comment ref="FY1" authorId="0" shapeId="0">
      <text>
        <r>
          <rPr>
            <b/>
            <u/>
            <sz val="9"/>
            <color indexed="81"/>
            <rFont val="Tahoma"/>
            <family val="2"/>
          </rPr>
          <t>StatTools Note:</t>
        </r>
        <r>
          <rPr>
            <sz val="9"/>
            <color indexed="81"/>
            <rFont val="Tahoma"/>
            <family val="2"/>
          </rPr>
          <t xml:space="preserve">
An observation with a standardized residual greater than 3 (in absolute value) is deemed an outlier.</t>
        </r>
      </text>
    </comment>
    <comment ref="GB1" authorId="0" shapeId="0">
      <text>
        <r>
          <rPr>
            <b/>
            <u/>
            <sz val="9"/>
            <color indexed="81"/>
            <rFont val="Tahoma"/>
            <family val="2"/>
          </rPr>
          <t>StatTools Note:</t>
        </r>
        <r>
          <rPr>
            <sz val="9"/>
            <color indexed="81"/>
            <rFont val="Tahoma"/>
            <family val="2"/>
          </rPr>
          <t xml:space="preserve">
This is the correlation between the actual Y values and the fitted Y values.</t>
        </r>
      </text>
    </comment>
    <comment ref="GF1" authorId="0" shapeId="0">
      <text>
        <r>
          <rPr>
            <b/>
            <u/>
            <sz val="9"/>
            <color indexed="81"/>
            <rFont val="Tahoma"/>
            <family val="2"/>
          </rPr>
          <t>StatTools Note:</t>
        </r>
        <r>
          <rPr>
            <sz val="9"/>
            <color indexed="81"/>
            <rFont val="Tahoma"/>
            <family val="2"/>
          </rPr>
          <t xml:space="preserve">
Number of records which had missing or invalid data and were ignored in this report.</t>
        </r>
      </text>
    </comment>
    <comment ref="GG1" authorId="0" shapeId="0">
      <text>
        <r>
          <rPr>
            <b/>
            <u/>
            <sz val="9"/>
            <color indexed="81"/>
            <rFont val="Tahoma"/>
            <family val="2"/>
          </rPr>
          <t>StatTools Note:</t>
        </r>
        <r>
          <rPr>
            <sz val="9"/>
            <color indexed="81"/>
            <rFont val="Tahoma"/>
            <family val="2"/>
          </rPr>
          <t xml:space="preserve">
An observation with a standardized residual greater than 3 (in absolute value) is deemed an outlier.</t>
        </r>
      </text>
    </comment>
  </commentList>
</comments>
</file>

<file path=xl/comments2.xml><?xml version="1.0" encoding="utf-8"?>
<comments xmlns="http://schemas.openxmlformats.org/spreadsheetml/2006/main">
  <authors>
    <author>Sam Roy</author>
  </authors>
  <commentList>
    <comment ref="AP1" authorId="0" shapeId="0">
      <text>
        <r>
          <rPr>
            <b/>
            <u/>
            <sz val="9"/>
            <color indexed="81"/>
            <rFont val="Tahoma"/>
            <family val="2"/>
          </rPr>
          <t>StatTools Note:</t>
        </r>
        <r>
          <rPr>
            <sz val="9"/>
            <color indexed="81"/>
            <rFont val="Tahoma"/>
            <family val="2"/>
          </rPr>
          <t xml:space="preserve">
This is the correlation between the actual Y values and the fitted Y values.</t>
        </r>
      </text>
    </comment>
    <comment ref="AT1" authorId="0" shapeId="0">
      <text>
        <r>
          <rPr>
            <b/>
            <u/>
            <sz val="9"/>
            <color indexed="81"/>
            <rFont val="Tahoma"/>
            <family val="2"/>
          </rPr>
          <t>StatTools Note:</t>
        </r>
        <r>
          <rPr>
            <sz val="9"/>
            <color indexed="81"/>
            <rFont val="Tahoma"/>
            <family val="2"/>
          </rPr>
          <t xml:space="preserve">
Number of records which had missing or invalid data and were ignored in this report.</t>
        </r>
      </text>
    </comment>
    <comment ref="AU1" authorId="0" shapeId="0">
      <text>
        <r>
          <rPr>
            <b/>
            <u/>
            <sz val="9"/>
            <color indexed="81"/>
            <rFont val="Tahoma"/>
            <family val="2"/>
          </rPr>
          <t>StatTools Note:</t>
        </r>
        <r>
          <rPr>
            <sz val="9"/>
            <color indexed="81"/>
            <rFont val="Tahoma"/>
            <family val="2"/>
          </rPr>
          <t xml:space="preserve">
An observation with a standardized residual greater than 3 (in absolute value) is deemed an outlier.</t>
        </r>
      </text>
    </comment>
    <comment ref="AY1" authorId="0" shapeId="0">
      <text>
        <r>
          <rPr>
            <b/>
            <u/>
            <sz val="9"/>
            <color indexed="81"/>
            <rFont val="Tahoma"/>
            <family val="2"/>
          </rPr>
          <t>StatTools Note:</t>
        </r>
        <r>
          <rPr>
            <sz val="9"/>
            <color indexed="81"/>
            <rFont val="Tahoma"/>
            <family val="2"/>
          </rPr>
          <t xml:space="preserve">
This is the correlation between the actual Y values and the fitted Y values.</t>
        </r>
      </text>
    </comment>
    <comment ref="BC1" authorId="0" shapeId="0">
      <text>
        <r>
          <rPr>
            <b/>
            <u/>
            <sz val="9"/>
            <color indexed="81"/>
            <rFont val="Tahoma"/>
            <family val="2"/>
          </rPr>
          <t>StatTools Note:</t>
        </r>
        <r>
          <rPr>
            <sz val="9"/>
            <color indexed="81"/>
            <rFont val="Tahoma"/>
            <family val="2"/>
          </rPr>
          <t xml:space="preserve">
Number of records which had missing or invalid data and were ignored in this report.</t>
        </r>
      </text>
    </comment>
    <comment ref="BD1" authorId="0" shapeId="0">
      <text>
        <r>
          <rPr>
            <b/>
            <u/>
            <sz val="9"/>
            <color indexed="81"/>
            <rFont val="Tahoma"/>
            <family val="2"/>
          </rPr>
          <t>StatTools Note:</t>
        </r>
        <r>
          <rPr>
            <sz val="9"/>
            <color indexed="81"/>
            <rFont val="Tahoma"/>
            <family val="2"/>
          </rPr>
          <t xml:space="preserve">
An observation with a standardized residual greater than 3 (in absolute value) is deemed an outlier.</t>
        </r>
      </text>
    </comment>
    <comment ref="BG1" authorId="0" shapeId="0">
      <text>
        <r>
          <rPr>
            <b/>
            <u/>
            <sz val="9"/>
            <color indexed="81"/>
            <rFont val="Tahoma"/>
            <family val="2"/>
          </rPr>
          <t>StatTools Note:</t>
        </r>
        <r>
          <rPr>
            <sz val="9"/>
            <color indexed="81"/>
            <rFont val="Tahoma"/>
            <family val="2"/>
          </rPr>
          <t xml:space="preserve">
This is the correlation between the actual Y values and the fitted Y values.</t>
        </r>
      </text>
    </comment>
    <comment ref="BK1" authorId="0" shapeId="0">
      <text>
        <r>
          <rPr>
            <b/>
            <u/>
            <sz val="9"/>
            <color indexed="81"/>
            <rFont val="Tahoma"/>
            <family val="2"/>
          </rPr>
          <t>StatTools Note:</t>
        </r>
        <r>
          <rPr>
            <sz val="9"/>
            <color indexed="81"/>
            <rFont val="Tahoma"/>
            <family val="2"/>
          </rPr>
          <t xml:space="preserve">
Number of records which had missing or invalid data and were ignored in this report.</t>
        </r>
      </text>
    </comment>
    <comment ref="BL1" authorId="0" shapeId="0">
      <text>
        <r>
          <rPr>
            <b/>
            <u/>
            <sz val="9"/>
            <color indexed="81"/>
            <rFont val="Tahoma"/>
            <family val="2"/>
          </rPr>
          <t>StatTools Note:</t>
        </r>
        <r>
          <rPr>
            <sz val="9"/>
            <color indexed="81"/>
            <rFont val="Tahoma"/>
            <family val="2"/>
          </rPr>
          <t xml:space="preserve">
An observation with a standardized residual greater than 3 (in absolute value) is deemed an outlier.</t>
        </r>
      </text>
    </comment>
    <comment ref="BP1" authorId="0" shapeId="0">
      <text>
        <r>
          <rPr>
            <b/>
            <u/>
            <sz val="9"/>
            <color indexed="81"/>
            <rFont val="Tahoma"/>
            <family val="2"/>
          </rPr>
          <t>StatTools Note:</t>
        </r>
        <r>
          <rPr>
            <sz val="9"/>
            <color indexed="81"/>
            <rFont val="Tahoma"/>
            <family val="2"/>
          </rPr>
          <t xml:space="preserve">
This is the correlation between the actual Y values and the fitted Y values.</t>
        </r>
      </text>
    </comment>
    <comment ref="BT1" authorId="0" shapeId="0">
      <text>
        <r>
          <rPr>
            <b/>
            <u/>
            <sz val="9"/>
            <color indexed="81"/>
            <rFont val="Tahoma"/>
            <family val="2"/>
          </rPr>
          <t>StatTools Note:</t>
        </r>
        <r>
          <rPr>
            <sz val="9"/>
            <color indexed="81"/>
            <rFont val="Tahoma"/>
            <family val="2"/>
          </rPr>
          <t xml:space="preserve">
Number of records which had missing or invalid data and were ignored in this report.</t>
        </r>
      </text>
    </comment>
    <comment ref="BU1" authorId="0" shapeId="0">
      <text>
        <r>
          <rPr>
            <b/>
            <u/>
            <sz val="9"/>
            <color indexed="81"/>
            <rFont val="Tahoma"/>
            <family val="2"/>
          </rPr>
          <t>StatTools Note:</t>
        </r>
        <r>
          <rPr>
            <sz val="9"/>
            <color indexed="81"/>
            <rFont val="Tahoma"/>
            <family val="2"/>
          </rPr>
          <t xml:space="preserve">
An observation with a standardized residual greater than 3 (in absolute value) is deemed an outlier.</t>
        </r>
      </text>
    </comment>
    <comment ref="BX1" authorId="0" shapeId="0">
      <text>
        <r>
          <rPr>
            <b/>
            <u/>
            <sz val="9"/>
            <color indexed="81"/>
            <rFont val="Tahoma"/>
            <family val="2"/>
          </rPr>
          <t>StatTools Note:</t>
        </r>
        <r>
          <rPr>
            <sz val="9"/>
            <color indexed="81"/>
            <rFont val="Tahoma"/>
            <family val="2"/>
          </rPr>
          <t xml:space="preserve">
This is the correlation between the actual Y values and the fitted Y values.</t>
        </r>
      </text>
    </comment>
    <comment ref="CB1" authorId="0" shapeId="0">
      <text>
        <r>
          <rPr>
            <b/>
            <u/>
            <sz val="9"/>
            <color indexed="81"/>
            <rFont val="Tahoma"/>
            <family val="2"/>
          </rPr>
          <t>StatTools Note:</t>
        </r>
        <r>
          <rPr>
            <sz val="9"/>
            <color indexed="81"/>
            <rFont val="Tahoma"/>
            <family val="2"/>
          </rPr>
          <t xml:space="preserve">
Number of records which had missing or invalid data and were ignored in this report.</t>
        </r>
      </text>
    </comment>
    <comment ref="CC1" authorId="0" shapeId="0">
      <text>
        <r>
          <rPr>
            <b/>
            <u/>
            <sz val="9"/>
            <color indexed="81"/>
            <rFont val="Tahoma"/>
            <family val="2"/>
          </rPr>
          <t>StatTools Note:</t>
        </r>
        <r>
          <rPr>
            <sz val="9"/>
            <color indexed="81"/>
            <rFont val="Tahoma"/>
            <family val="2"/>
          </rPr>
          <t xml:space="preserve">
An observation with a standardized residual greater than 3 (in absolute value) is deemed an outlier.</t>
        </r>
      </text>
    </comment>
    <comment ref="CF1" authorId="0" shapeId="0">
      <text>
        <r>
          <rPr>
            <b/>
            <u/>
            <sz val="9"/>
            <color indexed="81"/>
            <rFont val="Tahoma"/>
            <family val="2"/>
          </rPr>
          <t>StatTools Note:</t>
        </r>
        <r>
          <rPr>
            <sz val="9"/>
            <color indexed="81"/>
            <rFont val="Tahoma"/>
            <family val="2"/>
          </rPr>
          <t xml:space="preserve">
This is the correlation between the actual Y values and the fitted Y values.</t>
        </r>
      </text>
    </comment>
    <comment ref="CJ1" authorId="0" shapeId="0">
      <text>
        <r>
          <rPr>
            <b/>
            <u/>
            <sz val="9"/>
            <color indexed="81"/>
            <rFont val="Tahoma"/>
            <family val="2"/>
          </rPr>
          <t>StatTools Note:</t>
        </r>
        <r>
          <rPr>
            <sz val="9"/>
            <color indexed="81"/>
            <rFont val="Tahoma"/>
            <family val="2"/>
          </rPr>
          <t xml:space="preserve">
Number of records which had missing or invalid data and were ignored in this report.</t>
        </r>
      </text>
    </comment>
    <comment ref="CK1" authorId="0" shapeId="0">
      <text>
        <r>
          <rPr>
            <b/>
            <u/>
            <sz val="9"/>
            <color indexed="81"/>
            <rFont val="Tahoma"/>
            <family val="2"/>
          </rPr>
          <t>StatTools Note:</t>
        </r>
        <r>
          <rPr>
            <sz val="9"/>
            <color indexed="81"/>
            <rFont val="Tahoma"/>
            <family val="2"/>
          </rPr>
          <t xml:space="preserve">
An observation with a standardized residual greater than 3 (in absolute value) is deemed an outlier.</t>
        </r>
      </text>
    </comment>
    <comment ref="CO1" authorId="0" shapeId="0">
      <text>
        <r>
          <rPr>
            <b/>
            <u/>
            <sz val="9"/>
            <color indexed="81"/>
            <rFont val="Tahoma"/>
            <family val="2"/>
          </rPr>
          <t>StatTools Note:</t>
        </r>
        <r>
          <rPr>
            <sz val="9"/>
            <color indexed="81"/>
            <rFont val="Tahoma"/>
            <family val="2"/>
          </rPr>
          <t xml:space="preserve">
This is the correlation between the actual Y values and the fitted Y values.</t>
        </r>
      </text>
    </comment>
    <comment ref="CS1" authorId="0" shapeId="0">
      <text>
        <r>
          <rPr>
            <b/>
            <u/>
            <sz val="9"/>
            <color indexed="81"/>
            <rFont val="Tahoma"/>
            <family val="2"/>
          </rPr>
          <t>StatTools Note:</t>
        </r>
        <r>
          <rPr>
            <sz val="9"/>
            <color indexed="81"/>
            <rFont val="Tahoma"/>
            <family val="2"/>
          </rPr>
          <t xml:space="preserve">
Number of records which had missing or invalid data and were ignored in this report.</t>
        </r>
      </text>
    </comment>
    <comment ref="CT1" authorId="0" shapeId="0">
      <text>
        <r>
          <rPr>
            <b/>
            <u/>
            <sz val="9"/>
            <color indexed="81"/>
            <rFont val="Tahoma"/>
            <family val="2"/>
          </rPr>
          <t>StatTools Note:</t>
        </r>
        <r>
          <rPr>
            <sz val="9"/>
            <color indexed="81"/>
            <rFont val="Tahoma"/>
            <family val="2"/>
          </rPr>
          <t xml:space="preserve">
An observation with a standardized residual greater than 3 (in absolute value) is deemed an outlier.</t>
        </r>
      </text>
    </comment>
    <comment ref="CW1" authorId="0" shapeId="0">
      <text>
        <r>
          <rPr>
            <b/>
            <u/>
            <sz val="9"/>
            <color indexed="81"/>
            <rFont val="Tahoma"/>
            <family val="2"/>
          </rPr>
          <t>StatTools Note:</t>
        </r>
        <r>
          <rPr>
            <sz val="9"/>
            <color indexed="81"/>
            <rFont val="Tahoma"/>
            <family val="2"/>
          </rPr>
          <t xml:space="preserve">
This is the correlation between the actual Y values and the fitted Y values.</t>
        </r>
      </text>
    </comment>
    <comment ref="DA1" authorId="0" shapeId="0">
      <text>
        <r>
          <rPr>
            <b/>
            <u/>
            <sz val="9"/>
            <color indexed="81"/>
            <rFont val="Tahoma"/>
            <family val="2"/>
          </rPr>
          <t>StatTools Note:</t>
        </r>
        <r>
          <rPr>
            <sz val="9"/>
            <color indexed="81"/>
            <rFont val="Tahoma"/>
            <family val="2"/>
          </rPr>
          <t xml:space="preserve">
Number of records which had missing or invalid data and were ignored in this report.</t>
        </r>
      </text>
    </comment>
    <comment ref="DB1" authorId="0" shapeId="0">
      <text>
        <r>
          <rPr>
            <b/>
            <u/>
            <sz val="9"/>
            <color indexed="81"/>
            <rFont val="Tahoma"/>
            <family val="2"/>
          </rPr>
          <t>StatTools Note:</t>
        </r>
        <r>
          <rPr>
            <sz val="9"/>
            <color indexed="81"/>
            <rFont val="Tahoma"/>
            <family val="2"/>
          </rPr>
          <t xml:space="preserve">
An observation with a standardized residual greater than 3 (in absolute value) is deemed an outlier.</t>
        </r>
      </text>
    </comment>
    <comment ref="DE1" authorId="0" shapeId="0">
      <text>
        <r>
          <rPr>
            <b/>
            <u/>
            <sz val="9"/>
            <color indexed="81"/>
            <rFont val="Tahoma"/>
            <family val="2"/>
          </rPr>
          <t>StatTools Note:</t>
        </r>
        <r>
          <rPr>
            <sz val="9"/>
            <color indexed="81"/>
            <rFont val="Tahoma"/>
            <family val="2"/>
          </rPr>
          <t xml:space="preserve">
This is the correlation between the actual Y values and the fitted Y values.</t>
        </r>
      </text>
    </comment>
    <comment ref="DI1" authorId="0" shapeId="0">
      <text>
        <r>
          <rPr>
            <b/>
            <u/>
            <sz val="9"/>
            <color indexed="81"/>
            <rFont val="Tahoma"/>
            <family val="2"/>
          </rPr>
          <t>StatTools Note:</t>
        </r>
        <r>
          <rPr>
            <sz val="9"/>
            <color indexed="81"/>
            <rFont val="Tahoma"/>
            <family val="2"/>
          </rPr>
          <t xml:space="preserve">
Number of records which had missing or invalid data and were ignored in this report.</t>
        </r>
      </text>
    </comment>
    <comment ref="DJ1" authorId="0" shapeId="0">
      <text>
        <r>
          <rPr>
            <b/>
            <u/>
            <sz val="9"/>
            <color indexed="81"/>
            <rFont val="Tahoma"/>
            <family val="2"/>
          </rPr>
          <t>StatTools Note:</t>
        </r>
        <r>
          <rPr>
            <sz val="9"/>
            <color indexed="81"/>
            <rFont val="Tahoma"/>
            <family val="2"/>
          </rPr>
          <t xml:space="preserve">
An observation with a standardized residual greater than 3 (in absolute value) is deemed an outlier.</t>
        </r>
      </text>
    </comment>
    <comment ref="DM1" authorId="0" shapeId="0">
      <text>
        <r>
          <rPr>
            <b/>
            <u/>
            <sz val="9"/>
            <color indexed="81"/>
            <rFont val="Tahoma"/>
            <family val="2"/>
          </rPr>
          <t>StatTools Note:</t>
        </r>
        <r>
          <rPr>
            <sz val="9"/>
            <color indexed="81"/>
            <rFont val="Tahoma"/>
            <family val="2"/>
          </rPr>
          <t xml:space="preserve">
This is the correlation between the actual Y values and the fitted Y values.</t>
        </r>
      </text>
    </comment>
    <comment ref="DQ1" authorId="0" shapeId="0">
      <text>
        <r>
          <rPr>
            <b/>
            <u/>
            <sz val="9"/>
            <color indexed="81"/>
            <rFont val="Tahoma"/>
            <family val="2"/>
          </rPr>
          <t>StatTools Note:</t>
        </r>
        <r>
          <rPr>
            <sz val="9"/>
            <color indexed="81"/>
            <rFont val="Tahoma"/>
            <family val="2"/>
          </rPr>
          <t xml:space="preserve">
Number of records which had missing or invalid data and were ignored in this report.</t>
        </r>
      </text>
    </comment>
    <comment ref="DR1" authorId="0" shapeId="0">
      <text>
        <r>
          <rPr>
            <b/>
            <u/>
            <sz val="9"/>
            <color indexed="81"/>
            <rFont val="Tahoma"/>
            <family val="2"/>
          </rPr>
          <t>StatTools Note:</t>
        </r>
        <r>
          <rPr>
            <sz val="9"/>
            <color indexed="81"/>
            <rFont val="Tahoma"/>
            <family val="2"/>
          </rPr>
          <t xml:space="preserve">
An observation with a standardized residual greater than 3 (in absolute value) is deemed an outlier.</t>
        </r>
      </text>
    </comment>
  </commentList>
</comments>
</file>

<file path=xl/comments3.xml><?xml version="1.0" encoding="utf-8"?>
<comments xmlns="http://schemas.openxmlformats.org/spreadsheetml/2006/main">
  <authors>
    <author>Sam Roy</author>
  </authors>
  <commentList>
    <comment ref="P8" authorId="0" shapeId="0">
      <text>
        <r>
          <rPr>
            <b/>
            <u/>
            <sz val="9"/>
            <color indexed="81"/>
            <rFont val="Tahoma"/>
            <family val="2"/>
          </rPr>
          <t>StatTools Note:</t>
        </r>
        <r>
          <rPr>
            <sz val="9"/>
            <color indexed="81"/>
            <rFont val="Tahoma"/>
            <family val="2"/>
          </rPr>
          <t xml:space="preserve">
These results are based on the assumption that the variable(s) are approximately normally distributed.  If this is not the case, then these results might not be valid, especially if the sample size is small.</t>
        </r>
      </text>
    </comment>
    <comment ref="Q8" authorId="0" shapeId="0">
      <text>
        <r>
          <rPr>
            <b/>
            <u/>
            <sz val="9"/>
            <color indexed="81"/>
            <rFont val="Tahoma"/>
            <family val="2"/>
          </rPr>
          <t>StatTools Note:</t>
        </r>
        <r>
          <rPr>
            <sz val="9"/>
            <color indexed="81"/>
            <rFont val="Tahoma"/>
            <family val="2"/>
          </rPr>
          <t xml:space="preserve">
The results in this column assume the two samples being compared come from populations with equal variances.</t>
        </r>
      </text>
    </comment>
    <comment ref="R8" authorId="0" shapeId="0">
      <text>
        <r>
          <rPr>
            <b/>
            <u/>
            <sz val="9"/>
            <color indexed="81"/>
            <rFont val="Tahoma"/>
            <family val="2"/>
          </rPr>
          <t>StatTools Note:</t>
        </r>
        <r>
          <rPr>
            <sz val="9"/>
            <color indexed="81"/>
            <rFont val="Tahoma"/>
            <family val="2"/>
          </rPr>
          <t xml:space="preserve">
The results in this column assume the two samples being compared come from populations with unequal variances.</t>
        </r>
      </text>
    </comment>
  </commentList>
</comments>
</file>

<file path=xl/sharedStrings.xml><?xml version="1.0" encoding="utf-8"?>
<sst xmlns="http://schemas.openxmlformats.org/spreadsheetml/2006/main" count="2039" uniqueCount="471">
  <si>
    <t>Country</t>
  </si>
  <si>
    <t>Year</t>
  </si>
  <si>
    <t>Status</t>
  </si>
  <si>
    <t>Life expectancy</t>
  </si>
  <si>
    <t>Adult Mortality</t>
  </si>
  <si>
    <t>Alcohol</t>
  </si>
  <si>
    <t>Percent Expenditure</t>
  </si>
  <si>
    <t xml:space="preserve"> BMI</t>
  </si>
  <si>
    <t>Polio</t>
  </si>
  <si>
    <t>Total expenditure</t>
  </si>
  <si>
    <t>Diphtheria</t>
  </si>
  <si>
    <t>GDP</t>
  </si>
  <si>
    <t>Population</t>
  </si>
  <si>
    <t>Schooling</t>
  </si>
  <si>
    <t>Smoking prevalence</t>
  </si>
  <si>
    <t>Current health expenditure (CHE)
 per capita in US$</t>
  </si>
  <si>
    <t>Current health expenditure (CHE) 
as percentage of gross domestic product (GDP) (%)</t>
  </si>
  <si>
    <t>Domestic general government health expenditure (GGHE-D) 
as percentage of general government expenditure (GGE) (%)</t>
  </si>
  <si>
    <t>Afghanistan</t>
  </si>
  <si>
    <t>Developing</t>
  </si>
  <si>
    <t>Albania</t>
  </si>
  <si>
    <t>Algeria</t>
  </si>
  <si>
    <t>Percentage Expenditure</t>
  </si>
  <si>
    <t>polio</t>
  </si>
  <si>
    <t>Current health expenditure (CHE) 
per capita in US$</t>
  </si>
  <si>
    <t>No data</t>
  </si>
  <si>
    <t>Angola</t>
  </si>
  <si>
    <t>Antigua and Barbuda</t>
  </si>
  <si>
    <t>Argentina</t>
  </si>
  <si>
    <t>Armenia</t>
  </si>
  <si>
    <t>Australia</t>
  </si>
  <si>
    <t>Developed</t>
  </si>
  <si>
    <t>Austria</t>
  </si>
  <si>
    <t>Azerbaijan</t>
  </si>
  <si>
    <t>Bahamas</t>
  </si>
  <si>
    <t>Bahrain</t>
  </si>
  <si>
    <t>Bangladesh</t>
  </si>
  <si>
    <t>Barbados</t>
  </si>
  <si>
    <t>Belarus</t>
  </si>
  <si>
    <t>Belgium</t>
  </si>
  <si>
    <t>Belize</t>
  </si>
  <si>
    <t>Benin</t>
  </si>
  <si>
    <t>Bhutan</t>
  </si>
  <si>
    <t>Bolivia (Plurinational State of)</t>
  </si>
  <si>
    <t>Bosnia and Herzegovina</t>
  </si>
  <si>
    <t>Botswana</t>
  </si>
  <si>
    <t>Brazil</t>
  </si>
  <si>
    <t>Brunei Darussalam</t>
  </si>
  <si>
    <t>Bulgaria</t>
  </si>
  <si>
    <t>Burkina Faso</t>
  </si>
  <si>
    <t>Burundi</t>
  </si>
  <si>
    <t>Côte d'Ivoire</t>
  </si>
  <si>
    <t>Cabo Verde</t>
  </si>
  <si>
    <t>Cambodia</t>
  </si>
  <si>
    <t>Cameroon</t>
  </si>
  <si>
    <t>Canada</t>
  </si>
  <si>
    <t>Central African Republic</t>
  </si>
  <si>
    <t>Chad</t>
  </si>
  <si>
    <t>Chile</t>
  </si>
  <si>
    <t>China</t>
  </si>
  <si>
    <t>Colombia</t>
  </si>
  <si>
    <t>Comoros</t>
  </si>
  <si>
    <t>Congo</t>
  </si>
  <si>
    <t>Costa Rica</t>
  </si>
  <si>
    <t>Croatia</t>
  </si>
  <si>
    <t>Cuba</t>
  </si>
  <si>
    <t>Cyprus</t>
  </si>
  <si>
    <t>Czechia</t>
  </si>
  <si>
    <t>Democratic People's Republic of Korea</t>
  </si>
  <si>
    <t>Democratic Republic of the Congo</t>
  </si>
  <si>
    <t>Denmark</t>
  </si>
  <si>
    <t>Djibouti</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</si>
  <si>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</si>
  <si>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</si>
  <si>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</si>
  <si>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</si>
  <si>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</si>
  <si>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</si>
  <si>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</si>
  <si>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</si>
  <si>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</si>
  <si>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</si>
  <si>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</si>
  <si>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</si>
  <si>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</si>
  <si>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</si>
  <si>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</si>
  <si>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</si>
  <si>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</si>
  <si>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</si>
  <si>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</si>
  <si>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</si>
  <si>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</si>
  <si>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</si>
  <si>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</si>
  <si>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</si>
  <si>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</si>
  <si>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</si>
  <si>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</si>
  <si>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</si>
  <si>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</si>
  <si>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</si>
  <si>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</si>
  <si>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</si>
  <si>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</si>
  <si>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</si>
  <si>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</si>
  <si>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</si>
  <si>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</si>
  <si>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</si>
  <si>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</si>
  <si>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</si>
  <si>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</si>
  <si>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Republic</t>
  </si>
  <si>
    <t>Latvia</t>
  </si>
  <si>
    <t>Lebanon</t>
  </si>
  <si>
    <t>Lesotho</t>
  </si>
  <si>
    <t>Liberia</t>
  </si>
  <si>
    <t>Libya</t>
  </si>
  <si>
    <t>Lithuania</t>
  </si>
  <si>
    <t>Luxembourg</t>
  </si>
  <si>
    <t>Madagascar</t>
  </si>
  <si>
    <t>Malawi</t>
  </si>
  <si>
    <t>Malaysia</t>
  </si>
  <si>
    <t>Maldives</t>
  </si>
  <si>
    <t>Mali</t>
  </si>
  <si>
    <t>Malta</t>
  </si>
  <si>
    <t>Mauritania</t>
  </si>
  <si>
    <t>Mauritius</t>
  </si>
  <si>
    <t>Mexico</t>
  </si>
  <si>
    <t>Micronesia (Federated States of)</t>
  </si>
  <si>
    <t>Mongolia</t>
  </si>
  <si>
    <t>Montenegro</t>
  </si>
  <si>
    <t>Morocco</t>
  </si>
  <si>
    <t>Mozambique</t>
  </si>
  <si>
    <t>Myanmar</t>
  </si>
  <si>
    <t>Namibia</t>
  </si>
  <si>
    <t>Nepal</t>
  </si>
  <si>
    <t>Netherlands</t>
  </si>
  <si>
    <t>New Zealand</t>
  </si>
  <si>
    <t>Nicaragua</t>
  </si>
  <si>
    <t>Niger</t>
  </si>
  <si>
    <t>Nigeria</t>
  </si>
  <si>
    <t>Norway</t>
  </si>
  <si>
    <t>Oman</t>
  </si>
  <si>
    <t>Pakistan</t>
  </si>
  <si>
    <t>Panama</t>
  </si>
  <si>
    <t>Papua New Guinea</t>
  </si>
  <si>
    <t>Paraguay</t>
  </si>
  <si>
    <t>Peru</t>
  </si>
  <si>
    <t>Philippines</t>
  </si>
  <si>
    <t>Poland</t>
  </si>
  <si>
    <t>Portugal</t>
  </si>
  <si>
    <t>Qatar</t>
  </si>
  <si>
    <t>Republic of Korea</t>
  </si>
  <si>
    <t>Republic of Moldova</t>
  </si>
  <si>
    <t>Romania</t>
  </si>
  <si>
    <t>Russian Federation</t>
  </si>
  <si>
    <t>Rwanda</t>
  </si>
  <si>
    <t>Saint Lucia</t>
  </si>
  <si>
    <t>Saint Vincent and the Grenadines</t>
  </si>
  <si>
    <t>Samoa</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</si>
  <si>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</si>
  <si>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</si>
  <si>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</si>
  <si>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</si>
  <si>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</si>
  <si>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</si>
  <si>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</si>
  <si>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</si>
  <si>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</si>
  <si>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</si>
  <si>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</si>
  <si>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</si>
  <si>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</si>
  <si>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</si>
  <si>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</si>
  <si>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</si>
  <si>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</si>
  <si>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Swaziland</t>
  </si>
  <si>
    <t>no data</t>
  </si>
  <si>
    <t>Sweden</t>
  </si>
  <si>
    <t>Switzerland</t>
  </si>
  <si>
    <t>Syrian Arab Republic</t>
  </si>
  <si>
    <t>Tajikistan</t>
  </si>
  <si>
    <t>Thailand</t>
  </si>
  <si>
    <t>The former Yugoslav republic of Macedonia</t>
  </si>
  <si>
    <t>Timor-Leste</t>
  </si>
  <si>
    <t>Togo</t>
  </si>
  <si>
    <t>Tonga</t>
  </si>
  <si>
    <t>Trinidad and Tobago</t>
  </si>
  <si>
    <t>Tunisia</t>
  </si>
  <si>
    <t>Turkey</t>
  </si>
  <si>
    <t>Turkmenistan</t>
  </si>
  <si>
    <t>Uganda</t>
  </si>
  <si>
    <t>Ukraine</t>
  </si>
  <si>
    <t>United Arab Emirates</t>
  </si>
  <si>
    <t>United Kingdom of Great Britain and Northern Ireland</t>
  </si>
  <si>
    <t>United Republic of Tanzania</t>
  </si>
  <si>
    <t>United States of America</t>
  </si>
  <si>
    <t>Uruguay</t>
  </si>
  <si>
    <t>Uzbekistan</t>
  </si>
  <si>
    <t>Vanuatu</t>
  </si>
  <si>
    <t>Venezuela (Bolivarian Republic of)</t>
  </si>
  <si>
    <t>Viet Nam</t>
  </si>
  <si>
    <t>Yemen</t>
  </si>
  <si>
    <t>Zambia</t>
  </si>
  <si>
    <t>Zimbabwe</t>
  </si>
  <si>
    <t>StatTools Version that generated sheet, Major</t>
  </si>
  <si>
    <t>StatTools Version that generated sheet, Minor</t>
  </si>
  <si>
    <t>StatTools Version that generated sheet, Revision</t>
  </si>
  <si>
    <t>Min. StatTools Version to Read Sheet, Major (note ST versions before 1.1.1 don't perform forward compatibility check)</t>
  </si>
  <si>
    <t>Min. StatTools Version to Read Sheet, Minor</t>
  </si>
  <si>
    <t>Min. StatTools Version to Read Sheet, Revision</t>
  </si>
  <si>
    <t>Min. StatTools version to not put up warning about extra info, Major</t>
  </si>
  <si>
    <t>Min. StatTools version to not put up warning about extra info, Minor</t>
  </si>
  <si>
    <t>Min. StatTools version to not put up warning about extra info, Revision</t>
  </si>
  <si>
    <t>Name</t>
  </si>
  <si>
    <t>LifeExpectancy2000</t>
  </si>
  <si>
    <t>GUID</t>
  </si>
  <si>
    <t>DG1C5F5F79</t>
  </si>
  <si>
    <t>Format Range</t>
  </si>
  <si>
    <t>Variable Layout</t>
  </si>
  <si>
    <t>Columns</t>
  </si>
  <si>
    <t>Variable Names In Cells</t>
  </si>
  <si>
    <t>Variable Names In 2nd Cells</t>
  </si>
  <si>
    <t>Data Set Ranges</t>
  </si>
  <si>
    <t>Data Sheet Format</t>
  </si>
  <si>
    <t>Formula Eval Cell</t>
  </si>
  <si>
    <t>Num Stored Vars</t>
  </si>
  <si>
    <t>1 : Info</t>
  </si>
  <si>
    <t>var1</t>
  </si>
  <si>
    <t>ST_Country</t>
  </si>
  <si>
    <t>1 : Ranges</t>
  </si>
  <si>
    <t>1 : MultiRefs</t>
  </si>
  <si>
    <t>2 : Info</t>
  </si>
  <si>
    <t>var2</t>
  </si>
  <si>
    <t>ST_Year</t>
  </si>
  <si>
    <t>2 : Ranges</t>
  </si>
  <si>
    <t>2 : MultiRefs</t>
  </si>
  <si>
    <t>3 : Info</t>
  </si>
  <si>
    <t>var3</t>
  </si>
  <si>
    <t>ST_Status</t>
  </si>
  <si>
    <t>3 : Ranges</t>
  </si>
  <si>
    <t>3 : MultiRefs</t>
  </si>
  <si>
    <t>4 : Info</t>
  </si>
  <si>
    <t>var4</t>
  </si>
  <si>
    <t>ST_Lifeexpectancy</t>
  </si>
  <si>
    <t>4 : Ranges</t>
  </si>
  <si>
    <t>4 : MultiRefs</t>
  </si>
  <si>
    <t>5 : Info</t>
  </si>
  <si>
    <t>var5</t>
  </si>
  <si>
    <t>ST_AdultMortality</t>
  </si>
  <si>
    <t>5 : Ranges</t>
  </si>
  <si>
    <t>5 : MultiRefs</t>
  </si>
  <si>
    <t>6 : Info</t>
  </si>
  <si>
    <t>var6</t>
  </si>
  <si>
    <t>ST_Alcohol</t>
  </si>
  <si>
    <t>6 : Ranges</t>
  </si>
  <si>
    <t>6 : MultiRefs</t>
  </si>
  <si>
    <t>7 : Info</t>
  </si>
  <si>
    <t>var7</t>
  </si>
  <si>
    <t>ST_PercentageExpenditure</t>
  </si>
  <si>
    <t>7 : Ranges</t>
  </si>
  <si>
    <t>7 : MultiRefs</t>
  </si>
  <si>
    <t>8 : Info</t>
  </si>
  <si>
    <t>var8</t>
  </si>
  <si>
    <t>ST_BMI</t>
  </si>
  <si>
    <t>8 : Ranges</t>
  </si>
  <si>
    <t>8 : MultiRefs</t>
  </si>
  <si>
    <t>9 : Info</t>
  </si>
  <si>
    <t>var9</t>
  </si>
  <si>
    <t>ST_polio</t>
  </si>
  <si>
    <t>9 : Ranges</t>
  </si>
  <si>
    <t>9 : MultiRefs</t>
  </si>
  <si>
    <t>10 : Info</t>
  </si>
  <si>
    <t>var10</t>
  </si>
  <si>
    <t>ST_Totalexpenditure</t>
  </si>
  <si>
    <t>10 : Ranges</t>
  </si>
  <si>
    <t>10 : MultiRefs</t>
  </si>
  <si>
    <t>11 : Info</t>
  </si>
  <si>
    <t>var11</t>
  </si>
  <si>
    <t>ST_Diphtheria</t>
  </si>
  <si>
    <t>11 : Ranges</t>
  </si>
  <si>
    <t>11 : MultiRefs</t>
  </si>
  <si>
    <t>12 : Info</t>
  </si>
  <si>
    <t>var12</t>
  </si>
  <si>
    <t>ST_GDP</t>
  </si>
  <si>
    <t>12 : Ranges</t>
  </si>
  <si>
    <t>12 : MultiRefs</t>
  </si>
  <si>
    <t>13 : Info</t>
  </si>
  <si>
    <t>var13</t>
  </si>
  <si>
    <t>ST_Population</t>
  </si>
  <si>
    <t>13 : Ranges</t>
  </si>
  <si>
    <t>13 : MultiRefs</t>
  </si>
  <si>
    <t>14 : Info</t>
  </si>
  <si>
    <t>var14</t>
  </si>
  <si>
    <t>ST_Schooling</t>
  </si>
  <si>
    <t>14 : Ranges</t>
  </si>
  <si>
    <t>14 : MultiRefs</t>
  </si>
  <si>
    <t>15 : Info</t>
  </si>
  <si>
    <t>var15</t>
  </si>
  <si>
    <t>ST_Smokingprevalence</t>
  </si>
  <si>
    <t>15 : Ranges</t>
  </si>
  <si>
    <t>15 : MultiRefs</t>
  </si>
  <si>
    <t>16 : Info</t>
  </si>
  <si>
    <t>var16</t>
  </si>
  <si>
    <t>ST_CurrenthealthexpenditureCHEpercapitainUS</t>
  </si>
  <si>
    <t>16 : Ranges</t>
  </si>
  <si>
    <t>16 : MultiRefs</t>
  </si>
  <si>
    <t>17 : Info</t>
  </si>
  <si>
    <t>var17</t>
  </si>
  <si>
    <t>ST_CurrenthealthexpenditureCHEaspercentageofgrossdomesticproductGDP</t>
  </si>
  <si>
    <t>17 : Ranges</t>
  </si>
  <si>
    <t>17 : MultiRefs</t>
  </si>
  <si>
    <t>18 : Info</t>
  </si>
  <si>
    <t>var18</t>
  </si>
  <si>
    <t>ST_DomesticgeneralgovernmenthealthexpenditureGGHEDaspercentageofgeneralgovernmentexpenditureGGE</t>
  </si>
  <si>
    <t>18 : Ranges</t>
  </si>
  <si>
    <t>18 : MultiRefs</t>
  </si>
  <si>
    <t>Linear Correlation Table</t>
  </si>
  <si>
    <t>LifeExpectancy2015</t>
  </si>
  <si>
    <t>DG1FBE0DA0</t>
  </si>
  <si>
    <t>ST_Country_1</t>
  </si>
  <si>
    <t>ST_Year_2</t>
  </si>
  <si>
    <t>ST_Status_3</t>
  </si>
  <si>
    <t>ST_Lifeexpectancy_4</t>
  </si>
  <si>
    <t>ST_AdultMortality_5</t>
  </si>
  <si>
    <t>ST_Alcohol_6</t>
  </si>
  <si>
    <t>ST_PercentExpenditure</t>
  </si>
  <si>
    <t>ST_BMI_8</t>
  </si>
  <si>
    <t>ST_Polio_9</t>
  </si>
  <si>
    <t>ST_Totalexpenditure_10</t>
  </si>
  <si>
    <t>ST_Diphtheria_11</t>
  </si>
  <si>
    <t>ST_GDP_12</t>
  </si>
  <si>
    <t>ST_Population_13</t>
  </si>
  <si>
    <t>ST_Schooling_14</t>
  </si>
  <si>
    <t>ST_Smokingprevalence_15</t>
  </si>
  <si>
    <t>ST_CurrenthealthexpenditureCHEpercapitainUS_16</t>
  </si>
  <si>
    <t>ST_CurrenthealthexpenditureCHEaspercentageofgrossdomesticproductGDP_17</t>
  </si>
  <si>
    <t>ST_DomesticgeneralgovernmenthealthexpenditureGGHEDaspercentageofgeneralgovernmentexpenditureGGE_18</t>
  </si>
  <si>
    <t>Summary</t>
  </si>
  <si>
    <t>Multiple Regression for Life expectancy</t>
  </si>
  <si>
    <t>Multiple_x000D_
R</t>
  </si>
  <si>
    <t>R-Square</t>
  </si>
  <si>
    <t>Adjusted_x000D_
R-square</t>
  </si>
  <si>
    <t>Std. Err. of_x000D_
Estimate</t>
  </si>
  <si>
    <t>Rows_x000D_
Ignored</t>
  </si>
  <si>
    <t>Outliers</t>
  </si>
  <si>
    <t>ANOVA Table</t>
  </si>
  <si>
    <t>Degrees of_x000D_
Freedom</t>
  </si>
  <si>
    <t>Sum of_x000D_
Squares</t>
  </si>
  <si>
    <t>Mean of_x000D_
Squares</t>
  </si>
  <si>
    <t>F</t>
  </si>
  <si>
    <t>p-Value</t>
  </si>
  <si>
    <t>Explained</t>
  </si>
  <si>
    <t>Unexplained</t>
  </si>
  <si>
    <t>Regression Table</t>
  </si>
  <si>
    <t>Coefficient</t>
  </si>
  <si>
    <t>Standard_x000D_
Error</t>
  </si>
  <si>
    <t>t-Value</t>
  </si>
  <si>
    <t>Confidence Interval 95%</t>
  </si>
  <si>
    <t>Lower</t>
  </si>
  <si>
    <t>Upper</t>
  </si>
  <si>
    <t>Constant</t>
  </si>
  <si>
    <t>Status Dummy</t>
  </si>
  <si>
    <t>Interaction Polio</t>
  </si>
  <si>
    <t>Interaction Schooling</t>
  </si>
  <si>
    <t>Interaction Diptheria</t>
  </si>
  <si>
    <t>VG3163D0BB278AA5D9</t>
  </si>
  <si>
    <t>VG2D2736F81CB9962D</t>
  </si>
  <si>
    <t>VG2A22DBB2D9F9B0E</t>
  </si>
  <si>
    <t>VG21FEF0F0FE2ABC4</t>
  </si>
  <si>
    <t>VG184BF106DB33A25</t>
  </si>
  <si>
    <t>VG21DB314C65F67F8</t>
  </si>
  <si>
    <t>VG2395441F11073B90</t>
  </si>
  <si>
    <t>VG1960C03212ACA834</t>
  </si>
  <si>
    <t>VG6C2B736304EB873</t>
  </si>
  <si>
    <t>VG2436043D17644A21</t>
  </si>
  <si>
    <t>VG291C6BF214BE8BC2</t>
  </si>
  <si>
    <t>VG15E3C88C20624C82</t>
  </si>
  <si>
    <t>VG18A523312925C1F4</t>
  </si>
  <si>
    <t>VG30B13C3338D485D7</t>
  </si>
  <si>
    <t>VG1783EA94165A374A</t>
  </si>
  <si>
    <t>VG181C1E8E338DAE67</t>
  </si>
  <si>
    <t>VG155A9F20182C2508</t>
  </si>
  <si>
    <t>VG17986A5A2575F7F7</t>
  </si>
  <si>
    <t>19 : Info</t>
  </si>
  <si>
    <t>VG7F3D87F1129C49B</t>
  </si>
  <si>
    <t>var19</t>
  </si>
  <si>
    <t>ST_StatusDummy</t>
  </si>
  <si>
    <t>19 : Ranges</t>
  </si>
  <si>
    <t>19 : MultiRefs</t>
  </si>
  <si>
    <t>20 : Info</t>
  </si>
  <si>
    <t>VGC2F8807CCE3BCF</t>
  </si>
  <si>
    <t>var20</t>
  </si>
  <si>
    <t>ST_InteractionPolio</t>
  </si>
  <si>
    <t>20 : Ranges</t>
  </si>
  <si>
    <t>20 : MultiRefs</t>
  </si>
  <si>
    <t>21 : Info</t>
  </si>
  <si>
    <t>VGF16932C2B5CDE1B</t>
  </si>
  <si>
    <t>var21</t>
  </si>
  <si>
    <t>ST_InteractionSchooling</t>
  </si>
  <si>
    <t>21 : Ranges</t>
  </si>
  <si>
    <t>21 : MultiRefs</t>
  </si>
  <si>
    <t>22 : Info</t>
  </si>
  <si>
    <t>VG2777BE3A35BDBC41</t>
  </si>
  <si>
    <t>var22</t>
  </si>
  <si>
    <t>ST_InteractionDiptheria</t>
  </si>
  <si>
    <t>22 : Ranges</t>
  </si>
  <si>
    <t>22 : MultiRefs</t>
  </si>
  <si>
    <t>Ha</t>
  </si>
  <si>
    <t>Mu1-Mu2&lt;0</t>
  </si>
  <si>
    <t>Ho</t>
  </si>
  <si>
    <t>Mu1-Mu2&gt;0</t>
  </si>
  <si>
    <t>Life expectancy(2000)</t>
  </si>
  <si>
    <t>Life expectancy(2015)</t>
  </si>
  <si>
    <t>LifeExpextancyHypothesis</t>
  </si>
  <si>
    <t>DG2BBB1ECF</t>
  </si>
  <si>
    <t>VG1D9803B4A4D2B80</t>
  </si>
  <si>
    <t>ST_Lifeexpectancy2000</t>
  </si>
  <si>
    <t>VGC127A7C18FDC755</t>
  </si>
  <si>
    <t>ST_Lifeexpectancy2015</t>
  </si>
  <si>
    <t>Sample Summaries</t>
  </si>
  <si>
    <t>Sample Size</t>
  </si>
  <si>
    <t>Sample Mean</t>
  </si>
  <si>
    <t>Sample Std Dev</t>
  </si>
  <si>
    <t>Hypothesis Test (Difference of Means)</t>
  </si>
  <si>
    <t>Equal</t>
  </si>
  <si>
    <t>Variances</t>
  </si>
  <si>
    <t>Unequal</t>
  </si>
  <si>
    <t>Hypothesized Mean Difference</t>
  </si>
  <si>
    <t>Alternative Hypothesis</t>
  </si>
  <si>
    <t>Sample Mean Difference</t>
  </si>
  <si>
    <t>Standard Error of Difference</t>
  </si>
  <si>
    <t>Degrees of Freedom</t>
  </si>
  <si>
    <t>t-Test Statistic</t>
  </si>
  <si>
    <t>Null Hypoth. at 10% Significance</t>
  </si>
  <si>
    <t>Null Hypoth. at 5% Significance</t>
  </si>
  <si>
    <t>Null Hypoth. at 1% Significance</t>
  </si>
  <si>
    <t>Adult Mortality Interaction</t>
  </si>
  <si>
    <t>BMI Interaction</t>
  </si>
  <si>
    <t>Schooling Interaction</t>
  </si>
  <si>
    <t>VG258DEC7E1B75B121</t>
  </si>
  <si>
    <t>VG25398F5BEEB31D9</t>
  </si>
  <si>
    <t>VG22B98CAA29446894</t>
  </si>
  <si>
    <t>VG381047F910FB840</t>
  </si>
  <si>
    <t>VG1DAB5631EC76743</t>
  </si>
  <si>
    <t>VG3ACF053A34130578</t>
  </si>
  <si>
    <t>VGCFB3C0A341DF188</t>
  </si>
  <si>
    <t>VG183A767C1E056C11</t>
  </si>
  <si>
    <t>VG173A55A3B93DCC</t>
  </si>
  <si>
    <t>VG279BB6EA1A7B7457</t>
  </si>
  <si>
    <t>VG1C9BFD2B1607A73</t>
  </si>
  <si>
    <t>VG317F70BADA0D991</t>
  </si>
  <si>
    <t>VG2C39D792E9E8156</t>
  </si>
  <si>
    <t>VG23E4689430BBC4D8</t>
  </si>
  <si>
    <t>VG1A6521471528FE06</t>
  </si>
  <si>
    <t>VG22351C2363CC37A</t>
  </si>
  <si>
    <t>VG1CA69D19E87EE7A</t>
  </si>
  <si>
    <t>VG29D254673A1D1F52</t>
  </si>
  <si>
    <t>VG12B4391F28D7B863</t>
  </si>
  <si>
    <t>ST_StatusDummy_19</t>
  </si>
  <si>
    <t>VGDF11F6F6104612</t>
  </si>
  <si>
    <t>ST_AdultMortalityInteraction</t>
  </si>
  <si>
    <t>VG23EC2633362B39CD</t>
  </si>
  <si>
    <t>ST_BMIInteraction</t>
  </si>
  <si>
    <t>VG1D7F2A4E7C80E3</t>
  </si>
  <si>
    <t>ST_SchoolingInteraction</t>
  </si>
  <si>
    <t>Current health expenditure (CHE) per capita in US$</t>
  </si>
  <si>
    <t>Current health expenditure (CHE) as percentage of gross domestic product (GDP)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</si>
</sst>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quot;$&quot;#,##0.00"/>
    <numFmt numFmtId="165" formatCode="0.000"/>
    <numFmt numFmtId="166" formatCode="0.0000"/>
    <numFmt numFmtId="167" formatCode="[&lt;0.0001]&quot;&lt; 0.0001&quot;;0.0000"/>
  </numFmts>
  <fonts count="17" x14ac:knownFonts="1">
    <font>
      <sz val="10"/>
      <color rgb="FF000000"/>
      <name val="Arial"/>
    </font>
    <font>
      <b/>
      <sz val="11"/>
      <color rgb="FF000000"/>
      <name val="Calibri"/>
      <family val="2"/>
    </font>
    <font>
      <b/>
      <sz val="11"/>
      <name val="Calibri"/>
      <family val="2"/>
    </font>
    <font>
      <b/>
      <sz val="10"/>
      <color rgb="FF000000"/>
      <name val="Arial"/>
      <family val="2"/>
    </font>
    <font>
      <b/>
      <sz val="10"/>
      <name val="Arial"/>
      <family val="2"/>
    </font>
    <font>
      <b/>
      <sz val="12"/>
      <color rgb="FF000000"/>
      <name val="Calibri"/>
      <family val="2"/>
    </font>
    <font>
      <sz val="11"/>
      <color rgb="FF000000"/>
      <name val="Calibri"/>
      <family val="2"/>
    </font>
    <font>
      <sz val="11"/>
      <name val="Calibri"/>
      <family val="2"/>
    </font>
    <font>
      <sz val="10"/>
      <color rgb="FF000000"/>
      <name val="Arial"/>
      <family val="2"/>
    </font>
    <font>
      <sz val="12"/>
      <color rgb="FF000000"/>
      <name val="Calibri"/>
      <family val="2"/>
    </font>
    <font>
      <sz val="11"/>
      <color rgb="FF333333"/>
      <name val="Calibri"/>
      <family val="2"/>
    </font>
    <font>
      <sz val="10"/>
      <name val="Arial"/>
      <family val="2"/>
    </font>
    <font>
      <b/>
      <sz val="8"/>
      <color rgb="FF000000"/>
      <name val="Arial"/>
      <family val="2"/>
    </font>
    <font>
      <b/>
      <i/>
      <sz val="8"/>
      <color rgb="FF000000"/>
      <name val="Arial"/>
      <family val="2"/>
    </font>
    <font>
      <sz val="9"/>
      <color indexed="81"/>
      <name val="Tahoma"/>
      <family val="2"/>
    </font>
    <font>
      <b/>
      <u/>
      <sz val="9"/>
      <color indexed="81"/>
      <name val="Tahoma"/>
      <family val="2"/>
    </font>
    <font>
      <b/>
      <sz val="9"/>
      <color rgb="FF000000"/>
      <name val="Arial"/>
      <family val="2"/>
    </font>
  </fonts>
  <fills count="7">
    <fill>
      <patternFill patternType="none"/>
    </fill>
    <fill>
      <patternFill patternType="gray125"/>
    </fill>
    <fill>
      <patternFill patternType="solid">
        <fgColor rgb="FFFFFFFF"/>
        <bgColor indexed="64"/>
      </patternFill>
    </fill>
    <fill>
      <patternFill patternType="solid">
        <fgColor rgb="FF00CCFF"/>
        <bgColor indexed="64"/>
      </patternFill>
    </fill>
    <fill>
      <patternFill patternType="solid">
        <fgColor theme="5"/>
        <bgColor indexed="64"/>
      </patternFill>
    </fill>
    <fill>
      <patternFill patternType="solid">
        <fgColor theme="9"/>
        <bgColor indexed="64"/>
      </patternFill>
    </fill>
    <fill>
      <patternFill patternType="solid">
        <fgColor rgb="FFFF0000"/>
        <bgColor indexed="64"/>
      </patternFill>
    </fill>
  </fills>
  <borders count="14">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style="dashed">
        <color indexed="64"/>
      </right>
      <top style="dashed">
        <color rgb="FF000000"/>
      </top>
      <bottom/>
      <diagonal/>
    </border>
    <border>
      <left style="dashed">
        <color indexed="64"/>
      </left>
      <right style="dashed">
        <color indexed="64"/>
      </right>
      <top style="dashed">
        <color rgb="FF000000"/>
      </top>
      <bottom/>
      <diagonal/>
    </border>
    <border>
      <left style="dashed">
        <color indexed="64"/>
      </left>
      <right style="double">
        <color indexed="64"/>
      </right>
      <top style="dashed">
        <color rgb="FF000000"/>
      </top>
      <bottom/>
      <diagonal/>
    </border>
    <border>
      <left style="double">
        <color indexed="64"/>
      </left>
      <right style="dashed">
        <color indexed="64"/>
      </right>
      <top/>
      <bottom/>
      <diagonal/>
    </border>
    <border>
      <left style="dashed">
        <color indexed="64"/>
      </left>
      <right style="dashed">
        <color indexed="64"/>
      </right>
      <top/>
      <bottom/>
      <diagonal/>
    </border>
    <border>
      <left style="dashed">
        <color indexed="64"/>
      </left>
      <right style="double">
        <color indexed="64"/>
      </right>
      <top/>
      <bottom/>
      <diagonal/>
    </border>
    <border>
      <left style="double">
        <color indexed="64"/>
      </left>
      <right style="dashed">
        <color indexed="64"/>
      </right>
      <top/>
      <bottom style="double">
        <color indexed="64"/>
      </bottom>
      <diagonal/>
    </border>
    <border>
      <left style="dashed">
        <color indexed="64"/>
      </left>
      <right style="dashed">
        <color indexed="64"/>
      </right>
      <top/>
      <bottom style="double">
        <color indexed="64"/>
      </bottom>
      <diagonal/>
    </border>
    <border>
      <left style="dashed">
        <color indexed="64"/>
      </left>
      <right style="double">
        <color indexed="64"/>
      </right>
      <top/>
      <bottom style="double">
        <color indexed="64"/>
      </bottom>
      <diagonal/>
    </border>
    <border>
      <left/>
      <right/>
      <top/>
      <bottom style="double">
        <color rgb="FF000000"/>
      </bottom>
      <diagonal/>
    </border>
  </borders>
  <cellStyleXfs count="1">
    <xf numFmtId="0" fontId="0" fillId="0" borderId="0"/>
  </cellStyleXfs>
  <cellXfs count="108">
    <xf numFmtId="0" fontId="0" fillId="0" borderId="0" xfId="0" applyFont="1" applyAlignment="1"/>
    <xf numFmtId="0" fontId="6" fillId="0" borderId="0" xfId="0" applyFont="1" applyAlignment="1">
      <alignment horizontal="center"/>
    </xf>
    <xf numFmtId="0" fontId="8" fillId="0" borderId="0" xfId="0" applyFont="1" applyAlignment="1"/>
    <xf numFmtId="0" fontId="7" fillId="0" borderId="0" xfId="0" applyFont="1" applyAlignment="1"/>
    <xf numFmtId="0" fontId="11" fillId="0" borderId="0" xfId="0" applyFont="1" applyAlignment="1">
      <alignment horizontal="center"/>
    </xf>
    <xf numFmtId="0" fontId="0" fillId="0" borderId="0" xfId="0" applyNumberFormat="1" applyFont="1" applyAlignment="1"/>
    <xf numFmtId="0" fontId="0" fillId="0" borderId="0" xfId="0" applyFont="1" applyAlignment="1">
      <alignment horizontal="left"/>
    </xf>
    <xf numFmtId="0" fontId="3" fillId="0" borderId="0" xfId="0" applyFont="1" applyAlignment="1">
      <alignment horizontal="left"/>
    </xf>
    <xf numFmtId="0" fontId="1" fillId="3" borderId="1" xfId="0" applyFont="1" applyFill="1" applyBorder="1" applyAlignment="1"/>
    <xf numFmtId="0" fontId="1" fillId="3" borderId="2" xfId="0" applyFont="1" applyFill="1" applyBorder="1" applyAlignment="1"/>
    <xf numFmtId="164" fontId="1" fillId="3" borderId="2" xfId="0" applyNumberFormat="1" applyFont="1" applyFill="1" applyBorder="1" applyAlignment="1"/>
    <xf numFmtId="0" fontId="2" fillId="3" borderId="2" xfId="0" applyFont="1" applyFill="1" applyBorder="1" applyAlignment="1"/>
    <xf numFmtId="0" fontId="3" fillId="3" borderId="2" xfId="0" applyFont="1" applyFill="1" applyBorder="1" applyAlignment="1"/>
    <xf numFmtId="0" fontId="4" fillId="3" borderId="2" xfId="0" applyFont="1" applyFill="1" applyBorder="1" applyAlignment="1"/>
    <xf numFmtId="0" fontId="6" fillId="3" borderId="2" xfId="0" applyFont="1" applyFill="1" applyBorder="1" applyAlignment="1"/>
    <xf numFmtId="0" fontId="1" fillId="3" borderId="2" xfId="0" applyFont="1" applyFill="1" applyBorder="1" applyAlignment="1">
      <alignment horizontal="right"/>
    </xf>
    <xf numFmtId="0" fontId="6" fillId="3" borderId="2" xfId="0" applyFont="1" applyFill="1" applyBorder="1" applyAlignment="1">
      <alignment horizontal="center" wrapText="1"/>
    </xf>
    <xf numFmtId="0" fontId="6" fillId="3" borderId="3" xfId="0" applyFont="1" applyFill="1" applyBorder="1" applyAlignment="1">
      <alignment horizontal="center" wrapText="1"/>
    </xf>
    <xf numFmtId="0" fontId="6" fillId="2" borderId="4" xfId="0" applyFont="1" applyFill="1" applyBorder="1" applyAlignment="1"/>
    <xf numFmtId="0" fontId="6" fillId="2" borderId="5" xfId="0" applyFont="1" applyFill="1" applyBorder="1" applyAlignment="1">
      <alignment horizontal="right"/>
    </xf>
    <xf numFmtId="0" fontId="6" fillId="2" borderId="5" xfId="0" applyFont="1" applyFill="1" applyBorder="1" applyAlignment="1"/>
    <xf numFmtId="0" fontId="7" fillId="2" borderId="5" xfId="0" applyFont="1" applyFill="1" applyBorder="1" applyAlignment="1">
      <alignment horizontal="right"/>
    </xf>
    <xf numFmtId="0" fontId="8" fillId="2" borderId="5" xfId="0" applyFont="1" applyFill="1" applyBorder="1" applyAlignment="1"/>
    <xf numFmtId="0" fontId="9" fillId="2" borderId="5" xfId="0" applyFont="1" applyFill="1" applyBorder="1" applyAlignment="1">
      <alignment horizontal="right"/>
    </xf>
    <xf numFmtId="3" fontId="6" fillId="2" borderId="5" xfId="0" applyNumberFormat="1" applyFont="1" applyFill="1" applyBorder="1" applyAlignment="1"/>
    <xf numFmtId="0" fontId="6" fillId="2" borderId="5" xfId="0" applyFont="1" applyFill="1" applyBorder="1" applyAlignment="1">
      <alignment horizontal="center"/>
    </xf>
    <xf numFmtId="0" fontId="6" fillId="2" borderId="6" xfId="0" applyFont="1" applyFill="1" applyBorder="1" applyAlignment="1">
      <alignment horizontal="center"/>
    </xf>
    <xf numFmtId="0" fontId="6" fillId="2" borderId="7" xfId="0" applyFont="1" applyFill="1" applyBorder="1" applyAlignment="1"/>
    <xf numFmtId="0" fontId="6" fillId="2" borderId="8" xfId="0" applyFont="1" applyFill="1" applyBorder="1" applyAlignment="1">
      <alignment horizontal="right"/>
    </xf>
    <xf numFmtId="0" fontId="6" fillId="2" borderId="8" xfId="0" applyFont="1" applyFill="1" applyBorder="1" applyAlignment="1"/>
    <xf numFmtId="0" fontId="7" fillId="2" borderId="8" xfId="0" applyFont="1" applyFill="1" applyBorder="1" applyAlignment="1">
      <alignment horizontal="right"/>
    </xf>
    <xf numFmtId="0" fontId="8" fillId="2" borderId="8" xfId="0" applyFont="1" applyFill="1" applyBorder="1" applyAlignment="1"/>
    <xf numFmtId="0" fontId="9" fillId="2" borderId="8" xfId="0" applyFont="1" applyFill="1" applyBorder="1" applyAlignment="1">
      <alignment horizontal="right"/>
    </xf>
    <xf numFmtId="4" fontId="6" fillId="2" borderId="8" xfId="0" applyNumberFormat="1" applyFont="1" applyFill="1" applyBorder="1" applyAlignment="1">
      <alignment horizontal="right"/>
    </xf>
    <xf numFmtId="3" fontId="6" fillId="2" borderId="8" xfId="0" applyNumberFormat="1" applyFont="1" applyFill="1" applyBorder="1" applyAlignment="1"/>
    <xf numFmtId="0" fontId="6" fillId="2" borderId="8" xfId="0" applyFont="1" applyFill="1" applyBorder="1" applyAlignment="1">
      <alignment horizontal="center"/>
    </xf>
    <xf numFmtId="0" fontId="6" fillId="2" borderId="9" xfId="0" applyFont="1" applyFill="1" applyBorder="1" applyAlignment="1">
      <alignment horizontal="center"/>
    </xf>
    <xf numFmtId="4" fontId="10" fillId="2" borderId="8" xfId="0" applyNumberFormat="1" applyFont="1" applyFill="1" applyBorder="1" applyAlignment="1">
      <alignment horizontal="right"/>
    </xf>
    <xf numFmtId="0" fontId="8" fillId="2" borderId="8" xfId="0" applyFont="1" applyFill="1" applyBorder="1"/>
    <xf numFmtId="0" fontId="6" fillId="2" borderId="10" xfId="0" applyFont="1" applyFill="1" applyBorder="1" applyAlignment="1"/>
    <xf numFmtId="0" fontId="6" fillId="2" borderId="11" xfId="0" applyFont="1" applyFill="1" applyBorder="1" applyAlignment="1">
      <alignment horizontal="right"/>
    </xf>
    <xf numFmtId="0" fontId="6" fillId="2" borderId="11" xfId="0" applyFont="1" applyFill="1" applyBorder="1" applyAlignment="1"/>
    <xf numFmtId="0" fontId="7" fillId="2" borderId="11" xfId="0" applyFont="1" applyFill="1" applyBorder="1" applyAlignment="1">
      <alignment horizontal="right"/>
    </xf>
    <xf numFmtId="0" fontId="8" fillId="2" borderId="11" xfId="0" applyFont="1" applyFill="1" applyBorder="1" applyAlignment="1"/>
    <xf numFmtId="0" fontId="9" fillId="2" borderId="11" xfId="0" applyFont="1" applyFill="1" applyBorder="1" applyAlignment="1">
      <alignment horizontal="right"/>
    </xf>
    <xf numFmtId="3" fontId="6" fillId="2" borderId="11" xfId="0" applyNumberFormat="1" applyFont="1" applyFill="1" applyBorder="1" applyAlignment="1"/>
    <xf numFmtId="0" fontId="6" fillId="2" borderId="11" xfId="0" applyFont="1" applyFill="1" applyBorder="1" applyAlignment="1">
      <alignment horizontal="center"/>
    </xf>
    <xf numFmtId="0" fontId="6" fillId="2" borderId="12" xfId="0" applyFont="1" applyFill="1" applyBorder="1" applyAlignment="1">
      <alignment horizontal="center"/>
    </xf>
    <xf numFmtId="0" fontId="0" fillId="0" borderId="0" xfId="0" applyNumberFormat="1" applyFont="1" applyAlignment="1">
      <alignment horizontal="left"/>
    </xf>
    <xf numFmtId="0" fontId="0" fillId="0" borderId="0" xfId="0" applyFont="1" applyAlignment="1">
      <alignment horizontal="center"/>
    </xf>
    <xf numFmtId="49" fontId="12" fillId="0" borderId="0" xfId="0" applyNumberFormat="1" applyFont="1" applyAlignment="1">
      <alignment horizontal="center"/>
    </xf>
    <xf numFmtId="49" fontId="12" fillId="0" borderId="13" xfId="0" applyNumberFormat="1" applyFont="1" applyFill="1" applyBorder="1" applyAlignment="1">
      <alignment horizontal="center"/>
    </xf>
    <xf numFmtId="49" fontId="12" fillId="0" borderId="0" xfId="0" applyNumberFormat="1" applyFont="1" applyAlignment="1">
      <alignment horizontal="left"/>
    </xf>
    <xf numFmtId="49" fontId="13" fillId="0" borderId="0" xfId="0" applyNumberFormat="1" applyFont="1" applyAlignment="1">
      <alignment horizontal="left"/>
    </xf>
    <xf numFmtId="49" fontId="13" fillId="0" borderId="13" xfId="0" applyNumberFormat="1" applyFont="1" applyFill="1" applyBorder="1" applyAlignment="1">
      <alignment horizontal="left"/>
    </xf>
    <xf numFmtId="49" fontId="12" fillId="0" borderId="0" xfId="0" applyNumberFormat="1" applyFont="1" applyAlignment="1">
      <alignment horizontal="center" wrapText="1"/>
    </xf>
    <xf numFmtId="49" fontId="12" fillId="0" borderId="0" xfId="0" applyNumberFormat="1" applyFont="1" applyAlignment="1">
      <alignment horizontal="left" wrapText="1"/>
    </xf>
    <xf numFmtId="165" fontId="0" fillId="0" borderId="0" xfId="0" applyNumberFormat="1" applyFont="1" applyAlignment="1">
      <alignment horizontal="center"/>
    </xf>
    <xf numFmtId="0" fontId="5" fillId="3" borderId="2" xfId="0" applyFont="1" applyFill="1" applyBorder="1" applyAlignment="1"/>
    <xf numFmtId="0" fontId="1" fillId="3" borderId="2" xfId="0" applyFont="1" applyFill="1" applyBorder="1" applyAlignment="1">
      <alignment horizontal="center"/>
    </xf>
    <xf numFmtId="0" fontId="3" fillId="3" borderId="2" xfId="0" applyFont="1" applyFill="1" applyBorder="1" applyAlignment="1">
      <alignment horizontal="center"/>
    </xf>
    <xf numFmtId="0" fontId="8" fillId="2" borderId="5" xfId="0" applyFont="1" applyFill="1" applyBorder="1" applyAlignment="1">
      <alignment horizontal="center"/>
    </xf>
    <xf numFmtId="0" fontId="8" fillId="2" borderId="8" xfId="0" applyFont="1" applyFill="1" applyBorder="1" applyAlignment="1">
      <alignment horizontal="center"/>
    </xf>
    <xf numFmtId="3" fontId="6" fillId="2" borderId="8" xfId="0" applyNumberFormat="1" applyFont="1" applyFill="1" applyBorder="1" applyAlignment="1">
      <alignment horizontal="right"/>
    </xf>
    <xf numFmtId="3" fontId="6" fillId="2" borderId="11" xfId="0" applyNumberFormat="1" applyFont="1" applyFill="1" applyBorder="1" applyAlignment="1">
      <alignment horizontal="right"/>
    </xf>
    <xf numFmtId="0" fontId="8" fillId="2" borderId="11" xfId="0" applyFont="1" applyFill="1" applyBorder="1" applyAlignment="1">
      <alignment horizontal="center"/>
    </xf>
    <xf numFmtId="49" fontId="12" fillId="4" borderId="0" xfId="0" applyNumberFormat="1" applyFont="1" applyFill="1" applyAlignment="1">
      <alignment horizontal="left"/>
    </xf>
    <xf numFmtId="49" fontId="12" fillId="4" borderId="0" xfId="0" applyNumberFormat="1" applyFont="1" applyFill="1" applyAlignment="1">
      <alignment horizontal="left" wrapText="1"/>
    </xf>
    <xf numFmtId="166" fontId="0" fillId="0" borderId="0" xfId="0" applyNumberFormat="1" applyFont="1" applyAlignment="1">
      <alignment horizontal="center"/>
    </xf>
    <xf numFmtId="0" fontId="0" fillId="0" borderId="0" xfId="0" applyNumberFormat="1" applyFont="1" applyAlignment="1">
      <alignment horizontal="center"/>
    </xf>
    <xf numFmtId="167" fontId="0" fillId="0" borderId="0" xfId="0" applyNumberFormat="1" applyFont="1" applyAlignment="1">
      <alignment horizontal="center"/>
    </xf>
    <xf numFmtId="0" fontId="0" fillId="4" borderId="0" xfId="0" applyFont="1" applyFill="1" applyAlignment="1"/>
    <xf numFmtId="2" fontId="6" fillId="3" borderId="2" xfId="0" applyNumberFormat="1" applyFont="1" applyFill="1" applyBorder="1" applyAlignment="1">
      <alignment horizontal="center" wrapText="1"/>
    </xf>
    <xf numFmtId="2" fontId="6" fillId="2" borderId="5" xfId="0" applyNumberFormat="1" applyFont="1" applyFill="1" applyBorder="1" applyAlignment="1">
      <alignment horizontal="center"/>
    </xf>
    <xf numFmtId="2" fontId="6" fillId="2" borderId="8" xfId="0" applyNumberFormat="1" applyFont="1" applyFill="1" applyBorder="1" applyAlignment="1">
      <alignment horizontal="center"/>
    </xf>
    <xf numFmtId="2" fontId="6" fillId="2" borderId="11" xfId="0" applyNumberFormat="1" applyFont="1" applyFill="1" applyBorder="1" applyAlignment="1">
      <alignment horizontal="center"/>
    </xf>
    <xf numFmtId="2" fontId="6" fillId="0" borderId="0" xfId="0" applyNumberFormat="1" applyFont="1" applyAlignment="1">
      <alignment horizontal="center"/>
    </xf>
    <xf numFmtId="2" fontId="11" fillId="0" borderId="0" xfId="0" applyNumberFormat="1" applyFont="1" applyAlignment="1">
      <alignment horizontal="center"/>
    </xf>
    <xf numFmtId="2" fontId="0" fillId="0" borderId="0" xfId="0" applyNumberFormat="1" applyFont="1" applyAlignment="1"/>
    <xf numFmtId="2" fontId="0" fillId="0" borderId="0" xfId="0" applyNumberFormat="1" applyFont="1" applyAlignment="1">
      <alignment horizontal="left"/>
    </xf>
    <xf numFmtId="166" fontId="0" fillId="4" borderId="0" xfId="0" applyNumberFormat="1" applyFont="1" applyFill="1" applyAlignment="1">
      <alignment horizontal="center"/>
    </xf>
    <xf numFmtId="49" fontId="12" fillId="5" borderId="0" xfId="0" applyNumberFormat="1" applyFont="1" applyFill="1" applyAlignment="1">
      <alignment horizontal="left"/>
    </xf>
    <xf numFmtId="49" fontId="12" fillId="6" borderId="0" xfId="0" applyNumberFormat="1" applyFont="1" applyFill="1" applyAlignment="1">
      <alignment horizontal="left"/>
    </xf>
    <xf numFmtId="166" fontId="0" fillId="6" borderId="0" xfId="0" applyNumberFormat="1" applyFont="1" applyFill="1" applyAlignment="1">
      <alignment horizontal="center"/>
    </xf>
    <xf numFmtId="166" fontId="0" fillId="5" borderId="0" xfId="0" applyNumberFormat="1" applyFont="1" applyFill="1" applyAlignment="1">
      <alignment horizontal="center"/>
    </xf>
    <xf numFmtId="2" fontId="2" fillId="3" borderId="2" xfId="0" applyNumberFormat="1" applyFont="1" applyFill="1" applyBorder="1" applyAlignment="1"/>
    <xf numFmtId="2" fontId="7" fillId="2" borderId="5" xfId="0" applyNumberFormat="1" applyFont="1" applyFill="1" applyBorder="1" applyAlignment="1">
      <alignment horizontal="right"/>
    </xf>
    <xf numFmtId="2" fontId="7" fillId="2" borderId="8" xfId="0" applyNumberFormat="1" applyFont="1" applyFill="1" applyBorder="1" applyAlignment="1">
      <alignment horizontal="right"/>
    </xf>
    <xf numFmtId="2" fontId="7" fillId="2" borderId="11" xfId="0" applyNumberFormat="1" applyFont="1" applyFill="1" applyBorder="1" applyAlignment="1">
      <alignment horizontal="right"/>
    </xf>
    <xf numFmtId="2" fontId="7" fillId="0" borderId="0" xfId="0" applyNumberFormat="1" applyFont="1" applyAlignment="1"/>
    <xf numFmtId="0" fontId="8" fillId="3" borderId="1" xfId="0" applyFont="1" applyFill="1" applyBorder="1" applyAlignment="1"/>
    <xf numFmtId="0" fontId="8" fillId="3" borderId="3" xfId="0" applyFont="1" applyFill="1" applyBorder="1" applyAlignment="1"/>
    <xf numFmtId="0" fontId="0" fillId="2" borderId="4" xfId="0" applyFont="1" applyFill="1" applyBorder="1" applyAlignment="1"/>
    <xf numFmtId="0" fontId="0" fillId="2" borderId="6" xfId="0" applyFont="1" applyFill="1" applyBorder="1" applyAlignment="1"/>
    <xf numFmtId="0" fontId="0" fillId="2" borderId="7" xfId="0" applyFont="1" applyFill="1" applyBorder="1" applyAlignment="1"/>
    <xf numFmtId="0" fontId="0" fillId="2" borderId="9" xfId="0" applyFont="1" applyFill="1" applyBorder="1" applyAlignment="1"/>
    <xf numFmtId="0" fontId="0" fillId="2" borderId="10" xfId="0" applyFont="1" applyFill="1" applyBorder="1" applyAlignment="1"/>
    <xf numFmtId="0" fontId="0" fillId="2" borderId="12" xfId="0" applyFont="1" applyFill="1" applyBorder="1" applyAlignment="1"/>
    <xf numFmtId="2" fontId="0" fillId="0" borderId="0" xfId="0" applyNumberFormat="1" applyFont="1" applyAlignment="1">
      <alignment horizontal="center"/>
    </xf>
    <xf numFmtId="167" fontId="0" fillId="5" borderId="0" xfId="0" applyNumberFormat="1" applyFont="1" applyFill="1" applyAlignment="1">
      <alignment horizontal="center"/>
    </xf>
    <xf numFmtId="0" fontId="0" fillId="5" borderId="0" xfId="0" applyFont="1" applyFill="1" applyAlignment="1">
      <alignment horizontal="center"/>
    </xf>
    <xf numFmtId="49" fontId="12" fillId="0" borderId="0" xfId="0" applyNumberFormat="1" applyFont="1" applyAlignment="1">
      <alignment horizontal="center"/>
    </xf>
    <xf numFmtId="49" fontId="12" fillId="0" borderId="0" xfId="0" applyNumberFormat="1" applyFont="1" applyAlignment="1">
      <alignment horizontal="center" vertical="center"/>
    </xf>
    <xf numFmtId="0" fontId="0" fillId="0" borderId="13" xfId="0" applyFont="1" applyBorder="1" applyAlignment="1">
      <alignment horizontal="center" vertical="center"/>
    </xf>
    <xf numFmtId="49" fontId="12" fillId="0" borderId="0" xfId="0" applyNumberFormat="1" applyFont="1" applyAlignment="1">
      <alignment horizontal="center" vertical="center" wrapText="1"/>
    </xf>
    <xf numFmtId="49" fontId="16" fillId="0" borderId="0" xfId="0" applyNumberFormat="1" applyFont="1" applyAlignment="1">
      <alignment horizontal="left"/>
    </xf>
    <xf numFmtId="49" fontId="16" fillId="4" borderId="0" xfId="0" applyNumberFormat="1" applyFont="1" applyFill="1" applyAlignment="1">
      <alignment horizontal="left"/>
    </xf>
    <xf numFmtId="49" fontId="16" fillId="0" borderId="0" xfId="0" applyNumberFormat="1"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23</xdr:col>
      <xdr:colOff>47625</xdr:colOff>
      <xdr:row>17</xdr:row>
      <xdr:rowOff>104775</xdr:rowOff>
    </xdr:from>
    <xdr:to>
      <xdr:col>38</xdr:col>
      <xdr:colOff>1019176</xdr:colOff>
      <xdr:row>20</xdr:row>
      <xdr:rowOff>180975</xdr:rowOff>
    </xdr:to>
    <xdr:sp macro="" textlink="">
      <xdr:nvSpPr>
        <xdr:cNvPr id="2" name="TextBox 1">
          <a:extLst>
            <a:ext uri="{FF2B5EF4-FFF2-40B4-BE49-F238E27FC236}">
              <a16:creationId xmlns:a16="http://schemas.microsoft.com/office/drawing/2014/main" id="{0CB08DB4-F0A3-477A-A2B7-F28DCC2DB6B0}"/>
            </a:ext>
          </a:extLst>
        </xdr:cNvPr>
        <xdr:cNvSpPr txBox="1"/>
      </xdr:nvSpPr>
      <xdr:spPr>
        <a:xfrm>
          <a:off x="30279975" y="3343275"/>
          <a:ext cx="17935576" cy="64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Correlation Matrix of Variables Highlighting</a:t>
          </a:r>
          <a:r>
            <a:rPr lang="en-US" sz="2400" baseline="0"/>
            <a:t> with a ±0.5 Interval, the highlighted variables are strongly Correlated with Life Expectancy</a:t>
          </a:r>
          <a:endParaRPr lang="en-US" sz="2400"/>
        </a:p>
      </xdr:txBody>
    </xdr:sp>
    <xdr:clientData/>
  </xdr:twoCellAnchor>
  <xdr:twoCellAnchor>
    <xdr:from>
      <xdr:col>44</xdr:col>
      <xdr:colOff>76200</xdr:colOff>
      <xdr:row>13</xdr:row>
      <xdr:rowOff>104775</xdr:rowOff>
    </xdr:from>
    <xdr:to>
      <xdr:col>50</xdr:col>
      <xdr:colOff>828675</xdr:colOff>
      <xdr:row>16</xdr:row>
      <xdr:rowOff>66675</xdr:rowOff>
    </xdr:to>
    <xdr:sp macro="" textlink="">
      <xdr:nvSpPr>
        <xdr:cNvPr id="3" name="TextBox 2">
          <a:extLst>
            <a:ext uri="{FF2B5EF4-FFF2-40B4-BE49-F238E27FC236}">
              <a16:creationId xmlns:a16="http://schemas.microsoft.com/office/drawing/2014/main" id="{18E5C1EA-AFB5-453A-B6E9-235DA4F441CA}"/>
            </a:ext>
          </a:extLst>
        </xdr:cNvPr>
        <xdr:cNvSpPr txBox="1"/>
      </xdr:nvSpPr>
      <xdr:spPr>
        <a:xfrm>
          <a:off x="54197250" y="2581275"/>
          <a:ext cx="720090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200"/>
            <a:t>Simple</a:t>
          </a:r>
          <a:r>
            <a:rPr lang="en-US" sz="2200" baseline="0"/>
            <a:t> Regression of y-Life Expectancy &amp; x-Adult Mortality</a:t>
          </a:r>
          <a:endParaRPr lang="en-US" sz="2200"/>
        </a:p>
      </xdr:txBody>
    </xdr:sp>
    <xdr:clientData/>
  </xdr:twoCellAnchor>
  <xdr:twoCellAnchor>
    <xdr:from>
      <xdr:col>52</xdr:col>
      <xdr:colOff>0</xdr:colOff>
      <xdr:row>14</xdr:row>
      <xdr:rowOff>0</xdr:rowOff>
    </xdr:from>
    <xdr:to>
      <xdr:col>58</xdr:col>
      <xdr:colOff>752475</xdr:colOff>
      <xdr:row>16</xdr:row>
      <xdr:rowOff>152400</xdr:rowOff>
    </xdr:to>
    <xdr:sp macro="" textlink="">
      <xdr:nvSpPr>
        <xdr:cNvPr id="4" name="TextBox 3">
          <a:extLst>
            <a:ext uri="{FF2B5EF4-FFF2-40B4-BE49-F238E27FC236}">
              <a16:creationId xmlns:a16="http://schemas.microsoft.com/office/drawing/2014/main" id="{D9BFEAAD-66B8-44BF-89E5-08F8762803BC}"/>
            </a:ext>
          </a:extLst>
        </xdr:cNvPr>
        <xdr:cNvSpPr txBox="1"/>
      </xdr:nvSpPr>
      <xdr:spPr>
        <a:xfrm>
          <a:off x="62264925" y="2667000"/>
          <a:ext cx="720090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200"/>
            <a:t>Simple</a:t>
          </a:r>
          <a:r>
            <a:rPr lang="en-US" sz="2200" baseline="0"/>
            <a:t> Regression of y-Life Expectancy &amp; x-BMI</a:t>
          </a:r>
          <a:endParaRPr lang="en-US" sz="2200"/>
        </a:p>
      </xdr:txBody>
    </xdr:sp>
    <xdr:clientData/>
  </xdr:twoCellAnchor>
  <xdr:twoCellAnchor>
    <xdr:from>
      <xdr:col>60</xdr:col>
      <xdr:colOff>0</xdr:colOff>
      <xdr:row>15</xdr:row>
      <xdr:rowOff>0</xdr:rowOff>
    </xdr:from>
    <xdr:to>
      <xdr:col>66</xdr:col>
      <xdr:colOff>752475</xdr:colOff>
      <xdr:row>17</xdr:row>
      <xdr:rowOff>152400</xdr:rowOff>
    </xdr:to>
    <xdr:sp macro="" textlink="">
      <xdr:nvSpPr>
        <xdr:cNvPr id="5" name="TextBox 4">
          <a:extLst>
            <a:ext uri="{FF2B5EF4-FFF2-40B4-BE49-F238E27FC236}">
              <a16:creationId xmlns:a16="http://schemas.microsoft.com/office/drawing/2014/main" id="{8BC70EC2-76F8-4B6D-8416-1B70CE508CF1}"/>
            </a:ext>
          </a:extLst>
        </xdr:cNvPr>
        <xdr:cNvSpPr txBox="1"/>
      </xdr:nvSpPr>
      <xdr:spPr>
        <a:xfrm>
          <a:off x="70523100" y="2857500"/>
          <a:ext cx="720090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200"/>
            <a:t>Simple</a:t>
          </a:r>
          <a:r>
            <a:rPr lang="en-US" sz="2200" baseline="0"/>
            <a:t> Regression of y-Life Expectancy &amp; x-Polio</a:t>
          </a:r>
          <a:endParaRPr lang="en-US" sz="2200"/>
        </a:p>
      </xdr:txBody>
    </xdr:sp>
    <xdr:clientData/>
  </xdr:twoCellAnchor>
  <xdr:twoCellAnchor>
    <xdr:from>
      <xdr:col>68</xdr:col>
      <xdr:colOff>0</xdr:colOff>
      <xdr:row>14</xdr:row>
      <xdr:rowOff>0</xdr:rowOff>
    </xdr:from>
    <xdr:to>
      <xdr:col>74</xdr:col>
      <xdr:colOff>752475</xdr:colOff>
      <xdr:row>16</xdr:row>
      <xdr:rowOff>152400</xdr:rowOff>
    </xdr:to>
    <xdr:sp macro="" textlink="">
      <xdr:nvSpPr>
        <xdr:cNvPr id="6" name="TextBox 5">
          <a:extLst>
            <a:ext uri="{FF2B5EF4-FFF2-40B4-BE49-F238E27FC236}">
              <a16:creationId xmlns:a16="http://schemas.microsoft.com/office/drawing/2014/main" id="{590A2194-6DD8-4D36-8A82-D4F317BEB019}"/>
            </a:ext>
          </a:extLst>
        </xdr:cNvPr>
        <xdr:cNvSpPr txBox="1"/>
      </xdr:nvSpPr>
      <xdr:spPr>
        <a:xfrm>
          <a:off x="78781275" y="2667000"/>
          <a:ext cx="720090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200"/>
            <a:t>Simple</a:t>
          </a:r>
          <a:r>
            <a:rPr lang="en-US" sz="2200" baseline="0"/>
            <a:t> Regression of y-Life Expectancy &amp; x-Diptheria</a:t>
          </a:r>
          <a:endParaRPr lang="en-US" sz="2200"/>
        </a:p>
      </xdr:txBody>
    </xdr:sp>
    <xdr:clientData/>
  </xdr:twoCellAnchor>
  <xdr:twoCellAnchor>
    <xdr:from>
      <xdr:col>76</xdr:col>
      <xdr:colOff>0</xdr:colOff>
      <xdr:row>15</xdr:row>
      <xdr:rowOff>0</xdr:rowOff>
    </xdr:from>
    <xdr:to>
      <xdr:col>82</xdr:col>
      <xdr:colOff>752475</xdr:colOff>
      <xdr:row>17</xdr:row>
      <xdr:rowOff>152400</xdr:rowOff>
    </xdr:to>
    <xdr:sp macro="" textlink="">
      <xdr:nvSpPr>
        <xdr:cNvPr id="7" name="TextBox 6">
          <a:extLst>
            <a:ext uri="{FF2B5EF4-FFF2-40B4-BE49-F238E27FC236}">
              <a16:creationId xmlns:a16="http://schemas.microsoft.com/office/drawing/2014/main" id="{7B2E371E-16D2-476A-B79B-AF1737CCF3AE}"/>
            </a:ext>
          </a:extLst>
        </xdr:cNvPr>
        <xdr:cNvSpPr txBox="1"/>
      </xdr:nvSpPr>
      <xdr:spPr>
        <a:xfrm>
          <a:off x="87039450" y="2857500"/>
          <a:ext cx="720090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200"/>
            <a:t>Simple</a:t>
          </a:r>
          <a:r>
            <a:rPr lang="en-US" sz="2200" baseline="0"/>
            <a:t> Regression of y-Life Expectancy &amp; x-Schooling</a:t>
          </a:r>
          <a:endParaRPr lang="en-US" sz="2200"/>
        </a:p>
      </xdr:txBody>
    </xdr:sp>
    <xdr:clientData/>
  </xdr:twoCellAnchor>
  <xdr:twoCellAnchor>
    <xdr:from>
      <xdr:col>84</xdr:col>
      <xdr:colOff>0</xdr:colOff>
      <xdr:row>15</xdr:row>
      <xdr:rowOff>0</xdr:rowOff>
    </xdr:from>
    <xdr:to>
      <xdr:col>90</xdr:col>
      <xdr:colOff>752475</xdr:colOff>
      <xdr:row>17</xdr:row>
      <xdr:rowOff>152400</xdr:rowOff>
    </xdr:to>
    <xdr:sp macro="" textlink="">
      <xdr:nvSpPr>
        <xdr:cNvPr id="8" name="TextBox 7">
          <a:extLst>
            <a:ext uri="{FF2B5EF4-FFF2-40B4-BE49-F238E27FC236}">
              <a16:creationId xmlns:a16="http://schemas.microsoft.com/office/drawing/2014/main" id="{0BBB1ED1-F057-4935-9C0A-4DB31D46B375}"/>
            </a:ext>
          </a:extLst>
        </xdr:cNvPr>
        <xdr:cNvSpPr txBox="1"/>
      </xdr:nvSpPr>
      <xdr:spPr>
        <a:xfrm>
          <a:off x="95297625" y="2857500"/>
          <a:ext cx="720090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200"/>
            <a:t>Simple</a:t>
          </a:r>
          <a:r>
            <a:rPr lang="en-US" sz="2200" baseline="0"/>
            <a:t> Regression of y-Life Expectancy &amp; x-GDP</a:t>
          </a:r>
          <a:endParaRPr lang="en-US" sz="2200"/>
        </a:p>
      </xdr:txBody>
    </xdr:sp>
    <xdr:clientData/>
  </xdr:twoCellAnchor>
  <xdr:twoCellAnchor>
    <xdr:from>
      <xdr:col>83</xdr:col>
      <xdr:colOff>85725</xdr:colOff>
      <xdr:row>2</xdr:row>
      <xdr:rowOff>161925</xdr:rowOff>
    </xdr:from>
    <xdr:to>
      <xdr:col>83</xdr:col>
      <xdr:colOff>857250</xdr:colOff>
      <xdr:row>35</xdr:row>
      <xdr:rowOff>123825</xdr:rowOff>
    </xdr:to>
    <xdr:sp macro="" textlink="">
      <xdr:nvSpPr>
        <xdr:cNvPr id="9" name="TextBox 8">
          <a:extLst>
            <a:ext uri="{FF2B5EF4-FFF2-40B4-BE49-F238E27FC236}">
              <a16:creationId xmlns:a16="http://schemas.microsoft.com/office/drawing/2014/main" id="{AB08F5F4-FEF8-4DA3-912B-00AA951A37B3}"/>
            </a:ext>
          </a:extLst>
        </xdr:cNvPr>
        <xdr:cNvSpPr txBox="1"/>
      </xdr:nvSpPr>
      <xdr:spPr>
        <a:xfrm>
          <a:off x="94421325" y="542925"/>
          <a:ext cx="771525" cy="6248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400"/>
        </a:p>
        <a:p>
          <a:endParaRPr lang="en-US" sz="2400"/>
        </a:p>
        <a:p>
          <a:r>
            <a:rPr lang="en-US" sz="2400"/>
            <a:t>Regression with </a:t>
          </a:r>
        </a:p>
        <a:p>
          <a:r>
            <a:rPr lang="en-US" sz="2400"/>
            <a:t>Non-Highly</a:t>
          </a:r>
          <a:r>
            <a:rPr lang="en-US" sz="2400" baseline="0"/>
            <a:t> Correlated Variables</a:t>
          </a:r>
          <a:endParaRPr lang="en-US" sz="2400"/>
        </a:p>
      </xdr:txBody>
    </xdr:sp>
    <xdr:clientData/>
  </xdr:twoCellAnchor>
  <xdr:twoCellAnchor>
    <xdr:from>
      <xdr:col>83</xdr:col>
      <xdr:colOff>190500</xdr:colOff>
      <xdr:row>4</xdr:row>
      <xdr:rowOff>76200</xdr:rowOff>
    </xdr:from>
    <xdr:to>
      <xdr:col>83</xdr:col>
      <xdr:colOff>647700</xdr:colOff>
      <xdr:row>4</xdr:row>
      <xdr:rowOff>76200</xdr:rowOff>
    </xdr:to>
    <xdr:cxnSp macro="">
      <xdr:nvCxnSpPr>
        <xdr:cNvPr id="11" name="Straight Arrow Connector 10">
          <a:extLst>
            <a:ext uri="{FF2B5EF4-FFF2-40B4-BE49-F238E27FC236}">
              <a16:creationId xmlns:a16="http://schemas.microsoft.com/office/drawing/2014/main" id="{BEC7BC2A-DB77-46E8-954E-36EC88EDA935}"/>
            </a:ext>
          </a:extLst>
        </xdr:cNvPr>
        <xdr:cNvCxnSpPr/>
      </xdr:nvCxnSpPr>
      <xdr:spPr>
        <a:xfrm>
          <a:off x="94526100" y="838200"/>
          <a:ext cx="4572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92</xdr:col>
      <xdr:colOff>0</xdr:colOff>
      <xdr:row>14</xdr:row>
      <xdr:rowOff>0</xdr:rowOff>
    </xdr:from>
    <xdr:to>
      <xdr:col>99</xdr:col>
      <xdr:colOff>152400</xdr:colOff>
      <xdr:row>16</xdr:row>
      <xdr:rowOff>152400</xdr:rowOff>
    </xdr:to>
    <xdr:sp macro="" textlink="">
      <xdr:nvSpPr>
        <xdr:cNvPr id="12" name="TextBox 11">
          <a:extLst>
            <a:ext uri="{FF2B5EF4-FFF2-40B4-BE49-F238E27FC236}">
              <a16:creationId xmlns:a16="http://schemas.microsoft.com/office/drawing/2014/main" id="{B23BFAEB-432D-4D92-AA17-68107121E1E6}"/>
            </a:ext>
          </a:extLst>
        </xdr:cNvPr>
        <xdr:cNvSpPr txBox="1"/>
      </xdr:nvSpPr>
      <xdr:spPr>
        <a:xfrm>
          <a:off x="103555800" y="2667000"/>
          <a:ext cx="744855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200"/>
            <a:t>Simple</a:t>
          </a:r>
          <a:r>
            <a:rPr lang="en-US" sz="2200" baseline="0"/>
            <a:t> Regression of y-Life Expectancy &amp; x-Smoking Prevalence</a:t>
          </a:r>
          <a:endParaRPr lang="en-US" sz="2200"/>
        </a:p>
      </xdr:txBody>
    </xdr:sp>
    <xdr:clientData/>
  </xdr:twoCellAnchor>
  <xdr:twoCellAnchor>
    <xdr:from>
      <xdr:col>40</xdr:col>
      <xdr:colOff>123825</xdr:colOff>
      <xdr:row>3</xdr:row>
      <xdr:rowOff>123825</xdr:rowOff>
    </xdr:from>
    <xdr:to>
      <xdr:col>40</xdr:col>
      <xdr:colOff>2085975</xdr:colOff>
      <xdr:row>23</xdr:row>
      <xdr:rowOff>76200</xdr:rowOff>
    </xdr:to>
    <xdr:sp macro="" textlink="">
      <xdr:nvSpPr>
        <xdr:cNvPr id="13" name="TextBox 12">
          <a:extLst>
            <a:ext uri="{FF2B5EF4-FFF2-40B4-BE49-F238E27FC236}">
              <a16:creationId xmlns:a16="http://schemas.microsoft.com/office/drawing/2014/main" id="{BB8BB3E5-2A15-488C-AC5B-45F8BC12DD24}"/>
            </a:ext>
          </a:extLst>
        </xdr:cNvPr>
        <xdr:cNvSpPr txBox="1"/>
      </xdr:nvSpPr>
      <xdr:spPr>
        <a:xfrm>
          <a:off x="49491900" y="695325"/>
          <a:ext cx="1962150" cy="3762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Regression with Highly</a:t>
          </a:r>
          <a:r>
            <a:rPr lang="en-US" sz="1100" baseline="0"/>
            <a:t> correlated variables  against life expectancy taking life expectancy as dependent and each of the variables as independent in simple linear regression</a:t>
          </a:r>
          <a:endParaRPr lang="en-US" sz="1100"/>
        </a:p>
      </xdr:txBody>
    </xdr:sp>
    <xdr:clientData/>
  </xdr:twoCellAnchor>
  <xdr:twoCellAnchor>
    <xdr:from>
      <xdr:col>99</xdr:col>
      <xdr:colOff>95250</xdr:colOff>
      <xdr:row>2</xdr:row>
      <xdr:rowOff>142875</xdr:rowOff>
    </xdr:from>
    <xdr:to>
      <xdr:col>99</xdr:col>
      <xdr:colOff>895350</xdr:colOff>
      <xdr:row>21</xdr:row>
      <xdr:rowOff>171450</xdr:rowOff>
    </xdr:to>
    <xdr:sp macro="" textlink="">
      <xdr:nvSpPr>
        <xdr:cNvPr id="14" name="TextBox 13">
          <a:extLst>
            <a:ext uri="{FF2B5EF4-FFF2-40B4-BE49-F238E27FC236}">
              <a16:creationId xmlns:a16="http://schemas.microsoft.com/office/drawing/2014/main" id="{04AD5158-4CD1-430F-A95D-9C4D11DE5D4C}"/>
            </a:ext>
          </a:extLst>
        </xdr:cNvPr>
        <xdr:cNvSpPr txBox="1"/>
      </xdr:nvSpPr>
      <xdr:spPr>
        <a:xfrm>
          <a:off x="121777125" y="523875"/>
          <a:ext cx="800100" cy="3648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Multiple Linear</a:t>
          </a:r>
          <a:r>
            <a:rPr lang="en-US" sz="1100" baseline="0"/>
            <a:t> Regression(Stepwise) without Dummy or Interaction Variables</a:t>
          </a:r>
          <a:endParaRPr lang="en-US" sz="1100"/>
        </a:p>
      </xdr:txBody>
    </xdr:sp>
    <xdr:clientData/>
  </xdr:twoCellAnchor>
  <xdr:twoCellAnchor>
    <xdr:from>
      <xdr:col>101</xdr:col>
      <xdr:colOff>38100</xdr:colOff>
      <xdr:row>13</xdr:row>
      <xdr:rowOff>152400</xdr:rowOff>
    </xdr:from>
    <xdr:to>
      <xdr:col>103</xdr:col>
      <xdr:colOff>666750</xdr:colOff>
      <xdr:row>16</xdr:row>
      <xdr:rowOff>171450</xdr:rowOff>
    </xdr:to>
    <xdr:sp macro="" textlink="">
      <xdr:nvSpPr>
        <xdr:cNvPr id="15" name="TextBox 14">
          <a:extLst>
            <a:ext uri="{FF2B5EF4-FFF2-40B4-BE49-F238E27FC236}">
              <a16:creationId xmlns:a16="http://schemas.microsoft.com/office/drawing/2014/main" id="{ADADDD55-9C5C-4A87-ADBF-7AE597281FEE}"/>
            </a:ext>
          </a:extLst>
        </xdr:cNvPr>
        <xdr:cNvSpPr txBox="1"/>
      </xdr:nvSpPr>
      <xdr:spPr>
        <a:xfrm>
          <a:off x="123644025" y="2628900"/>
          <a:ext cx="3686175" cy="590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Stepwise Regression Begins</a:t>
          </a:r>
        </a:p>
      </xdr:txBody>
    </xdr:sp>
    <xdr:clientData/>
  </xdr:twoCellAnchor>
  <xdr:twoCellAnchor>
    <xdr:from>
      <xdr:col>133</xdr:col>
      <xdr:colOff>9525</xdr:colOff>
      <xdr:row>17</xdr:row>
      <xdr:rowOff>142875</xdr:rowOff>
    </xdr:from>
    <xdr:to>
      <xdr:col>139</xdr:col>
      <xdr:colOff>523875</xdr:colOff>
      <xdr:row>22</xdr:row>
      <xdr:rowOff>47625</xdr:rowOff>
    </xdr:to>
    <xdr:sp macro="" textlink="">
      <xdr:nvSpPr>
        <xdr:cNvPr id="16" name="TextBox 15">
          <a:extLst>
            <a:ext uri="{FF2B5EF4-FFF2-40B4-BE49-F238E27FC236}">
              <a16:creationId xmlns:a16="http://schemas.microsoft.com/office/drawing/2014/main" id="{74237360-89AD-4485-8A44-050D43B466FB}"/>
            </a:ext>
          </a:extLst>
        </xdr:cNvPr>
        <xdr:cNvSpPr txBox="1"/>
      </xdr:nvSpPr>
      <xdr:spPr>
        <a:xfrm>
          <a:off x="156648150" y="3381375"/>
          <a:ext cx="6962775" cy="857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End of Stepwise Regression (Without Dummy or Interaction</a:t>
          </a:r>
          <a:r>
            <a:rPr lang="en-US" sz="2400" baseline="0"/>
            <a:t> Variables</a:t>
          </a:r>
          <a:endParaRPr lang="en-US" sz="2400"/>
        </a:p>
      </xdr:txBody>
    </xdr:sp>
    <xdr:clientData/>
  </xdr:twoCellAnchor>
  <xdr:twoCellAnchor>
    <xdr:from>
      <xdr:col>140</xdr:col>
      <xdr:colOff>57150</xdr:colOff>
      <xdr:row>1</xdr:row>
      <xdr:rowOff>114300</xdr:rowOff>
    </xdr:from>
    <xdr:to>
      <xdr:col>140</xdr:col>
      <xdr:colOff>933450</xdr:colOff>
      <xdr:row>32</xdr:row>
      <xdr:rowOff>0</xdr:rowOff>
    </xdr:to>
    <xdr:sp macro="" textlink="">
      <xdr:nvSpPr>
        <xdr:cNvPr id="17" name="TextBox 16">
          <a:extLst>
            <a:ext uri="{FF2B5EF4-FFF2-40B4-BE49-F238E27FC236}">
              <a16:creationId xmlns:a16="http://schemas.microsoft.com/office/drawing/2014/main" id="{D795C69F-4F79-43CB-B1EC-CC13346C5D58}"/>
            </a:ext>
          </a:extLst>
        </xdr:cNvPr>
        <xdr:cNvSpPr txBox="1"/>
      </xdr:nvSpPr>
      <xdr:spPr>
        <a:xfrm>
          <a:off x="163991925" y="304800"/>
          <a:ext cx="876300" cy="579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Multiple Regression with dummy and interaction variables(Stepwise)</a:t>
          </a:r>
        </a:p>
      </xdr:txBody>
    </xdr:sp>
    <xdr:clientData/>
  </xdr:twoCellAnchor>
  <xdr:twoCellAnchor>
    <xdr:from>
      <xdr:col>142</xdr:col>
      <xdr:colOff>9525</xdr:colOff>
      <xdr:row>13</xdr:row>
      <xdr:rowOff>180975</xdr:rowOff>
    </xdr:from>
    <xdr:to>
      <xdr:col>144</xdr:col>
      <xdr:colOff>581025</xdr:colOff>
      <xdr:row>17</xdr:row>
      <xdr:rowOff>76200</xdr:rowOff>
    </xdr:to>
    <xdr:sp macro="" textlink="">
      <xdr:nvSpPr>
        <xdr:cNvPr id="18" name="TextBox 17">
          <a:extLst>
            <a:ext uri="{FF2B5EF4-FFF2-40B4-BE49-F238E27FC236}">
              <a16:creationId xmlns:a16="http://schemas.microsoft.com/office/drawing/2014/main" id="{2ED654BA-856B-4987-9915-0EEF726482AF}"/>
            </a:ext>
          </a:extLst>
        </xdr:cNvPr>
        <xdr:cNvSpPr txBox="1"/>
      </xdr:nvSpPr>
      <xdr:spPr>
        <a:xfrm>
          <a:off x="165868350" y="2657475"/>
          <a:ext cx="3629025" cy="657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Stepwise Regression Begins</a:t>
          </a:r>
        </a:p>
      </xdr:txBody>
    </xdr:sp>
    <xdr:clientData/>
  </xdr:twoCellAnchor>
  <xdr:twoCellAnchor>
    <xdr:from>
      <xdr:col>182</xdr:col>
      <xdr:colOff>9525</xdr:colOff>
      <xdr:row>17</xdr:row>
      <xdr:rowOff>19050</xdr:rowOff>
    </xdr:from>
    <xdr:to>
      <xdr:col>186</xdr:col>
      <xdr:colOff>790575</xdr:colOff>
      <xdr:row>21</xdr:row>
      <xdr:rowOff>28575</xdr:rowOff>
    </xdr:to>
    <xdr:sp macro="" textlink="">
      <xdr:nvSpPr>
        <xdr:cNvPr id="19" name="TextBox 18">
          <a:extLst>
            <a:ext uri="{FF2B5EF4-FFF2-40B4-BE49-F238E27FC236}">
              <a16:creationId xmlns:a16="http://schemas.microsoft.com/office/drawing/2014/main" id="{9CC96B50-D749-47A3-B47E-4B5A4E013E93}"/>
            </a:ext>
          </a:extLst>
        </xdr:cNvPr>
        <xdr:cNvSpPr txBox="1"/>
      </xdr:nvSpPr>
      <xdr:spPr>
        <a:xfrm>
          <a:off x="207159225" y="3257550"/>
          <a:ext cx="5534025" cy="771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End of Stepwise Linear</a:t>
          </a:r>
          <a:r>
            <a:rPr lang="en-US" sz="2400" baseline="0"/>
            <a:t> Multiple Regression</a:t>
          </a:r>
          <a:endParaRPr lang="en-US" sz="2400"/>
        </a:p>
      </xdr:txBody>
    </xdr:sp>
    <xdr:clientData/>
  </xdr:twoCellAnchor>
  <xdr:twoCellAnchor>
    <xdr:from>
      <xdr:col>23</xdr:col>
      <xdr:colOff>0</xdr:colOff>
      <xdr:row>21</xdr:row>
      <xdr:rowOff>114301</xdr:rowOff>
    </xdr:from>
    <xdr:to>
      <xdr:col>32</xdr:col>
      <xdr:colOff>647700</xdr:colOff>
      <xdr:row>25</xdr:row>
      <xdr:rowOff>19051</xdr:rowOff>
    </xdr:to>
    <xdr:sp macro="" textlink="">
      <xdr:nvSpPr>
        <xdr:cNvPr id="20" name="TextBox 19">
          <a:extLst>
            <a:ext uri="{FF2B5EF4-FFF2-40B4-BE49-F238E27FC236}">
              <a16:creationId xmlns:a16="http://schemas.microsoft.com/office/drawing/2014/main" id="{0AF1F275-BCA0-4461-A9D9-BC6D912B0985}"/>
            </a:ext>
          </a:extLst>
        </xdr:cNvPr>
        <xdr:cNvSpPr txBox="1"/>
      </xdr:nvSpPr>
      <xdr:spPr>
        <a:xfrm>
          <a:off x="41062275" y="4114801"/>
          <a:ext cx="11020425" cy="666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Descriptive of whole</a:t>
          </a:r>
          <a:r>
            <a:rPr lang="en-US" sz="1100" baseline="0"/>
            <a:t> data= 184+`184 Observations.</a:t>
          </a:r>
        </a:p>
        <a:p>
          <a:r>
            <a:rPr lang="en-US" sz="1100" baseline="0"/>
            <a:t>From 184 different countries</a:t>
          </a:r>
        </a:p>
        <a:p>
          <a:r>
            <a:rPr lang="en-US" sz="1100" baseline="0"/>
            <a:t>COnsisting of developed and non developed countries with a varying degree of life expectancy which is dependent on various factors which we try to determine using our analysis techniques</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22</xdr:col>
      <xdr:colOff>47625</xdr:colOff>
      <xdr:row>16</xdr:row>
      <xdr:rowOff>133350</xdr:rowOff>
    </xdr:from>
    <xdr:to>
      <xdr:col>37</xdr:col>
      <xdr:colOff>323850</xdr:colOff>
      <xdr:row>21</xdr:row>
      <xdr:rowOff>76200</xdr:rowOff>
    </xdr:to>
    <xdr:sp macro="" textlink="">
      <xdr:nvSpPr>
        <xdr:cNvPr id="2" name="TextBox 1">
          <a:extLst>
            <a:ext uri="{FF2B5EF4-FFF2-40B4-BE49-F238E27FC236}">
              <a16:creationId xmlns:a16="http://schemas.microsoft.com/office/drawing/2014/main" id="{30734094-AF30-4961-82C1-C9C2220B5160}"/>
            </a:ext>
          </a:extLst>
        </xdr:cNvPr>
        <xdr:cNvSpPr txBox="1"/>
      </xdr:nvSpPr>
      <xdr:spPr>
        <a:xfrm>
          <a:off x="25469850" y="3181350"/>
          <a:ext cx="17049750" cy="933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2400">
              <a:solidFill>
                <a:schemeClr val="dk1"/>
              </a:solidFill>
              <a:effectLst/>
              <a:latin typeface="+mn-lt"/>
              <a:ea typeface="+mn-ea"/>
              <a:cs typeface="+mn-cs"/>
            </a:rPr>
            <a:t>Correlation Matrix of Variables Highlighting</a:t>
          </a:r>
          <a:r>
            <a:rPr lang="en-US" sz="2400" baseline="0">
              <a:solidFill>
                <a:schemeClr val="dk1"/>
              </a:solidFill>
              <a:effectLst/>
              <a:latin typeface="+mn-lt"/>
              <a:ea typeface="+mn-ea"/>
              <a:cs typeface="+mn-cs"/>
            </a:rPr>
            <a:t> with a ±0.5 Interval, the highlighted variables are strongly Correlated with Life Expectancy</a:t>
          </a:r>
          <a:endParaRPr lang="en-US" sz="2400">
            <a:effectLst/>
          </a:endParaRPr>
        </a:p>
        <a:p>
          <a:endParaRPr lang="en-US" sz="2400"/>
        </a:p>
      </xdr:txBody>
    </xdr:sp>
    <xdr:clientData/>
  </xdr:twoCellAnchor>
  <xdr:twoCellAnchor>
    <xdr:from>
      <xdr:col>38</xdr:col>
      <xdr:colOff>123825</xdr:colOff>
      <xdr:row>3</xdr:row>
      <xdr:rowOff>123825</xdr:rowOff>
    </xdr:from>
    <xdr:to>
      <xdr:col>38</xdr:col>
      <xdr:colOff>2085975</xdr:colOff>
      <xdr:row>23</xdr:row>
      <xdr:rowOff>76200</xdr:rowOff>
    </xdr:to>
    <xdr:sp macro="" textlink="">
      <xdr:nvSpPr>
        <xdr:cNvPr id="3" name="TextBox 2">
          <a:extLst>
            <a:ext uri="{FF2B5EF4-FFF2-40B4-BE49-F238E27FC236}">
              <a16:creationId xmlns:a16="http://schemas.microsoft.com/office/drawing/2014/main" id="{56B0F0AC-A7A2-4416-A6B9-2DD1DD46395D}"/>
            </a:ext>
          </a:extLst>
        </xdr:cNvPr>
        <xdr:cNvSpPr txBox="1"/>
      </xdr:nvSpPr>
      <xdr:spPr>
        <a:xfrm>
          <a:off x="60321825" y="695325"/>
          <a:ext cx="1962150" cy="3762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Regression with Highly</a:t>
          </a:r>
          <a:r>
            <a:rPr lang="en-US" sz="1100" baseline="0"/>
            <a:t> correlated variables  against life expectancy taking life expectancy as dependent and each of the variables as independent in simple linear regression</a:t>
          </a:r>
          <a:endParaRPr lang="en-US" sz="1100"/>
        </a:p>
      </xdr:txBody>
    </xdr:sp>
    <xdr:clientData/>
  </xdr:twoCellAnchor>
  <xdr:twoCellAnchor>
    <xdr:from>
      <xdr:col>40</xdr:col>
      <xdr:colOff>0</xdr:colOff>
      <xdr:row>13</xdr:row>
      <xdr:rowOff>123825</xdr:rowOff>
    </xdr:from>
    <xdr:to>
      <xdr:col>47</xdr:col>
      <xdr:colOff>190500</xdr:colOff>
      <xdr:row>18</xdr:row>
      <xdr:rowOff>0</xdr:rowOff>
    </xdr:to>
    <xdr:sp macro="" textlink="">
      <xdr:nvSpPr>
        <xdr:cNvPr id="4" name="TextBox 3">
          <a:extLst>
            <a:ext uri="{FF2B5EF4-FFF2-40B4-BE49-F238E27FC236}">
              <a16:creationId xmlns:a16="http://schemas.microsoft.com/office/drawing/2014/main" id="{ABC1177F-27D8-4B47-B773-47BEE428C775}"/>
            </a:ext>
          </a:extLst>
        </xdr:cNvPr>
        <xdr:cNvSpPr txBox="1"/>
      </xdr:nvSpPr>
      <xdr:spPr>
        <a:xfrm>
          <a:off x="46453425" y="2600325"/>
          <a:ext cx="7486650" cy="838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2400">
              <a:solidFill>
                <a:schemeClr val="dk1"/>
              </a:solidFill>
              <a:effectLst/>
              <a:latin typeface="+mn-lt"/>
              <a:ea typeface="+mn-ea"/>
              <a:cs typeface="+mn-cs"/>
            </a:rPr>
            <a:t>Simple</a:t>
          </a:r>
          <a:r>
            <a:rPr lang="en-US" sz="2400" baseline="0">
              <a:solidFill>
                <a:schemeClr val="dk1"/>
              </a:solidFill>
              <a:effectLst/>
              <a:latin typeface="+mn-lt"/>
              <a:ea typeface="+mn-ea"/>
              <a:cs typeface="+mn-cs"/>
            </a:rPr>
            <a:t> Regression of y-Life Expectancy &amp; x-Adult Mortality</a:t>
          </a:r>
          <a:endParaRPr lang="en-US" sz="2400">
            <a:effectLst/>
          </a:endParaRPr>
        </a:p>
        <a:p>
          <a:endParaRPr lang="en-US" sz="2400"/>
        </a:p>
      </xdr:txBody>
    </xdr:sp>
    <xdr:clientData/>
  </xdr:twoCellAnchor>
  <xdr:twoCellAnchor>
    <xdr:from>
      <xdr:col>49</xdr:col>
      <xdr:colOff>0</xdr:colOff>
      <xdr:row>14</xdr:row>
      <xdr:rowOff>0</xdr:rowOff>
    </xdr:from>
    <xdr:to>
      <xdr:col>54</xdr:col>
      <xdr:colOff>619125</xdr:colOff>
      <xdr:row>18</xdr:row>
      <xdr:rowOff>66675</xdr:rowOff>
    </xdr:to>
    <xdr:sp macro="" textlink="">
      <xdr:nvSpPr>
        <xdr:cNvPr id="5" name="TextBox 4">
          <a:extLst>
            <a:ext uri="{FF2B5EF4-FFF2-40B4-BE49-F238E27FC236}">
              <a16:creationId xmlns:a16="http://schemas.microsoft.com/office/drawing/2014/main" id="{E76B93C5-0329-47AF-9876-2AF94FD246B2}"/>
            </a:ext>
          </a:extLst>
        </xdr:cNvPr>
        <xdr:cNvSpPr txBox="1"/>
      </xdr:nvSpPr>
      <xdr:spPr>
        <a:xfrm>
          <a:off x="55673625" y="2667000"/>
          <a:ext cx="6219825" cy="838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2400">
              <a:solidFill>
                <a:schemeClr val="dk1"/>
              </a:solidFill>
              <a:effectLst/>
              <a:latin typeface="+mn-lt"/>
              <a:ea typeface="+mn-ea"/>
              <a:cs typeface="+mn-cs"/>
            </a:rPr>
            <a:t>Simple</a:t>
          </a:r>
          <a:r>
            <a:rPr lang="en-US" sz="2400" baseline="0">
              <a:solidFill>
                <a:schemeClr val="dk1"/>
              </a:solidFill>
              <a:effectLst/>
              <a:latin typeface="+mn-lt"/>
              <a:ea typeface="+mn-ea"/>
              <a:cs typeface="+mn-cs"/>
            </a:rPr>
            <a:t> Regression of y-Life Expectancy &amp; x-BMI</a:t>
          </a:r>
          <a:endParaRPr lang="en-US" sz="2400">
            <a:effectLst/>
          </a:endParaRPr>
        </a:p>
        <a:p>
          <a:endParaRPr lang="en-US" sz="2400"/>
        </a:p>
      </xdr:txBody>
    </xdr:sp>
    <xdr:clientData/>
  </xdr:twoCellAnchor>
  <xdr:twoCellAnchor>
    <xdr:from>
      <xdr:col>57</xdr:col>
      <xdr:colOff>0</xdr:colOff>
      <xdr:row>14</xdr:row>
      <xdr:rowOff>0</xdr:rowOff>
    </xdr:from>
    <xdr:to>
      <xdr:col>63</xdr:col>
      <xdr:colOff>561975</xdr:colOff>
      <xdr:row>18</xdr:row>
      <xdr:rowOff>66675</xdr:rowOff>
    </xdr:to>
    <xdr:sp macro="" textlink="">
      <xdr:nvSpPr>
        <xdr:cNvPr id="6" name="TextBox 5">
          <a:extLst>
            <a:ext uri="{FF2B5EF4-FFF2-40B4-BE49-F238E27FC236}">
              <a16:creationId xmlns:a16="http://schemas.microsoft.com/office/drawing/2014/main" id="{8E6FE0CE-4840-49F2-BD9C-57AFC5EF6B0F}"/>
            </a:ext>
          </a:extLst>
        </xdr:cNvPr>
        <xdr:cNvSpPr txBox="1"/>
      </xdr:nvSpPr>
      <xdr:spPr>
        <a:xfrm>
          <a:off x="63931800" y="2667000"/>
          <a:ext cx="7010400" cy="838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2400">
              <a:solidFill>
                <a:schemeClr val="dk1"/>
              </a:solidFill>
              <a:effectLst/>
              <a:latin typeface="+mn-lt"/>
              <a:ea typeface="+mn-ea"/>
              <a:cs typeface="+mn-cs"/>
            </a:rPr>
            <a:t>Simple</a:t>
          </a:r>
          <a:r>
            <a:rPr lang="en-US" sz="2400" baseline="0">
              <a:solidFill>
                <a:schemeClr val="dk1"/>
              </a:solidFill>
              <a:effectLst/>
              <a:latin typeface="+mn-lt"/>
              <a:ea typeface="+mn-ea"/>
              <a:cs typeface="+mn-cs"/>
            </a:rPr>
            <a:t> Regression of y-Life Expectancy &amp; x-Schooling</a:t>
          </a:r>
          <a:endParaRPr lang="en-US" sz="2400">
            <a:effectLst/>
          </a:endParaRPr>
        </a:p>
        <a:p>
          <a:endParaRPr lang="en-US" sz="2400"/>
        </a:p>
      </xdr:txBody>
    </xdr:sp>
    <xdr:clientData/>
  </xdr:twoCellAnchor>
  <xdr:twoCellAnchor>
    <xdr:from>
      <xdr:col>64</xdr:col>
      <xdr:colOff>95250</xdr:colOff>
      <xdr:row>2</xdr:row>
      <xdr:rowOff>142875</xdr:rowOff>
    </xdr:from>
    <xdr:to>
      <xdr:col>64</xdr:col>
      <xdr:colOff>895350</xdr:colOff>
      <xdr:row>21</xdr:row>
      <xdr:rowOff>171450</xdr:rowOff>
    </xdr:to>
    <xdr:sp macro="" textlink="">
      <xdr:nvSpPr>
        <xdr:cNvPr id="8" name="TextBox 7">
          <a:extLst>
            <a:ext uri="{FF2B5EF4-FFF2-40B4-BE49-F238E27FC236}">
              <a16:creationId xmlns:a16="http://schemas.microsoft.com/office/drawing/2014/main" id="{485980B3-E39F-465E-BC38-DA453F0B7BC6}"/>
            </a:ext>
          </a:extLst>
        </xdr:cNvPr>
        <xdr:cNvSpPr txBox="1"/>
      </xdr:nvSpPr>
      <xdr:spPr>
        <a:xfrm>
          <a:off x="121777125" y="523875"/>
          <a:ext cx="800100" cy="3648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Multiple Linear</a:t>
          </a:r>
          <a:r>
            <a:rPr lang="en-US" sz="1100" baseline="0"/>
            <a:t> Regression(Stepwise) without Dummy or Interaction Variables</a:t>
          </a:r>
          <a:endParaRPr lang="en-US" sz="1100"/>
        </a:p>
      </xdr:txBody>
    </xdr:sp>
    <xdr:clientData/>
  </xdr:twoCellAnchor>
  <xdr:twoCellAnchor>
    <xdr:from>
      <xdr:col>66</xdr:col>
      <xdr:colOff>0</xdr:colOff>
      <xdr:row>14</xdr:row>
      <xdr:rowOff>0</xdr:rowOff>
    </xdr:from>
    <xdr:to>
      <xdr:col>68</xdr:col>
      <xdr:colOff>447675</xdr:colOff>
      <xdr:row>18</xdr:row>
      <xdr:rowOff>66675</xdr:rowOff>
    </xdr:to>
    <xdr:sp macro="" textlink="">
      <xdr:nvSpPr>
        <xdr:cNvPr id="9" name="TextBox 8">
          <a:extLst>
            <a:ext uri="{FF2B5EF4-FFF2-40B4-BE49-F238E27FC236}">
              <a16:creationId xmlns:a16="http://schemas.microsoft.com/office/drawing/2014/main" id="{A9A12944-5265-4EEE-833B-8152D011A2EE}"/>
            </a:ext>
          </a:extLst>
        </xdr:cNvPr>
        <xdr:cNvSpPr txBox="1"/>
      </xdr:nvSpPr>
      <xdr:spPr>
        <a:xfrm>
          <a:off x="73104375" y="2667000"/>
          <a:ext cx="3505200"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2400">
              <a:solidFill>
                <a:schemeClr val="dk1"/>
              </a:solidFill>
              <a:effectLst/>
              <a:latin typeface="+mn-lt"/>
              <a:ea typeface="+mn-ea"/>
              <a:cs typeface="+mn-cs"/>
            </a:rPr>
            <a:t>Begin Stepwise</a:t>
          </a:r>
          <a:r>
            <a:rPr lang="en-US" sz="2400" baseline="0">
              <a:solidFill>
                <a:schemeClr val="dk1"/>
              </a:solidFill>
              <a:effectLst/>
              <a:latin typeface="+mn-lt"/>
              <a:ea typeface="+mn-ea"/>
              <a:cs typeface="+mn-cs"/>
            </a:rPr>
            <a:t> Regression</a:t>
          </a:r>
          <a:endParaRPr lang="en-US" sz="2400">
            <a:effectLst/>
          </a:endParaRPr>
        </a:p>
        <a:p>
          <a:endParaRPr lang="en-US" sz="2400"/>
        </a:p>
      </xdr:txBody>
    </xdr:sp>
    <xdr:clientData/>
  </xdr:twoCellAnchor>
  <xdr:twoCellAnchor>
    <xdr:from>
      <xdr:col>89</xdr:col>
      <xdr:colOff>57150</xdr:colOff>
      <xdr:row>1</xdr:row>
      <xdr:rowOff>114300</xdr:rowOff>
    </xdr:from>
    <xdr:to>
      <xdr:col>89</xdr:col>
      <xdr:colOff>933450</xdr:colOff>
      <xdr:row>32</xdr:row>
      <xdr:rowOff>0</xdr:rowOff>
    </xdr:to>
    <xdr:sp macro="" textlink="">
      <xdr:nvSpPr>
        <xdr:cNvPr id="11" name="TextBox 10">
          <a:extLst>
            <a:ext uri="{FF2B5EF4-FFF2-40B4-BE49-F238E27FC236}">
              <a16:creationId xmlns:a16="http://schemas.microsoft.com/office/drawing/2014/main" id="{8F20E86B-72A2-4ED9-8728-03B9634A7A04}"/>
            </a:ext>
          </a:extLst>
        </xdr:cNvPr>
        <xdr:cNvSpPr txBox="1"/>
      </xdr:nvSpPr>
      <xdr:spPr>
        <a:xfrm>
          <a:off x="163991925" y="304800"/>
          <a:ext cx="876300" cy="579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Multiple Regression with dummy and interaction variables(Stepwise)</a:t>
          </a:r>
        </a:p>
      </xdr:txBody>
    </xdr:sp>
    <xdr:clientData/>
  </xdr:twoCellAnchor>
  <xdr:twoCellAnchor>
    <xdr:from>
      <xdr:col>81</xdr:col>
      <xdr:colOff>952500</xdr:colOff>
      <xdr:row>16</xdr:row>
      <xdr:rowOff>19050</xdr:rowOff>
    </xdr:from>
    <xdr:to>
      <xdr:col>88</xdr:col>
      <xdr:colOff>514350</xdr:colOff>
      <xdr:row>20</xdr:row>
      <xdr:rowOff>180975</xdr:rowOff>
    </xdr:to>
    <xdr:sp macro="" textlink="">
      <xdr:nvSpPr>
        <xdr:cNvPr id="12" name="TextBox 11">
          <a:extLst>
            <a:ext uri="{FF2B5EF4-FFF2-40B4-BE49-F238E27FC236}">
              <a16:creationId xmlns:a16="http://schemas.microsoft.com/office/drawing/2014/main" id="{04B41B74-83DE-4F18-B703-E9CEEDDE5480}"/>
            </a:ext>
          </a:extLst>
        </xdr:cNvPr>
        <xdr:cNvSpPr txBox="1"/>
      </xdr:nvSpPr>
      <xdr:spPr>
        <a:xfrm>
          <a:off x="93554550" y="3067050"/>
          <a:ext cx="6972300" cy="923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End Stepwise Regression</a:t>
          </a:r>
        </a:p>
      </xdr:txBody>
    </xdr:sp>
    <xdr:clientData/>
  </xdr:twoCellAnchor>
  <xdr:twoCellAnchor>
    <xdr:from>
      <xdr:col>91</xdr:col>
      <xdr:colOff>38100</xdr:colOff>
      <xdr:row>14</xdr:row>
      <xdr:rowOff>95250</xdr:rowOff>
    </xdr:from>
    <xdr:to>
      <xdr:col>97</xdr:col>
      <xdr:colOff>704850</xdr:colOff>
      <xdr:row>18</xdr:row>
      <xdr:rowOff>161925</xdr:rowOff>
    </xdr:to>
    <xdr:sp macro="" textlink="">
      <xdr:nvSpPr>
        <xdr:cNvPr id="13" name="TextBox 12">
          <a:extLst>
            <a:ext uri="{FF2B5EF4-FFF2-40B4-BE49-F238E27FC236}">
              <a16:creationId xmlns:a16="http://schemas.microsoft.com/office/drawing/2014/main" id="{C170FE54-957D-432F-BC51-7305F0E9D7A7}"/>
            </a:ext>
          </a:extLst>
        </xdr:cNvPr>
        <xdr:cNvSpPr txBox="1"/>
      </xdr:nvSpPr>
      <xdr:spPr>
        <a:xfrm>
          <a:off x="102822375" y="2762250"/>
          <a:ext cx="711517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Begin Multiuple Linear</a:t>
          </a:r>
          <a:r>
            <a:rPr lang="en-US" sz="2400" baseline="0"/>
            <a:t> Stepwise Regression</a:t>
          </a:r>
          <a:endParaRPr lang="en-US" sz="2400"/>
        </a:p>
      </xdr:txBody>
    </xdr:sp>
    <xdr:clientData/>
  </xdr:twoCellAnchor>
  <xdr:twoCellAnchor>
    <xdr:from>
      <xdr:col>115</xdr:col>
      <xdr:colOff>76200</xdr:colOff>
      <xdr:row>15</xdr:row>
      <xdr:rowOff>171450</xdr:rowOff>
    </xdr:from>
    <xdr:to>
      <xdr:col>121</xdr:col>
      <xdr:colOff>466725</xdr:colOff>
      <xdr:row>20</xdr:row>
      <xdr:rowOff>114300</xdr:rowOff>
    </xdr:to>
    <xdr:sp macro="" textlink="">
      <xdr:nvSpPr>
        <xdr:cNvPr id="14" name="TextBox 13">
          <a:extLst>
            <a:ext uri="{FF2B5EF4-FFF2-40B4-BE49-F238E27FC236}">
              <a16:creationId xmlns:a16="http://schemas.microsoft.com/office/drawing/2014/main" id="{818F4333-5622-4FAD-BDCD-E3C18765E00C}"/>
            </a:ext>
          </a:extLst>
        </xdr:cNvPr>
        <xdr:cNvSpPr txBox="1"/>
      </xdr:nvSpPr>
      <xdr:spPr>
        <a:xfrm>
          <a:off x="127635000" y="3028950"/>
          <a:ext cx="6838950" cy="895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End Stepwise Multiple Linear Regression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104775</xdr:colOff>
      <xdr:row>0</xdr:row>
      <xdr:rowOff>104775</xdr:rowOff>
    </xdr:from>
    <xdr:to>
      <xdr:col>7</xdr:col>
      <xdr:colOff>581025</xdr:colOff>
      <xdr:row>12</xdr:row>
      <xdr:rowOff>0</xdr:rowOff>
    </xdr:to>
    <xdr:sp macro="" textlink="">
      <xdr:nvSpPr>
        <xdr:cNvPr id="2" name="TextBox 1">
          <a:extLst>
            <a:ext uri="{FF2B5EF4-FFF2-40B4-BE49-F238E27FC236}">
              <a16:creationId xmlns:a16="http://schemas.microsoft.com/office/drawing/2014/main" id="{D7BD28CC-DCAE-4705-A610-77840D179BA8}"/>
            </a:ext>
          </a:extLst>
        </xdr:cNvPr>
        <xdr:cNvSpPr txBox="1"/>
      </xdr:nvSpPr>
      <xdr:spPr>
        <a:xfrm>
          <a:off x="104775" y="104775"/>
          <a:ext cx="4743450" cy="1838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t>Hypothesis Test-</a:t>
          </a:r>
        </a:p>
        <a:p>
          <a:r>
            <a:rPr lang="en-US" sz="2800"/>
            <a:t>Our Hyposthesis is that mean of life expectancy is increased in 2015 as compared to 2000</a:t>
          </a:r>
        </a:p>
      </xdr:txBody>
    </xdr:sp>
    <xdr:clientData/>
  </xdr:twoCellAnchor>
  <xdr:twoCellAnchor>
    <xdr:from>
      <xdr:col>15</xdr:col>
      <xdr:colOff>85725</xdr:colOff>
      <xdr:row>19</xdr:row>
      <xdr:rowOff>66673</xdr:rowOff>
    </xdr:from>
    <xdr:to>
      <xdr:col>18</xdr:col>
      <xdr:colOff>0</xdr:colOff>
      <xdr:row>33</xdr:row>
      <xdr:rowOff>47624</xdr:rowOff>
    </xdr:to>
    <xdr:sp macro="" textlink="">
      <xdr:nvSpPr>
        <xdr:cNvPr id="3" name="TextBox 2">
          <a:extLst>
            <a:ext uri="{FF2B5EF4-FFF2-40B4-BE49-F238E27FC236}">
              <a16:creationId xmlns:a16="http://schemas.microsoft.com/office/drawing/2014/main" id="{D30594AD-6CBF-4E75-9822-97208BC87D6E}"/>
            </a:ext>
          </a:extLst>
        </xdr:cNvPr>
        <xdr:cNvSpPr txBox="1"/>
      </xdr:nvSpPr>
      <xdr:spPr>
        <a:xfrm>
          <a:off x="10601325" y="3657598"/>
          <a:ext cx="4943475" cy="2247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Yes,</a:t>
          </a:r>
          <a:r>
            <a:rPr lang="en-US" sz="2400" baseline="0"/>
            <a:t> We have sufficient evidence that the average Life Expectancy in the year 2015 is Higher than that in the year 2000. So we can reject the null Hypothesis</a:t>
          </a:r>
          <a:endParaRPr lang="en-US" sz="24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GG1000"/>
  <sheetViews>
    <sheetView topLeftCell="FX8" zoomScale="120" zoomScaleNormal="120" workbookViewId="0">
      <selection activeCell="AT24" sqref="AT24"/>
    </sheetView>
  </sheetViews>
  <sheetFormatPr defaultColWidth="14.42578125" defaultRowHeight="15.75" customHeight="1" x14ac:dyDescent="0.2"/>
  <cols>
    <col min="1" max="1" width="45.7109375" customWidth="1"/>
    <col min="4" max="4" width="14.42578125" style="78"/>
    <col min="7" max="7" width="22.42578125" customWidth="1"/>
    <col min="10" max="10" width="16.28515625" customWidth="1"/>
    <col min="16" max="16" width="30" style="78" customWidth="1"/>
    <col min="17" max="17" width="43.140625" style="78" customWidth="1"/>
    <col min="18" max="18" width="54.140625" style="78" customWidth="1"/>
    <col min="19" max="22" width="54.140625" customWidth="1"/>
    <col min="24" max="24" width="30" bestFit="1" customWidth="1"/>
    <col min="25" max="25" width="15.5703125" customWidth="1"/>
    <col min="26" max="26" width="12.140625" customWidth="1"/>
    <col min="27" max="27" width="11.85546875" customWidth="1"/>
    <col min="28" max="28" width="12.5703125" customWidth="1"/>
    <col min="29" max="29" width="12" customWidth="1"/>
    <col min="30" max="30" width="12.5703125" customWidth="1"/>
    <col min="31" max="31" width="11.28515625" customWidth="1"/>
    <col min="32" max="32" width="10.7109375" customWidth="1"/>
    <col min="33" max="33" width="11" customWidth="1"/>
    <col min="34" max="34" width="10.140625" customWidth="1"/>
    <col min="35" max="35" width="13" customWidth="1"/>
    <col min="36" max="36" width="11" customWidth="1"/>
    <col min="37" max="37" width="13.5703125" customWidth="1"/>
    <col min="38" max="38" width="10.42578125" customWidth="1"/>
    <col min="39" max="39" width="9.5703125" customWidth="1"/>
    <col min="40" max="40" width="16.28515625" bestFit="1" customWidth="1"/>
    <col min="41" max="41" width="33.140625" style="71" bestFit="1" customWidth="1"/>
    <col min="42" max="44" width="12.7109375" customWidth="1"/>
    <col min="45" max="45" width="33.140625" bestFit="1" customWidth="1"/>
    <col min="46" max="52" width="12.7109375" customWidth="1"/>
    <col min="53" max="53" width="33.140625" bestFit="1" customWidth="1"/>
    <col min="54" max="59" width="12.7109375" customWidth="1"/>
    <col min="61" max="61" width="33.140625" bestFit="1" customWidth="1"/>
    <col min="62" max="67" width="12.7109375" customWidth="1"/>
    <col min="69" max="69" width="33.140625" bestFit="1" customWidth="1"/>
    <col min="70" max="75" width="12.7109375" customWidth="1"/>
    <col min="77" max="77" width="33.140625" bestFit="1" customWidth="1"/>
    <col min="78" max="83" width="12.7109375" customWidth="1"/>
    <col min="84" max="84" width="14.42578125" style="71"/>
    <col min="85" max="85" width="33.140625" bestFit="1" customWidth="1"/>
    <col min="86" max="91" width="12.7109375" customWidth="1"/>
    <col min="93" max="93" width="33.140625" bestFit="1" customWidth="1"/>
    <col min="94" max="99" width="12.7109375" customWidth="1"/>
    <col min="100" max="100" width="14.42578125" style="71"/>
    <col min="102" max="102" width="33.140625" bestFit="1" customWidth="1"/>
    <col min="103" max="108" width="12.7109375" customWidth="1"/>
    <col min="110" max="110" width="33.140625" bestFit="1" customWidth="1"/>
    <col min="111" max="116" width="12.7109375" customWidth="1"/>
    <col min="118" max="118" width="33.140625" bestFit="1" customWidth="1"/>
    <col min="119" max="124" width="12.7109375" customWidth="1"/>
    <col min="126" max="126" width="33.140625" bestFit="1" customWidth="1"/>
    <col min="127" max="132" width="12.7109375" customWidth="1"/>
    <col min="134" max="134" width="33.140625" bestFit="1" customWidth="1"/>
    <col min="135" max="140" width="12.7109375" customWidth="1"/>
    <col min="141" max="141" width="14.42578125" style="71"/>
    <col min="143" max="143" width="33.140625" bestFit="1" customWidth="1"/>
    <col min="144" max="149" width="12.7109375" customWidth="1"/>
    <col min="151" max="151" width="33.140625" bestFit="1" customWidth="1"/>
    <col min="152" max="157" width="12.7109375" customWidth="1"/>
    <col min="159" max="159" width="33.140625" bestFit="1" customWidth="1"/>
    <col min="160" max="165" width="12.7109375" customWidth="1"/>
    <col min="167" max="167" width="33.140625" bestFit="1" customWidth="1"/>
    <col min="168" max="173" width="12.7109375" customWidth="1"/>
    <col min="175" max="175" width="33.140625" bestFit="1" customWidth="1"/>
    <col min="176" max="181" width="12.7109375" customWidth="1"/>
    <col min="183" max="183" width="33.140625" bestFit="1" customWidth="1"/>
    <col min="184" max="189" width="12.7109375" customWidth="1"/>
  </cols>
  <sheetData>
    <row r="1" spans="1:189" ht="15" customHeight="1" thickTop="1" x14ac:dyDescent="0.25">
      <c r="A1" s="8" t="s">
        <v>0</v>
      </c>
      <c r="B1" s="9" t="s">
        <v>1</v>
      </c>
      <c r="C1" s="10" t="s">
        <v>2</v>
      </c>
      <c r="D1" s="85" t="s">
        <v>3</v>
      </c>
      <c r="E1" s="9" t="s">
        <v>4</v>
      </c>
      <c r="F1" s="12" t="s">
        <v>5</v>
      </c>
      <c r="G1" s="13" t="s">
        <v>22</v>
      </c>
      <c r="H1" s="11" t="s">
        <v>7</v>
      </c>
      <c r="I1" s="58" t="s">
        <v>23</v>
      </c>
      <c r="J1" s="14" t="s">
        <v>9</v>
      </c>
      <c r="K1" s="58" t="s">
        <v>10</v>
      </c>
      <c r="L1" s="15" t="s">
        <v>11</v>
      </c>
      <c r="M1" s="15" t="s">
        <v>12</v>
      </c>
      <c r="N1" s="12" t="s">
        <v>13</v>
      </c>
      <c r="O1" s="12" t="s">
        <v>14</v>
      </c>
      <c r="P1" s="72" t="s">
        <v>24</v>
      </c>
      <c r="Q1" s="72" t="s">
        <v>16</v>
      </c>
      <c r="R1" s="72" t="s">
        <v>17</v>
      </c>
      <c r="S1" s="16" t="s">
        <v>365</v>
      </c>
      <c r="T1" s="16" t="s">
        <v>366</v>
      </c>
      <c r="U1" s="16" t="s">
        <v>367</v>
      </c>
      <c r="V1" s="17" t="s">
        <v>368</v>
      </c>
      <c r="X1" s="53"/>
      <c r="Y1" s="50" t="s">
        <v>3</v>
      </c>
      <c r="Z1" s="50" t="s">
        <v>4</v>
      </c>
      <c r="AA1" s="50" t="s">
        <v>5</v>
      </c>
      <c r="AB1" s="50" t="s">
        <v>22</v>
      </c>
      <c r="AC1" s="50" t="s">
        <v>7</v>
      </c>
      <c r="AD1" s="50" t="s">
        <v>23</v>
      </c>
      <c r="AE1" s="50" t="s">
        <v>9</v>
      </c>
      <c r="AF1" s="50" t="s">
        <v>10</v>
      </c>
      <c r="AG1" s="50" t="s">
        <v>11</v>
      </c>
      <c r="AH1" s="50" t="s">
        <v>12</v>
      </c>
      <c r="AI1" s="50" t="s">
        <v>13</v>
      </c>
      <c r="AJ1" s="50" t="s">
        <v>14</v>
      </c>
      <c r="AK1" s="55" t="s">
        <v>24</v>
      </c>
      <c r="AL1" s="55" t="s">
        <v>16</v>
      </c>
      <c r="AM1" s="55" t="s">
        <v>17</v>
      </c>
      <c r="AS1" s="53" t="s">
        <v>342</v>
      </c>
      <c r="AT1" s="104" t="s">
        <v>343</v>
      </c>
      <c r="AU1" s="102" t="s">
        <v>344</v>
      </c>
      <c r="AV1" s="104" t="s">
        <v>345</v>
      </c>
      <c r="AW1" s="104" t="s">
        <v>346</v>
      </c>
      <c r="AX1" s="104" t="s">
        <v>347</v>
      </c>
      <c r="AY1" s="102" t="s">
        <v>348</v>
      </c>
      <c r="BA1" s="53" t="s">
        <v>342</v>
      </c>
      <c r="BB1" s="104" t="s">
        <v>343</v>
      </c>
      <c r="BC1" s="102" t="s">
        <v>344</v>
      </c>
      <c r="BD1" s="104" t="s">
        <v>345</v>
      </c>
      <c r="BE1" s="104" t="s">
        <v>346</v>
      </c>
      <c r="BF1" s="104" t="s">
        <v>347</v>
      </c>
      <c r="BG1" s="102" t="s">
        <v>348</v>
      </c>
      <c r="BI1" s="53" t="s">
        <v>342</v>
      </c>
      <c r="BJ1" s="104" t="s">
        <v>343</v>
      </c>
      <c r="BK1" s="102" t="s">
        <v>344</v>
      </c>
      <c r="BL1" s="104" t="s">
        <v>345</v>
      </c>
      <c r="BM1" s="104" t="s">
        <v>346</v>
      </c>
      <c r="BN1" s="104" t="s">
        <v>347</v>
      </c>
      <c r="BO1" s="102" t="s">
        <v>348</v>
      </c>
      <c r="BQ1" s="53" t="s">
        <v>342</v>
      </c>
      <c r="BR1" s="104" t="s">
        <v>343</v>
      </c>
      <c r="BS1" s="102" t="s">
        <v>344</v>
      </c>
      <c r="BT1" s="104" t="s">
        <v>345</v>
      </c>
      <c r="BU1" s="104" t="s">
        <v>346</v>
      </c>
      <c r="BV1" s="104" t="s">
        <v>347</v>
      </c>
      <c r="BW1" s="102" t="s">
        <v>348</v>
      </c>
      <c r="BY1" s="53" t="s">
        <v>342</v>
      </c>
      <c r="BZ1" s="104" t="s">
        <v>343</v>
      </c>
      <c r="CA1" s="102" t="s">
        <v>344</v>
      </c>
      <c r="CB1" s="104" t="s">
        <v>345</v>
      </c>
      <c r="CC1" s="104" t="s">
        <v>346</v>
      </c>
      <c r="CD1" s="104" t="s">
        <v>347</v>
      </c>
      <c r="CE1" s="102" t="s">
        <v>348</v>
      </c>
      <c r="CG1" s="53" t="s">
        <v>342</v>
      </c>
      <c r="CH1" s="104" t="s">
        <v>343</v>
      </c>
      <c r="CI1" s="102" t="s">
        <v>344</v>
      </c>
      <c r="CJ1" s="104" t="s">
        <v>345</v>
      </c>
      <c r="CK1" s="104" t="s">
        <v>346</v>
      </c>
      <c r="CL1" s="104" t="s">
        <v>347</v>
      </c>
      <c r="CM1" s="102" t="s">
        <v>348</v>
      </c>
      <c r="CO1" s="53" t="s">
        <v>342</v>
      </c>
      <c r="CP1" s="104" t="s">
        <v>343</v>
      </c>
      <c r="CQ1" s="102" t="s">
        <v>344</v>
      </c>
      <c r="CR1" s="104" t="s">
        <v>345</v>
      </c>
      <c r="CS1" s="104" t="s">
        <v>346</v>
      </c>
      <c r="CT1" s="104" t="s">
        <v>347</v>
      </c>
      <c r="CU1" s="102" t="s">
        <v>348</v>
      </c>
      <c r="CX1" s="53" t="s">
        <v>342</v>
      </c>
      <c r="CY1" s="104" t="s">
        <v>343</v>
      </c>
      <c r="CZ1" s="102" t="s">
        <v>344</v>
      </c>
      <c r="DA1" s="104" t="s">
        <v>345</v>
      </c>
      <c r="DB1" s="104" t="s">
        <v>346</v>
      </c>
      <c r="DC1" s="104" t="s">
        <v>347</v>
      </c>
      <c r="DD1" s="102" t="s">
        <v>348</v>
      </c>
      <c r="DF1" s="53" t="s">
        <v>342</v>
      </c>
      <c r="DG1" s="104" t="s">
        <v>343</v>
      </c>
      <c r="DH1" s="102" t="s">
        <v>344</v>
      </c>
      <c r="DI1" s="104" t="s">
        <v>345</v>
      </c>
      <c r="DJ1" s="104" t="s">
        <v>346</v>
      </c>
      <c r="DK1" s="104" t="s">
        <v>347</v>
      </c>
      <c r="DL1" s="102" t="s">
        <v>348</v>
      </c>
      <c r="DN1" s="53" t="s">
        <v>342</v>
      </c>
      <c r="DO1" s="104" t="s">
        <v>343</v>
      </c>
      <c r="DP1" s="102" t="s">
        <v>344</v>
      </c>
      <c r="DQ1" s="104" t="s">
        <v>345</v>
      </c>
      <c r="DR1" s="104" t="s">
        <v>346</v>
      </c>
      <c r="DS1" s="104" t="s">
        <v>347</v>
      </c>
      <c r="DT1" s="102" t="s">
        <v>348</v>
      </c>
      <c r="DV1" s="53" t="s">
        <v>342</v>
      </c>
      <c r="DW1" s="104" t="s">
        <v>343</v>
      </c>
      <c r="DX1" s="102" t="s">
        <v>344</v>
      </c>
      <c r="DY1" s="104" t="s">
        <v>345</v>
      </c>
      <c r="DZ1" s="104" t="s">
        <v>346</v>
      </c>
      <c r="EA1" s="104" t="s">
        <v>347</v>
      </c>
      <c r="EB1" s="102" t="s">
        <v>348</v>
      </c>
      <c r="ED1" s="53" t="s">
        <v>342</v>
      </c>
      <c r="EE1" s="104" t="s">
        <v>343</v>
      </c>
      <c r="EF1" s="102" t="s">
        <v>344</v>
      </c>
      <c r="EG1" s="104" t="s">
        <v>345</v>
      </c>
      <c r="EH1" s="104" t="s">
        <v>346</v>
      </c>
      <c r="EI1" s="104" t="s">
        <v>347</v>
      </c>
      <c r="EJ1" s="102" t="s">
        <v>348</v>
      </c>
      <c r="EM1" s="53" t="s">
        <v>342</v>
      </c>
      <c r="EN1" s="104" t="s">
        <v>343</v>
      </c>
      <c r="EO1" s="102" t="s">
        <v>344</v>
      </c>
      <c r="EP1" s="104" t="s">
        <v>345</v>
      </c>
      <c r="EQ1" s="104" t="s">
        <v>346</v>
      </c>
      <c r="ER1" s="104" t="s">
        <v>347</v>
      </c>
      <c r="ES1" s="102" t="s">
        <v>348</v>
      </c>
      <c r="EU1" s="53" t="s">
        <v>342</v>
      </c>
      <c r="EV1" s="104" t="s">
        <v>343</v>
      </c>
      <c r="EW1" s="102" t="s">
        <v>344</v>
      </c>
      <c r="EX1" s="104" t="s">
        <v>345</v>
      </c>
      <c r="EY1" s="104" t="s">
        <v>346</v>
      </c>
      <c r="EZ1" s="104" t="s">
        <v>347</v>
      </c>
      <c r="FA1" s="102" t="s">
        <v>348</v>
      </c>
      <c r="FC1" s="53" t="s">
        <v>342</v>
      </c>
      <c r="FD1" s="104" t="s">
        <v>343</v>
      </c>
      <c r="FE1" s="102" t="s">
        <v>344</v>
      </c>
      <c r="FF1" s="104" t="s">
        <v>345</v>
      </c>
      <c r="FG1" s="104" t="s">
        <v>346</v>
      </c>
      <c r="FH1" s="104" t="s">
        <v>347</v>
      </c>
      <c r="FI1" s="102" t="s">
        <v>348</v>
      </c>
      <c r="FK1" s="53" t="s">
        <v>342</v>
      </c>
      <c r="FL1" s="104" t="s">
        <v>343</v>
      </c>
      <c r="FM1" s="102" t="s">
        <v>344</v>
      </c>
      <c r="FN1" s="104" t="s">
        <v>345</v>
      </c>
      <c r="FO1" s="104" t="s">
        <v>346</v>
      </c>
      <c r="FP1" s="104" t="s">
        <v>347</v>
      </c>
      <c r="FQ1" s="102" t="s">
        <v>348</v>
      </c>
      <c r="FS1" s="53" t="s">
        <v>342</v>
      </c>
      <c r="FT1" s="104" t="s">
        <v>343</v>
      </c>
      <c r="FU1" s="102" t="s">
        <v>344</v>
      </c>
      <c r="FV1" s="104" t="s">
        <v>345</v>
      </c>
      <c r="FW1" s="104" t="s">
        <v>346</v>
      </c>
      <c r="FX1" s="104" t="s">
        <v>347</v>
      </c>
      <c r="FY1" s="102" t="s">
        <v>348</v>
      </c>
      <c r="GA1" s="53" t="s">
        <v>342</v>
      </c>
      <c r="GB1" s="104" t="s">
        <v>343</v>
      </c>
      <c r="GC1" s="102" t="s">
        <v>344</v>
      </c>
      <c r="GD1" s="104" t="s">
        <v>345</v>
      </c>
      <c r="GE1" s="104" t="s">
        <v>346</v>
      </c>
      <c r="GF1" s="104" t="s">
        <v>347</v>
      </c>
      <c r="GG1" s="102" t="s">
        <v>348</v>
      </c>
    </row>
    <row r="2" spans="1:189" ht="15" customHeight="1" thickBot="1" x14ac:dyDescent="0.3">
      <c r="A2" s="18" t="s">
        <v>18</v>
      </c>
      <c r="B2" s="19">
        <v>2000</v>
      </c>
      <c r="C2" s="20" t="s">
        <v>19</v>
      </c>
      <c r="D2" s="86">
        <v>54.8</v>
      </c>
      <c r="E2" s="19">
        <v>321</v>
      </c>
      <c r="F2" s="22">
        <v>0.03</v>
      </c>
      <c r="G2" s="19">
        <v>10.42496</v>
      </c>
      <c r="H2" s="21">
        <v>12.2</v>
      </c>
      <c r="I2" s="23">
        <v>24</v>
      </c>
      <c r="J2" s="19">
        <v>8.1999999999999993</v>
      </c>
      <c r="K2" s="23">
        <v>24</v>
      </c>
      <c r="L2" s="19">
        <v>114.56</v>
      </c>
      <c r="M2" s="24">
        <v>20093756</v>
      </c>
      <c r="N2" s="22">
        <v>2.2000000000000002</v>
      </c>
      <c r="O2" s="22">
        <v>0</v>
      </c>
      <c r="P2" s="73" t="s">
        <v>25</v>
      </c>
      <c r="Q2" s="73" t="s">
        <v>25</v>
      </c>
      <c r="R2" s="73" t="s">
        <v>25</v>
      </c>
      <c r="S2" s="25">
        <f>IF(C2="Developing",0,1)</f>
        <v>0</v>
      </c>
      <c r="T2" s="25">
        <f>I2*S2</f>
        <v>0</v>
      </c>
      <c r="U2" s="25">
        <f>S2*N2</f>
        <v>0</v>
      </c>
      <c r="V2" s="26">
        <f>K2*S2</f>
        <v>0</v>
      </c>
      <c r="X2" s="54" t="s">
        <v>320</v>
      </c>
      <c r="Y2" s="51" t="s">
        <v>218</v>
      </c>
      <c r="Z2" s="51" t="s">
        <v>218</v>
      </c>
      <c r="AA2" s="51" t="s">
        <v>218</v>
      </c>
      <c r="AB2" s="51" t="s">
        <v>218</v>
      </c>
      <c r="AC2" s="51" t="s">
        <v>218</v>
      </c>
      <c r="AD2" s="51" t="s">
        <v>218</v>
      </c>
      <c r="AE2" s="51" t="s">
        <v>218</v>
      </c>
      <c r="AF2" s="51" t="s">
        <v>218</v>
      </c>
      <c r="AG2" s="51" t="s">
        <v>218</v>
      </c>
      <c r="AH2" s="51" t="s">
        <v>218</v>
      </c>
      <c r="AI2" s="51" t="s">
        <v>218</v>
      </c>
      <c r="AJ2" s="51" t="s">
        <v>218</v>
      </c>
      <c r="AK2" s="51" t="s">
        <v>218</v>
      </c>
      <c r="AL2" s="51" t="s">
        <v>218</v>
      </c>
      <c r="AM2" s="51" t="s">
        <v>218</v>
      </c>
      <c r="AS2" s="54" t="s">
        <v>341</v>
      </c>
      <c r="AT2" s="103"/>
      <c r="AU2" s="103"/>
      <c r="AV2" s="103"/>
      <c r="AW2" s="103"/>
      <c r="AX2" s="103"/>
      <c r="AY2" s="103"/>
      <c r="BA2" s="54" t="s">
        <v>341</v>
      </c>
      <c r="BB2" s="103"/>
      <c r="BC2" s="103"/>
      <c r="BD2" s="103"/>
      <c r="BE2" s="103"/>
      <c r="BF2" s="103"/>
      <c r="BG2" s="103"/>
      <c r="BI2" s="54" t="s">
        <v>341</v>
      </c>
      <c r="BJ2" s="103"/>
      <c r="BK2" s="103"/>
      <c r="BL2" s="103"/>
      <c r="BM2" s="103"/>
      <c r="BN2" s="103"/>
      <c r="BO2" s="103"/>
      <c r="BQ2" s="54" t="s">
        <v>341</v>
      </c>
      <c r="BR2" s="103"/>
      <c r="BS2" s="103"/>
      <c r="BT2" s="103"/>
      <c r="BU2" s="103"/>
      <c r="BV2" s="103"/>
      <c r="BW2" s="103"/>
      <c r="BY2" s="54" t="s">
        <v>341</v>
      </c>
      <c r="BZ2" s="103"/>
      <c r="CA2" s="103"/>
      <c r="CB2" s="103"/>
      <c r="CC2" s="103"/>
      <c r="CD2" s="103"/>
      <c r="CE2" s="103"/>
      <c r="CG2" s="54" t="s">
        <v>341</v>
      </c>
      <c r="CH2" s="103"/>
      <c r="CI2" s="103"/>
      <c r="CJ2" s="103"/>
      <c r="CK2" s="103"/>
      <c r="CL2" s="103"/>
      <c r="CM2" s="103"/>
      <c r="CO2" s="54" t="s">
        <v>341</v>
      </c>
      <c r="CP2" s="103"/>
      <c r="CQ2" s="103"/>
      <c r="CR2" s="103"/>
      <c r="CS2" s="103"/>
      <c r="CT2" s="103"/>
      <c r="CU2" s="103"/>
      <c r="CX2" s="54" t="s">
        <v>341</v>
      </c>
      <c r="CY2" s="103"/>
      <c r="CZ2" s="103"/>
      <c r="DA2" s="103"/>
      <c r="DB2" s="103"/>
      <c r="DC2" s="103"/>
      <c r="DD2" s="103"/>
      <c r="DF2" s="54" t="s">
        <v>341</v>
      </c>
      <c r="DG2" s="103"/>
      <c r="DH2" s="103"/>
      <c r="DI2" s="103"/>
      <c r="DJ2" s="103"/>
      <c r="DK2" s="103"/>
      <c r="DL2" s="103"/>
      <c r="DN2" s="54" t="s">
        <v>341</v>
      </c>
      <c r="DO2" s="103"/>
      <c r="DP2" s="103"/>
      <c r="DQ2" s="103"/>
      <c r="DR2" s="103"/>
      <c r="DS2" s="103"/>
      <c r="DT2" s="103"/>
      <c r="DV2" s="54" t="s">
        <v>341</v>
      </c>
      <c r="DW2" s="103"/>
      <c r="DX2" s="103"/>
      <c r="DY2" s="103"/>
      <c r="DZ2" s="103"/>
      <c r="EA2" s="103"/>
      <c r="EB2" s="103"/>
      <c r="ED2" s="54" t="s">
        <v>341</v>
      </c>
      <c r="EE2" s="103"/>
      <c r="EF2" s="103"/>
      <c r="EG2" s="103"/>
      <c r="EH2" s="103"/>
      <c r="EI2" s="103"/>
      <c r="EJ2" s="103"/>
      <c r="EM2" s="54" t="s">
        <v>341</v>
      </c>
      <c r="EN2" s="103"/>
      <c r="EO2" s="103"/>
      <c r="EP2" s="103"/>
      <c r="EQ2" s="103"/>
      <c r="ER2" s="103"/>
      <c r="ES2" s="103"/>
      <c r="EU2" s="54" t="s">
        <v>341</v>
      </c>
      <c r="EV2" s="103"/>
      <c r="EW2" s="103"/>
      <c r="EX2" s="103"/>
      <c r="EY2" s="103"/>
      <c r="EZ2" s="103"/>
      <c r="FA2" s="103"/>
      <c r="FC2" s="54" t="s">
        <v>341</v>
      </c>
      <c r="FD2" s="103"/>
      <c r="FE2" s="103"/>
      <c r="FF2" s="103"/>
      <c r="FG2" s="103"/>
      <c r="FH2" s="103"/>
      <c r="FI2" s="103"/>
      <c r="FK2" s="54" t="s">
        <v>341</v>
      </c>
      <c r="FL2" s="103"/>
      <c r="FM2" s="103"/>
      <c r="FN2" s="103"/>
      <c r="FO2" s="103"/>
      <c r="FP2" s="103"/>
      <c r="FQ2" s="103"/>
      <c r="FS2" s="54" t="s">
        <v>341</v>
      </c>
      <c r="FT2" s="103"/>
      <c r="FU2" s="103"/>
      <c r="FV2" s="103"/>
      <c r="FW2" s="103"/>
      <c r="FX2" s="103"/>
      <c r="FY2" s="103"/>
      <c r="GA2" s="54" t="s">
        <v>341</v>
      </c>
      <c r="GB2" s="103"/>
      <c r="GC2" s="103"/>
      <c r="GD2" s="103"/>
      <c r="GE2" s="103"/>
      <c r="GF2" s="103"/>
      <c r="GG2" s="103"/>
    </row>
    <row r="3" spans="1:189" ht="15" customHeight="1" thickTop="1" x14ac:dyDescent="0.25">
      <c r="A3" s="27" t="s">
        <v>20</v>
      </c>
      <c r="B3" s="28">
        <v>2000</v>
      </c>
      <c r="C3" s="29" t="s">
        <v>19</v>
      </c>
      <c r="D3" s="87">
        <v>72.599999999999994</v>
      </c>
      <c r="E3" s="28">
        <v>11</v>
      </c>
      <c r="F3" s="31">
        <v>6.04</v>
      </c>
      <c r="G3" s="28">
        <v>91.71154052</v>
      </c>
      <c r="H3" s="30">
        <v>45</v>
      </c>
      <c r="I3" s="32">
        <v>97</v>
      </c>
      <c r="J3" s="28">
        <v>6.26</v>
      </c>
      <c r="K3" s="32">
        <v>97</v>
      </c>
      <c r="L3" s="33">
        <v>1175.789</v>
      </c>
      <c r="M3" s="34">
        <v>3089027</v>
      </c>
      <c r="N3" s="31">
        <v>8.8000000000000007</v>
      </c>
      <c r="O3" s="31">
        <v>34.799999999999997</v>
      </c>
      <c r="P3" s="74">
        <v>75.5</v>
      </c>
      <c r="Q3" s="74">
        <v>6.8</v>
      </c>
      <c r="R3" s="74">
        <v>7.1</v>
      </c>
      <c r="S3" s="35">
        <f t="shared" ref="S3:S66" si="0">IF(C3="Developing",0,1)</f>
        <v>0</v>
      </c>
      <c r="T3" s="35">
        <f t="shared" ref="T3:T66" si="1">I3*S3</f>
        <v>0</v>
      </c>
      <c r="U3" s="35">
        <f t="shared" ref="U3:U66" si="2">S3*N3</f>
        <v>0</v>
      </c>
      <c r="V3" s="36">
        <f t="shared" ref="V3:V66" si="3">K3*S3</f>
        <v>0</v>
      </c>
      <c r="X3" s="105" t="s">
        <v>3</v>
      </c>
      <c r="Y3" s="57">
        <v>1</v>
      </c>
      <c r="Z3" s="57"/>
      <c r="AA3" s="57"/>
      <c r="AB3" s="57"/>
      <c r="AC3" s="57"/>
      <c r="AD3" s="57"/>
      <c r="AE3" s="57"/>
      <c r="AF3" s="57"/>
      <c r="AG3" s="57"/>
      <c r="AH3" s="57"/>
      <c r="AI3" s="57"/>
      <c r="AJ3" s="57"/>
      <c r="AK3" s="57"/>
      <c r="AL3" s="57"/>
      <c r="AM3" s="57"/>
      <c r="AS3" s="52"/>
      <c r="AT3" s="68">
        <v>0.62719608342635558</v>
      </c>
      <c r="AU3" s="68">
        <v>0.39337492706535993</v>
      </c>
      <c r="AV3" s="68">
        <v>0.39002340732538954</v>
      </c>
      <c r="AW3" s="69">
        <v>8.0409101985672518</v>
      </c>
      <c r="AX3" s="69">
        <v>0</v>
      </c>
      <c r="AY3" s="69">
        <v>0</v>
      </c>
      <c r="BA3" s="52"/>
      <c r="BB3" s="68">
        <v>0.60997366723771607</v>
      </c>
      <c r="BC3" s="68">
        <v>0.37206787472342795</v>
      </c>
      <c r="BD3" s="68">
        <v>0.36859863646223145</v>
      </c>
      <c r="BE3" s="69">
        <v>8.180905665265545</v>
      </c>
      <c r="BF3" s="69">
        <v>0</v>
      </c>
      <c r="BG3" s="69">
        <v>0</v>
      </c>
      <c r="BI3" s="52"/>
      <c r="BJ3" s="68">
        <v>0.71875986708846706</v>
      </c>
      <c r="BK3" s="68">
        <v>0.5166157465370308</v>
      </c>
      <c r="BL3" s="68">
        <v>0.51394511530242881</v>
      </c>
      <c r="BM3" s="69">
        <v>7.177798842612563</v>
      </c>
      <c r="BN3" s="69">
        <v>0</v>
      </c>
      <c r="BO3" s="69">
        <v>0</v>
      </c>
      <c r="BQ3" s="52"/>
      <c r="BR3" s="68">
        <v>0.71056989819725125</v>
      </c>
      <c r="BS3" s="68">
        <v>0.50490958022405208</v>
      </c>
      <c r="BT3" s="68">
        <v>0.50217427403744463</v>
      </c>
      <c r="BU3" s="69">
        <v>7.2641916728598632</v>
      </c>
      <c r="BV3" s="69">
        <v>0</v>
      </c>
      <c r="BW3" s="69">
        <v>0</v>
      </c>
      <c r="BY3" s="52"/>
      <c r="BZ3" s="68">
        <v>0.68079199336364604</v>
      </c>
      <c r="CA3" s="68">
        <v>0.46347773822804667</v>
      </c>
      <c r="CB3" s="68">
        <v>0.46049705899598037</v>
      </c>
      <c r="CC3" s="69">
        <v>7.5556815195821576</v>
      </c>
      <c r="CD3" s="69">
        <v>1</v>
      </c>
      <c r="CE3" s="69">
        <v>0</v>
      </c>
      <c r="CG3" s="52"/>
      <c r="CH3" s="68">
        <v>0.46198640405712593</v>
      </c>
      <c r="CI3" s="68">
        <v>0.21343143753363403</v>
      </c>
      <c r="CJ3" s="68">
        <v>0.2090857548680739</v>
      </c>
      <c r="CK3" s="69">
        <v>9.1561590036978497</v>
      </c>
      <c r="CL3" s="69">
        <v>0</v>
      </c>
      <c r="CM3" s="69">
        <v>0</v>
      </c>
      <c r="CO3" s="52"/>
      <c r="CP3" s="68">
        <v>0.39899576679275617</v>
      </c>
      <c r="CQ3" s="68">
        <v>0.15919762191853948</v>
      </c>
      <c r="CR3" s="68">
        <v>0.15455230491256444</v>
      </c>
      <c r="CS3" s="69">
        <v>9.4665558035672284</v>
      </c>
      <c r="CT3" s="69">
        <v>0</v>
      </c>
      <c r="CU3" s="69">
        <v>0</v>
      </c>
      <c r="CX3" s="52"/>
      <c r="CY3" s="68">
        <v>0.62719608342635558</v>
      </c>
      <c r="CZ3" s="68">
        <v>0.39337492706535993</v>
      </c>
      <c r="DA3" s="68">
        <v>0.39002340732538954</v>
      </c>
      <c r="DB3" s="69">
        <v>8.0409101985672518</v>
      </c>
      <c r="DC3" s="69">
        <v>0</v>
      </c>
      <c r="DD3" s="69">
        <v>0</v>
      </c>
      <c r="DF3" s="52"/>
      <c r="DG3" s="68">
        <v>0.74183026416077291</v>
      </c>
      <c r="DH3" s="68">
        <v>0.55031214082484214</v>
      </c>
      <c r="DI3" s="68">
        <v>0.54531560905622922</v>
      </c>
      <c r="DJ3" s="69">
        <v>6.9423043594479115</v>
      </c>
      <c r="DK3" s="69">
        <v>0</v>
      </c>
      <c r="DL3" s="69">
        <v>0</v>
      </c>
      <c r="DN3" s="52"/>
      <c r="DO3" s="68">
        <v>0.8563088194605164</v>
      </c>
      <c r="DP3" s="68">
        <v>0.73326479428586322</v>
      </c>
      <c r="DQ3" s="68">
        <v>0.72879437184372708</v>
      </c>
      <c r="DR3" s="69">
        <v>5.361644018894439</v>
      </c>
      <c r="DS3" s="69">
        <v>0</v>
      </c>
      <c r="DT3" s="69">
        <v>0</v>
      </c>
      <c r="DV3" s="52"/>
      <c r="DW3" s="68">
        <v>0.86077673573802405</v>
      </c>
      <c r="DX3" s="68">
        <v>0.74093658878780799</v>
      </c>
      <c r="DY3" s="68">
        <v>0.73511493909764636</v>
      </c>
      <c r="DZ3" s="69">
        <v>5.2987979524138211</v>
      </c>
      <c r="EA3" s="69">
        <v>0</v>
      </c>
      <c r="EB3" s="69">
        <v>0</v>
      </c>
      <c r="ED3" s="52"/>
      <c r="EE3" s="68">
        <v>0.87646997440000629</v>
      </c>
      <c r="EF3" s="68">
        <v>0.76819961602474762</v>
      </c>
      <c r="EG3" s="80">
        <v>0.7616143778436324</v>
      </c>
      <c r="EH3" s="69">
        <v>5.0224632128278905</v>
      </c>
      <c r="EI3" s="69">
        <v>1</v>
      </c>
      <c r="EJ3" s="69">
        <v>0</v>
      </c>
      <c r="EM3" s="52"/>
      <c r="EN3" s="68">
        <v>0.62719608342635558</v>
      </c>
      <c r="EO3" s="68">
        <v>0.39337492706535993</v>
      </c>
      <c r="EP3" s="68">
        <v>0.39002340732538954</v>
      </c>
      <c r="EQ3" s="69">
        <v>8.0409101985672518</v>
      </c>
      <c r="ER3" s="69">
        <v>0</v>
      </c>
      <c r="ES3" s="69">
        <v>0</v>
      </c>
      <c r="EU3" s="52"/>
      <c r="EV3" s="68">
        <v>0.74183026416077291</v>
      </c>
      <c r="EW3" s="68">
        <v>0.55031214082484214</v>
      </c>
      <c r="EX3" s="68">
        <v>0.54531560905622922</v>
      </c>
      <c r="EY3" s="69">
        <v>6.9423043594479115</v>
      </c>
      <c r="EZ3" s="69">
        <v>0</v>
      </c>
      <c r="FA3" s="69">
        <v>0</v>
      </c>
      <c r="FC3" s="52"/>
      <c r="FD3" s="68">
        <v>0.77159710044916352</v>
      </c>
      <c r="FE3" s="68">
        <v>0.59536208542155655</v>
      </c>
      <c r="FF3" s="84">
        <v>0.58858044439510215</v>
      </c>
      <c r="FG3" s="69">
        <v>6.6037571278785094</v>
      </c>
      <c r="FH3" s="69">
        <v>0</v>
      </c>
      <c r="FI3" s="69">
        <v>0</v>
      </c>
      <c r="FK3" s="52"/>
      <c r="FL3" s="68">
        <v>0.77262291816127016</v>
      </c>
      <c r="FM3" s="68">
        <v>0.59694617366803682</v>
      </c>
      <c r="FN3" s="83">
        <v>0.58788878431226244</v>
      </c>
      <c r="FO3" s="69">
        <v>6.6093057668038062</v>
      </c>
      <c r="FP3" s="69">
        <v>0</v>
      </c>
      <c r="FQ3" s="69">
        <v>0</v>
      </c>
      <c r="FS3" s="52"/>
      <c r="FT3" s="68">
        <v>0.77164313654202132</v>
      </c>
      <c r="FU3" s="68">
        <v>0.59543313017240862</v>
      </c>
      <c r="FV3" s="83">
        <v>0.58634173983920435</v>
      </c>
      <c r="FW3" s="69">
        <v>6.6216996444867497</v>
      </c>
      <c r="FX3" s="69">
        <v>0</v>
      </c>
      <c r="FY3" s="69">
        <v>0</v>
      </c>
      <c r="GA3" s="52"/>
      <c r="GB3" s="68">
        <v>0.77329934591203398</v>
      </c>
      <c r="GC3" s="68">
        <v>0.59799187838797963</v>
      </c>
      <c r="GD3" s="84">
        <v>0.5889579880146758</v>
      </c>
      <c r="GE3" s="69">
        <v>6.6007264277350313</v>
      </c>
      <c r="GF3" s="69">
        <v>0</v>
      </c>
      <c r="GG3" s="69">
        <v>0</v>
      </c>
    </row>
    <row r="4" spans="1:189" ht="15" customHeight="1" x14ac:dyDescent="0.25">
      <c r="A4" s="27" t="s">
        <v>21</v>
      </c>
      <c r="B4" s="28">
        <v>2000</v>
      </c>
      <c r="C4" s="29" t="s">
        <v>19</v>
      </c>
      <c r="D4" s="87">
        <v>71.3</v>
      </c>
      <c r="E4" s="28">
        <v>145</v>
      </c>
      <c r="F4" s="31">
        <v>0.48</v>
      </c>
      <c r="G4" s="28">
        <v>154.45594360000001</v>
      </c>
      <c r="H4" s="30">
        <v>44.4</v>
      </c>
      <c r="I4" s="32">
        <v>86</v>
      </c>
      <c r="J4" s="28">
        <v>3.49</v>
      </c>
      <c r="K4" s="32">
        <v>86</v>
      </c>
      <c r="L4" s="33">
        <v>1757.1780000000001</v>
      </c>
      <c r="M4" s="34">
        <v>31183660</v>
      </c>
      <c r="N4" s="31">
        <v>5.9</v>
      </c>
      <c r="O4" s="31">
        <v>16.600000000000001</v>
      </c>
      <c r="P4" s="74">
        <v>61.3</v>
      </c>
      <c r="Q4" s="74">
        <v>3.5</v>
      </c>
      <c r="R4" s="74">
        <v>8.6</v>
      </c>
      <c r="S4" s="35">
        <f t="shared" si="0"/>
        <v>0</v>
      </c>
      <c r="T4" s="35">
        <f t="shared" si="1"/>
        <v>0</v>
      </c>
      <c r="U4" s="35">
        <f t="shared" si="2"/>
        <v>0</v>
      </c>
      <c r="V4" s="36">
        <f t="shared" si="3"/>
        <v>0</v>
      </c>
      <c r="X4" s="106" t="s">
        <v>4</v>
      </c>
      <c r="Y4" s="57">
        <f>_xll.StatCorrelationCoeff( ST_AdultMortality,ST_Lifeexpectancy)</f>
        <v>-0.62719608342635214</v>
      </c>
      <c r="Z4" s="57">
        <v>1</v>
      </c>
      <c r="AA4" s="57"/>
      <c r="AB4" s="57"/>
      <c r="AC4" s="57"/>
      <c r="AD4" s="57"/>
      <c r="AE4" s="57"/>
      <c r="AF4" s="57"/>
      <c r="AG4" s="57"/>
      <c r="AH4" s="57"/>
      <c r="AI4" s="57"/>
      <c r="AJ4" s="57"/>
      <c r="AK4" s="57"/>
      <c r="AL4" s="57"/>
      <c r="AM4" s="57"/>
    </row>
    <row r="5" spans="1:189" ht="15" customHeight="1" x14ac:dyDescent="0.25">
      <c r="A5" s="27" t="s">
        <v>26</v>
      </c>
      <c r="B5" s="28">
        <v>2000</v>
      </c>
      <c r="C5" s="29" t="s">
        <v>19</v>
      </c>
      <c r="D5" s="87">
        <v>45.3</v>
      </c>
      <c r="E5" s="28">
        <v>48</v>
      </c>
      <c r="F5" s="31">
        <v>6.89</v>
      </c>
      <c r="G5" s="28">
        <v>15.88149254</v>
      </c>
      <c r="H5" s="30">
        <v>15.4</v>
      </c>
      <c r="I5" s="32">
        <v>27</v>
      </c>
      <c r="J5" s="28">
        <v>2.79</v>
      </c>
      <c r="K5" s="32">
        <v>23</v>
      </c>
      <c r="L5" s="28">
        <v>555.29700000000003</v>
      </c>
      <c r="M5" s="34">
        <v>16440924</v>
      </c>
      <c r="N5" s="31">
        <v>4.4000000000000004</v>
      </c>
      <c r="O5" s="31">
        <v>0</v>
      </c>
      <c r="P5" s="74">
        <v>13.9</v>
      </c>
      <c r="Q5" s="74">
        <v>2.5</v>
      </c>
      <c r="R5" s="74">
        <v>2.2999999999999998</v>
      </c>
      <c r="S5" s="35">
        <f t="shared" si="0"/>
        <v>0</v>
      </c>
      <c r="T5" s="35">
        <f t="shared" si="1"/>
        <v>0</v>
      </c>
      <c r="U5" s="35">
        <f t="shared" si="2"/>
        <v>0</v>
      </c>
      <c r="V5" s="36">
        <f t="shared" si="3"/>
        <v>0</v>
      </c>
      <c r="X5" s="105" t="s">
        <v>5</v>
      </c>
      <c r="Y5" s="57">
        <f>_xll.StatCorrelationCoeff( ST_Alcohol,ST_Lifeexpectancy)</f>
        <v>0.40461785487971119</v>
      </c>
      <c r="Z5" s="57">
        <f>_xll.StatCorrelationCoeff( ST_Alcohol,ST_AdultMortality)</f>
        <v>-0.18634291869355096</v>
      </c>
      <c r="AA5" s="57">
        <v>1</v>
      </c>
      <c r="AB5" s="57"/>
      <c r="AC5" s="57"/>
      <c r="AD5" s="57"/>
      <c r="AE5" s="57"/>
      <c r="AF5" s="57"/>
      <c r="AG5" s="57"/>
      <c r="AH5" s="57"/>
      <c r="AI5" s="57"/>
      <c r="AJ5" s="57"/>
      <c r="AK5" s="57"/>
      <c r="AL5" s="57"/>
      <c r="AM5" s="57"/>
      <c r="AS5" s="53"/>
      <c r="AT5" s="104" t="s">
        <v>350</v>
      </c>
      <c r="AU5" s="104" t="s">
        <v>351</v>
      </c>
      <c r="AV5" s="104" t="s">
        <v>352</v>
      </c>
      <c r="AW5" s="102" t="s">
        <v>353</v>
      </c>
      <c r="AX5" s="102" t="s">
        <v>354</v>
      </c>
      <c r="BA5" s="53"/>
      <c r="BB5" s="104" t="s">
        <v>350</v>
      </c>
      <c r="BC5" s="104" t="s">
        <v>351</v>
      </c>
      <c r="BD5" s="104" t="s">
        <v>352</v>
      </c>
      <c r="BE5" s="102" t="s">
        <v>353</v>
      </c>
      <c r="BF5" s="102" t="s">
        <v>354</v>
      </c>
      <c r="BI5" s="53"/>
      <c r="BJ5" s="104" t="s">
        <v>350</v>
      </c>
      <c r="BK5" s="104" t="s">
        <v>351</v>
      </c>
      <c r="BL5" s="104" t="s">
        <v>352</v>
      </c>
      <c r="BM5" s="102" t="s">
        <v>353</v>
      </c>
      <c r="BN5" s="102" t="s">
        <v>354</v>
      </c>
      <c r="BQ5" s="53"/>
      <c r="BR5" s="104" t="s">
        <v>350</v>
      </c>
      <c r="BS5" s="104" t="s">
        <v>351</v>
      </c>
      <c r="BT5" s="104" t="s">
        <v>352</v>
      </c>
      <c r="BU5" s="102" t="s">
        <v>353</v>
      </c>
      <c r="BV5" s="102" t="s">
        <v>354</v>
      </c>
      <c r="BY5" s="53"/>
      <c r="BZ5" s="104" t="s">
        <v>350</v>
      </c>
      <c r="CA5" s="104" t="s">
        <v>351</v>
      </c>
      <c r="CB5" s="104" t="s">
        <v>352</v>
      </c>
      <c r="CC5" s="102" t="s">
        <v>353</v>
      </c>
      <c r="CD5" s="102" t="s">
        <v>354</v>
      </c>
      <c r="CG5" s="53"/>
      <c r="CH5" s="104" t="s">
        <v>350</v>
      </c>
      <c r="CI5" s="104" t="s">
        <v>351</v>
      </c>
      <c r="CJ5" s="104" t="s">
        <v>352</v>
      </c>
      <c r="CK5" s="102" t="s">
        <v>353</v>
      </c>
      <c r="CL5" s="102" t="s">
        <v>354</v>
      </c>
      <c r="CO5" s="53"/>
      <c r="CP5" s="104" t="s">
        <v>350</v>
      </c>
      <c r="CQ5" s="104" t="s">
        <v>351</v>
      </c>
      <c r="CR5" s="104" t="s">
        <v>352</v>
      </c>
      <c r="CS5" s="102" t="s">
        <v>353</v>
      </c>
      <c r="CT5" s="102" t="s">
        <v>354</v>
      </c>
      <c r="CX5" s="53"/>
      <c r="CY5" s="104" t="s">
        <v>350</v>
      </c>
      <c r="CZ5" s="104" t="s">
        <v>351</v>
      </c>
      <c r="DA5" s="104" t="s">
        <v>352</v>
      </c>
      <c r="DB5" s="102" t="s">
        <v>353</v>
      </c>
      <c r="DC5" s="102" t="s">
        <v>354</v>
      </c>
      <c r="DF5" s="53"/>
      <c r="DG5" s="104" t="s">
        <v>350</v>
      </c>
      <c r="DH5" s="104" t="s">
        <v>351</v>
      </c>
      <c r="DI5" s="104" t="s">
        <v>352</v>
      </c>
      <c r="DJ5" s="102" t="s">
        <v>353</v>
      </c>
      <c r="DK5" s="102" t="s">
        <v>354</v>
      </c>
      <c r="DN5" s="53"/>
      <c r="DO5" s="104" t="s">
        <v>350</v>
      </c>
      <c r="DP5" s="104" t="s">
        <v>351</v>
      </c>
      <c r="DQ5" s="104" t="s">
        <v>352</v>
      </c>
      <c r="DR5" s="102" t="s">
        <v>353</v>
      </c>
      <c r="DS5" s="102" t="s">
        <v>354</v>
      </c>
      <c r="DV5" s="53"/>
      <c r="DW5" s="104" t="s">
        <v>350</v>
      </c>
      <c r="DX5" s="104" t="s">
        <v>351</v>
      </c>
      <c r="DY5" s="104" t="s">
        <v>352</v>
      </c>
      <c r="DZ5" s="102" t="s">
        <v>353</v>
      </c>
      <c r="EA5" s="102" t="s">
        <v>354</v>
      </c>
      <c r="ED5" s="53"/>
      <c r="EE5" s="104" t="s">
        <v>350</v>
      </c>
      <c r="EF5" s="104" t="s">
        <v>351</v>
      </c>
      <c r="EG5" s="104" t="s">
        <v>352</v>
      </c>
      <c r="EH5" s="102" t="s">
        <v>353</v>
      </c>
      <c r="EI5" s="102" t="s">
        <v>354</v>
      </c>
      <c r="EM5" s="53"/>
      <c r="EN5" s="104" t="s">
        <v>350</v>
      </c>
      <c r="EO5" s="104" t="s">
        <v>351</v>
      </c>
      <c r="EP5" s="104" t="s">
        <v>352</v>
      </c>
      <c r="EQ5" s="102" t="s">
        <v>353</v>
      </c>
      <c r="ER5" s="102" t="s">
        <v>354</v>
      </c>
      <c r="EU5" s="53"/>
      <c r="EV5" s="104" t="s">
        <v>350</v>
      </c>
      <c r="EW5" s="104" t="s">
        <v>351</v>
      </c>
      <c r="EX5" s="104" t="s">
        <v>352</v>
      </c>
      <c r="EY5" s="102" t="s">
        <v>353</v>
      </c>
      <c r="EZ5" s="102" t="s">
        <v>354</v>
      </c>
      <c r="FC5" s="53"/>
      <c r="FD5" s="104" t="s">
        <v>350</v>
      </c>
      <c r="FE5" s="104" t="s">
        <v>351</v>
      </c>
      <c r="FF5" s="104" t="s">
        <v>352</v>
      </c>
      <c r="FG5" s="102" t="s">
        <v>353</v>
      </c>
      <c r="FH5" s="102" t="s">
        <v>354</v>
      </c>
      <c r="FK5" s="53"/>
      <c r="FL5" s="104" t="s">
        <v>350</v>
      </c>
      <c r="FM5" s="104" t="s">
        <v>351</v>
      </c>
      <c r="FN5" s="104" t="s">
        <v>352</v>
      </c>
      <c r="FO5" s="102" t="s">
        <v>353</v>
      </c>
      <c r="FP5" s="102" t="s">
        <v>354</v>
      </c>
      <c r="FS5" s="53"/>
      <c r="FT5" s="104" t="s">
        <v>350</v>
      </c>
      <c r="FU5" s="104" t="s">
        <v>351</v>
      </c>
      <c r="FV5" s="104" t="s">
        <v>352</v>
      </c>
      <c r="FW5" s="102" t="s">
        <v>353</v>
      </c>
      <c r="FX5" s="102" t="s">
        <v>354</v>
      </c>
      <c r="GA5" s="53"/>
      <c r="GB5" s="104" t="s">
        <v>350</v>
      </c>
      <c r="GC5" s="104" t="s">
        <v>351</v>
      </c>
      <c r="GD5" s="104" t="s">
        <v>352</v>
      </c>
      <c r="GE5" s="102" t="s">
        <v>353</v>
      </c>
      <c r="GF5" s="102" t="s">
        <v>354</v>
      </c>
    </row>
    <row r="6" spans="1:189" ht="15" customHeight="1" thickBot="1" x14ac:dyDescent="0.3">
      <c r="A6" s="27" t="s">
        <v>27</v>
      </c>
      <c r="B6" s="28">
        <v>2000</v>
      </c>
      <c r="C6" s="29" t="s">
        <v>19</v>
      </c>
      <c r="D6" s="87">
        <v>73.599999999999994</v>
      </c>
      <c r="E6" s="28">
        <v>156</v>
      </c>
      <c r="F6" s="31">
        <v>7.9</v>
      </c>
      <c r="G6" s="28">
        <v>1127.7434699999999</v>
      </c>
      <c r="H6" s="30">
        <v>38.200000000000003</v>
      </c>
      <c r="I6" s="32">
        <v>96</v>
      </c>
      <c r="J6" s="28">
        <v>4.13</v>
      </c>
      <c r="K6" s="32">
        <v>95</v>
      </c>
      <c r="L6" s="33">
        <v>9875.1620000000003</v>
      </c>
      <c r="M6" s="34">
        <v>83584</v>
      </c>
      <c r="N6" s="31">
        <v>7</v>
      </c>
      <c r="O6" s="31">
        <v>0</v>
      </c>
      <c r="P6" s="74">
        <v>381.1</v>
      </c>
      <c r="Q6" s="74">
        <v>4.0999999999999996</v>
      </c>
      <c r="R6" s="74">
        <v>11.2</v>
      </c>
      <c r="S6" s="35">
        <f t="shared" si="0"/>
        <v>0</v>
      </c>
      <c r="T6" s="35">
        <f t="shared" si="1"/>
        <v>0</v>
      </c>
      <c r="U6" s="35">
        <f t="shared" si="2"/>
        <v>0</v>
      </c>
      <c r="V6" s="36">
        <f t="shared" si="3"/>
        <v>0</v>
      </c>
      <c r="X6" s="105" t="s">
        <v>22</v>
      </c>
      <c r="Y6" s="57">
        <f>_xll.StatCorrelationCoeff( ST_PercentageExpenditure,ST_Lifeexpectancy)</f>
        <v>0.38054005928164808</v>
      </c>
      <c r="Z6" s="57">
        <f>_xll.StatCorrelationCoeff( ST_PercentageExpenditure,ST_AdultMortality)</f>
        <v>-0.23488762491547902</v>
      </c>
      <c r="AA6" s="57">
        <f>_xll.StatCorrelationCoeff( ST_PercentageExpenditure,ST_Alcohol)</f>
        <v>0.32745854682867315</v>
      </c>
      <c r="AB6" s="57">
        <v>1</v>
      </c>
      <c r="AC6" s="57"/>
      <c r="AD6" s="57"/>
      <c r="AE6" s="57"/>
      <c r="AF6" s="57"/>
      <c r="AG6" s="57"/>
      <c r="AH6" s="57"/>
      <c r="AI6" s="57"/>
      <c r="AJ6" s="57"/>
      <c r="AK6" s="57"/>
      <c r="AL6" s="57"/>
      <c r="AM6" s="57"/>
      <c r="AS6" s="54" t="s">
        <v>349</v>
      </c>
      <c r="AT6" s="103"/>
      <c r="AU6" s="103"/>
      <c r="AV6" s="103"/>
      <c r="AW6" s="103"/>
      <c r="AX6" s="103"/>
      <c r="BA6" s="54" t="s">
        <v>349</v>
      </c>
      <c r="BB6" s="103"/>
      <c r="BC6" s="103"/>
      <c r="BD6" s="103"/>
      <c r="BE6" s="103"/>
      <c r="BF6" s="103"/>
      <c r="BI6" s="54" t="s">
        <v>349</v>
      </c>
      <c r="BJ6" s="103"/>
      <c r="BK6" s="103"/>
      <c r="BL6" s="103"/>
      <c r="BM6" s="103"/>
      <c r="BN6" s="103"/>
      <c r="BQ6" s="54" t="s">
        <v>349</v>
      </c>
      <c r="BR6" s="103"/>
      <c r="BS6" s="103"/>
      <c r="BT6" s="103"/>
      <c r="BU6" s="103"/>
      <c r="BV6" s="103"/>
      <c r="BY6" s="54" t="s">
        <v>349</v>
      </c>
      <c r="BZ6" s="103"/>
      <c r="CA6" s="103"/>
      <c r="CB6" s="103"/>
      <c r="CC6" s="103"/>
      <c r="CD6" s="103"/>
      <c r="CG6" s="54" t="s">
        <v>349</v>
      </c>
      <c r="CH6" s="103"/>
      <c r="CI6" s="103"/>
      <c r="CJ6" s="103"/>
      <c r="CK6" s="103"/>
      <c r="CL6" s="103"/>
      <c r="CO6" s="54" t="s">
        <v>349</v>
      </c>
      <c r="CP6" s="103"/>
      <c r="CQ6" s="103"/>
      <c r="CR6" s="103"/>
      <c r="CS6" s="103"/>
      <c r="CT6" s="103"/>
      <c r="CX6" s="54" t="s">
        <v>349</v>
      </c>
      <c r="CY6" s="103"/>
      <c r="CZ6" s="103"/>
      <c r="DA6" s="103"/>
      <c r="DB6" s="103"/>
      <c r="DC6" s="103"/>
      <c r="DF6" s="54" t="s">
        <v>349</v>
      </c>
      <c r="DG6" s="103"/>
      <c r="DH6" s="103"/>
      <c r="DI6" s="103"/>
      <c r="DJ6" s="103"/>
      <c r="DK6" s="103"/>
      <c r="DN6" s="54" t="s">
        <v>349</v>
      </c>
      <c r="DO6" s="103"/>
      <c r="DP6" s="103"/>
      <c r="DQ6" s="103"/>
      <c r="DR6" s="103"/>
      <c r="DS6" s="103"/>
      <c r="DV6" s="54" t="s">
        <v>349</v>
      </c>
      <c r="DW6" s="103"/>
      <c r="DX6" s="103"/>
      <c r="DY6" s="103"/>
      <c r="DZ6" s="103"/>
      <c r="EA6" s="103"/>
      <c r="ED6" s="54" t="s">
        <v>349</v>
      </c>
      <c r="EE6" s="103"/>
      <c r="EF6" s="103"/>
      <c r="EG6" s="103"/>
      <c r="EH6" s="103"/>
      <c r="EI6" s="103"/>
      <c r="EM6" s="54" t="s">
        <v>349</v>
      </c>
      <c r="EN6" s="103"/>
      <c r="EO6" s="103"/>
      <c r="EP6" s="103"/>
      <c r="EQ6" s="103"/>
      <c r="ER6" s="103"/>
      <c r="EU6" s="54" t="s">
        <v>349</v>
      </c>
      <c r="EV6" s="103"/>
      <c r="EW6" s="103"/>
      <c r="EX6" s="103"/>
      <c r="EY6" s="103"/>
      <c r="EZ6" s="103"/>
      <c r="FC6" s="54" t="s">
        <v>349</v>
      </c>
      <c r="FD6" s="103"/>
      <c r="FE6" s="103"/>
      <c r="FF6" s="103"/>
      <c r="FG6" s="103"/>
      <c r="FH6" s="103"/>
      <c r="FK6" s="54" t="s">
        <v>349</v>
      </c>
      <c r="FL6" s="103"/>
      <c r="FM6" s="103"/>
      <c r="FN6" s="103"/>
      <c r="FO6" s="103"/>
      <c r="FP6" s="103"/>
      <c r="FS6" s="54" t="s">
        <v>349</v>
      </c>
      <c r="FT6" s="103"/>
      <c r="FU6" s="103"/>
      <c r="FV6" s="103"/>
      <c r="FW6" s="103"/>
      <c r="FX6" s="103"/>
      <c r="GA6" s="54" t="s">
        <v>349</v>
      </c>
      <c r="GB6" s="103"/>
      <c r="GC6" s="103"/>
      <c r="GD6" s="103"/>
      <c r="GE6" s="103"/>
      <c r="GF6" s="103"/>
    </row>
    <row r="7" spans="1:189" ht="15" customHeight="1" thickTop="1" x14ac:dyDescent="0.25">
      <c r="A7" s="27" t="s">
        <v>28</v>
      </c>
      <c r="B7" s="28">
        <v>2000</v>
      </c>
      <c r="C7" s="29" t="s">
        <v>19</v>
      </c>
      <c r="D7" s="87">
        <v>74.099999999999994</v>
      </c>
      <c r="E7" s="28">
        <v>137</v>
      </c>
      <c r="F7" s="31">
        <v>8.33</v>
      </c>
      <c r="G7" s="28">
        <v>1349.0252820000001</v>
      </c>
      <c r="H7" s="30">
        <v>54</v>
      </c>
      <c r="I7" s="32">
        <v>88</v>
      </c>
      <c r="J7" s="28">
        <v>9.2100000000000009</v>
      </c>
      <c r="K7" s="32">
        <v>83</v>
      </c>
      <c r="L7" s="33">
        <v>7669.2740000000003</v>
      </c>
      <c r="M7" s="34">
        <v>37057452</v>
      </c>
      <c r="N7" s="31">
        <v>9.1</v>
      </c>
      <c r="O7" s="31">
        <v>41.4</v>
      </c>
      <c r="P7" s="74">
        <v>418.4</v>
      </c>
      <c r="Q7" s="74">
        <v>5</v>
      </c>
      <c r="R7" s="74">
        <v>4.5999999999999996</v>
      </c>
      <c r="S7" s="35">
        <f t="shared" si="0"/>
        <v>0</v>
      </c>
      <c r="T7" s="35">
        <f t="shared" si="1"/>
        <v>0</v>
      </c>
      <c r="U7" s="35">
        <f t="shared" si="2"/>
        <v>0</v>
      </c>
      <c r="V7" s="36">
        <f t="shared" si="3"/>
        <v>0</v>
      </c>
      <c r="X7" s="106" t="s">
        <v>7</v>
      </c>
      <c r="Y7" s="57">
        <f>_xll.StatCorrelationCoeff( ST_BMI,ST_Lifeexpectancy)</f>
        <v>0.60997366723772195</v>
      </c>
      <c r="Z7" s="57">
        <f>_xll.StatCorrelationCoeff( ST_BMI,ST_AdultMortality)</f>
        <v>-0.39127123932947505</v>
      </c>
      <c r="AA7" s="57">
        <f>_xll.StatCorrelationCoeff( ST_BMI,ST_Alcohol)</f>
        <v>0.32832877425700968</v>
      </c>
      <c r="AB7" s="57">
        <f>_xll.StatCorrelationCoeff( ST_BMI,ST_PercentageExpenditure)</f>
        <v>0.19948997791074777</v>
      </c>
      <c r="AC7" s="57">
        <v>1</v>
      </c>
      <c r="AD7" s="57"/>
      <c r="AE7" s="57"/>
      <c r="AF7" s="57"/>
      <c r="AG7" s="57"/>
      <c r="AH7" s="57"/>
      <c r="AI7" s="57"/>
      <c r="AJ7" s="57"/>
      <c r="AK7" s="57"/>
      <c r="AL7" s="57"/>
      <c r="AM7" s="57"/>
      <c r="AS7" s="52" t="s">
        <v>355</v>
      </c>
      <c r="AT7" s="69">
        <v>1</v>
      </c>
      <c r="AU7" s="69">
        <v>7588.8386216614017</v>
      </c>
      <c r="AV7" s="69">
        <v>7588.8386216614017</v>
      </c>
      <c r="AW7" s="69">
        <v>117.37210507041073</v>
      </c>
      <c r="AX7" s="70">
        <v>2.1174019933904695E-21</v>
      </c>
      <c r="BA7" s="52" t="s">
        <v>355</v>
      </c>
      <c r="BB7" s="69">
        <v>1</v>
      </c>
      <c r="BC7" s="69">
        <v>7177.7911181193213</v>
      </c>
      <c r="BD7" s="69">
        <v>7177.7911181193213</v>
      </c>
      <c r="BE7" s="69">
        <v>107.24771454443224</v>
      </c>
      <c r="BF7" s="70">
        <v>4.9473374628936402E-20</v>
      </c>
      <c r="BI7" s="52" t="s">
        <v>355</v>
      </c>
      <c r="BJ7" s="69">
        <v>1</v>
      </c>
      <c r="BK7" s="69">
        <v>9966.3533696115537</v>
      </c>
      <c r="BL7" s="69">
        <v>9966.3533696115537</v>
      </c>
      <c r="BM7" s="69">
        <v>193.44331027193033</v>
      </c>
      <c r="BN7" s="70">
        <v>2.1988472702624371E-30</v>
      </c>
      <c r="BQ7" s="52" t="s">
        <v>355</v>
      </c>
      <c r="BR7" s="69">
        <v>1</v>
      </c>
      <c r="BS7" s="69">
        <v>9740.5224868702426</v>
      </c>
      <c r="BT7" s="69">
        <v>9740.5224868702426</v>
      </c>
      <c r="BU7" s="69">
        <v>184.58978475469422</v>
      </c>
      <c r="BV7" s="70">
        <v>1.9388596573697777E-29</v>
      </c>
      <c r="BY7" s="52" t="s">
        <v>355</v>
      </c>
      <c r="BZ7" s="69">
        <v>1</v>
      </c>
      <c r="CA7" s="69">
        <v>8876.8917644909034</v>
      </c>
      <c r="CB7" s="69">
        <v>8876.8917644909034</v>
      </c>
      <c r="CC7" s="69">
        <v>155.49400057608102</v>
      </c>
      <c r="CD7" s="70">
        <v>3.9889919910052835E-26</v>
      </c>
      <c r="CG7" s="52" t="s">
        <v>355</v>
      </c>
      <c r="CH7" s="69">
        <v>1</v>
      </c>
      <c r="CI7" s="69">
        <v>4117.437652458274</v>
      </c>
      <c r="CJ7" s="69">
        <v>4117.437652458274</v>
      </c>
      <c r="CK7" s="69">
        <v>49.113442917749005</v>
      </c>
      <c r="CL7" s="70">
        <v>4.6098209291066099E-11</v>
      </c>
      <c r="CO7" s="52" t="s">
        <v>355</v>
      </c>
      <c r="CP7" s="69">
        <v>1</v>
      </c>
      <c r="CQ7" s="69">
        <v>3071.1796267872346</v>
      </c>
      <c r="CR7" s="69">
        <v>3071.1796267872346</v>
      </c>
      <c r="CS7" s="69">
        <v>34.270561452270229</v>
      </c>
      <c r="CT7" s="70">
        <v>2.210995272882346E-8</v>
      </c>
      <c r="CX7" s="52" t="s">
        <v>355</v>
      </c>
      <c r="CY7" s="69">
        <v>1</v>
      </c>
      <c r="CZ7" s="69">
        <v>7588.8386216614017</v>
      </c>
      <c r="DA7" s="69">
        <v>7588.8386216614017</v>
      </c>
      <c r="DB7" s="69">
        <v>117.37210507041073</v>
      </c>
      <c r="DC7" s="70">
        <v>2.1174019933904695E-21</v>
      </c>
      <c r="DF7" s="52" t="s">
        <v>355</v>
      </c>
      <c r="DG7" s="69">
        <v>2</v>
      </c>
      <c r="DH7" s="69">
        <v>10616.41131888103</v>
      </c>
      <c r="DI7" s="69">
        <v>5308.2056594405149</v>
      </c>
      <c r="DJ7" s="69">
        <v>110.13882555131229</v>
      </c>
      <c r="DK7" s="70">
        <v>5.7810220348528711E-32</v>
      </c>
      <c r="DN7" s="52" t="s">
        <v>355</v>
      </c>
      <c r="DO7" s="69">
        <v>3</v>
      </c>
      <c r="DP7" s="69">
        <v>14145.86392756181</v>
      </c>
      <c r="DQ7" s="69">
        <v>4715.2879758539366</v>
      </c>
      <c r="DR7" s="69">
        <v>164.02583956594572</v>
      </c>
      <c r="DS7" s="70">
        <v>3.961600252727924E-51</v>
      </c>
      <c r="DV7" s="52" t="s">
        <v>355</v>
      </c>
      <c r="DW7" s="69">
        <v>4</v>
      </c>
      <c r="DX7" s="69">
        <v>14293.865252521868</v>
      </c>
      <c r="DY7" s="69">
        <v>3573.4663131304669</v>
      </c>
      <c r="DZ7" s="69">
        <v>127.27261656433308</v>
      </c>
      <c r="EA7" s="70">
        <v>4.1576562986390117E-51</v>
      </c>
      <c r="ED7" s="52" t="s">
        <v>355</v>
      </c>
      <c r="EE7" s="69">
        <v>5</v>
      </c>
      <c r="EF7" s="69">
        <v>14713.1658815931</v>
      </c>
      <c r="EG7" s="69">
        <v>2942.6331763186199</v>
      </c>
      <c r="EH7" s="69">
        <v>116.65479590818119</v>
      </c>
      <c r="EI7" s="70">
        <v>5.7907527424411353E-54</v>
      </c>
      <c r="EM7" s="52" t="s">
        <v>355</v>
      </c>
      <c r="EN7" s="69">
        <v>1</v>
      </c>
      <c r="EO7" s="69">
        <v>7588.8386216614017</v>
      </c>
      <c r="EP7" s="69">
        <v>7588.8386216614017</v>
      </c>
      <c r="EQ7" s="69">
        <v>117.37210507041073</v>
      </c>
      <c r="ER7" s="70">
        <v>2.1174019933904695E-21</v>
      </c>
      <c r="EU7" s="52" t="s">
        <v>355</v>
      </c>
      <c r="EV7" s="69">
        <v>2</v>
      </c>
      <c r="EW7" s="69">
        <v>10616.41131888103</v>
      </c>
      <c r="EX7" s="69">
        <v>5308.2056594405149</v>
      </c>
      <c r="EY7" s="69">
        <v>110.13882555131229</v>
      </c>
      <c r="EZ7" s="70">
        <v>5.7810220348528711E-32</v>
      </c>
      <c r="FC7" s="52" t="s">
        <v>355</v>
      </c>
      <c r="FD7" s="69">
        <v>3</v>
      </c>
      <c r="FE7" s="69">
        <v>11485.497617821555</v>
      </c>
      <c r="FF7" s="69">
        <v>3828.4992059405181</v>
      </c>
      <c r="FG7" s="69">
        <v>87.790268328730633</v>
      </c>
      <c r="FH7" s="70">
        <v>5.6448210134770061E-35</v>
      </c>
      <c r="FK7" s="52" t="s">
        <v>355</v>
      </c>
      <c r="FL7" s="69">
        <v>4</v>
      </c>
      <c r="FM7" s="69">
        <v>11516.057242336468</v>
      </c>
      <c r="FN7" s="69">
        <v>2879.0143105841171</v>
      </c>
      <c r="FO7" s="69">
        <v>65.907089804796726</v>
      </c>
      <c r="FP7" s="70">
        <v>4.0807028403347435E-34</v>
      </c>
      <c r="FS7" s="52" t="s">
        <v>355</v>
      </c>
      <c r="FT7" s="69">
        <v>4</v>
      </c>
      <c r="FU7" s="69">
        <v>11486.868185980022</v>
      </c>
      <c r="FV7" s="69">
        <v>2871.7170464950054</v>
      </c>
      <c r="FW7" s="69">
        <v>65.494177276463461</v>
      </c>
      <c r="FX7" s="70">
        <v>5.681721391800489E-34</v>
      </c>
      <c r="GA7" s="52" t="s">
        <v>355</v>
      </c>
      <c r="GB7" s="69">
        <v>4</v>
      </c>
      <c r="GC7" s="69">
        <v>11536.230577791699</v>
      </c>
      <c r="GD7" s="69">
        <v>2884.0576444479248</v>
      </c>
      <c r="GE7" s="69">
        <v>66.194281054717408</v>
      </c>
      <c r="GF7" s="70">
        <v>3.2439141410225209E-34</v>
      </c>
    </row>
    <row r="8" spans="1:189" ht="15" customHeight="1" x14ac:dyDescent="0.25">
      <c r="A8" s="27" t="s">
        <v>29</v>
      </c>
      <c r="B8" s="28">
        <v>2000</v>
      </c>
      <c r="C8" s="29" t="s">
        <v>19</v>
      </c>
      <c r="D8" s="87">
        <v>72</v>
      </c>
      <c r="E8" s="28">
        <v>142</v>
      </c>
      <c r="F8" s="31">
        <v>3.97</v>
      </c>
      <c r="G8" s="28">
        <v>32.75626853</v>
      </c>
      <c r="H8" s="30">
        <v>47.1</v>
      </c>
      <c r="I8" s="32">
        <v>96</v>
      </c>
      <c r="J8" s="28">
        <v>6.25</v>
      </c>
      <c r="K8" s="32">
        <v>93</v>
      </c>
      <c r="L8" s="28">
        <v>622.74300000000005</v>
      </c>
      <c r="M8" s="34">
        <v>3069588</v>
      </c>
      <c r="N8" s="31">
        <v>10.8</v>
      </c>
      <c r="O8" s="31">
        <v>31.8</v>
      </c>
      <c r="P8" s="74">
        <v>40.5</v>
      </c>
      <c r="Q8" s="74">
        <v>6.5</v>
      </c>
      <c r="R8" s="74">
        <v>4.2</v>
      </c>
      <c r="S8" s="35">
        <f t="shared" si="0"/>
        <v>0</v>
      </c>
      <c r="T8" s="35">
        <f t="shared" si="1"/>
        <v>0</v>
      </c>
      <c r="U8" s="35">
        <f t="shared" si="2"/>
        <v>0</v>
      </c>
      <c r="V8" s="36">
        <f t="shared" si="3"/>
        <v>0</v>
      </c>
      <c r="X8" s="106" t="s">
        <v>23</v>
      </c>
      <c r="Y8" s="57">
        <f>_xll.StatCorrelationCoeff( ST_polio,ST_Lifeexpectancy)</f>
        <v>0.71875986708847384</v>
      </c>
      <c r="Z8" s="57">
        <f>_xll.StatCorrelationCoeff( ST_polio,ST_AdultMortality)</f>
        <v>-0.2931695749049712</v>
      </c>
      <c r="AA8" s="57">
        <f>_xll.StatCorrelationCoeff( ST_polio,ST_Alcohol)</f>
        <v>0.30817799404302643</v>
      </c>
      <c r="AB8" s="57">
        <f>_xll.StatCorrelationCoeff( ST_polio,ST_PercentageExpenditure)</f>
        <v>0.21719905802531828</v>
      </c>
      <c r="AC8" s="57">
        <f>_xll.StatCorrelationCoeff( ST_polio,ST_BMI)</f>
        <v>0.50688361308968699</v>
      </c>
      <c r="AD8" s="57">
        <v>1</v>
      </c>
      <c r="AE8" s="57"/>
      <c r="AF8" s="57"/>
      <c r="AG8" s="57"/>
      <c r="AH8" s="57"/>
      <c r="AI8" s="57"/>
      <c r="AJ8" s="57"/>
      <c r="AK8" s="57"/>
      <c r="AL8" s="57"/>
      <c r="AM8" s="57"/>
      <c r="AS8" s="52" t="s">
        <v>356</v>
      </c>
      <c r="AT8" s="69">
        <v>181</v>
      </c>
      <c r="AU8" s="69">
        <v>11702.778864677535</v>
      </c>
      <c r="AV8" s="69">
        <v>64.656236821422851</v>
      </c>
      <c r="AW8" s="49"/>
      <c r="AX8" s="49"/>
      <c r="BA8" s="52" t="s">
        <v>356</v>
      </c>
      <c r="BB8" s="69">
        <v>181</v>
      </c>
      <c r="BC8" s="69">
        <v>12113.826368219274</v>
      </c>
      <c r="BD8" s="69">
        <v>66.927217503973893</v>
      </c>
      <c r="BE8" s="49"/>
      <c r="BF8" s="49"/>
      <c r="BI8" s="52" t="s">
        <v>356</v>
      </c>
      <c r="BJ8" s="69">
        <v>181</v>
      </c>
      <c r="BK8" s="69">
        <v>9325.2641167268539</v>
      </c>
      <c r="BL8" s="69">
        <v>51.520796225010244</v>
      </c>
      <c r="BM8" s="49"/>
      <c r="BN8" s="49"/>
      <c r="BQ8" s="52" t="s">
        <v>356</v>
      </c>
      <c r="BR8" s="69">
        <v>181</v>
      </c>
      <c r="BS8" s="69">
        <v>9551.0949994684306</v>
      </c>
      <c r="BT8" s="69">
        <v>52.768480660046578</v>
      </c>
      <c r="BU8" s="49"/>
      <c r="BV8" s="49"/>
      <c r="BY8" s="52" t="s">
        <v>356</v>
      </c>
      <c r="BZ8" s="69">
        <v>180</v>
      </c>
      <c r="CA8" s="69">
        <v>10275.898180563961</v>
      </c>
      <c r="CB8" s="69">
        <v>57.088323225355339</v>
      </c>
      <c r="CC8" s="49"/>
      <c r="CD8" s="49"/>
      <c r="CG8" s="52" t="s">
        <v>356</v>
      </c>
      <c r="CH8" s="69">
        <v>181</v>
      </c>
      <c r="CI8" s="69">
        <v>15174.179833880491</v>
      </c>
      <c r="CJ8" s="69">
        <v>83.835247700997186</v>
      </c>
      <c r="CK8" s="49"/>
      <c r="CL8" s="49"/>
      <c r="CO8" s="52" t="s">
        <v>356</v>
      </c>
      <c r="CP8" s="69">
        <v>181</v>
      </c>
      <c r="CQ8" s="69">
        <v>16220.437859551475</v>
      </c>
      <c r="CR8" s="69">
        <v>89.615678782052356</v>
      </c>
      <c r="CS8" s="49"/>
      <c r="CT8" s="49"/>
      <c r="CX8" s="52" t="s">
        <v>356</v>
      </c>
      <c r="CY8" s="69">
        <v>181</v>
      </c>
      <c r="CZ8" s="69">
        <v>11702.778864677535</v>
      </c>
      <c r="DA8" s="69">
        <v>64.656236821422851</v>
      </c>
      <c r="DB8" s="49"/>
      <c r="DC8" s="49"/>
      <c r="DF8" s="52" t="s">
        <v>356</v>
      </c>
      <c r="DG8" s="69">
        <v>180</v>
      </c>
      <c r="DH8" s="69">
        <v>8675.2061674577053</v>
      </c>
      <c r="DI8" s="69">
        <v>48.195589819209474</v>
      </c>
      <c r="DJ8" s="49"/>
      <c r="DK8" s="49"/>
      <c r="DN8" s="52" t="s">
        <v>356</v>
      </c>
      <c r="DO8" s="69">
        <v>179</v>
      </c>
      <c r="DP8" s="69">
        <v>5145.7535587770253</v>
      </c>
      <c r="DQ8" s="69">
        <v>28.74722658534651</v>
      </c>
      <c r="DR8" s="49"/>
      <c r="DS8" s="49"/>
      <c r="DV8" s="52" t="s">
        <v>356</v>
      </c>
      <c r="DW8" s="69">
        <v>178</v>
      </c>
      <c r="DX8" s="69">
        <v>4997.7522338098734</v>
      </c>
      <c r="DY8" s="69">
        <v>28.077259740504907</v>
      </c>
      <c r="DZ8" s="49"/>
      <c r="EA8" s="49"/>
      <c r="ED8" s="52" t="s">
        <v>356</v>
      </c>
      <c r="EE8" s="69">
        <v>176</v>
      </c>
      <c r="EF8" s="69">
        <v>4439.6240634608639</v>
      </c>
      <c r="EG8" s="69">
        <v>25.225136724209452</v>
      </c>
      <c r="EH8" s="49"/>
      <c r="EI8" s="49"/>
      <c r="EM8" s="52" t="s">
        <v>356</v>
      </c>
      <c r="EN8" s="69">
        <v>181</v>
      </c>
      <c r="EO8" s="69">
        <v>11702.778864677535</v>
      </c>
      <c r="EP8" s="69">
        <v>64.656236821422851</v>
      </c>
      <c r="EQ8" s="49"/>
      <c r="ER8" s="49"/>
      <c r="EU8" s="52" t="s">
        <v>356</v>
      </c>
      <c r="EV8" s="69">
        <v>180</v>
      </c>
      <c r="EW8" s="69">
        <v>8675.2061674577053</v>
      </c>
      <c r="EX8" s="69">
        <v>48.195589819209474</v>
      </c>
      <c r="EY8" s="49"/>
      <c r="EZ8" s="49"/>
      <c r="FC8" s="52" t="s">
        <v>356</v>
      </c>
      <c r="FD8" s="69">
        <v>179</v>
      </c>
      <c r="FE8" s="69">
        <v>7806.1198685171121</v>
      </c>
      <c r="FF8" s="69">
        <v>43.609608204006214</v>
      </c>
      <c r="FG8" s="49"/>
      <c r="FH8" s="49"/>
      <c r="FK8" s="52" t="s">
        <v>356</v>
      </c>
      <c r="FL8" s="69">
        <v>178</v>
      </c>
      <c r="FM8" s="69">
        <v>7775.5602440008761</v>
      </c>
      <c r="FN8" s="69">
        <v>43.682922719106045</v>
      </c>
      <c r="FO8" s="49"/>
      <c r="FP8" s="49"/>
      <c r="FS8" s="52" t="s">
        <v>356</v>
      </c>
      <c r="FT8" s="69">
        <v>178</v>
      </c>
      <c r="FU8" s="69">
        <v>7804.7493003596792</v>
      </c>
      <c r="FV8" s="69">
        <v>43.846906181795951</v>
      </c>
      <c r="FW8" s="49"/>
      <c r="FX8" s="49"/>
      <c r="GA8" s="52" t="s">
        <v>356</v>
      </c>
      <c r="GB8" s="69">
        <v>178</v>
      </c>
      <c r="GC8" s="69">
        <v>7755.3869085363422</v>
      </c>
      <c r="GD8" s="69">
        <v>43.569589373799673</v>
      </c>
      <c r="GE8" s="49"/>
      <c r="GF8" s="49"/>
    </row>
    <row r="9" spans="1:189" ht="15" customHeight="1" x14ac:dyDescent="0.25">
      <c r="A9" s="27" t="s">
        <v>30</v>
      </c>
      <c r="B9" s="28">
        <v>2000</v>
      </c>
      <c r="C9" s="29" t="s">
        <v>31</v>
      </c>
      <c r="D9" s="87">
        <v>79.5</v>
      </c>
      <c r="E9" s="28">
        <v>78</v>
      </c>
      <c r="F9" s="31">
        <v>10.62</v>
      </c>
      <c r="G9" s="28">
        <v>347.18736000000001</v>
      </c>
      <c r="H9" s="30">
        <v>58.2</v>
      </c>
      <c r="I9" s="32">
        <v>90</v>
      </c>
      <c r="J9" s="28">
        <v>8.8000000000000007</v>
      </c>
      <c r="K9" s="32">
        <v>90</v>
      </c>
      <c r="L9" s="33">
        <v>2169.9209999999998</v>
      </c>
      <c r="M9" s="34">
        <v>19153000</v>
      </c>
      <c r="N9" s="31">
        <v>11.9</v>
      </c>
      <c r="O9" s="31">
        <v>24.5</v>
      </c>
      <c r="P9" s="74">
        <v>1632.4</v>
      </c>
      <c r="Q9" s="74">
        <v>7.6</v>
      </c>
      <c r="R9" s="74">
        <v>15.2</v>
      </c>
      <c r="S9" s="35">
        <f t="shared" si="0"/>
        <v>1</v>
      </c>
      <c r="T9" s="35">
        <f t="shared" si="1"/>
        <v>90</v>
      </c>
      <c r="U9" s="35">
        <f t="shared" si="2"/>
        <v>11.9</v>
      </c>
      <c r="V9" s="36">
        <f t="shared" si="3"/>
        <v>90</v>
      </c>
      <c r="X9" s="105" t="s">
        <v>9</v>
      </c>
      <c r="Y9" s="57">
        <f>_xll.StatCorrelationCoeff( ST_Totalexpenditure,ST_Lifeexpectancy)</f>
        <v>0.19839096812938203</v>
      </c>
      <c r="Z9" s="57">
        <f>_xll.StatCorrelationCoeff( ST_Totalexpenditure,ST_AdultMortality)</f>
        <v>-5.2045346912655381E-2</v>
      </c>
      <c r="AA9" s="57">
        <f>_xll.StatCorrelationCoeff( ST_Totalexpenditure,ST_Alcohol)</f>
        <v>0.34286279341949621</v>
      </c>
      <c r="AB9" s="57">
        <f>_xll.StatCorrelationCoeff( ST_Totalexpenditure,ST_PercentageExpenditure)</f>
        <v>0.21620262231277115</v>
      </c>
      <c r="AC9" s="57">
        <f>_xll.StatCorrelationCoeff( ST_Totalexpenditure,ST_BMI)</f>
        <v>0.23202051567381093</v>
      </c>
      <c r="AD9" s="57">
        <f>_xll.StatCorrelationCoeff( ST_Totalexpenditure,ST_polio)</f>
        <v>0.20560818363305516</v>
      </c>
      <c r="AE9" s="57">
        <v>1</v>
      </c>
      <c r="AF9" s="57"/>
      <c r="AG9" s="57"/>
      <c r="AH9" s="57"/>
      <c r="AI9" s="57"/>
      <c r="AJ9" s="57"/>
      <c r="AK9" s="57"/>
      <c r="AL9" s="57"/>
      <c r="AM9" s="57"/>
    </row>
    <row r="10" spans="1:189" ht="15" customHeight="1" x14ac:dyDescent="0.25">
      <c r="A10" s="27" t="s">
        <v>32</v>
      </c>
      <c r="B10" s="28">
        <v>2000</v>
      </c>
      <c r="C10" s="29" t="s">
        <v>31</v>
      </c>
      <c r="D10" s="87">
        <v>78.099999999999994</v>
      </c>
      <c r="E10" s="28">
        <v>96</v>
      </c>
      <c r="F10" s="31">
        <v>11.3</v>
      </c>
      <c r="G10" s="28">
        <v>3557.4555070000001</v>
      </c>
      <c r="H10" s="30">
        <v>5.0999999999999996</v>
      </c>
      <c r="I10" s="32">
        <v>71</v>
      </c>
      <c r="J10" s="28">
        <v>1.6</v>
      </c>
      <c r="K10" s="32">
        <v>81</v>
      </c>
      <c r="L10" s="33">
        <v>24517.267</v>
      </c>
      <c r="M10" s="34">
        <v>8011566</v>
      </c>
      <c r="N10" s="31">
        <v>9</v>
      </c>
      <c r="O10" s="31">
        <v>49.1</v>
      </c>
      <c r="P10" s="74">
        <v>2263.5</v>
      </c>
      <c r="Q10" s="74">
        <v>9.1999999999999993</v>
      </c>
      <c r="R10" s="74">
        <v>0</v>
      </c>
      <c r="S10" s="35">
        <f t="shared" si="0"/>
        <v>1</v>
      </c>
      <c r="T10" s="35">
        <f t="shared" si="1"/>
        <v>71</v>
      </c>
      <c r="U10" s="35">
        <f t="shared" si="2"/>
        <v>9</v>
      </c>
      <c r="V10" s="36">
        <f t="shared" si="3"/>
        <v>81</v>
      </c>
      <c r="X10" s="106" t="s">
        <v>10</v>
      </c>
      <c r="Y10" s="57">
        <f>_xll.StatCorrelationCoeff( ST_Diphtheria,ST_Lifeexpectancy)</f>
        <v>0.71056989819725358</v>
      </c>
      <c r="Z10" s="57">
        <f>_xll.StatCorrelationCoeff( ST_Diphtheria,ST_AdultMortality)</f>
        <v>-0.26146059043673137</v>
      </c>
      <c r="AA10" s="57">
        <f>_xll.StatCorrelationCoeff( ST_Diphtheria,ST_Alcohol)</f>
        <v>0.318453888895879</v>
      </c>
      <c r="AB10" s="57">
        <f>_xll.StatCorrelationCoeff( ST_Diphtheria,ST_PercentageExpenditure)</f>
        <v>0.20458357292083168</v>
      </c>
      <c r="AC10" s="57">
        <f>_xll.StatCorrelationCoeff( ST_Diphtheria,ST_BMI)</f>
        <v>0.50336605256977507</v>
      </c>
      <c r="AD10" s="57">
        <f>_xll.StatCorrelationCoeff( ST_Diphtheria,ST_polio)</f>
        <v>0.96492689085935912</v>
      </c>
      <c r="AE10" s="57">
        <f>_xll.StatCorrelationCoeff( ST_Diphtheria,ST_Totalexpenditure)</f>
        <v>0.18614061855442629</v>
      </c>
      <c r="AF10" s="57">
        <v>1</v>
      </c>
      <c r="AG10" s="57"/>
      <c r="AH10" s="57"/>
      <c r="AI10" s="57"/>
      <c r="AJ10" s="57"/>
      <c r="AK10" s="57"/>
      <c r="AL10" s="57"/>
      <c r="AM10" s="57"/>
      <c r="AS10" s="53"/>
      <c r="AT10" s="102" t="s">
        <v>358</v>
      </c>
      <c r="AU10" s="104" t="s">
        <v>359</v>
      </c>
      <c r="AV10" s="102" t="s">
        <v>360</v>
      </c>
      <c r="AW10" s="102" t="s">
        <v>354</v>
      </c>
      <c r="AX10" s="101" t="s">
        <v>361</v>
      </c>
      <c r="AY10" s="101"/>
      <c r="BA10" s="53"/>
      <c r="BB10" s="102" t="s">
        <v>358</v>
      </c>
      <c r="BC10" s="104" t="s">
        <v>359</v>
      </c>
      <c r="BD10" s="102" t="s">
        <v>360</v>
      </c>
      <c r="BE10" s="102" t="s">
        <v>354</v>
      </c>
      <c r="BF10" s="101" t="s">
        <v>361</v>
      </c>
      <c r="BG10" s="101"/>
      <c r="BI10" s="53"/>
      <c r="BJ10" s="102" t="s">
        <v>358</v>
      </c>
      <c r="BK10" s="104" t="s">
        <v>359</v>
      </c>
      <c r="BL10" s="102" t="s">
        <v>360</v>
      </c>
      <c r="BM10" s="102" t="s">
        <v>354</v>
      </c>
      <c r="BN10" s="101" t="s">
        <v>361</v>
      </c>
      <c r="BO10" s="101"/>
      <c r="BQ10" s="53"/>
      <c r="BR10" s="102" t="s">
        <v>358</v>
      </c>
      <c r="BS10" s="104" t="s">
        <v>359</v>
      </c>
      <c r="BT10" s="102" t="s">
        <v>360</v>
      </c>
      <c r="BU10" s="102" t="s">
        <v>354</v>
      </c>
      <c r="BV10" s="101" t="s">
        <v>361</v>
      </c>
      <c r="BW10" s="101"/>
      <c r="BY10" s="53"/>
      <c r="BZ10" s="102" t="s">
        <v>358</v>
      </c>
      <c r="CA10" s="104" t="s">
        <v>359</v>
      </c>
      <c r="CB10" s="102" t="s">
        <v>360</v>
      </c>
      <c r="CC10" s="102" t="s">
        <v>354</v>
      </c>
      <c r="CD10" s="101" t="s">
        <v>361</v>
      </c>
      <c r="CE10" s="101"/>
      <c r="CG10" s="53"/>
      <c r="CH10" s="102" t="s">
        <v>358</v>
      </c>
      <c r="CI10" s="104" t="s">
        <v>359</v>
      </c>
      <c r="CJ10" s="102" t="s">
        <v>360</v>
      </c>
      <c r="CK10" s="102" t="s">
        <v>354</v>
      </c>
      <c r="CL10" s="101" t="s">
        <v>361</v>
      </c>
      <c r="CM10" s="101"/>
      <c r="CO10" s="53"/>
      <c r="CP10" s="102" t="s">
        <v>358</v>
      </c>
      <c r="CQ10" s="104" t="s">
        <v>359</v>
      </c>
      <c r="CR10" s="102" t="s">
        <v>360</v>
      </c>
      <c r="CS10" s="102" t="s">
        <v>354</v>
      </c>
      <c r="CT10" s="101" t="s">
        <v>361</v>
      </c>
      <c r="CU10" s="101"/>
      <c r="CX10" s="53"/>
      <c r="CY10" s="102" t="s">
        <v>358</v>
      </c>
      <c r="CZ10" s="104" t="s">
        <v>359</v>
      </c>
      <c r="DA10" s="102" t="s">
        <v>360</v>
      </c>
      <c r="DB10" s="102" t="s">
        <v>354</v>
      </c>
      <c r="DC10" s="101" t="s">
        <v>361</v>
      </c>
      <c r="DD10" s="101"/>
      <c r="DF10" s="53"/>
      <c r="DG10" s="102" t="s">
        <v>358</v>
      </c>
      <c r="DH10" s="104" t="s">
        <v>359</v>
      </c>
      <c r="DI10" s="102" t="s">
        <v>360</v>
      </c>
      <c r="DJ10" s="102" t="s">
        <v>354</v>
      </c>
      <c r="DK10" s="101" t="s">
        <v>361</v>
      </c>
      <c r="DL10" s="101"/>
      <c r="DN10" s="53"/>
      <c r="DO10" s="102" t="s">
        <v>358</v>
      </c>
      <c r="DP10" s="104" t="s">
        <v>359</v>
      </c>
      <c r="DQ10" s="102" t="s">
        <v>360</v>
      </c>
      <c r="DR10" s="102" t="s">
        <v>354</v>
      </c>
      <c r="DS10" s="101" t="s">
        <v>361</v>
      </c>
      <c r="DT10" s="101"/>
      <c r="DV10" s="53"/>
      <c r="DW10" s="102" t="s">
        <v>358</v>
      </c>
      <c r="DX10" s="104" t="s">
        <v>359</v>
      </c>
      <c r="DY10" s="102" t="s">
        <v>360</v>
      </c>
      <c r="DZ10" s="102" t="s">
        <v>354</v>
      </c>
      <c r="EA10" s="101" t="s">
        <v>361</v>
      </c>
      <c r="EB10" s="101"/>
      <c r="ED10" s="53"/>
      <c r="EE10" s="102" t="s">
        <v>358</v>
      </c>
      <c r="EF10" s="104" t="s">
        <v>359</v>
      </c>
      <c r="EG10" s="102" t="s">
        <v>360</v>
      </c>
      <c r="EH10" s="102" t="s">
        <v>354</v>
      </c>
      <c r="EI10" s="101" t="s">
        <v>361</v>
      </c>
      <c r="EJ10" s="101"/>
      <c r="EM10" s="53"/>
      <c r="EN10" s="102" t="s">
        <v>358</v>
      </c>
      <c r="EO10" s="104" t="s">
        <v>359</v>
      </c>
      <c r="EP10" s="102" t="s">
        <v>360</v>
      </c>
      <c r="EQ10" s="102" t="s">
        <v>354</v>
      </c>
      <c r="ER10" s="101" t="s">
        <v>361</v>
      </c>
      <c r="ES10" s="101"/>
      <c r="EU10" s="53"/>
      <c r="EV10" s="102" t="s">
        <v>358</v>
      </c>
      <c r="EW10" s="104" t="s">
        <v>359</v>
      </c>
      <c r="EX10" s="102" t="s">
        <v>360</v>
      </c>
      <c r="EY10" s="102" t="s">
        <v>354</v>
      </c>
      <c r="EZ10" s="101" t="s">
        <v>361</v>
      </c>
      <c r="FA10" s="101"/>
      <c r="FC10" s="53"/>
      <c r="FD10" s="102" t="s">
        <v>358</v>
      </c>
      <c r="FE10" s="104" t="s">
        <v>359</v>
      </c>
      <c r="FF10" s="102" t="s">
        <v>360</v>
      </c>
      <c r="FG10" s="102" t="s">
        <v>354</v>
      </c>
      <c r="FH10" s="101" t="s">
        <v>361</v>
      </c>
      <c r="FI10" s="101"/>
      <c r="FK10" s="53"/>
      <c r="FL10" s="102" t="s">
        <v>358</v>
      </c>
      <c r="FM10" s="104" t="s">
        <v>359</v>
      </c>
      <c r="FN10" s="102" t="s">
        <v>360</v>
      </c>
      <c r="FO10" s="102" t="s">
        <v>354</v>
      </c>
      <c r="FP10" s="101" t="s">
        <v>361</v>
      </c>
      <c r="FQ10" s="101"/>
      <c r="FS10" s="53"/>
      <c r="FT10" s="102" t="s">
        <v>358</v>
      </c>
      <c r="FU10" s="104" t="s">
        <v>359</v>
      </c>
      <c r="FV10" s="102" t="s">
        <v>360</v>
      </c>
      <c r="FW10" s="102" t="s">
        <v>354</v>
      </c>
      <c r="FX10" s="101" t="s">
        <v>361</v>
      </c>
      <c r="FY10" s="101"/>
      <c r="GA10" s="53"/>
      <c r="GB10" s="102" t="s">
        <v>358</v>
      </c>
      <c r="GC10" s="104" t="s">
        <v>359</v>
      </c>
      <c r="GD10" s="102" t="s">
        <v>360</v>
      </c>
      <c r="GE10" s="102" t="s">
        <v>354</v>
      </c>
      <c r="GF10" s="101" t="s">
        <v>361</v>
      </c>
      <c r="GG10" s="101"/>
    </row>
    <row r="11" spans="1:189" ht="15" customHeight="1" thickBot="1" x14ac:dyDescent="0.3">
      <c r="A11" s="27" t="s">
        <v>33</v>
      </c>
      <c r="B11" s="28">
        <v>2000</v>
      </c>
      <c r="C11" s="29" t="s">
        <v>19</v>
      </c>
      <c r="D11" s="87">
        <v>66.599999999999994</v>
      </c>
      <c r="E11" s="28">
        <v>16</v>
      </c>
      <c r="F11" s="31">
        <v>1.9</v>
      </c>
      <c r="G11" s="28">
        <v>35.094626439999999</v>
      </c>
      <c r="H11" s="30">
        <v>42.1</v>
      </c>
      <c r="I11" s="32">
        <v>75</v>
      </c>
      <c r="J11" s="28">
        <v>4.67</v>
      </c>
      <c r="K11" s="32">
        <v>76</v>
      </c>
      <c r="L11" s="28">
        <v>655.97400000000005</v>
      </c>
      <c r="M11" s="34">
        <v>8048600</v>
      </c>
      <c r="N11" s="31">
        <v>10.6</v>
      </c>
      <c r="O11" s="31">
        <v>26.7</v>
      </c>
      <c r="P11" s="74">
        <v>24.9</v>
      </c>
      <c r="Q11" s="74">
        <v>3.8</v>
      </c>
      <c r="R11" s="74">
        <v>5.4</v>
      </c>
      <c r="S11" s="35">
        <f t="shared" si="0"/>
        <v>0</v>
      </c>
      <c r="T11" s="35">
        <f t="shared" si="1"/>
        <v>0</v>
      </c>
      <c r="U11" s="35">
        <f t="shared" si="2"/>
        <v>0</v>
      </c>
      <c r="V11" s="36">
        <f t="shared" si="3"/>
        <v>0</v>
      </c>
      <c r="X11" s="105" t="s">
        <v>11</v>
      </c>
      <c r="Y11" s="57">
        <f>_xll.StatCorrelationCoeff( ST_GDP,ST_Lifeexpectancy)</f>
        <v>0.4619864040571271</v>
      </c>
      <c r="Z11" s="57">
        <f>_xll.StatCorrelationCoeff( ST_GDP,ST_AdultMortality)</f>
        <v>-0.28335181552860567</v>
      </c>
      <c r="AA11" s="57">
        <f>_xll.StatCorrelationCoeff( ST_GDP,ST_Alcohol)</f>
        <v>0.36766754848104655</v>
      </c>
      <c r="AB11" s="57">
        <f>_xll.StatCorrelationCoeff( ST_GDP,ST_PercentageExpenditure)</f>
        <v>0.84807717927148274</v>
      </c>
      <c r="AC11" s="57">
        <f>_xll.StatCorrelationCoeff( ST_GDP,ST_BMI)</f>
        <v>0.2467933293445663</v>
      </c>
      <c r="AD11" s="57">
        <f>_xll.StatCorrelationCoeff( ST_GDP,ST_polio)</f>
        <v>0.28239545335465471</v>
      </c>
      <c r="AE11" s="57">
        <f>_xll.StatCorrelationCoeff( ST_GDP,ST_Totalexpenditure)</f>
        <v>0.23209330158169442</v>
      </c>
      <c r="AF11" s="57">
        <f>_xll.StatCorrelationCoeff( ST_GDP,ST_Diphtheria)</f>
        <v>0.27961569566630046</v>
      </c>
      <c r="AG11" s="57">
        <v>1</v>
      </c>
      <c r="AH11" s="57"/>
      <c r="AI11" s="57"/>
      <c r="AJ11" s="57"/>
      <c r="AK11" s="57"/>
      <c r="AL11" s="57"/>
      <c r="AM11" s="57"/>
      <c r="AS11" s="54" t="s">
        <v>357</v>
      </c>
      <c r="AT11" s="103"/>
      <c r="AU11" s="103"/>
      <c r="AV11" s="103"/>
      <c r="AW11" s="103"/>
      <c r="AX11" s="51" t="s">
        <v>362</v>
      </c>
      <c r="AY11" s="51" t="s">
        <v>363</v>
      </c>
      <c r="BA11" s="54" t="s">
        <v>357</v>
      </c>
      <c r="BB11" s="103"/>
      <c r="BC11" s="103"/>
      <c r="BD11" s="103"/>
      <c r="BE11" s="103"/>
      <c r="BF11" s="51" t="s">
        <v>362</v>
      </c>
      <c r="BG11" s="51" t="s">
        <v>363</v>
      </c>
      <c r="BI11" s="54" t="s">
        <v>357</v>
      </c>
      <c r="BJ11" s="103"/>
      <c r="BK11" s="103"/>
      <c r="BL11" s="103"/>
      <c r="BM11" s="103"/>
      <c r="BN11" s="51" t="s">
        <v>362</v>
      </c>
      <c r="BO11" s="51" t="s">
        <v>363</v>
      </c>
      <c r="BQ11" s="54" t="s">
        <v>357</v>
      </c>
      <c r="BR11" s="103"/>
      <c r="BS11" s="103"/>
      <c r="BT11" s="103"/>
      <c r="BU11" s="103"/>
      <c r="BV11" s="51" t="s">
        <v>362</v>
      </c>
      <c r="BW11" s="51" t="s">
        <v>363</v>
      </c>
      <c r="BY11" s="54" t="s">
        <v>357</v>
      </c>
      <c r="BZ11" s="103"/>
      <c r="CA11" s="103"/>
      <c r="CB11" s="103"/>
      <c r="CC11" s="103"/>
      <c r="CD11" s="51" t="s">
        <v>362</v>
      </c>
      <c r="CE11" s="51" t="s">
        <v>363</v>
      </c>
      <c r="CG11" s="54" t="s">
        <v>357</v>
      </c>
      <c r="CH11" s="103"/>
      <c r="CI11" s="103"/>
      <c r="CJ11" s="103"/>
      <c r="CK11" s="103"/>
      <c r="CL11" s="51" t="s">
        <v>362</v>
      </c>
      <c r="CM11" s="51" t="s">
        <v>363</v>
      </c>
      <c r="CO11" s="54" t="s">
        <v>357</v>
      </c>
      <c r="CP11" s="103"/>
      <c r="CQ11" s="103"/>
      <c r="CR11" s="103"/>
      <c r="CS11" s="103"/>
      <c r="CT11" s="51" t="s">
        <v>362</v>
      </c>
      <c r="CU11" s="51" t="s">
        <v>363</v>
      </c>
      <c r="CX11" s="54" t="s">
        <v>357</v>
      </c>
      <c r="CY11" s="103"/>
      <c r="CZ11" s="103"/>
      <c r="DA11" s="103"/>
      <c r="DB11" s="103"/>
      <c r="DC11" s="51" t="s">
        <v>362</v>
      </c>
      <c r="DD11" s="51" t="s">
        <v>363</v>
      </c>
      <c r="DF11" s="54" t="s">
        <v>357</v>
      </c>
      <c r="DG11" s="103"/>
      <c r="DH11" s="103"/>
      <c r="DI11" s="103"/>
      <c r="DJ11" s="103"/>
      <c r="DK11" s="51" t="s">
        <v>362</v>
      </c>
      <c r="DL11" s="51" t="s">
        <v>363</v>
      </c>
      <c r="DN11" s="54" t="s">
        <v>357</v>
      </c>
      <c r="DO11" s="103"/>
      <c r="DP11" s="103"/>
      <c r="DQ11" s="103"/>
      <c r="DR11" s="103"/>
      <c r="DS11" s="51" t="s">
        <v>362</v>
      </c>
      <c r="DT11" s="51" t="s">
        <v>363</v>
      </c>
      <c r="DV11" s="54" t="s">
        <v>357</v>
      </c>
      <c r="DW11" s="103"/>
      <c r="DX11" s="103"/>
      <c r="DY11" s="103"/>
      <c r="DZ11" s="103"/>
      <c r="EA11" s="51" t="s">
        <v>362</v>
      </c>
      <c r="EB11" s="51" t="s">
        <v>363</v>
      </c>
      <c r="ED11" s="54" t="s">
        <v>357</v>
      </c>
      <c r="EE11" s="103"/>
      <c r="EF11" s="103"/>
      <c r="EG11" s="103"/>
      <c r="EH11" s="103"/>
      <c r="EI11" s="51" t="s">
        <v>362</v>
      </c>
      <c r="EJ11" s="51" t="s">
        <v>363</v>
      </c>
      <c r="EM11" s="54" t="s">
        <v>357</v>
      </c>
      <c r="EN11" s="103"/>
      <c r="EO11" s="103"/>
      <c r="EP11" s="103"/>
      <c r="EQ11" s="103"/>
      <c r="ER11" s="51" t="s">
        <v>362</v>
      </c>
      <c r="ES11" s="51" t="s">
        <v>363</v>
      </c>
      <c r="EU11" s="54" t="s">
        <v>357</v>
      </c>
      <c r="EV11" s="103"/>
      <c r="EW11" s="103"/>
      <c r="EX11" s="103"/>
      <c r="EY11" s="103"/>
      <c r="EZ11" s="51" t="s">
        <v>362</v>
      </c>
      <c r="FA11" s="51" t="s">
        <v>363</v>
      </c>
      <c r="FC11" s="54" t="s">
        <v>357</v>
      </c>
      <c r="FD11" s="103"/>
      <c r="FE11" s="103"/>
      <c r="FF11" s="103"/>
      <c r="FG11" s="103"/>
      <c r="FH11" s="51" t="s">
        <v>362</v>
      </c>
      <c r="FI11" s="51" t="s">
        <v>363</v>
      </c>
      <c r="FK11" s="54" t="s">
        <v>357</v>
      </c>
      <c r="FL11" s="103"/>
      <c r="FM11" s="103"/>
      <c r="FN11" s="103"/>
      <c r="FO11" s="103"/>
      <c r="FP11" s="51" t="s">
        <v>362</v>
      </c>
      <c r="FQ11" s="51" t="s">
        <v>363</v>
      </c>
      <c r="FS11" s="54" t="s">
        <v>357</v>
      </c>
      <c r="FT11" s="103"/>
      <c r="FU11" s="103"/>
      <c r="FV11" s="103"/>
      <c r="FW11" s="103"/>
      <c r="FX11" s="51" t="s">
        <v>362</v>
      </c>
      <c r="FY11" s="51" t="s">
        <v>363</v>
      </c>
      <c r="GA11" s="54" t="s">
        <v>357</v>
      </c>
      <c r="GB11" s="103"/>
      <c r="GC11" s="103"/>
      <c r="GD11" s="103"/>
      <c r="GE11" s="103"/>
      <c r="GF11" s="51" t="s">
        <v>362</v>
      </c>
      <c r="GG11" s="51" t="s">
        <v>363</v>
      </c>
    </row>
    <row r="12" spans="1:189" ht="15" customHeight="1" thickTop="1" x14ac:dyDescent="0.25">
      <c r="A12" s="27" t="s">
        <v>34</v>
      </c>
      <c r="B12" s="28">
        <v>2000</v>
      </c>
      <c r="C12" s="29" t="s">
        <v>19</v>
      </c>
      <c r="D12" s="87">
        <v>72.599999999999994</v>
      </c>
      <c r="E12" s="28">
        <v>192</v>
      </c>
      <c r="F12" s="31">
        <v>8.6300000000000008</v>
      </c>
      <c r="G12" s="28">
        <v>0</v>
      </c>
      <c r="H12" s="30">
        <v>54.4</v>
      </c>
      <c r="I12" s="32">
        <v>91</v>
      </c>
      <c r="J12" s="28">
        <v>5.21</v>
      </c>
      <c r="K12" s="32">
        <v>99</v>
      </c>
      <c r="L12" s="33">
        <v>27112.26</v>
      </c>
      <c r="M12" s="34">
        <v>297890</v>
      </c>
      <c r="N12" s="31">
        <v>10.9</v>
      </c>
      <c r="O12" s="31">
        <v>10.6</v>
      </c>
      <c r="P12" s="74">
        <v>1084.3</v>
      </c>
      <c r="Q12" s="74">
        <v>5.0999999999999996</v>
      </c>
      <c r="R12" s="74">
        <v>18.600000000000001</v>
      </c>
      <c r="S12" s="35">
        <f t="shared" si="0"/>
        <v>0</v>
      </c>
      <c r="T12" s="35">
        <f t="shared" si="1"/>
        <v>0</v>
      </c>
      <c r="U12" s="35">
        <f t="shared" si="2"/>
        <v>0</v>
      </c>
      <c r="V12" s="36">
        <f t="shared" si="3"/>
        <v>0</v>
      </c>
      <c r="X12" s="105" t="s">
        <v>12</v>
      </c>
      <c r="Y12" s="57">
        <f>_xll.StatCorrelationCoeff( ST_Population,ST_Lifeexpectancy)</f>
        <v>4.3633751059466069E-2</v>
      </c>
      <c r="Z12" s="57">
        <f>_xll.StatCorrelationCoeff( ST_Population,ST_AdultMortality)</f>
        <v>-1.1002027750086019E-2</v>
      </c>
      <c r="AA12" s="57">
        <f>_xll.StatCorrelationCoeff( ST_Population,ST_Alcohol)</f>
        <v>6.7028688394022748E-2</v>
      </c>
      <c r="AB12" s="57">
        <f>_xll.StatCorrelationCoeff( ST_Population,ST_PercentageExpenditure)</f>
        <v>-2.7044592660168808E-2</v>
      </c>
      <c r="AC12" s="57">
        <f>_xll.StatCorrelationCoeff( ST_Population,ST_BMI)</f>
        <v>-5.7703012144044302E-2</v>
      </c>
      <c r="AD12" s="57">
        <f>_xll.StatCorrelationCoeff( ST_Population,ST_polio)</f>
        <v>1.7207887083772525E-2</v>
      </c>
      <c r="AE12" s="57">
        <f>_xll.StatCorrelationCoeff( ST_Population,ST_Totalexpenditure)</f>
        <v>-2.2893231734034607E-2</v>
      </c>
      <c r="AF12" s="57">
        <f>_xll.StatCorrelationCoeff( ST_Population,ST_Diphtheria)</f>
        <v>1.8723871986636314E-2</v>
      </c>
      <c r="AG12" s="57">
        <f>_xll.StatCorrelationCoeff( ST_Population,ST_GDP)</f>
        <v>-7.9036169239109638E-3</v>
      </c>
      <c r="AH12" s="57">
        <v>1</v>
      </c>
      <c r="AI12" s="57"/>
      <c r="AJ12" s="57"/>
      <c r="AK12" s="57"/>
      <c r="AL12" s="57"/>
      <c r="AM12" s="57"/>
      <c r="AS12" s="52" t="s">
        <v>364</v>
      </c>
      <c r="AT12" s="69">
        <v>75.104121251834414</v>
      </c>
      <c r="AU12" s="69">
        <v>0.9735964068269426</v>
      </c>
      <c r="AV12" s="69">
        <v>77.140918685810462</v>
      </c>
      <c r="AW12" s="70">
        <v>2.1020262205038417E-140</v>
      </c>
      <c r="AX12" s="69">
        <v>73.183062645482977</v>
      </c>
      <c r="AY12" s="69">
        <v>77.025179858185851</v>
      </c>
      <c r="BA12" s="52" t="s">
        <v>364</v>
      </c>
      <c r="BB12" s="69">
        <v>55.272140727329969</v>
      </c>
      <c r="BC12" s="69">
        <v>1.2626020096803285</v>
      </c>
      <c r="BD12" s="69">
        <v>43.776376327267236</v>
      </c>
      <c r="BE12" s="70">
        <v>3.1635351835024724E-98</v>
      </c>
      <c r="BF12" s="69">
        <v>52.780828680484923</v>
      </c>
      <c r="BG12" s="69">
        <v>57.763452774175015</v>
      </c>
      <c r="BI12" s="52" t="s">
        <v>364</v>
      </c>
      <c r="BJ12" s="69">
        <v>34.538444476671202</v>
      </c>
      <c r="BK12" s="69">
        <v>2.3760028691595005</v>
      </c>
      <c r="BL12" s="69">
        <v>14.536364801987386</v>
      </c>
      <c r="BM12" s="70">
        <v>3.1747573804227852E-32</v>
      </c>
      <c r="BN12" s="69">
        <v>29.850217683198768</v>
      </c>
      <c r="BO12" s="69">
        <v>39.22667127014364</v>
      </c>
      <c r="BQ12" s="52" t="s">
        <v>364</v>
      </c>
      <c r="BR12" s="69">
        <v>36.017401455675781</v>
      </c>
      <c r="BS12" s="69">
        <v>2.3248988152884555</v>
      </c>
      <c r="BT12" s="69">
        <v>15.492029682679767</v>
      </c>
      <c r="BU12" s="70">
        <v>5.1864008452106692E-35</v>
      </c>
      <c r="BV12" s="69">
        <v>31.43001098598188</v>
      </c>
      <c r="BW12" s="69">
        <v>40.604791925369682</v>
      </c>
      <c r="BY12" s="52" t="s">
        <v>364</v>
      </c>
      <c r="BZ12" s="69">
        <v>51.735404502082929</v>
      </c>
      <c r="CA12" s="69">
        <v>1.3326810124715105</v>
      </c>
      <c r="CB12" s="69">
        <v>38.820545965562715</v>
      </c>
      <c r="CC12" s="70">
        <v>2.1442649798728092E-89</v>
      </c>
      <c r="CD12" s="69">
        <v>49.105717250951948</v>
      </c>
      <c r="CE12" s="69">
        <v>54.36509175321391</v>
      </c>
      <c r="CG12" s="52" t="s">
        <v>364</v>
      </c>
      <c r="CH12" s="69">
        <v>64.279347849427097</v>
      </c>
      <c r="CI12" s="69">
        <v>0.76317086883541074</v>
      </c>
      <c r="CJ12" s="69">
        <v>84.226679075836032</v>
      </c>
      <c r="CK12" s="70">
        <v>3.9922237421025995E-147</v>
      </c>
      <c r="CL12" s="69">
        <v>62.773491875213786</v>
      </c>
      <c r="CM12" s="69">
        <v>65.785203823640416</v>
      </c>
      <c r="CO12" s="52" t="s">
        <v>364</v>
      </c>
      <c r="CP12" s="69">
        <v>61.218964430543053</v>
      </c>
      <c r="CQ12" s="69">
        <v>1.1757818191838985</v>
      </c>
      <c r="CR12" s="69">
        <v>52.066602350625466</v>
      </c>
      <c r="CS12" s="70">
        <v>7.3923056135566896E-111</v>
      </c>
      <c r="CT12" s="69">
        <v>58.898962253977636</v>
      </c>
      <c r="CU12" s="69">
        <v>63.53896660710847</v>
      </c>
      <c r="CX12" s="52" t="s">
        <v>364</v>
      </c>
      <c r="CY12" s="69">
        <v>75.104121251834414</v>
      </c>
      <c r="CZ12" s="69">
        <v>0.9735964068269426</v>
      </c>
      <c r="DA12" s="69">
        <v>77.140918685810462</v>
      </c>
      <c r="DB12" s="70">
        <v>2.1020262205038417E-140</v>
      </c>
      <c r="DC12" s="69">
        <v>73.183062645482977</v>
      </c>
      <c r="DD12" s="69">
        <v>77.025179858185851</v>
      </c>
      <c r="DF12" s="52" t="s">
        <v>364</v>
      </c>
      <c r="DG12" s="69">
        <v>64.760345031902659</v>
      </c>
      <c r="DH12" s="69">
        <v>1.5523498832024365</v>
      </c>
      <c r="DI12" s="69">
        <v>41.717621608799057</v>
      </c>
      <c r="DJ12" s="70">
        <v>1.8404064887300013E-94</v>
      </c>
      <c r="DK12" s="69">
        <v>61.6972003941761</v>
      </c>
      <c r="DL12" s="69">
        <v>67.823489669629225</v>
      </c>
      <c r="DN12" s="52" t="s">
        <v>364</v>
      </c>
      <c r="DO12" s="69">
        <v>45.971692275013766</v>
      </c>
      <c r="DP12" s="69">
        <v>2.0766911015813649</v>
      </c>
      <c r="DQ12" s="69">
        <v>22.136991023848999</v>
      </c>
      <c r="DR12" s="70">
        <v>3.9233676027414546E-53</v>
      </c>
      <c r="DS12" s="69">
        <v>41.873746439853022</v>
      </c>
      <c r="DT12" s="69">
        <v>50.069638110174509</v>
      </c>
      <c r="DV12" s="52" t="s">
        <v>364</v>
      </c>
      <c r="DW12" s="69">
        <v>46.208818266916637</v>
      </c>
      <c r="DX12" s="69">
        <v>2.0549464554141825</v>
      </c>
      <c r="DY12" s="69">
        <v>22.486628858464865</v>
      </c>
      <c r="DZ12" s="70">
        <v>6.7301286321930945E-54</v>
      </c>
      <c r="EA12" s="69">
        <v>42.15362620481114</v>
      </c>
      <c r="EB12" s="69">
        <v>50.264010329022135</v>
      </c>
      <c r="ED12" s="52" t="s">
        <v>364</v>
      </c>
      <c r="EE12" s="69">
        <v>46.309865937658643</v>
      </c>
      <c r="EF12" s="69">
        <v>1.9697901743438762</v>
      </c>
      <c r="EG12" s="69">
        <v>23.510050228108256</v>
      </c>
      <c r="EH12" s="70">
        <v>3.4471951572447145E-56</v>
      </c>
      <c r="EI12" s="69">
        <v>42.422417292025401</v>
      </c>
      <c r="EJ12" s="69">
        <v>50.197314583291885</v>
      </c>
      <c r="EM12" s="52" t="s">
        <v>364</v>
      </c>
      <c r="EN12" s="69">
        <v>75.104121251834414</v>
      </c>
      <c r="EO12" s="69">
        <v>0.9735964068269426</v>
      </c>
      <c r="EP12" s="69">
        <v>77.140918685810462</v>
      </c>
      <c r="EQ12" s="70">
        <v>2.1020262205038417E-140</v>
      </c>
      <c r="ER12" s="69">
        <v>73.183062645482977</v>
      </c>
      <c r="ES12" s="69">
        <v>77.025179858185851</v>
      </c>
      <c r="EU12" s="52" t="s">
        <v>364</v>
      </c>
      <c r="EV12" s="69">
        <v>64.760345031902659</v>
      </c>
      <c r="EW12" s="69">
        <v>1.5523498832024365</v>
      </c>
      <c r="EX12" s="69">
        <v>41.717621608799057</v>
      </c>
      <c r="EY12" s="70">
        <v>1.8404064887300013E-94</v>
      </c>
      <c r="EZ12" s="69">
        <v>61.6972003941761</v>
      </c>
      <c r="FA12" s="69">
        <v>67.823489669629225</v>
      </c>
      <c r="FC12" s="52" t="s">
        <v>364</v>
      </c>
      <c r="FD12" s="69">
        <v>63.871495692934388</v>
      </c>
      <c r="FE12" s="69">
        <v>1.4900113732681695</v>
      </c>
      <c r="FF12" s="69">
        <v>42.866448430416725</v>
      </c>
      <c r="FG12" s="70">
        <v>4.6029805030742377E-96</v>
      </c>
      <c r="FH12" s="69">
        <v>60.931248153578714</v>
      </c>
      <c r="FI12" s="69">
        <v>66.81174323229007</v>
      </c>
      <c r="FK12" s="52" t="s">
        <v>364</v>
      </c>
      <c r="FL12" s="69">
        <v>63.772770629953953</v>
      </c>
      <c r="FM12" s="69">
        <v>1.4959272856027539</v>
      </c>
      <c r="FN12" s="69">
        <v>42.630929486828627</v>
      </c>
      <c r="FO12" s="70">
        <v>2.4041498354567448E-95</v>
      </c>
      <c r="FP12" s="69">
        <v>60.820736313886762</v>
      </c>
      <c r="FQ12" s="69">
        <v>66.724804946021152</v>
      </c>
      <c r="FS12" s="52" t="s">
        <v>364</v>
      </c>
      <c r="FT12" s="69">
        <v>63.885158038679855</v>
      </c>
      <c r="FU12" s="69">
        <v>1.4960568628877897</v>
      </c>
      <c r="FV12" s="69">
        <v>42.702359531551778</v>
      </c>
      <c r="FW12" s="70">
        <v>1.8323404183954362E-95</v>
      </c>
      <c r="FX12" s="69">
        <v>60.932868017274785</v>
      </c>
      <c r="FY12" s="69">
        <v>66.837448060084924</v>
      </c>
      <c r="GA12" s="52" t="s">
        <v>364</v>
      </c>
      <c r="GB12" s="69">
        <v>63.761254942859779</v>
      </c>
      <c r="GC12" s="69">
        <v>1.4928273872791151</v>
      </c>
      <c r="GD12" s="69">
        <v>42.711739807422411</v>
      </c>
      <c r="GE12" s="70">
        <v>1.7681869950995505E-95</v>
      </c>
      <c r="GF12" s="69">
        <v>60.815337906900901</v>
      </c>
      <c r="GG12" s="69">
        <v>66.707171978818664</v>
      </c>
    </row>
    <row r="13" spans="1:189" ht="15" customHeight="1" x14ac:dyDescent="0.25">
      <c r="A13" s="27" t="s">
        <v>35</v>
      </c>
      <c r="B13" s="28">
        <v>2000</v>
      </c>
      <c r="C13" s="29" t="s">
        <v>19</v>
      </c>
      <c r="D13" s="87">
        <v>74.5</v>
      </c>
      <c r="E13" s="28">
        <v>92</v>
      </c>
      <c r="F13" s="31">
        <v>2.1</v>
      </c>
      <c r="G13" s="28">
        <v>167.7270642</v>
      </c>
      <c r="H13" s="30">
        <v>54.5</v>
      </c>
      <c r="I13" s="32">
        <v>97</v>
      </c>
      <c r="J13" s="28">
        <v>3.51</v>
      </c>
      <c r="K13" s="32">
        <v>97</v>
      </c>
      <c r="L13" s="33">
        <v>13636.347</v>
      </c>
      <c r="M13" s="34">
        <v>664614</v>
      </c>
      <c r="N13" s="31">
        <v>8.3000000000000007</v>
      </c>
      <c r="O13" s="31">
        <v>22.4</v>
      </c>
      <c r="P13" s="74">
        <v>466.7</v>
      </c>
      <c r="Q13" s="74">
        <v>3.4</v>
      </c>
      <c r="R13" s="74">
        <v>10.199999999999999</v>
      </c>
      <c r="S13" s="35">
        <f t="shared" si="0"/>
        <v>0</v>
      </c>
      <c r="T13" s="35">
        <f t="shared" si="1"/>
        <v>0</v>
      </c>
      <c r="U13" s="35">
        <f t="shared" si="2"/>
        <v>0</v>
      </c>
      <c r="V13" s="36">
        <f t="shared" si="3"/>
        <v>0</v>
      </c>
      <c r="X13" s="106" t="s">
        <v>13</v>
      </c>
      <c r="Y13" s="57">
        <f>_xll.StatCorrelationCoeff( ST_Schooling,ST_Lifeexpectancy)</f>
        <v>0.6807919933636476</v>
      </c>
      <c r="Z13" s="57">
        <f>_xll.StatCorrelationCoeff( ST_Schooling,ST_AdultMortality)</f>
        <v>-0.34129208436294378</v>
      </c>
      <c r="AA13" s="57">
        <f>_xll.StatCorrelationCoeff( ST_Schooling,ST_Alcohol)</f>
        <v>0.60766865133288583</v>
      </c>
      <c r="AB13" s="57">
        <f>_xll.StatCorrelationCoeff( ST_Schooling,ST_PercentageExpenditure)</f>
        <v>0.36738457865148061</v>
      </c>
      <c r="AC13" s="57">
        <f>_xll.StatCorrelationCoeff( ST_Schooling,ST_BMI)</f>
        <v>0.54320789765947364</v>
      </c>
      <c r="AD13" s="57">
        <f>_xll.StatCorrelationCoeff( ST_Schooling,ST_polio)</f>
        <v>0.62834975464701581</v>
      </c>
      <c r="AE13" s="57">
        <f>_xll.StatCorrelationCoeff( ST_Schooling,ST_Totalexpenditure)</f>
        <v>0.26879974669066325</v>
      </c>
      <c r="AF13" s="57">
        <f>_xll.StatCorrelationCoeff( ST_Schooling,ST_Diphtheria)</f>
        <v>0.61669567201106656</v>
      </c>
      <c r="AG13" s="57">
        <f>_xll.StatCorrelationCoeff( ST_Schooling,ST_GDP)</f>
        <v>0.46341133706105225</v>
      </c>
      <c r="AH13" s="57">
        <f>_xll.StatCorrelationCoeff( ST_Schooling,ST_Population)</f>
        <v>4.3146050649653288E-2</v>
      </c>
      <c r="AI13" s="57">
        <v>1</v>
      </c>
      <c r="AJ13" s="57"/>
      <c r="AK13" s="57"/>
      <c r="AL13" s="57"/>
      <c r="AM13" s="57"/>
      <c r="AS13" s="52" t="s">
        <v>4</v>
      </c>
      <c r="AT13" s="69">
        <v>-4.6032947578611649E-2</v>
      </c>
      <c r="AU13" s="69">
        <v>4.2489961505599808E-3</v>
      </c>
      <c r="AV13" s="69">
        <v>-10.833840734956869</v>
      </c>
      <c r="AW13" s="70">
        <v>2.1174019933904391E-21</v>
      </c>
      <c r="AX13" s="69">
        <v>-5.4416884255196238E-2</v>
      </c>
      <c r="AY13" s="69">
        <v>-3.7649010902027061E-2</v>
      </c>
      <c r="BA13" s="52" t="s">
        <v>7</v>
      </c>
      <c r="BB13" s="69">
        <v>0.33454349577119746</v>
      </c>
      <c r="BC13" s="69">
        <v>3.2304168554933385E-2</v>
      </c>
      <c r="BD13" s="69">
        <v>10.356047245181523</v>
      </c>
      <c r="BE13" s="70">
        <v>4.9473374628943143E-20</v>
      </c>
      <c r="BF13" s="69">
        <v>0.2708022980959342</v>
      </c>
      <c r="BG13" s="69">
        <v>0.39828469344646072</v>
      </c>
      <c r="BI13" s="52" t="s">
        <v>23</v>
      </c>
      <c r="BJ13" s="69">
        <v>0.39374555211870543</v>
      </c>
      <c r="BK13" s="69">
        <v>2.8309930500687901E-2</v>
      </c>
      <c r="BL13" s="69">
        <v>13.908389923780909</v>
      </c>
      <c r="BM13" s="70">
        <v>2.1988472702624371E-30</v>
      </c>
      <c r="BN13" s="69">
        <v>0.33788561338823675</v>
      </c>
      <c r="BO13" s="69">
        <v>0.44960549084917412</v>
      </c>
      <c r="BQ13" s="52" t="s">
        <v>10</v>
      </c>
      <c r="BR13" s="69">
        <v>0.3780409715407238</v>
      </c>
      <c r="BS13" s="69">
        <v>2.7824991408471566E-2</v>
      </c>
      <c r="BT13" s="69">
        <v>13.586382327709394</v>
      </c>
      <c r="BU13" s="70">
        <v>1.9388596573697915E-29</v>
      </c>
      <c r="BV13" s="69">
        <v>0.32313789379508001</v>
      </c>
      <c r="BW13" s="69">
        <v>0.43294404928636759</v>
      </c>
      <c r="BY13" s="52" t="s">
        <v>13</v>
      </c>
      <c r="BZ13" s="69">
        <v>2.2345354019059727</v>
      </c>
      <c r="CA13" s="69">
        <v>0.179196870540377</v>
      </c>
      <c r="CB13" s="69">
        <v>12.469723356036413</v>
      </c>
      <c r="CC13" s="70">
        <v>3.9889919910064245E-26</v>
      </c>
      <c r="CD13" s="69">
        <v>1.8809386135577395</v>
      </c>
      <c r="CE13" s="69">
        <v>2.588132190254206</v>
      </c>
      <c r="CG13" s="52" t="s">
        <v>11</v>
      </c>
      <c r="CH13" s="69">
        <v>5.1875695510945593E-4</v>
      </c>
      <c r="CI13" s="69">
        <v>7.4022498958636144E-5</v>
      </c>
      <c r="CJ13" s="69">
        <v>7.0080983809981596</v>
      </c>
      <c r="CK13" s="70">
        <v>4.6098209291066099E-11</v>
      </c>
      <c r="CL13" s="69">
        <v>3.7269894001100401E-4</v>
      </c>
      <c r="CM13" s="69">
        <v>6.6481497020790784E-4</v>
      </c>
      <c r="CO13" s="52" t="s">
        <v>14</v>
      </c>
      <c r="CP13" s="69">
        <v>0.25132948707898883</v>
      </c>
      <c r="CQ13" s="69">
        <v>4.2932169484191922E-2</v>
      </c>
      <c r="CR13" s="69">
        <v>5.8541063752096436</v>
      </c>
      <c r="CS13" s="70">
        <v>2.2109952728823777E-8</v>
      </c>
      <c r="CT13" s="69">
        <v>0.166617574526085</v>
      </c>
      <c r="CU13" s="69">
        <v>0.33604139963189267</v>
      </c>
      <c r="CX13" s="52" t="s">
        <v>4</v>
      </c>
      <c r="CY13" s="69">
        <v>-4.6032947578611649E-2</v>
      </c>
      <c r="CZ13" s="69">
        <v>4.2489961505599808E-3</v>
      </c>
      <c r="DA13" s="69">
        <v>-10.833840734956869</v>
      </c>
      <c r="DB13" s="70">
        <v>2.1174019933904391E-21</v>
      </c>
      <c r="DC13" s="69">
        <v>-5.4416884255196238E-2</v>
      </c>
      <c r="DD13" s="69">
        <v>-3.7649010902027061E-2</v>
      </c>
      <c r="DF13" s="52" t="s">
        <v>4</v>
      </c>
      <c r="DG13" s="69">
        <v>-3.3670953611065424E-2</v>
      </c>
      <c r="DH13" s="69">
        <v>3.986272293730146E-3</v>
      </c>
      <c r="DI13" s="69">
        <v>-8.4467269493920849</v>
      </c>
      <c r="DJ13" s="70">
        <v>9.7990455850783723E-15</v>
      </c>
      <c r="DK13" s="69">
        <v>-4.1536788970209855E-2</v>
      </c>
      <c r="DL13" s="69">
        <v>-2.5805118251920993E-2</v>
      </c>
      <c r="DN13" s="52" t="s">
        <v>4</v>
      </c>
      <c r="DO13" s="69">
        <v>-2.9563194609137144E-2</v>
      </c>
      <c r="DP13" s="69">
        <v>3.1008972062266629E-3</v>
      </c>
      <c r="DQ13" s="69">
        <v>-9.5337551176393927</v>
      </c>
      <c r="DR13" s="70">
        <v>1.1102068140530017E-17</v>
      </c>
      <c r="DS13" s="69">
        <v>-3.5682211915968064E-2</v>
      </c>
      <c r="DT13" s="69">
        <v>-2.3444177302306225E-2</v>
      </c>
      <c r="DV13" s="52" t="s">
        <v>4</v>
      </c>
      <c r="DW13" s="69">
        <v>-3.0334448612411191E-2</v>
      </c>
      <c r="DX13" s="69">
        <v>3.0829067370947284E-3</v>
      </c>
      <c r="DY13" s="69">
        <v>-9.8395609077029</v>
      </c>
      <c r="DZ13" s="70">
        <v>1.6249611679060111E-18</v>
      </c>
      <c r="EA13" s="69">
        <v>-3.6418197848572344E-2</v>
      </c>
      <c r="EB13" s="69">
        <v>-2.4250699376250039E-2</v>
      </c>
      <c r="ED13" s="52" t="s">
        <v>4</v>
      </c>
      <c r="EE13" s="69">
        <v>-2.8837896729161289E-2</v>
      </c>
      <c r="EF13" s="69">
        <v>2.9556582906764286E-3</v>
      </c>
      <c r="EG13" s="69">
        <v>-9.7568439559234292</v>
      </c>
      <c r="EH13" s="70">
        <v>3.0038901138577583E-18</v>
      </c>
      <c r="EI13" s="69">
        <v>-3.4670990004119863E-2</v>
      </c>
      <c r="EJ13" s="69">
        <v>-2.3004803454202714E-2</v>
      </c>
      <c r="EM13" s="52" t="s">
        <v>4</v>
      </c>
      <c r="EN13" s="69">
        <v>-4.6032947578611649E-2</v>
      </c>
      <c r="EO13" s="69">
        <v>4.2489961505599808E-3</v>
      </c>
      <c r="EP13" s="69">
        <v>-10.833840734956869</v>
      </c>
      <c r="EQ13" s="70">
        <v>2.1174019933904391E-21</v>
      </c>
      <c r="ER13" s="69">
        <v>-5.4416884255196238E-2</v>
      </c>
      <c r="ES13" s="69">
        <v>-3.7649010902027061E-2</v>
      </c>
      <c r="EU13" s="52" t="s">
        <v>4</v>
      </c>
      <c r="EV13" s="69">
        <v>-3.3670953611065424E-2</v>
      </c>
      <c r="EW13" s="69">
        <v>3.986272293730146E-3</v>
      </c>
      <c r="EX13" s="69">
        <v>-8.4467269493920849</v>
      </c>
      <c r="EY13" s="70">
        <v>9.7990455850783723E-15</v>
      </c>
      <c r="EZ13" s="69">
        <v>-4.1536788970209855E-2</v>
      </c>
      <c r="FA13" s="69">
        <v>-2.5805118251920993E-2</v>
      </c>
      <c r="FC13" s="52" t="s">
        <v>4</v>
      </c>
      <c r="FD13" s="69">
        <v>-2.9974322965930833E-2</v>
      </c>
      <c r="FE13" s="69">
        <v>3.8812417598560623E-3</v>
      </c>
      <c r="FF13" s="69">
        <v>-7.7228693342314356</v>
      </c>
      <c r="FG13" s="70">
        <v>7.7796385651089062E-13</v>
      </c>
      <c r="FH13" s="69">
        <v>-3.763319842070724E-2</v>
      </c>
      <c r="FI13" s="69">
        <v>-2.2315447511154423E-2</v>
      </c>
      <c r="FK13" s="52" t="s">
        <v>4</v>
      </c>
      <c r="FL13" s="69">
        <v>-2.9835376679098274E-2</v>
      </c>
      <c r="FM13" s="69">
        <v>3.8880534086191123E-3</v>
      </c>
      <c r="FN13" s="69">
        <v>-7.6736025829682877</v>
      </c>
      <c r="FO13" s="70">
        <v>1.0593688350748346E-12</v>
      </c>
      <c r="FP13" s="69">
        <v>-3.7507986969324343E-2</v>
      </c>
      <c r="FQ13" s="69">
        <v>-2.2162766388872206E-2</v>
      </c>
      <c r="FS13" s="52" t="s">
        <v>4</v>
      </c>
      <c r="FT13" s="69">
        <v>-3.0002944713531224E-2</v>
      </c>
      <c r="FU13" s="69">
        <v>3.8951527674751072E-3</v>
      </c>
      <c r="FV13" s="69">
        <v>-7.7026362005769426</v>
      </c>
      <c r="FW13" s="70">
        <v>8.9349483746396274E-13</v>
      </c>
      <c r="FX13" s="69">
        <v>-3.7689564742844663E-2</v>
      </c>
      <c r="FY13" s="69">
        <v>-2.2316324684217785E-2</v>
      </c>
      <c r="GA13" s="52" t="s">
        <v>4</v>
      </c>
      <c r="GB13" s="69">
        <v>-2.978683636590046E-2</v>
      </c>
      <c r="GC13" s="69">
        <v>3.8833493119471308E-3</v>
      </c>
      <c r="GD13" s="69">
        <v>-7.6703984043519355</v>
      </c>
      <c r="GE13" s="70">
        <v>1.0794459285400835E-12</v>
      </c>
      <c r="GF13" s="69">
        <v>-3.7450163681656157E-2</v>
      </c>
      <c r="GG13" s="69">
        <v>-2.2123509050144766E-2</v>
      </c>
    </row>
    <row r="14" spans="1:189" ht="15" customHeight="1" x14ac:dyDescent="0.25">
      <c r="A14" s="27" t="s">
        <v>36</v>
      </c>
      <c r="B14" s="28">
        <v>2000</v>
      </c>
      <c r="C14" s="29" t="s">
        <v>19</v>
      </c>
      <c r="D14" s="87">
        <v>65.3</v>
      </c>
      <c r="E14" s="28">
        <v>173</v>
      </c>
      <c r="F14" s="31">
        <v>0.01</v>
      </c>
      <c r="G14" s="28">
        <v>3.6963305100000001</v>
      </c>
      <c r="H14" s="30">
        <v>1.4</v>
      </c>
      <c r="I14" s="32">
        <v>83</v>
      </c>
      <c r="J14" s="28">
        <v>2.33</v>
      </c>
      <c r="K14" s="32">
        <v>82</v>
      </c>
      <c r="L14" s="28">
        <v>45.634</v>
      </c>
      <c r="M14" s="34">
        <v>131581243</v>
      </c>
      <c r="N14" s="31">
        <v>4.0999999999999996</v>
      </c>
      <c r="O14" s="31">
        <v>31.4</v>
      </c>
      <c r="P14" s="74">
        <v>8.3000000000000007</v>
      </c>
      <c r="Q14" s="74">
        <v>2.4</v>
      </c>
      <c r="R14" s="74">
        <v>5.2</v>
      </c>
      <c r="S14" s="35">
        <f t="shared" si="0"/>
        <v>0</v>
      </c>
      <c r="T14" s="35">
        <f t="shared" si="1"/>
        <v>0</v>
      </c>
      <c r="U14" s="35">
        <f t="shared" si="2"/>
        <v>0</v>
      </c>
      <c r="V14" s="36">
        <f t="shared" si="3"/>
        <v>0</v>
      </c>
      <c r="X14" s="105" t="s">
        <v>14</v>
      </c>
      <c r="Y14" s="57">
        <f>_xll.StatCorrelationCoeff( ST_Smokingprevalence,ST_Lifeexpectancy)</f>
        <v>0.39899576679276094</v>
      </c>
      <c r="Z14" s="57">
        <f>_xll.StatCorrelationCoeff( ST_Smokingprevalence,ST_AdultMortality)</f>
        <v>-0.2137430906202214</v>
      </c>
      <c r="AA14" s="57">
        <f>_xll.StatCorrelationCoeff( ST_Smokingprevalence,ST_Alcohol)</f>
        <v>0.36992883682404426</v>
      </c>
      <c r="AB14" s="57">
        <f>_xll.StatCorrelationCoeff( ST_Smokingprevalence,ST_PercentageExpenditure)</f>
        <v>0.23209873635009187</v>
      </c>
      <c r="AC14" s="57">
        <f>_xll.StatCorrelationCoeff( ST_Smokingprevalence,ST_BMI)</f>
        <v>0.38183296217440499</v>
      </c>
      <c r="AD14" s="57">
        <f>_xll.StatCorrelationCoeff( ST_Smokingprevalence,ST_polio)</f>
        <v>0.33504897216991947</v>
      </c>
      <c r="AE14" s="57">
        <f>_xll.StatCorrelationCoeff( ST_Smokingprevalence,ST_Totalexpenditure)</f>
        <v>0.25000382515789743</v>
      </c>
      <c r="AF14" s="57">
        <f>_xll.StatCorrelationCoeff( ST_Smokingprevalence,ST_Diphtheria)</f>
        <v>0.36440748303427151</v>
      </c>
      <c r="AG14" s="57">
        <f>_xll.StatCorrelationCoeff( ST_Smokingprevalence,ST_GDP)</f>
        <v>0.22552285651450812</v>
      </c>
      <c r="AH14" s="57">
        <f>_xll.StatCorrelationCoeff( ST_Smokingprevalence,ST_Population)</f>
        <v>9.9049542961827747E-2</v>
      </c>
      <c r="AI14" s="57">
        <f>_xll.StatCorrelationCoeff( ST_Smokingprevalence,ST_Schooling)</f>
        <v>0.40488345253143132</v>
      </c>
      <c r="AJ14" s="57">
        <v>1</v>
      </c>
      <c r="AK14" s="57"/>
      <c r="AL14" s="57"/>
      <c r="AM14" s="57"/>
      <c r="DF14" s="52" t="s">
        <v>7</v>
      </c>
      <c r="DG14" s="69">
        <v>0.2360949286612346</v>
      </c>
      <c r="DH14" s="69">
        <v>2.9788114753895964E-2</v>
      </c>
      <c r="DI14" s="69">
        <v>7.9258096932890298</v>
      </c>
      <c r="DJ14" s="70">
        <v>2.2902361256069678E-13</v>
      </c>
      <c r="DK14" s="69">
        <v>0.17731610246765483</v>
      </c>
      <c r="DL14" s="69">
        <v>0.29487375485481437</v>
      </c>
      <c r="DN14" s="52" t="s">
        <v>7</v>
      </c>
      <c r="DO14" s="69">
        <v>0.10916430491838303</v>
      </c>
      <c r="DP14" s="69">
        <v>2.5700064366496272E-2</v>
      </c>
      <c r="DQ14" s="69">
        <v>4.2476276853490837</v>
      </c>
      <c r="DR14" s="70">
        <v>3.4681040865822169E-5</v>
      </c>
      <c r="DS14" s="69">
        <v>5.845022825390031E-2</v>
      </c>
      <c r="DT14" s="69">
        <v>0.15987838158286574</v>
      </c>
      <c r="DV14" s="52" t="s">
        <v>7</v>
      </c>
      <c r="DW14" s="69">
        <v>0.1037422436786386</v>
      </c>
      <c r="DX14" s="69">
        <v>2.5508379832827131E-2</v>
      </c>
      <c r="DY14" s="69">
        <v>4.0669867846773666</v>
      </c>
      <c r="DZ14" s="70">
        <v>7.1438255919805194E-5</v>
      </c>
      <c r="EA14" s="69">
        <v>5.3404494418693292E-2</v>
      </c>
      <c r="EB14" s="69">
        <v>0.1540799929385839</v>
      </c>
      <c r="ED14" s="52" t="s">
        <v>7</v>
      </c>
      <c r="EE14" s="69">
        <v>6.9898407972786458E-2</v>
      </c>
      <c r="EF14" s="69">
        <v>2.526849850913037E-2</v>
      </c>
      <c r="EG14" s="69">
        <v>2.7662272037070101</v>
      </c>
      <c r="EH14" s="70">
        <v>6.2764680195501795E-3</v>
      </c>
      <c r="EI14" s="69">
        <v>2.0030157239317253E-2</v>
      </c>
      <c r="EJ14" s="69">
        <v>0.11976665870625566</v>
      </c>
      <c r="EU14" s="52" t="s">
        <v>7</v>
      </c>
      <c r="EV14" s="69">
        <v>0.2360949286612346</v>
      </c>
      <c r="EW14" s="69">
        <v>2.9788114753895964E-2</v>
      </c>
      <c r="EX14" s="69">
        <v>7.9258096932890298</v>
      </c>
      <c r="EY14" s="70">
        <v>2.2902361256069678E-13</v>
      </c>
      <c r="EZ14" s="69">
        <v>0.17731610246765483</v>
      </c>
      <c r="FA14" s="69">
        <v>0.29487375485481437</v>
      </c>
      <c r="FC14" s="52" t="s">
        <v>7</v>
      </c>
      <c r="FD14" s="69">
        <v>0.21056850248203229</v>
      </c>
      <c r="FE14" s="69">
        <v>2.8906666391256598E-2</v>
      </c>
      <c r="FF14" s="69">
        <v>7.2844270464104079</v>
      </c>
      <c r="FG14" s="70">
        <v>9.912915058367241E-12</v>
      </c>
      <c r="FH14" s="69">
        <v>0.15352682061792294</v>
      </c>
      <c r="FI14" s="69">
        <v>0.26761018434614164</v>
      </c>
      <c r="FK14" s="52" t="s">
        <v>7</v>
      </c>
      <c r="FL14" s="69">
        <v>0.21279716388707515</v>
      </c>
      <c r="FM14" s="69">
        <v>2.9053399476864958E-2</v>
      </c>
      <c r="FN14" s="69">
        <v>7.3243464695594129</v>
      </c>
      <c r="FO14" s="70">
        <v>8.0178395195410484E-12</v>
      </c>
      <c r="FP14" s="69">
        <v>0.15546374061205542</v>
      </c>
      <c r="FQ14" s="69">
        <v>0.27013058716209487</v>
      </c>
      <c r="FS14" s="52" t="s">
        <v>7</v>
      </c>
      <c r="FT14" s="69">
        <v>0.21031963629626693</v>
      </c>
      <c r="FU14" s="69">
        <v>2.9019365493289057E-2</v>
      </c>
      <c r="FV14" s="69">
        <v>7.2475615066395891</v>
      </c>
      <c r="FW14" s="70">
        <v>1.2433048314212279E-11</v>
      </c>
      <c r="FX14" s="69">
        <v>0.15305337503399707</v>
      </c>
      <c r="FY14" s="69">
        <v>0.26758589755853679</v>
      </c>
      <c r="GA14" s="52" t="s">
        <v>7</v>
      </c>
      <c r="GB14" s="69">
        <v>0.21285213215645893</v>
      </c>
      <c r="GC14" s="69">
        <v>2.8970798968852719E-2</v>
      </c>
      <c r="GD14" s="69">
        <v>7.3471267528832032</v>
      </c>
      <c r="GE14" s="70">
        <v>7.0362282625516681E-12</v>
      </c>
      <c r="GF14" s="69">
        <v>0.15568171114533499</v>
      </c>
      <c r="GG14" s="69">
        <v>0.27002255316758283</v>
      </c>
    </row>
    <row r="15" spans="1:189" ht="15" customHeight="1" x14ac:dyDescent="0.25">
      <c r="A15" s="27" t="s">
        <v>37</v>
      </c>
      <c r="B15" s="28">
        <v>2000</v>
      </c>
      <c r="C15" s="29" t="s">
        <v>19</v>
      </c>
      <c r="D15" s="87">
        <v>73.3</v>
      </c>
      <c r="E15" s="28">
        <v>127</v>
      </c>
      <c r="F15" s="31">
        <v>8.5500000000000007</v>
      </c>
      <c r="G15" s="28">
        <v>1140.6157539999999</v>
      </c>
      <c r="H15" s="30">
        <v>43</v>
      </c>
      <c r="I15" s="32">
        <v>86</v>
      </c>
      <c r="J15" s="28">
        <v>5.16</v>
      </c>
      <c r="K15" s="32">
        <v>93</v>
      </c>
      <c r="L15" s="33">
        <v>11568.111000000001</v>
      </c>
      <c r="M15" s="34">
        <v>269847</v>
      </c>
      <c r="N15" s="31">
        <v>9</v>
      </c>
      <c r="O15" s="31">
        <v>8.3000000000000007</v>
      </c>
      <c r="P15" s="74">
        <v>604.79999999999995</v>
      </c>
      <c r="Q15" s="74">
        <v>5.2</v>
      </c>
      <c r="R15" s="74">
        <v>7.8</v>
      </c>
      <c r="S15" s="35">
        <f t="shared" si="0"/>
        <v>0</v>
      </c>
      <c r="T15" s="35">
        <f t="shared" si="1"/>
        <v>0</v>
      </c>
      <c r="U15" s="35">
        <f t="shared" si="2"/>
        <v>0</v>
      </c>
      <c r="V15" s="36">
        <f t="shared" si="3"/>
        <v>0</v>
      </c>
      <c r="X15" s="67" t="s">
        <v>469</v>
      </c>
      <c r="Y15" s="57">
        <f>_xll.StatCorrelationCoeff( ST_CurrenthealthexpenditureCHEpercapitainUS,ST_Lifeexpectancy)</f>
        <v>0.50316293325059058</v>
      </c>
      <c r="Z15" s="57">
        <f>_xll.StatCorrelationCoeff( ST_CurrenthealthexpenditureCHEpercapitainUS,ST_AdultMortality)</f>
        <v>-0.33688758610362407</v>
      </c>
      <c r="AA15" s="57">
        <f>_xll.StatCorrelationCoeff( ST_CurrenthealthexpenditureCHEpercapitainUS,ST_Alcohol)</f>
        <v>0.43673640123467317</v>
      </c>
      <c r="AB15" s="57">
        <f>_xll.StatCorrelationCoeff( ST_CurrenthealthexpenditureCHEpercapitainUS,ST_PercentageExpenditure)</f>
        <v>0.75602580180175316</v>
      </c>
      <c r="AC15" s="57">
        <f>_xll.StatCorrelationCoeff( ST_CurrenthealthexpenditureCHEpercapitainUS,ST_BMI)</f>
        <v>0.23260617501557593</v>
      </c>
      <c r="AD15" s="57">
        <f>_xll.StatCorrelationCoeff( ST_CurrenthealthexpenditureCHEpercapitainUS,ST_polio)</f>
        <v>0.29387921125673849</v>
      </c>
      <c r="AE15" s="57">
        <f>_xll.StatCorrelationCoeff( ST_CurrenthealthexpenditureCHEpercapitainUS,ST_Totalexpenditure)</f>
        <v>0.42286693578333601</v>
      </c>
      <c r="AF15" s="57">
        <f>_xll.StatCorrelationCoeff( ST_CurrenthealthexpenditureCHEpercapitainUS,ST_Diphtheria)</f>
        <v>0.2871149200263059</v>
      </c>
      <c r="AG15" s="57">
        <f>_xll.StatCorrelationCoeff( ST_CurrenthealthexpenditureCHEpercapitainUS,ST_GDP)</f>
        <v>0.84504812115455374</v>
      </c>
      <c r="AH15" s="57">
        <f>_xll.StatCorrelationCoeff( ST_CurrenthealthexpenditureCHEpercapitainUS,ST_Population)</f>
        <v>1.3597974259034811E-3</v>
      </c>
      <c r="AI15" s="57">
        <f>_xll.StatCorrelationCoeff( ST_CurrenthealthexpenditureCHEpercapitainUS,ST_Schooling)</f>
        <v>0.5292137341963985</v>
      </c>
      <c r="AJ15" s="57">
        <f>_xll.StatCorrelationCoeff( ST_CurrenthealthexpenditureCHEpercapitainUS,ST_Smokingprevalence)</f>
        <v>0.29635265519824622</v>
      </c>
      <c r="AK15" s="57">
        <v>1</v>
      </c>
      <c r="AL15" s="57"/>
      <c r="AM15" s="57"/>
      <c r="DN15" s="52" t="s">
        <v>23</v>
      </c>
      <c r="DO15" s="69">
        <v>0.27378692708242269</v>
      </c>
      <c r="DP15" s="69">
        <v>2.4709104493979412E-2</v>
      </c>
      <c r="DQ15" s="69">
        <v>11.080406703898689</v>
      </c>
      <c r="DR15" s="70">
        <v>4.6281074032081889E-22</v>
      </c>
      <c r="DS15" s="69">
        <v>0.22502831691909636</v>
      </c>
      <c r="DT15" s="69">
        <v>0.32254553724574903</v>
      </c>
      <c r="DV15" s="52" t="s">
        <v>23</v>
      </c>
      <c r="DW15" s="69">
        <v>9.7068839595664258E-2</v>
      </c>
      <c r="DX15" s="69">
        <v>8.0751489175026156E-2</v>
      </c>
      <c r="DY15" s="69">
        <v>1.2020687245193806</v>
      </c>
      <c r="DZ15" s="70">
        <v>0.23093364291018914</v>
      </c>
      <c r="EA15" s="69">
        <v>-6.2284605864189602E-2</v>
      </c>
      <c r="EB15" s="69">
        <v>0.25642228505551812</v>
      </c>
      <c r="ED15" s="52" t="s">
        <v>23</v>
      </c>
      <c r="EE15" s="69">
        <v>5.4886434095131165E-2</v>
      </c>
      <c r="EF15" s="69">
        <v>7.7101563715432253E-2</v>
      </c>
      <c r="EG15" s="69">
        <v>0.7118718667977596</v>
      </c>
      <c r="EH15" s="70">
        <v>0.47748665796963607</v>
      </c>
      <c r="EI15" s="69">
        <v>-9.7276153243187585E-2</v>
      </c>
      <c r="EJ15" s="69">
        <v>0.20704902143344991</v>
      </c>
      <c r="FC15" s="81" t="s">
        <v>365</v>
      </c>
      <c r="FD15" s="69">
        <v>6.0656696168976083</v>
      </c>
      <c r="FE15" s="69">
        <v>1.3587463560035906</v>
      </c>
      <c r="FF15" s="69">
        <v>4.4641662441975143</v>
      </c>
      <c r="FG15" s="70">
        <v>1.419169806341735E-5</v>
      </c>
      <c r="FH15" s="69">
        <v>3.3844480493834221</v>
      </c>
      <c r="FI15" s="69">
        <v>8.746891184411794</v>
      </c>
      <c r="FK15" s="52" t="s">
        <v>365</v>
      </c>
      <c r="FL15" s="69">
        <v>21.964551100551034</v>
      </c>
      <c r="FM15" s="69">
        <v>19.057106361493435</v>
      </c>
      <c r="FN15" s="69">
        <v>1.1525648586887434</v>
      </c>
      <c r="FO15" s="70">
        <v>0.2506345388089451</v>
      </c>
      <c r="FP15" s="69">
        <v>-15.642378384262329</v>
      </c>
      <c r="FQ15" s="69">
        <v>59.571480585364398</v>
      </c>
      <c r="FS15" s="52" t="s">
        <v>365</v>
      </c>
      <c r="FT15" s="69">
        <v>4.4083145814365707</v>
      </c>
      <c r="FU15" s="69">
        <v>9.4727009809185851</v>
      </c>
      <c r="FV15" s="69">
        <v>0.46537039333517399</v>
      </c>
      <c r="FW15" s="70">
        <v>0.64223508568769261</v>
      </c>
      <c r="FX15" s="69">
        <v>-14.284932497245862</v>
      </c>
      <c r="FY15" s="69">
        <v>23.101561660119003</v>
      </c>
      <c r="GA15" s="52" t="s">
        <v>365</v>
      </c>
      <c r="GB15" s="69">
        <v>31.42829379012619</v>
      </c>
      <c r="GC15" s="69">
        <v>23.543153408160098</v>
      </c>
      <c r="GD15" s="69">
        <v>1.3349228646334645</v>
      </c>
      <c r="GE15" s="70">
        <v>0.18360644851760344</v>
      </c>
      <c r="GF15" s="69">
        <v>-15.031315201710058</v>
      </c>
      <c r="GG15" s="69">
        <v>77.887902781962438</v>
      </c>
    </row>
    <row r="16" spans="1:189" ht="15" customHeight="1" x14ac:dyDescent="0.25">
      <c r="A16" s="27" t="s">
        <v>38</v>
      </c>
      <c r="B16" s="28">
        <v>2000</v>
      </c>
      <c r="C16" s="29" t="s">
        <v>19</v>
      </c>
      <c r="D16" s="87">
        <v>68</v>
      </c>
      <c r="E16" s="28">
        <v>247</v>
      </c>
      <c r="F16" s="31">
        <v>13.97</v>
      </c>
      <c r="G16" s="28">
        <v>24.249478459999999</v>
      </c>
      <c r="H16" s="30">
        <v>54.4</v>
      </c>
      <c r="I16" s="32">
        <v>99</v>
      </c>
      <c r="J16" s="28">
        <v>6.13</v>
      </c>
      <c r="K16" s="32">
        <v>99</v>
      </c>
      <c r="L16" s="33">
        <v>1276.288</v>
      </c>
      <c r="M16" s="34">
        <v>9979610</v>
      </c>
      <c r="N16" s="31">
        <v>8.9</v>
      </c>
      <c r="O16" s="31">
        <v>36.700000000000003</v>
      </c>
      <c r="P16" s="74">
        <v>57.4</v>
      </c>
      <c r="Q16" s="74">
        <v>5.5</v>
      </c>
      <c r="R16" s="74">
        <v>12.1</v>
      </c>
      <c r="S16" s="35">
        <f t="shared" si="0"/>
        <v>0</v>
      </c>
      <c r="T16" s="35">
        <f t="shared" si="1"/>
        <v>0</v>
      </c>
      <c r="U16" s="35">
        <f t="shared" si="2"/>
        <v>0</v>
      </c>
      <c r="V16" s="36">
        <f t="shared" si="3"/>
        <v>0</v>
      </c>
      <c r="X16" s="56" t="s">
        <v>470</v>
      </c>
      <c r="Y16" s="57">
        <f>_xll.StatCorrelationCoeff( ST_CurrenthealthexpenditureCHEaspercentageofgrossdomesticproductGDP,ST_Lifeexpectancy)</f>
        <v>0.22007193257587251</v>
      </c>
      <c r="Z16" s="57">
        <f>_xll.StatCorrelationCoeff( ST_CurrenthealthexpenditureCHEaspercentageofgrossdomesticproductGDP,ST_AdultMortality)</f>
        <v>-7.4072811568974772E-2</v>
      </c>
      <c r="AA16" s="57">
        <f>_xll.StatCorrelationCoeff( ST_CurrenthealthexpenditureCHEaspercentageofgrossdomesticproductGDP,ST_Alcohol)</f>
        <v>0.36848220957285083</v>
      </c>
      <c r="AB16" s="57">
        <f>_xll.StatCorrelationCoeff( ST_CurrenthealthexpenditureCHEaspercentageofgrossdomesticproductGDP,ST_PercentageExpenditure)</f>
        <v>0.29102499617323546</v>
      </c>
      <c r="AC16" s="57">
        <f>_xll.StatCorrelationCoeff( ST_CurrenthealthexpenditureCHEaspercentageofgrossdomesticproductGDP,ST_BMI)</f>
        <v>0.21137377012239614</v>
      </c>
      <c r="AD16" s="57">
        <f>_xll.StatCorrelationCoeff( ST_CurrenthealthexpenditureCHEaspercentageofgrossdomesticproductGDP,ST_polio)</f>
        <v>0.23916094034342733</v>
      </c>
      <c r="AE16" s="57">
        <f>_xll.StatCorrelationCoeff( ST_CurrenthealthexpenditureCHEaspercentageofgrossdomesticproductGDP,ST_Totalexpenditure)</f>
        <v>0.68540153534361092</v>
      </c>
      <c r="AF16" s="57">
        <f>_xll.StatCorrelationCoeff( ST_CurrenthealthexpenditureCHEaspercentageofgrossdomesticproductGDP,ST_Diphtheria)</f>
        <v>0.23417471664593495</v>
      </c>
      <c r="AG16" s="57">
        <f>_xll.StatCorrelationCoeff( ST_CurrenthealthexpenditureCHEaspercentageofgrossdomesticproductGDP,ST_GDP)</f>
        <v>0.27790894315754977</v>
      </c>
      <c r="AH16" s="57">
        <f>_xll.StatCorrelationCoeff( ST_CurrenthealthexpenditureCHEaspercentageofgrossdomesticproductGDP,ST_Population)</f>
        <v>3.4272902740455406E-2</v>
      </c>
      <c r="AI16" s="57">
        <f>_xll.StatCorrelationCoeff( ST_CurrenthealthexpenditureCHEaspercentageofgrossdomesticproductGDP,ST_Schooling)</f>
        <v>0.25992334562329877</v>
      </c>
      <c r="AJ16" s="57">
        <f>_xll.StatCorrelationCoeff( ST_CurrenthealthexpenditureCHEaspercentageofgrossdomesticproductGDP,ST_Smokingprevalence)</f>
        <v>0.31427967707657933</v>
      </c>
      <c r="AK16" s="57">
        <f>_xll.StatCorrelationCoeff( ST_CurrenthealthexpenditureCHEaspercentageofgrossdomesticproductGDP,ST_CurrenthealthexpenditureCHEpercapitainUS)</f>
        <v>0.4853871740363167</v>
      </c>
      <c r="AL16" s="57">
        <v>1</v>
      </c>
      <c r="AM16" s="57"/>
      <c r="DV16" s="52" t="s">
        <v>10</v>
      </c>
      <c r="DW16" s="69">
        <v>0.17892782634939408</v>
      </c>
      <c r="DX16" s="69">
        <v>7.7933188354926006E-2</v>
      </c>
      <c r="DY16" s="69">
        <v>2.2959130779368966</v>
      </c>
      <c r="DZ16" s="70">
        <v>2.284649903955949E-2</v>
      </c>
      <c r="EA16" s="69">
        <v>2.5135961866107337E-2</v>
      </c>
      <c r="EB16" s="69">
        <v>0.33271969083268083</v>
      </c>
      <c r="ED16" s="52" t="s">
        <v>10</v>
      </c>
      <c r="EE16" s="69">
        <v>0.17077889719582595</v>
      </c>
      <c r="EF16" s="69">
        <v>7.4113229666737196E-2</v>
      </c>
      <c r="EG16" s="69">
        <v>2.3042970595636225</v>
      </c>
      <c r="EH16" s="70">
        <v>2.2374044150796916E-2</v>
      </c>
      <c r="EI16" s="69">
        <v>2.4513889864559907E-2</v>
      </c>
      <c r="EJ16" s="69">
        <v>0.31704390452709197</v>
      </c>
      <c r="FK16" s="82" t="s">
        <v>366</v>
      </c>
      <c r="FL16" s="69">
        <v>-0.16942061451101154</v>
      </c>
      <c r="FM16" s="69">
        <v>0.20255738883486885</v>
      </c>
      <c r="FN16" s="69">
        <v>-0.83640797052892768</v>
      </c>
      <c r="FO16" s="70">
        <v>0.40404686598851292</v>
      </c>
      <c r="FP16" s="69">
        <v>-0.56914349447209467</v>
      </c>
      <c r="FQ16" s="69">
        <v>0.2303022654500716</v>
      </c>
      <c r="FS16" s="82" t="s">
        <v>367</v>
      </c>
      <c r="FT16" s="69">
        <v>0.16127827611222756</v>
      </c>
      <c r="FU16" s="69">
        <v>0.91221042556951137</v>
      </c>
      <c r="FV16" s="69">
        <v>0.17679942214159444</v>
      </c>
      <c r="FW16" s="70">
        <v>0.8598669478703046</v>
      </c>
      <c r="FX16" s="69">
        <v>-1.6388603440416356</v>
      </c>
      <c r="FY16" s="69">
        <v>1.9614168962660907</v>
      </c>
      <c r="GA16" s="81" t="s">
        <v>368</v>
      </c>
      <c r="GB16" s="69">
        <v>-0.27090171338545588</v>
      </c>
      <c r="GC16" s="69">
        <v>0.25104893563973329</v>
      </c>
      <c r="GD16" s="69">
        <v>-1.0790793145373547</v>
      </c>
      <c r="GE16" s="70">
        <v>0.2820124156787927</v>
      </c>
      <c r="GF16" s="69">
        <v>-0.76631688506742934</v>
      </c>
      <c r="GG16" s="69">
        <v>0.22451345829651753</v>
      </c>
    </row>
    <row r="17" spans="1:140" ht="15" customHeight="1" x14ac:dyDescent="0.25">
      <c r="A17" s="27" t="s">
        <v>39</v>
      </c>
      <c r="B17" s="28">
        <v>2000</v>
      </c>
      <c r="C17" s="29" t="s">
        <v>31</v>
      </c>
      <c r="D17" s="87">
        <v>77.599999999999994</v>
      </c>
      <c r="E17" s="28">
        <v>11</v>
      </c>
      <c r="F17" s="31">
        <v>10.1</v>
      </c>
      <c r="G17" s="28">
        <v>287.2084529</v>
      </c>
      <c r="H17" s="30">
        <v>58.1</v>
      </c>
      <c r="I17" s="32">
        <v>96</v>
      </c>
      <c r="J17" s="28">
        <v>8.1199999999999992</v>
      </c>
      <c r="K17" s="32">
        <v>95</v>
      </c>
      <c r="L17" s="33">
        <v>2327.4589999999998</v>
      </c>
      <c r="M17" s="34">
        <v>10251250</v>
      </c>
      <c r="N17" s="31">
        <v>10</v>
      </c>
      <c r="O17" s="31">
        <v>37.4</v>
      </c>
      <c r="P17" s="74">
        <v>1843.2</v>
      </c>
      <c r="Q17" s="74">
        <v>7.9</v>
      </c>
      <c r="R17" s="74">
        <v>0</v>
      </c>
      <c r="S17" s="35">
        <f t="shared" si="0"/>
        <v>1</v>
      </c>
      <c r="T17" s="35">
        <f t="shared" si="1"/>
        <v>96</v>
      </c>
      <c r="U17" s="35">
        <f t="shared" si="2"/>
        <v>10</v>
      </c>
      <c r="V17" s="36">
        <f t="shared" si="3"/>
        <v>95</v>
      </c>
      <c r="X17" s="107" t="s">
        <v>17</v>
      </c>
      <c r="Y17" s="57">
        <f>_xll.StatCorrelationCoeff( ST_DomesticgeneralgovernmenthealthexpenditureGGHEDaspercentageofgeneralgovernmentexpenditureGGE,ST_Lifeexpectancy)</f>
        <v>3.8203657598779431E-2</v>
      </c>
      <c r="Z17" s="57">
        <f>_xll.StatCorrelationCoeff( ST_DomesticgeneralgovernmenthealthexpenditureGGHEDaspercentageofgeneralgovernmentexpenditureGGE,ST_AdultMortality)</f>
        <v>-4.0116770658543188E-2</v>
      </c>
      <c r="AA17" s="57">
        <f>_xll.StatCorrelationCoeff( ST_DomesticgeneralgovernmenthealthexpenditureGGHEDaspercentageofgeneralgovernmentexpenditureGGE,ST_Alcohol)</f>
        <v>-4.7005092282204769E-4</v>
      </c>
      <c r="AB17" s="57">
        <f>_xll.StatCorrelationCoeff( ST_DomesticgeneralgovernmenthealthexpenditureGGHEDaspercentageofgeneralgovernmentexpenditureGGE,ST_PercentageExpenditure)</f>
        <v>-0.10947642708510795</v>
      </c>
      <c r="AC17" s="57">
        <f>_xll.StatCorrelationCoeff( ST_DomesticgeneralgovernmenthealthexpenditureGGHEDaspercentageofgeneralgovernmentexpenditureGGE,ST_BMI)</f>
        <v>6.920552049435906E-2</v>
      </c>
      <c r="AD17" s="57">
        <f>_xll.StatCorrelationCoeff( ST_DomesticgeneralgovernmenthealthexpenditureGGHEDaspercentageofgeneralgovernmentexpenditureGGE,ST_polio)</f>
        <v>0.1212927783650813</v>
      </c>
      <c r="AE17" s="57">
        <f>_xll.StatCorrelationCoeff( ST_DomesticgeneralgovernmenthealthexpenditureGGHEDaspercentageofgeneralgovernmentexpenditureGGE,ST_Totalexpenditure)</f>
        <v>0.18910776852197822</v>
      </c>
      <c r="AF17" s="57">
        <f>_xll.StatCorrelationCoeff( ST_DomesticgeneralgovernmenthealthexpenditureGGHEDaspercentageofgeneralgovernmentexpenditureGGE,ST_Diphtheria)</f>
        <v>0.12505611667805613</v>
      </c>
      <c r="AG17" s="57">
        <f>_xll.StatCorrelationCoeff( ST_DomesticgeneralgovernmenthealthexpenditureGGHEDaspercentageofgeneralgovernmentexpenditureGGE,ST_GDP)</f>
        <v>-4.6944832720926671E-2</v>
      </c>
      <c r="AH17" s="57">
        <f>_xll.StatCorrelationCoeff( ST_DomesticgeneralgovernmenthealthexpenditureGGHEDaspercentageofgeneralgovernmentexpenditureGGE,ST_Population)</f>
        <v>-4.3661729584115974E-2</v>
      </c>
      <c r="AI17" s="57">
        <f>_xll.StatCorrelationCoeff( ST_DomesticgeneralgovernmenthealthexpenditureGGHEDaspercentageofgeneralgovernmentexpenditureGGE,ST_Schooling)</f>
        <v>2.2635627067239261E-2</v>
      </c>
      <c r="AJ17" s="57">
        <f>_xll.StatCorrelationCoeff( ST_DomesticgeneralgovernmenthealthexpenditureGGHEDaspercentageofgeneralgovernmentexpenditureGGE,ST_Smokingprevalence)</f>
        <v>-1.4466408580866758E-2</v>
      </c>
      <c r="AK17" s="57">
        <f>_xll.StatCorrelationCoeff( ST_DomesticgeneralgovernmenthealthexpenditureGGHEDaspercentageofgeneralgovernmentexpenditureGGE,ST_CurrenthealthexpenditureCHEpercapitainUS)</f>
        <v>-1.8073885848007655E-2</v>
      </c>
      <c r="AL17" s="57">
        <f>_xll.StatCorrelationCoeff( ST_DomesticgeneralgovernmenthealthexpenditureGGHEDaspercentageofgeneralgovernmentexpenditureGGE,ST_CurrenthealthexpenditureCHEaspercentageofgrossdomesticproductGDP)</f>
        <v>0.29823069813086978</v>
      </c>
      <c r="AM17" s="57">
        <v>1</v>
      </c>
      <c r="ED17" s="52" t="s">
        <v>13</v>
      </c>
      <c r="EE17" s="69">
        <v>0.72221999442534468</v>
      </c>
      <c r="EF17" s="69">
        <v>0.16428823366962009</v>
      </c>
      <c r="EG17" s="69">
        <v>4.3960542900334101</v>
      </c>
      <c r="EH17" s="70">
        <v>1.9024607934841614E-5</v>
      </c>
      <c r="EI17" s="69">
        <v>0.39799151578285363</v>
      </c>
      <c r="EJ17" s="69">
        <v>1.0464484730678358</v>
      </c>
    </row>
    <row r="18" spans="1:140" ht="15" customHeight="1" x14ac:dyDescent="0.25">
      <c r="A18" s="27" t="s">
        <v>40</v>
      </c>
      <c r="B18" s="28">
        <v>2000</v>
      </c>
      <c r="C18" s="29" t="s">
        <v>19</v>
      </c>
      <c r="D18" s="87">
        <v>68.3</v>
      </c>
      <c r="E18" s="28">
        <v>196</v>
      </c>
      <c r="F18" s="31">
        <v>6.45</v>
      </c>
      <c r="G18" s="28">
        <v>219.02398360000001</v>
      </c>
      <c r="H18" s="30">
        <v>4.8</v>
      </c>
      <c r="I18" s="32">
        <v>91</v>
      </c>
      <c r="J18" s="28">
        <v>3.98</v>
      </c>
      <c r="K18" s="32">
        <v>91</v>
      </c>
      <c r="L18" s="33">
        <v>3364.424</v>
      </c>
      <c r="M18" s="34">
        <v>247315</v>
      </c>
      <c r="N18" s="31">
        <v>10.1</v>
      </c>
      <c r="O18" s="31">
        <v>0</v>
      </c>
      <c r="P18" s="74">
        <v>132.6</v>
      </c>
      <c r="Q18" s="74">
        <v>3.9</v>
      </c>
      <c r="R18" s="74">
        <v>5.8</v>
      </c>
      <c r="S18" s="35">
        <f t="shared" si="0"/>
        <v>0</v>
      </c>
      <c r="T18" s="35">
        <f t="shared" si="1"/>
        <v>0</v>
      </c>
      <c r="U18" s="35">
        <f t="shared" si="2"/>
        <v>0</v>
      </c>
      <c r="V18" s="36">
        <f t="shared" si="3"/>
        <v>0</v>
      </c>
    </row>
    <row r="19" spans="1:140" ht="15" customHeight="1" x14ac:dyDescent="0.25">
      <c r="A19" s="27" t="s">
        <v>41</v>
      </c>
      <c r="B19" s="28">
        <v>2000</v>
      </c>
      <c r="C19" s="29" t="s">
        <v>19</v>
      </c>
      <c r="D19" s="87">
        <v>55.4</v>
      </c>
      <c r="E19" s="28">
        <v>279</v>
      </c>
      <c r="F19" s="31">
        <v>1.21</v>
      </c>
      <c r="G19" s="28">
        <v>37.381820179999998</v>
      </c>
      <c r="H19" s="30">
        <v>18.399999999999999</v>
      </c>
      <c r="I19" s="32">
        <v>78</v>
      </c>
      <c r="J19" s="28">
        <v>4.34</v>
      </c>
      <c r="K19" s="32">
        <v>78</v>
      </c>
      <c r="L19" s="28">
        <v>374.19200000000001</v>
      </c>
      <c r="M19" s="34">
        <v>6865951</v>
      </c>
      <c r="N19" s="31">
        <v>2.6</v>
      </c>
      <c r="O19" s="31">
        <v>9.1</v>
      </c>
      <c r="P19" s="74">
        <v>16</v>
      </c>
      <c r="Q19" s="74">
        <v>4.3</v>
      </c>
      <c r="R19" s="74">
        <v>6.2</v>
      </c>
      <c r="S19" s="35">
        <f t="shared" si="0"/>
        <v>0</v>
      </c>
      <c r="T19" s="35">
        <f t="shared" si="1"/>
        <v>0</v>
      </c>
      <c r="U19" s="35">
        <f t="shared" si="2"/>
        <v>0</v>
      </c>
      <c r="V19" s="36">
        <f t="shared" si="3"/>
        <v>0</v>
      </c>
    </row>
    <row r="20" spans="1:140" ht="15" customHeight="1" x14ac:dyDescent="0.25">
      <c r="A20" s="27" t="s">
        <v>42</v>
      </c>
      <c r="B20" s="28">
        <v>2000</v>
      </c>
      <c r="C20" s="29" t="s">
        <v>19</v>
      </c>
      <c r="D20" s="87">
        <v>62</v>
      </c>
      <c r="E20" s="28">
        <v>312</v>
      </c>
      <c r="F20" s="31">
        <v>0.22</v>
      </c>
      <c r="G20" s="28">
        <v>93.358728439999993</v>
      </c>
      <c r="H20" s="30">
        <v>13.9</v>
      </c>
      <c r="I20" s="32">
        <v>98</v>
      </c>
      <c r="J20" s="28">
        <v>6.91</v>
      </c>
      <c r="K20" s="32">
        <v>92</v>
      </c>
      <c r="L20" s="28">
        <v>765.86300000000006</v>
      </c>
      <c r="M20" s="34">
        <v>573416</v>
      </c>
      <c r="N20" s="31">
        <v>0.6</v>
      </c>
      <c r="O20" s="31">
        <v>0</v>
      </c>
      <c r="P20" s="74">
        <v>31.7</v>
      </c>
      <c r="Q20" s="74">
        <v>4.2</v>
      </c>
      <c r="R20" s="74" t="s">
        <v>25</v>
      </c>
      <c r="S20" s="35">
        <f t="shared" si="0"/>
        <v>0</v>
      </c>
      <c r="T20" s="35">
        <f t="shared" si="1"/>
        <v>0</v>
      </c>
      <c r="U20" s="35">
        <f t="shared" si="2"/>
        <v>0</v>
      </c>
      <c r="V20" s="36">
        <f t="shared" si="3"/>
        <v>0</v>
      </c>
    </row>
    <row r="21" spans="1:140" ht="15" customHeight="1" x14ac:dyDescent="0.25">
      <c r="A21" s="27" t="s">
        <v>43</v>
      </c>
      <c r="B21" s="28">
        <v>2000</v>
      </c>
      <c r="C21" s="29" t="s">
        <v>19</v>
      </c>
      <c r="D21" s="87">
        <v>62.6</v>
      </c>
      <c r="E21" s="28">
        <v>243</v>
      </c>
      <c r="F21" s="31">
        <v>3.83</v>
      </c>
      <c r="G21" s="28">
        <v>0</v>
      </c>
      <c r="H21" s="30">
        <v>42.6</v>
      </c>
      <c r="I21" s="32">
        <v>74</v>
      </c>
      <c r="J21" s="28">
        <v>5.67</v>
      </c>
      <c r="K21" s="32">
        <v>75</v>
      </c>
      <c r="L21" s="33">
        <v>1007</v>
      </c>
      <c r="M21" s="34">
        <v>8339512</v>
      </c>
      <c r="N21" s="31">
        <v>7.4</v>
      </c>
      <c r="O21" s="31">
        <v>0</v>
      </c>
      <c r="P21" s="74">
        <v>43.5</v>
      </c>
      <c r="Q21" s="74">
        <v>4.3</v>
      </c>
      <c r="R21" s="74">
        <v>8.3000000000000007</v>
      </c>
      <c r="S21" s="35">
        <f t="shared" si="0"/>
        <v>0</v>
      </c>
      <c r="T21" s="35">
        <f t="shared" si="1"/>
        <v>0</v>
      </c>
      <c r="U21" s="35">
        <f t="shared" si="2"/>
        <v>0</v>
      </c>
      <c r="V21" s="36">
        <f t="shared" si="3"/>
        <v>0</v>
      </c>
    </row>
    <row r="22" spans="1:140" ht="15" customHeight="1" x14ac:dyDescent="0.25">
      <c r="A22" s="27" t="s">
        <v>44</v>
      </c>
      <c r="B22" s="28">
        <v>2000</v>
      </c>
      <c r="C22" s="29" t="s">
        <v>19</v>
      </c>
      <c r="D22" s="87">
        <v>74.599999999999994</v>
      </c>
      <c r="E22" s="28">
        <v>116</v>
      </c>
      <c r="F22" s="31">
        <v>4.71</v>
      </c>
      <c r="G22" s="28">
        <v>165.61686420000001</v>
      </c>
      <c r="H22" s="30">
        <v>47.6</v>
      </c>
      <c r="I22" s="32">
        <v>87</v>
      </c>
      <c r="J22" s="28">
        <v>7.9</v>
      </c>
      <c r="K22" s="32">
        <v>85</v>
      </c>
      <c r="L22" s="33">
        <v>1461.7550000000001</v>
      </c>
      <c r="M22" s="34">
        <v>3766706</v>
      </c>
      <c r="N22" s="31">
        <v>7</v>
      </c>
      <c r="O22" s="31">
        <v>47.7</v>
      </c>
      <c r="P22" s="74">
        <v>105</v>
      </c>
      <c r="Q22" s="74">
        <v>7.1</v>
      </c>
      <c r="R22" s="74">
        <v>7.3</v>
      </c>
      <c r="S22" s="35">
        <f t="shared" si="0"/>
        <v>0</v>
      </c>
      <c r="T22" s="35">
        <f t="shared" si="1"/>
        <v>0</v>
      </c>
      <c r="U22" s="35">
        <f t="shared" si="2"/>
        <v>0</v>
      </c>
      <c r="V22" s="36">
        <f t="shared" si="3"/>
        <v>0</v>
      </c>
    </row>
    <row r="23" spans="1:140" ht="15" customHeight="1" x14ac:dyDescent="0.25">
      <c r="A23" s="27" t="s">
        <v>45</v>
      </c>
      <c r="B23" s="28">
        <v>2000</v>
      </c>
      <c r="C23" s="29" t="s">
        <v>19</v>
      </c>
      <c r="D23" s="87">
        <v>47.8</v>
      </c>
      <c r="E23" s="28">
        <v>647</v>
      </c>
      <c r="F23" s="31">
        <v>5.3</v>
      </c>
      <c r="G23" s="28">
        <v>250.89164840000001</v>
      </c>
      <c r="H23" s="30">
        <v>29.9</v>
      </c>
      <c r="I23" s="32">
        <v>97</v>
      </c>
      <c r="J23" s="28">
        <v>4.6399999999999997</v>
      </c>
      <c r="K23" s="32">
        <v>97</v>
      </c>
      <c r="L23" s="33">
        <v>3349.6880000000001</v>
      </c>
      <c r="M23" s="34">
        <v>1728340</v>
      </c>
      <c r="N23" s="31">
        <v>7.6</v>
      </c>
      <c r="O23" s="31">
        <v>19.5</v>
      </c>
      <c r="P23" s="74">
        <v>194.8</v>
      </c>
      <c r="Q23" s="74">
        <v>5.8</v>
      </c>
      <c r="R23" s="74">
        <v>10.9</v>
      </c>
      <c r="S23" s="35">
        <f t="shared" si="0"/>
        <v>0</v>
      </c>
      <c r="T23" s="35">
        <f t="shared" si="1"/>
        <v>0</v>
      </c>
      <c r="U23" s="35">
        <f t="shared" si="2"/>
        <v>0</v>
      </c>
      <c r="V23" s="36">
        <f t="shared" si="3"/>
        <v>0</v>
      </c>
    </row>
    <row r="24" spans="1:140" ht="15" customHeight="1" x14ac:dyDescent="0.25">
      <c r="A24" s="27" t="s">
        <v>46</v>
      </c>
      <c r="B24" s="28">
        <v>2000</v>
      </c>
      <c r="C24" s="29" t="s">
        <v>19</v>
      </c>
      <c r="D24" s="87">
        <v>75</v>
      </c>
      <c r="E24" s="28">
        <v>183</v>
      </c>
      <c r="F24" s="31">
        <v>7.21</v>
      </c>
      <c r="G24" s="28">
        <v>179.47772929999999</v>
      </c>
      <c r="H24" s="30">
        <v>43.7</v>
      </c>
      <c r="I24" s="32">
        <v>99</v>
      </c>
      <c r="J24" s="28">
        <v>7.3</v>
      </c>
      <c r="K24" s="32">
        <v>98</v>
      </c>
      <c r="L24" s="33">
        <v>3739.1190000000001</v>
      </c>
      <c r="M24" s="34">
        <v>175287587</v>
      </c>
      <c r="N24" s="31">
        <v>5.6</v>
      </c>
      <c r="O24" s="31">
        <v>25.2</v>
      </c>
      <c r="P24" s="74">
        <v>313.10000000000002</v>
      </c>
      <c r="Q24" s="74">
        <v>8.4</v>
      </c>
      <c r="R24" s="74">
        <v>10.1</v>
      </c>
      <c r="S24" s="35">
        <f t="shared" si="0"/>
        <v>0</v>
      </c>
      <c r="T24" s="35">
        <f t="shared" si="1"/>
        <v>0</v>
      </c>
      <c r="U24" s="35">
        <f t="shared" si="2"/>
        <v>0</v>
      </c>
      <c r="V24" s="36">
        <f t="shared" si="3"/>
        <v>0</v>
      </c>
    </row>
    <row r="25" spans="1:140" ht="15" customHeight="1" x14ac:dyDescent="0.25">
      <c r="A25" s="27" t="s">
        <v>47</v>
      </c>
      <c r="B25" s="28">
        <v>2000</v>
      </c>
      <c r="C25" s="29" t="s">
        <v>19</v>
      </c>
      <c r="D25" s="87">
        <v>74.400000000000006</v>
      </c>
      <c r="E25" s="28">
        <v>16</v>
      </c>
      <c r="F25" s="31">
        <v>0.25</v>
      </c>
      <c r="G25" s="28">
        <v>11.796861079999999</v>
      </c>
      <c r="H25" s="30">
        <v>26.1</v>
      </c>
      <c r="I25" s="32">
        <v>99</v>
      </c>
      <c r="J25" s="28">
        <v>3.5</v>
      </c>
      <c r="K25" s="32">
        <v>99</v>
      </c>
      <c r="L25" s="28">
        <v>188.44800000000001</v>
      </c>
      <c r="M25" s="34">
        <v>333241</v>
      </c>
      <c r="N25" s="31">
        <v>8.3000000000000007</v>
      </c>
      <c r="O25" s="31">
        <v>17</v>
      </c>
      <c r="P25" s="74">
        <v>508.4</v>
      </c>
      <c r="Q25" s="74">
        <v>2.5</v>
      </c>
      <c r="R25" s="74">
        <v>5.7</v>
      </c>
      <c r="S25" s="35">
        <f t="shared" si="0"/>
        <v>0</v>
      </c>
      <c r="T25" s="35">
        <f t="shared" si="1"/>
        <v>0</v>
      </c>
      <c r="U25" s="35">
        <f t="shared" si="2"/>
        <v>0</v>
      </c>
      <c r="V25" s="36">
        <f t="shared" si="3"/>
        <v>0</v>
      </c>
    </row>
    <row r="26" spans="1:140" ht="15" customHeight="1" x14ac:dyDescent="0.25">
      <c r="A26" s="27" t="s">
        <v>48</v>
      </c>
      <c r="B26" s="28">
        <v>2000</v>
      </c>
      <c r="C26" s="29" t="s">
        <v>31</v>
      </c>
      <c r="D26" s="87">
        <v>71.099999999999994</v>
      </c>
      <c r="E26" s="28">
        <v>163</v>
      </c>
      <c r="F26" s="31">
        <v>10.96</v>
      </c>
      <c r="G26" s="28">
        <v>15.2357274</v>
      </c>
      <c r="H26" s="30">
        <v>57</v>
      </c>
      <c r="I26" s="32">
        <v>94</v>
      </c>
      <c r="J26" s="28">
        <v>6.7</v>
      </c>
      <c r="K26" s="32">
        <v>93</v>
      </c>
      <c r="L26" s="28">
        <v>169.286</v>
      </c>
      <c r="M26" s="34">
        <v>8170172</v>
      </c>
      <c r="N26" s="31">
        <v>9.5</v>
      </c>
      <c r="O26" s="31">
        <v>52</v>
      </c>
      <c r="P26" s="74">
        <v>94.5</v>
      </c>
      <c r="Q26" s="74">
        <v>5.9</v>
      </c>
      <c r="R26" s="74">
        <v>8.5</v>
      </c>
      <c r="S26" s="35">
        <f t="shared" si="0"/>
        <v>1</v>
      </c>
      <c r="T26" s="35">
        <f t="shared" si="1"/>
        <v>94</v>
      </c>
      <c r="U26" s="35">
        <f t="shared" si="2"/>
        <v>9.5</v>
      </c>
      <c r="V26" s="36">
        <f t="shared" si="3"/>
        <v>93</v>
      </c>
    </row>
    <row r="27" spans="1:140" ht="15" customHeight="1" x14ac:dyDescent="0.25">
      <c r="A27" s="27" t="s">
        <v>49</v>
      </c>
      <c r="B27" s="28">
        <v>2000</v>
      </c>
      <c r="C27" s="29" t="s">
        <v>19</v>
      </c>
      <c r="D27" s="87">
        <v>51</v>
      </c>
      <c r="E27" s="28">
        <v>348</v>
      </c>
      <c r="F27" s="31">
        <v>4.57</v>
      </c>
      <c r="G27" s="28">
        <v>19.839295969999998</v>
      </c>
      <c r="H27" s="30">
        <v>12.2</v>
      </c>
      <c r="I27" s="32">
        <v>45</v>
      </c>
      <c r="J27" s="28">
        <v>5.6</v>
      </c>
      <c r="K27" s="32">
        <v>45</v>
      </c>
      <c r="L27" s="28">
        <v>226.476</v>
      </c>
      <c r="M27" s="34">
        <v>11607942</v>
      </c>
      <c r="N27" s="31">
        <v>1.2</v>
      </c>
      <c r="O27" s="31">
        <v>17.2</v>
      </c>
      <c r="P27" s="74">
        <v>7.5</v>
      </c>
      <c r="Q27" s="74">
        <v>3.3</v>
      </c>
      <c r="R27" s="74">
        <v>4.7</v>
      </c>
      <c r="S27" s="35">
        <f t="shared" si="0"/>
        <v>0</v>
      </c>
      <c r="T27" s="35">
        <f t="shared" si="1"/>
        <v>0</v>
      </c>
      <c r="U27" s="35">
        <f t="shared" si="2"/>
        <v>0</v>
      </c>
      <c r="V27" s="36">
        <f t="shared" si="3"/>
        <v>0</v>
      </c>
    </row>
    <row r="28" spans="1:140" ht="15" customHeight="1" x14ac:dyDescent="0.25">
      <c r="A28" s="27" t="s">
        <v>50</v>
      </c>
      <c r="B28" s="28">
        <v>2000</v>
      </c>
      <c r="C28" s="29" t="s">
        <v>19</v>
      </c>
      <c r="D28" s="87">
        <v>58</v>
      </c>
      <c r="E28" s="28">
        <v>386</v>
      </c>
      <c r="F28" s="31">
        <v>4.05</v>
      </c>
      <c r="G28" s="28">
        <v>9.6966891640000004</v>
      </c>
      <c r="H28" s="30">
        <v>12.8</v>
      </c>
      <c r="I28" s="32">
        <v>71</v>
      </c>
      <c r="J28" s="28">
        <v>4.9800000000000004</v>
      </c>
      <c r="K28" s="32">
        <v>80</v>
      </c>
      <c r="L28" s="28">
        <v>135.99799999999999</v>
      </c>
      <c r="M28" s="34">
        <v>6400706</v>
      </c>
      <c r="N28" s="31">
        <v>1.8</v>
      </c>
      <c r="O28" s="31">
        <v>0</v>
      </c>
      <c r="P28" s="74">
        <v>9.1999999999999993</v>
      </c>
      <c r="Q28" s="74">
        <v>6.8</v>
      </c>
      <c r="R28" s="74">
        <v>5.9</v>
      </c>
      <c r="S28" s="35">
        <f t="shared" si="0"/>
        <v>0</v>
      </c>
      <c r="T28" s="35">
        <f t="shared" si="1"/>
        <v>0</v>
      </c>
      <c r="U28" s="35">
        <f t="shared" si="2"/>
        <v>0</v>
      </c>
      <c r="V28" s="36">
        <f t="shared" si="3"/>
        <v>0</v>
      </c>
    </row>
    <row r="29" spans="1:140" ht="15" customHeight="1" x14ac:dyDescent="0.25">
      <c r="A29" s="27" t="s">
        <v>51</v>
      </c>
      <c r="B29" s="28">
        <v>2000</v>
      </c>
      <c r="C29" s="29" t="s">
        <v>19</v>
      </c>
      <c r="D29" s="87">
        <v>47.9</v>
      </c>
      <c r="E29" s="28">
        <v>461</v>
      </c>
      <c r="F29" s="31">
        <v>4.24</v>
      </c>
      <c r="G29" s="28">
        <v>0</v>
      </c>
      <c r="H29" s="30">
        <v>19.399999999999999</v>
      </c>
      <c r="I29" s="32">
        <v>71</v>
      </c>
      <c r="J29" s="28">
        <v>6</v>
      </c>
      <c r="K29" s="32">
        <v>80</v>
      </c>
      <c r="L29" s="28">
        <v>642.25</v>
      </c>
      <c r="M29" s="34">
        <v>16686561</v>
      </c>
      <c r="N29" s="31">
        <v>3.3</v>
      </c>
      <c r="O29" s="31">
        <v>0</v>
      </c>
      <c r="P29" s="74">
        <v>36.4</v>
      </c>
      <c r="Q29" s="74">
        <v>5.7</v>
      </c>
      <c r="R29" s="74">
        <v>4.5</v>
      </c>
      <c r="S29" s="35">
        <f t="shared" si="0"/>
        <v>0</v>
      </c>
      <c r="T29" s="35">
        <f t="shared" si="1"/>
        <v>0</v>
      </c>
      <c r="U29" s="35">
        <f t="shared" si="2"/>
        <v>0</v>
      </c>
      <c r="V29" s="36">
        <f t="shared" si="3"/>
        <v>0</v>
      </c>
    </row>
    <row r="30" spans="1:140" ht="15" customHeight="1" x14ac:dyDescent="0.25">
      <c r="A30" s="27" t="s">
        <v>52</v>
      </c>
      <c r="B30" s="28">
        <v>2000</v>
      </c>
      <c r="C30" s="29" t="s">
        <v>19</v>
      </c>
      <c r="D30" s="87">
        <v>69.900000000000006</v>
      </c>
      <c r="E30" s="28">
        <v>155</v>
      </c>
      <c r="F30" s="31">
        <v>4.45</v>
      </c>
      <c r="G30" s="28">
        <v>122.5744699</v>
      </c>
      <c r="H30" s="30">
        <v>21.5</v>
      </c>
      <c r="I30" s="32">
        <v>90</v>
      </c>
      <c r="J30" s="28">
        <v>4.8099999999999996</v>
      </c>
      <c r="K30" s="32">
        <v>90</v>
      </c>
      <c r="L30" s="33">
        <v>1239.3779999999999</v>
      </c>
      <c r="M30" s="34">
        <v>435079</v>
      </c>
      <c r="N30" s="31">
        <v>3.5</v>
      </c>
      <c r="O30" s="31">
        <v>13</v>
      </c>
      <c r="P30" s="74">
        <v>60.1</v>
      </c>
      <c r="Q30" s="74">
        <v>4.8</v>
      </c>
      <c r="R30" s="74">
        <v>7.5</v>
      </c>
      <c r="S30" s="35">
        <f t="shared" si="0"/>
        <v>0</v>
      </c>
      <c r="T30" s="35">
        <f t="shared" si="1"/>
        <v>0</v>
      </c>
      <c r="U30" s="35">
        <f t="shared" si="2"/>
        <v>0</v>
      </c>
      <c r="V30" s="36">
        <f t="shared" si="3"/>
        <v>0</v>
      </c>
    </row>
    <row r="31" spans="1:140" ht="15" customHeight="1" x14ac:dyDescent="0.25">
      <c r="A31" s="27" t="s">
        <v>53</v>
      </c>
      <c r="B31" s="28">
        <v>2000</v>
      </c>
      <c r="C31" s="29" t="s">
        <v>19</v>
      </c>
      <c r="D31" s="87">
        <v>57.7</v>
      </c>
      <c r="E31" s="28">
        <v>274</v>
      </c>
      <c r="F31" s="31">
        <v>1.41</v>
      </c>
      <c r="G31" s="28">
        <v>0.32841805600000001</v>
      </c>
      <c r="H31" s="30">
        <v>12.1</v>
      </c>
      <c r="I31" s="32">
        <v>62</v>
      </c>
      <c r="J31" s="28">
        <v>5.87</v>
      </c>
      <c r="K31" s="32">
        <v>59</v>
      </c>
      <c r="L31" s="28">
        <v>3.6859999999999999</v>
      </c>
      <c r="M31" s="34">
        <v>12152354</v>
      </c>
      <c r="N31" s="31">
        <v>3.2</v>
      </c>
      <c r="O31" s="31">
        <v>30.1</v>
      </c>
      <c r="P31" s="74">
        <v>19.3</v>
      </c>
      <c r="Q31" s="74">
        <v>6.4</v>
      </c>
      <c r="R31" s="74">
        <v>8.6</v>
      </c>
      <c r="S31" s="35">
        <f t="shared" si="0"/>
        <v>0</v>
      </c>
      <c r="T31" s="35">
        <f t="shared" si="1"/>
        <v>0</v>
      </c>
      <c r="U31" s="35">
        <f t="shared" si="2"/>
        <v>0</v>
      </c>
      <c r="V31" s="36">
        <f t="shared" si="3"/>
        <v>0</v>
      </c>
    </row>
    <row r="32" spans="1:140" ht="15" customHeight="1" x14ac:dyDescent="0.25">
      <c r="A32" s="27" t="s">
        <v>54</v>
      </c>
      <c r="B32" s="28">
        <v>2000</v>
      </c>
      <c r="C32" s="29" t="s">
        <v>19</v>
      </c>
      <c r="D32" s="87">
        <v>51.4</v>
      </c>
      <c r="E32" s="28">
        <v>394</v>
      </c>
      <c r="F32" s="31">
        <v>6.08</v>
      </c>
      <c r="G32" s="28">
        <v>4.7205935309999996</v>
      </c>
      <c r="H32" s="30">
        <v>2.9</v>
      </c>
      <c r="I32" s="32">
        <v>57</v>
      </c>
      <c r="J32" s="28">
        <v>4.4800000000000004</v>
      </c>
      <c r="K32" s="32">
        <v>62</v>
      </c>
      <c r="L32" s="28">
        <v>68.414000000000001</v>
      </c>
      <c r="M32" s="34">
        <v>15274234</v>
      </c>
      <c r="N32" s="31">
        <v>4.8</v>
      </c>
      <c r="O32" s="31">
        <v>0</v>
      </c>
      <c r="P32" s="74">
        <v>26.3</v>
      </c>
      <c r="Q32" s="74">
        <v>4.3</v>
      </c>
      <c r="R32" s="74">
        <v>4.8</v>
      </c>
      <c r="S32" s="35">
        <f t="shared" si="0"/>
        <v>0</v>
      </c>
      <c r="T32" s="35">
        <f t="shared" si="1"/>
        <v>0</v>
      </c>
      <c r="U32" s="35">
        <f t="shared" si="2"/>
        <v>0</v>
      </c>
      <c r="V32" s="36">
        <f t="shared" si="3"/>
        <v>0</v>
      </c>
    </row>
    <row r="33" spans="1:22" ht="15" customHeight="1" x14ac:dyDescent="0.25">
      <c r="A33" s="27" t="s">
        <v>55</v>
      </c>
      <c r="B33" s="28">
        <v>2000</v>
      </c>
      <c r="C33" s="29" t="s">
        <v>31</v>
      </c>
      <c r="D33" s="87">
        <v>79.099999999999994</v>
      </c>
      <c r="E33" s="28">
        <v>82</v>
      </c>
      <c r="F33" s="31">
        <v>8.4</v>
      </c>
      <c r="G33" s="28">
        <v>3787.4945600000001</v>
      </c>
      <c r="H33" s="30">
        <v>57.8</v>
      </c>
      <c r="I33" s="32">
        <v>88</v>
      </c>
      <c r="J33" s="28">
        <v>8.67</v>
      </c>
      <c r="K33" s="32">
        <v>89</v>
      </c>
      <c r="L33" s="33">
        <v>24124.169000000002</v>
      </c>
      <c r="M33" s="34">
        <v>30769700</v>
      </c>
      <c r="N33" s="31">
        <v>11</v>
      </c>
      <c r="O33" s="31">
        <v>28.2</v>
      </c>
      <c r="P33" s="74">
        <v>1998.6</v>
      </c>
      <c r="Q33" s="74">
        <v>8.3000000000000007</v>
      </c>
      <c r="R33" s="74">
        <v>14.8</v>
      </c>
      <c r="S33" s="35">
        <f t="shared" si="0"/>
        <v>1</v>
      </c>
      <c r="T33" s="35">
        <f t="shared" si="1"/>
        <v>88</v>
      </c>
      <c r="U33" s="35">
        <f t="shared" si="2"/>
        <v>11</v>
      </c>
      <c r="V33" s="36">
        <f t="shared" si="3"/>
        <v>89</v>
      </c>
    </row>
    <row r="34" spans="1:22" ht="15" customHeight="1" x14ac:dyDescent="0.25">
      <c r="A34" s="27" t="s">
        <v>56</v>
      </c>
      <c r="B34" s="28">
        <v>2000</v>
      </c>
      <c r="C34" s="29" t="s">
        <v>19</v>
      </c>
      <c r="D34" s="87">
        <v>46</v>
      </c>
      <c r="E34" s="28">
        <v>49</v>
      </c>
      <c r="F34" s="31">
        <v>1.62</v>
      </c>
      <c r="G34" s="28">
        <v>30.783826569999999</v>
      </c>
      <c r="H34" s="30">
        <v>16.5</v>
      </c>
      <c r="I34" s="32">
        <v>38</v>
      </c>
      <c r="J34" s="28">
        <v>4.24</v>
      </c>
      <c r="K34" s="32">
        <v>37</v>
      </c>
      <c r="L34" s="28">
        <v>243.54300000000001</v>
      </c>
      <c r="M34" s="34">
        <v>3754986</v>
      </c>
      <c r="N34" s="31">
        <v>2.9</v>
      </c>
      <c r="O34" s="31">
        <v>0</v>
      </c>
      <c r="P34" s="74">
        <v>8.5</v>
      </c>
      <c r="Q34" s="74">
        <v>3.5</v>
      </c>
      <c r="R34" s="74">
        <v>8.5</v>
      </c>
      <c r="S34" s="35">
        <f t="shared" si="0"/>
        <v>0</v>
      </c>
      <c r="T34" s="35">
        <f t="shared" si="1"/>
        <v>0</v>
      </c>
      <c r="U34" s="35">
        <f t="shared" si="2"/>
        <v>0</v>
      </c>
      <c r="V34" s="36">
        <f t="shared" si="3"/>
        <v>0</v>
      </c>
    </row>
    <row r="35" spans="1:22" ht="15" customHeight="1" x14ac:dyDescent="0.25">
      <c r="A35" s="27" t="s">
        <v>57</v>
      </c>
      <c r="B35" s="28">
        <v>2000</v>
      </c>
      <c r="C35" s="29" t="s">
        <v>19</v>
      </c>
      <c r="D35" s="87">
        <v>47.6</v>
      </c>
      <c r="E35" s="28">
        <v>44</v>
      </c>
      <c r="F35" s="31">
        <v>0.5</v>
      </c>
      <c r="G35" s="28">
        <v>21.527016159999999</v>
      </c>
      <c r="H35" s="30">
        <v>13.9</v>
      </c>
      <c r="I35" s="32">
        <v>30</v>
      </c>
      <c r="J35" s="28">
        <v>6.28</v>
      </c>
      <c r="K35" s="32">
        <v>36</v>
      </c>
      <c r="L35" s="28">
        <v>166.232</v>
      </c>
      <c r="M35" s="34">
        <v>8342559</v>
      </c>
      <c r="N35" s="31">
        <v>1.4</v>
      </c>
      <c r="O35" s="31">
        <v>0</v>
      </c>
      <c r="P35" s="74">
        <v>10.199999999999999</v>
      </c>
      <c r="Q35" s="74">
        <v>6.2</v>
      </c>
      <c r="R35" s="74">
        <v>12.4</v>
      </c>
      <c r="S35" s="35">
        <f t="shared" si="0"/>
        <v>0</v>
      </c>
      <c r="T35" s="35">
        <f t="shared" si="1"/>
        <v>0</v>
      </c>
      <c r="U35" s="35">
        <f t="shared" si="2"/>
        <v>0</v>
      </c>
      <c r="V35" s="36">
        <f t="shared" si="3"/>
        <v>0</v>
      </c>
    </row>
    <row r="36" spans="1:22" ht="15" customHeight="1" x14ac:dyDescent="0.25">
      <c r="A36" s="27" t="s">
        <v>58</v>
      </c>
      <c r="B36" s="28">
        <v>2000</v>
      </c>
      <c r="C36" s="29" t="s">
        <v>19</v>
      </c>
      <c r="D36" s="87">
        <v>77.3</v>
      </c>
      <c r="E36" s="28">
        <v>13</v>
      </c>
      <c r="F36" s="31">
        <v>7.67</v>
      </c>
      <c r="G36" s="28">
        <v>74.148429460000003</v>
      </c>
      <c r="H36" s="30">
        <v>54</v>
      </c>
      <c r="I36" s="32">
        <v>91</v>
      </c>
      <c r="J36" s="28">
        <v>6.4</v>
      </c>
      <c r="K36" s="32">
        <v>91</v>
      </c>
      <c r="L36" s="28">
        <v>511.36799999999999</v>
      </c>
      <c r="M36" s="34">
        <v>15262754</v>
      </c>
      <c r="N36" s="31">
        <v>8.8000000000000007</v>
      </c>
      <c r="O36" s="31">
        <v>56.6</v>
      </c>
      <c r="P36" s="74">
        <v>358.8</v>
      </c>
      <c r="Q36" s="74">
        <v>7</v>
      </c>
      <c r="R36" s="74">
        <v>16.3</v>
      </c>
      <c r="S36" s="35">
        <f t="shared" si="0"/>
        <v>0</v>
      </c>
      <c r="T36" s="35">
        <f t="shared" si="1"/>
        <v>0</v>
      </c>
      <c r="U36" s="35">
        <f t="shared" si="2"/>
        <v>0</v>
      </c>
      <c r="V36" s="36">
        <f t="shared" si="3"/>
        <v>0</v>
      </c>
    </row>
    <row r="37" spans="1:22" ht="15" customHeight="1" x14ac:dyDescent="0.25">
      <c r="A37" s="27" t="s">
        <v>59</v>
      </c>
      <c r="B37" s="28">
        <v>2000</v>
      </c>
      <c r="C37" s="29" t="s">
        <v>19</v>
      </c>
      <c r="D37" s="87">
        <v>71.7</v>
      </c>
      <c r="E37" s="28">
        <v>115</v>
      </c>
      <c r="F37" s="31">
        <v>4.88</v>
      </c>
      <c r="G37" s="28">
        <v>17.46057369</v>
      </c>
      <c r="H37" s="30">
        <v>2.5</v>
      </c>
      <c r="I37" s="32">
        <v>86</v>
      </c>
      <c r="J37" s="28">
        <v>4.5999999999999996</v>
      </c>
      <c r="K37" s="32">
        <v>85</v>
      </c>
      <c r="L37" s="28">
        <v>959.37199999999996</v>
      </c>
      <c r="M37" s="34">
        <v>1262645000</v>
      </c>
      <c r="N37" s="31">
        <v>6.5</v>
      </c>
      <c r="O37" s="31">
        <v>30.1</v>
      </c>
      <c r="P37" s="74">
        <v>42.5</v>
      </c>
      <c r="Q37" s="74">
        <v>4.5</v>
      </c>
      <c r="R37" s="74">
        <v>6.2</v>
      </c>
      <c r="S37" s="35">
        <f t="shared" si="0"/>
        <v>0</v>
      </c>
      <c r="T37" s="35">
        <f t="shared" si="1"/>
        <v>0</v>
      </c>
      <c r="U37" s="35">
        <f t="shared" si="2"/>
        <v>0</v>
      </c>
      <c r="V37" s="36">
        <f t="shared" si="3"/>
        <v>0</v>
      </c>
    </row>
    <row r="38" spans="1:22" ht="15" customHeight="1" x14ac:dyDescent="0.25">
      <c r="A38" s="27" t="s">
        <v>60</v>
      </c>
      <c r="B38" s="28">
        <v>2000</v>
      </c>
      <c r="C38" s="29" t="s">
        <v>19</v>
      </c>
      <c r="D38" s="87">
        <v>71.400000000000006</v>
      </c>
      <c r="E38" s="28">
        <v>167</v>
      </c>
      <c r="F38" s="31">
        <v>4.26</v>
      </c>
      <c r="G38" s="28">
        <v>477.13418139999999</v>
      </c>
      <c r="H38" s="30">
        <v>46.7</v>
      </c>
      <c r="I38" s="32">
        <v>82</v>
      </c>
      <c r="J38" s="28">
        <v>5.91</v>
      </c>
      <c r="K38" s="32">
        <v>79</v>
      </c>
      <c r="L38" s="33">
        <v>2472.1979999999999</v>
      </c>
      <c r="M38" s="34">
        <v>40403958</v>
      </c>
      <c r="N38" s="31">
        <v>6.5</v>
      </c>
      <c r="O38" s="31">
        <v>20.100000000000001</v>
      </c>
      <c r="P38" s="74">
        <v>135.30000000000001</v>
      </c>
      <c r="Q38" s="74">
        <v>5.5</v>
      </c>
      <c r="R38" s="74">
        <v>13.6</v>
      </c>
      <c r="S38" s="35">
        <f t="shared" si="0"/>
        <v>0</v>
      </c>
      <c r="T38" s="35">
        <f t="shared" si="1"/>
        <v>0</v>
      </c>
      <c r="U38" s="35">
        <f t="shared" si="2"/>
        <v>0</v>
      </c>
      <c r="V38" s="36">
        <f t="shared" si="3"/>
        <v>0</v>
      </c>
    </row>
    <row r="39" spans="1:22" ht="15" customHeight="1" x14ac:dyDescent="0.25">
      <c r="A39" s="27" t="s">
        <v>61</v>
      </c>
      <c r="B39" s="28">
        <v>2000</v>
      </c>
      <c r="C39" s="29" t="s">
        <v>19</v>
      </c>
      <c r="D39" s="87">
        <v>59.5</v>
      </c>
      <c r="E39" s="28">
        <v>272</v>
      </c>
      <c r="F39" s="31">
        <v>0.17</v>
      </c>
      <c r="G39" s="28">
        <v>35.029486239999997</v>
      </c>
      <c r="H39" s="30">
        <v>17.3</v>
      </c>
      <c r="I39" s="32">
        <v>70</v>
      </c>
      <c r="J39" s="28">
        <v>3.56</v>
      </c>
      <c r="K39" s="32">
        <v>70</v>
      </c>
      <c r="L39" s="28">
        <v>375.85300000000001</v>
      </c>
      <c r="M39" s="34">
        <v>542357</v>
      </c>
      <c r="N39" s="31">
        <v>0.6</v>
      </c>
      <c r="O39" s="31">
        <v>21.1</v>
      </c>
      <c r="P39" s="74">
        <v>45.6</v>
      </c>
      <c r="Q39" s="74">
        <v>12.1</v>
      </c>
      <c r="R39" s="74">
        <v>9.6999999999999993</v>
      </c>
      <c r="S39" s="35">
        <f t="shared" si="0"/>
        <v>0</v>
      </c>
      <c r="T39" s="35">
        <f t="shared" si="1"/>
        <v>0</v>
      </c>
      <c r="U39" s="35">
        <f t="shared" si="2"/>
        <v>0</v>
      </c>
      <c r="V39" s="36">
        <f t="shared" si="3"/>
        <v>0</v>
      </c>
    </row>
    <row r="40" spans="1:22" ht="15" customHeight="1" x14ac:dyDescent="0.25">
      <c r="A40" s="27" t="s">
        <v>62</v>
      </c>
      <c r="B40" s="28">
        <v>2000</v>
      </c>
      <c r="C40" s="29" t="s">
        <v>19</v>
      </c>
      <c r="D40" s="87">
        <v>52.9</v>
      </c>
      <c r="E40" s="28">
        <v>416</v>
      </c>
      <c r="F40" s="31">
        <v>3.5</v>
      </c>
      <c r="G40" s="28">
        <v>0</v>
      </c>
      <c r="H40" s="30">
        <v>19.3</v>
      </c>
      <c r="I40" s="32">
        <v>31</v>
      </c>
      <c r="J40" s="28">
        <v>2.13</v>
      </c>
      <c r="K40" s="32">
        <v>33</v>
      </c>
      <c r="L40" s="28">
        <v>998.2</v>
      </c>
      <c r="M40" s="34">
        <v>47076387</v>
      </c>
      <c r="N40" s="31">
        <v>5.5</v>
      </c>
      <c r="O40" s="31">
        <v>5.7</v>
      </c>
      <c r="P40" s="74">
        <v>16.899999999999999</v>
      </c>
      <c r="Q40" s="74">
        <v>1.7</v>
      </c>
      <c r="R40" s="74">
        <v>2.2999999999999998</v>
      </c>
      <c r="S40" s="35">
        <f t="shared" si="0"/>
        <v>0</v>
      </c>
      <c r="T40" s="35">
        <f t="shared" si="1"/>
        <v>0</v>
      </c>
      <c r="U40" s="35">
        <f t="shared" si="2"/>
        <v>0</v>
      </c>
      <c r="V40" s="36">
        <f t="shared" si="3"/>
        <v>0</v>
      </c>
    </row>
    <row r="41" spans="1:22" ht="15" customHeight="1" x14ac:dyDescent="0.25">
      <c r="A41" s="27" t="s">
        <v>63</v>
      </c>
      <c r="B41" s="28">
        <v>2000</v>
      </c>
      <c r="C41" s="29" t="s">
        <v>19</v>
      </c>
      <c r="D41" s="87">
        <v>77.599999999999994</v>
      </c>
      <c r="E41" s="28">
        <v>98</v>
      </c>
      <c r="F41" s="31">
        <v>4.1500000000000004</v>
      </c>
      <c r="G41" s="28">
        <v>94.178194579999996</v>
      </c>
      <c r="H41" s="30">
        <v>45.4</v>
      </c>
      <c r="I41" s="32">
        <v>80</v>
      </c>
      <c r="J41" s="28">
        <v>7.12</v>
      </c>
      <c r="K41" s="32">
        <v>88</v>
      </c>
      <c r="L41" s="28">
        <v>388.36399999999998</v>
      </c>
      <c r="M41" s="34">
        <v>3925443</v>
      </c>
      <c r="N41" s="31">
        <v>8</v>
      </c>
      <c r="O41" s="31">
        <v>18</v>
      </c>
      <c r="P41" s="74">
        <v>249.1</v>
      </c>
      <c r="Q41" s="74">
        <v>6.5</v>
      </c>
      <c r="R41" s="74">
        <v>17.600000000000001</v>
      </c>
      <c r="S41" s="35">
        <f t="shared" si="0"/>
        <v>0</v>
      </c>
      <c r="T41" s="35">
        <f t="shared" si="1"/>
        <v>0</v>
      </c>
      <c r="U41" s="35">
        <f t="shared" si="2"/>
        <v>0</v>
      </c>
      <c r="V41" s="36">
        <f t="shared" si="3"/>
        <v>0</v>
      </c>
    </row>
    <row r="42" spans="1:22" ht="15" customHeight="1" x14ac:dyDescent="0.25">
      <c r="A42" s="27" t="s">
        <v>64</v>
      </c>
      <c r="B42" s="28">
        <v>2000</v>
      </c>
      <c r="C42" s="29" t="s">
        <v>31</v>
      </c>
      <c r="D42" s="87">
        <v>74.7</v>
      </c>
      <c r="E42" s="28">
        <v>127</v>
      </c>
      <c r="F42" s="31">
        <v>12.07</v>
      </c>
      <c r="G42" s="28">
        <v>649.39098709999996</v>
      </c>
      <c r="H42" s="30">
        <v>54.7</v>
      </c>
      <c r="I42" s="32">
        <v>94</v>
      </c>
      <c r="J42" s="28">
        <v>7.66</v>
      </c>
      <c r="K42" s="32">
        <v>93</v>
      </c>
      <c r="L42" s="33">
        <v>4919.6289999999999</v>
      </c>
      <c r="M42" s="34">
        <v>4426000</v>
      </c>
      <c r="N42" s="31">
        <v>9.4</v>
      </c>
      <c r="O42" s="31">
        <v>33.1</v>
      </c>
      <c r="P42" s="74">
        <v>370.5</v>
      </c>
      <c r="Q42" s="74">
        <v>7.7</v>
      </c>
      <c r="R42" s="74">
        <v>14.8</v>
      </c>
      <c r="S42" s="35">
        <f t="shared" si="0"/>
        <v>1</v>
      </c>
      <c r="T42" s="35">
        <f t="shared" si="1"/>
        <v>94</v>
      </c>
      <c r="U42" s="35">
        <f t="shared" si="2"/>
        <v>9.4</v>
      </c>
      <c r="V42" s="36">
        <f t="shared" si="3"/>
        <v>93</v>
      </c>
    </row>
    <row r="43" spans="1:22" ht="15" customHeight="1" x14ac:dyDescent="0.25">
      <c r="A43" s="27" t="s">
        <v>65</v>
      </c>
      <c r="B43" s="28">
        <v>2000</v>
      </c>
      <c r="C43" s="29" t="s">
        <v>19</v>
      </c>
      <c r="D43" s="87">
        <v>76.900000000000006</v>
      </c>
      <c r="E43" s="28">
        <v>115</v>
      </c>
      <c r="F43" s="31">
        <v>4.04</v>
      </c>
      <c r="G43" s="28">
        <v>49.340077559999997</v>
      </c>
      <c r="H43" s="30">
        <v>49.4</v>
      </c>
      <c r="I43" s="32">
        <v>98</v>
      </c>
      <c r="J43" s="28">
        <v>6.7</v>
      </c>
      <c r="K43" s="32">
        <v>95</v>
      </c>
      <c r="L43" s="33">
        <v>2741.1149999999998</v>
      </c>
      <c r="M43" s="34">
        <v>11150736</v>
      </c>
      <c r="N43" s="31">
        <v>9.6</v>
      </c>
      <c r="O43" s="31">
        <v>45.7</v>
      </c>
      <c r="P43" s="74">
        <v>176.5</v>
      </c>
      <c r="Q43" s="74">
        <v>6.4</v>
      </c>
      <c r="R43" s="74">
        <v>10.8</v>
      </c>
      <c r="S43" s="35">
        <f t="shared" si="0"/>
        <v>0</v>
      </c>
      <c r="T43" s="35">
        <f t="shared" si="1"/>
        <v>0</v>
      </c>
      <c r="U43" s="35">
        <f t="shared" si="2"/>
        <v>0</v>
      </c>
      <c r="V43" s="36">
        <f t="shared" si="3"/>
        <v>0</v>
      </c>
    </row>
    <row r="44" spans="1:22" ht="15" customHeight="1" x14ac:dyDescent="0.25">
      <c r="A44" s="27" t="s">
        <v>66</v>
      </c>
      <c r="B44" s="28">
        <v>2000</v>
      </c>
      <c r="C44" s="29" t="s">
        <v>31</v>
      </c>
      <c r="D44" s="87">
        <v>78.099999999999994</v>
      </c>
      <c r="E44" s="28">
        <v>7</v>
      </c>
      <c r="F44" s="31">
        <v>10.81</v>
      </c>
      <c r="G44" s="28">
        <v>950.80279250000001</v>
      </c>
      <c r="H44" s="30">
        <v>52.8</v>
      </c>
      <c r="I44" s="32">
        <v>97</v>
      </c>
      <c r="J44" s="28">
        <v>5.77</v>
      </c>
      <c r="K44" s="32">
        <v>97</v>
      </c>
      <c r="L44" s="33">
        <v>14672.883</v>
      </c>
      <c r="M44" s="34">
        <v>943286</v>
      </c>
      <c r="N44" s="31">
        <v>9.6</v>
      </c>
      <c r="O44" s="31">
        <v>42.4</v>
      </c>
      <c r="P44" s="74">
        <v>751.1</v>
      </c>
      <c r="Q44" s="74">
        <v>5.3</v>
      </c>
      <c r="R44" s="74">
        <v>6.5</v>
      </c>
      <c r="S44" s="35">
        <f t="shared" si="0"/>
        <v>1</v>
      </c>
      <c r="T44" s="35">
        <f t="shared" si="1"/>
        <v>97</v>
      </c>
      <c r="U44" s="35">
        <f t="shared" si="2"/>
        <v>9.6</v>
      </c>
      <c r="V44" s="36">
        <f t="shared" si="3"/>
        <v>97</v>
      </c>
    </row>
    <row r="45" spans="1:22" ht="15" customHeight="1" x14ac:dyDescent="0.25">
      <c r="A45" s="27" t="s">
        <v>67</v>
      </c>
      <c r="B45" s="28">
        <v>2000</v>
      </c>
      <c r="C45" s="29" t="s">
        <v>31</v>
      </c>
      <c r="D45" s="87">
        <v>74.7</v>
      </c>
      <c r="E45" s="28">
        <v>126</v>
      </c>
      <c r="F45" s="31">
        <v>13.31</v>
      </c>
      <c r="G45" s="28">
        <v>0</v>
      </c>
      <c r="H45" s="30">
        <v>59</v>
      </c>
      <c r="I45" s="32">
        <v>98</v>
      </c>
      <c r="J45" s="28">
        <v>6.31</v>
      </c>
      <c r="K45" s="32">
        <v>98</v>
      </c>
      <c r="L45" s="33">
        <v>6011.62</v>
      </c>
      <c r="M45" s="34">
        <v>10255063</v>
      </c>
      <c r="N45" s="31">
        <v>10</v>
      </c>
      <c r="O45" s="31">
        <v>34.1</v>
      </c>
      <c r="P45" s="74">
        <v>342.9</v>
      </c>
      <c r="Q45" s="74">
        <v>5.7</v>
      </c>
      <c r="R45" s="74">
        <v>0</v>
      </c>
      <c r="S45" s="35">
        <f t="shared" si="0"/>
        <v>1</v>
      </c>
      <c r="T45" s="35">
        <f t="shared" si="1"/>
        <v>98</v>
      </c>
      <c r="U45" s="35">
        <f t="shared" si="2"/>
        <v>10</v>
      </c>
      <c r="V45" s="36">
        <f t="shared" si="3"/>
        <v>98</v>
      </c>
    </row>
    <row r="46" spans="1:22" ht="15" customHeight="1" x14ac:dyDescent="0.25">
      <c r="A46" s="27" t="s">
        <v>68</v>
      </c>
      <c r="B46" s="28">
        <v>2000</v>
      </c>
      <c r="C46" s="29" t="s">
        <v>19</v>
      </c>
      <c r="D46" s="87">
        <v>65.400000000000006</v>
      </c>
      <c r="E46" s="28">
        <v>192</v>
      </c>
      <c r="F46" s="31">
        <v>3.35</v>
      </c>
      <c r="G46" s="28">
        <v>0</v>
      </c>
      <c r="H46" s="30">
        <v>25.2</v>
      </c>
      <c r="I46" s="32">
        <v>93</v>
      </c>
      <c r="J46" s="29"/>
      <c r="K46" s="32">
        <v>56</v>
      </c>
      <c r="L46" s="28">
        <v>947</v>
      </c>
      <c r="M46" s="34">
        <v>22929075</v>
      </c>
      <c r="N46" s="31">
        <v>10.6</v>
      </c>
      <c r="O46" s="31">
        <v>0</v>
      </c>
      <c r="P46" s="74" t="s">
        <v>25</v>
      </c>
      <c r="Q46" s="74" t="s">
        <v>25</v>
      </c>
      <c r="R46" s="74" t="s">
        <v>25</v>
      </c>
      <c r="S46" s="35">
        <f t="shared" si="0"/>
        <v>0</v>
      </c>
      <c r="T46" s="35">
        <f t="shared" si="1"/>
        <v>0</v>
      </c>
      <c r="U46" s="35">
        <f t="shared" si="2"/>
        <v>0</v>
      </c>
      <c r="V46" s="36">
        <f t="shared" si="3"/>
        <v>0</v>
      </c>
    </row>
    <row r="47" spans="1:22" ht="15" customHeight="1" x14ac:dyDescent="0.25">
      <c r="A47" s="27" t="s">
        <v>69</v>
      </c>
      <c r="B47" s="28">
        <v>2000</v>
      </c>
      <c r="C47" s="29" t="s">
        <v>19</v>
      </c>
      <c r="D47" s="87">
        <v>51.3</v>
      </c>
      <c r="E47" s="28">
        <v>346</v>
      </c>
      <c r="F47" s="31">
        <v>1.17</v>
      </c>
      <c r="G47" s="28">
        <v>0</v>
      </c>
      <c r="H47" s="30">
        <v>14.9</v>
      </c>
      <c r="I47" s="32">
        <v>42</v>
      </c>
      <c r="J47" s="28">
        <v>1.45</v>
      </c>
      <c r="K47" s="32">
        <v>40</v>
      </c>
      <c r="L47" s="28">
        <v>405.47</v>
      </c>
      <c r="M47" s="34">
        <v>47076387</v>
      </c>
      <c r="N47" s="31">
        <v>3.3</v>
      </c>
      <c r="O47" s="31">
        <v>0</v>
      </c>
      <c r="P47" s="74">
        <v>18.399999999999999</v>
      </c>
      <c r="Q47" s="74">
        <v>1.4</v>
      </c>
      <c r="R47" s="74">
        <v>1.5</v>
      </c>
      <c r="S47" s="35">
        <f t="shared" si="0"/>
        <v>0</v>
      </c>
      <c r="T47" s="35">
        <f t="shared" si="1"/>
        <v>0</v>
      </c>
      <c r="U47" s="35">
        <f t="shared" si="2"/>
        <v>0</v>
      </c>
      <c r="V47" s="36">
        <f t="shared" si="3"/>
        <v>0</v>
      </c>
    </row>
    <row r="48" spans="1:22" ht="15" customHeight="1" x14ac:dyDescent="0.25">
      <c r="A48" s="27" t="s">
        <v>70</v>
      </c>
      <c r="B48" s="28">
        <v>2000</v>
      </c>
      <c r="C48" s="29" t="s">
        <v>31</v>
      </c>
      <c r="D48" s="87">
        <v>76.900000000000006</v>
      </c>
      <c r="E48" s="28">
        <v>12</v>
      </c>
      <c r="F48" s="31">
        <v>10.09</v>
      </c>
      <c r="G48" s="28">
        <v>508.74969119999997</v>
      </c>
      <c r="H48" s="30">
        <v>52.2</v>
      </c>
      <c r="I48" s="32">
        <v>97</v>
      </c>
      <c r="J48" s="28">
        <v>8.6999999999999993</v>
      </c>
      <c r="K48" s="32">
        <v>97</v>
      </c>
      <c r="L48" s="33">
        <v>3743.5590000000002</v>
      </c>
      <c r="M48" s="34">
        <v>5339616</v>
      </c>
      <c r="N48" s="31">
        <v>10.7</v>
      </c>
      <c r="O48" s="31">
        <v>38.299999999999997</v>
      </c>
      <c r="P48" s="74">
        <v>2496</v>
      </c>
      <c r="Q48" s="74">
        <v>8.1</v>
      </c>
      <c r="R48" s="74">
        <v>12.8</v>
      </c>
      <c r="S48" s="35">
        <f t="shared" si="0"/>
        <v>1</v>
      </c>
      <c r="T48" s="35">
        <f t="shared" si="1"/>
        <v>97</v>
      </c>
      <c r="U48" s="35">
        <f t="shared" si="2"/>
        <v>10.7</v>
      </c>
      <c r="V48" s="36">
        <f t="shared" si="3"/>
        <v>97</v>
      </c>
    </row>
    <row r="49" spans="1:22" ht="15" customHeight="1" x14ac:dyDescent="0.25">
      <c r="A49" s="27" t="s">
        <v>71</v>
      </c>
      <c r="B49" s="28">
        <v>2000</v>
      </c>
      <c r="C49" s="29" t="s">
        <v>19</v>
      </c>
      <c r="D49" s="87">
        <v>57.4</v>
      </c>
      <c r="E49" s="28">
        <v>325</v>
      </c>
      <c r="F49" s="31">
        <v>0.49</v>
      </c>
      <c r="G49" s="28">
        <v>91.950759009999999</v>
      </c>
      <c r="H49" s="30">
        <v>28.2</v>
      </c>
      <c r="I49" s="32">
        <v>46</v>
      </c>
      <c r="J49" s="28">
        <v>5.75</v>
      </c>
      <c r="K49" s="32">
        <v>46</v>
      </c>
      <c r="L49" s="28">
        <v>768.17700000000002</v>
      </c>
      <c r="M49" s="34">
        <v>717584</v>
      </c>
      <c r="N49" s="31">
        <v>3.2</v>
      </c>
      <c r="O49" s="31">
        <v>17.600000000000001</v>
      </c>
      <c r="P49" s="74">
        <v>32</v>
      </c>
      <c r="Q49" s="74">
        <v>4.0999999999999996</v>
      </c>
      <c r="R49" s="74">
        <v>6.1</v>
      </c>
      <c r="S49" s="35">
        <f t="shared" si="0"/>
        <v>0</v>
      </c>
      <c r="T49" s="35">
        <f t="shared" si="1"/>
        <v>0</v>
      </c>
      <c r="U49" s="35">
        <f t="shared" si="2"/>
        <v>0</v>
      </c>
      <c r="V49" s="36">
        <f t="shared" si="3"/>
        <v>0</v>
      </c>
    </row>
    <row r="50" spans="1:22" ht="15" customHeight="1" x14ac:dyDescent="0.25">
      <c r="A50" s="27" t="s">
        <v>72</v>
      </c>
      <c r="B50" s="28">
        <v>2000</v>
      </c>
      <c r="C50" s="29" t="s">
        <v>19</v>
      </c>
      <c r="D50" s="87">
        <v>72</v>
      </c>
      <c r="E50" s="28">
        <v>176</v>
      </c>
      <c r="F50" s="31">
        <v>6.15</v>
      </c>
      <c r="G50" s="28">
        <v>44.792478119999998</v>
      </c>
      <c r="H50" s="30">
        <v>43.1</v>
      </c>
      <c r="I50" s="32">
        <v>71</v>
      </c>
      <c r="J50" s="28">
        <v>5.9</v>
      </c>
      <c r="K50" s="32">
        <v>78</v>
      </c>
      <c r="L50" s="28">
        <v>282.42399999999998</v>
      </c>
      <c r="M50" s="34">
        <v>8562622</v>
      </c>
      <c r="N50" s="31">
        <v>6.4</v>
      </c>
      <c r="O50" s="31">
        <v>18.7</v>
      </c>
      <c r="P50" s="74">
        <v>115.4</v>
      </c>
      <c r="Q50" s="74">
        <v>4.2</v>
      </c>
      <c r="R50" s="74">
        <v>6.6</v>
      </c>
      <c r="S50" s="35">
        <f t="shared" si="0"/>
        <v>0</v>
      </c>
      <c r="T50" s="35">
        <f t="shared" si="1"/>
        <v>0</v>
      </c>
      <c r="U50" s="35">
        <f t="shared" si="2"/>
        <v>0</v>
      </c>
      <c r="V50" s="36">
        <f t="shared" si="3"/>
        <v>0</v>
      </c>
    </row>
    <row r="51" spans="1:22" ht="15" customHeight="1" x14ac:dyDescent="0.25">
      <c r="A51" s="27" t="s">
        <v>73</v>
      </c>
      <c r="B51" s="28">
        <v>2000</v>
      </c>
      <c r="C51" s="29" t="s">
        <v>19</v>
      </c>
      <c r="D51" s="87">
        <v>72.8</v>
      </c>
      <c r="E51" s="28">
        <v>163</v>
      </c>
      <c r="F51" s="31">
        <v>3.88</v>
      </c>
      <c r="G51" s="28">
        <v>84.175270080000004</v>
      </c>
      <c r="H51" s="30">
        <v>43.6</v>
      </c>
      <c r="I51" s="32">
        <v>83</v>
      </c>
      <c r="J51" s="28">
        <v>3.38</v>
      </c>
      <c r="K51" s="32">
        <v>87</v>
      </c>
      <c r="L51" s="33">
        <v>1451.298</v>
      </c>
      <c r="M51" s="34">
        <v>12628596</v>
      </c>
      <c r="N51" s="31">
        <v>7</v>
      </c>
      <c r="O51" s="31">
        <v>13.9</v>
      </c>
      <c r="P51" s="74">
        <v>48.1</v>
      </c>
      <c r="Q51" s="74">
        <v>3.3</v>
      </c>
      <c r="R51" s="74">
        <v>5.5</v>
      </c>
      <c r="S51" s="35">
        <f t="shared" si="0"/>
        <v>0</v>
      </c>
      <c r="T51" s="35">
        <f t="shared" si="1"/>
        <v>0</v>
      </c>
      <c r="U51" s="35">
        <f t="shared" si="2"/>
        <v>0</v>
      </c>
      <c r="V51" s="36">
        <f t="shared" si="3"/>
        <v>0</v>
      </c>
    </row>
    <row r="52" spans="1:22" ht="15" customHeight="1" x14ac:dyDescent="0.25">
      <c r="A52" s="27" t="s">
        <v>74</v>
      </c>
      <c r="B52" s="28">
        <v>2000</v>
      </c>
      <c r="C52" s="29" t="s">
        <v>19</v>
      </c>
      <c r="D52" s="87">
        <v>68.8</v>
      </c>
      <c r="E52" s="28">
        <v>171</v>
      </c>
      <c r="F52" s="31">
        <v>0.2</v>
      </c>
      <c r="G52" s="28">
        <v>0</v>
      </c>
      <c r="H52" s="30">
        <v>5.7</v>
      </c>
      <c r="I52" s="32">
        <v>98</v>
      </c>
      <c r="J52" s="28">
        <v>5.55</v>
      </c>
      <c r="K52" s="32">
        <v>98</v>
      </c>
      <c r="L52" s="33">
        <v>1428.18</v>
      </c>
      <c r="M52" s="34">
        <v>69905988</v>
      </c>
      <c r="N52" s="31">
        <v>4.8</v>
      </c>
      <c r="O52" s="31">
        <v>17.600000000000001</v>
      </c>
      <c r="P52" s="74">
        <v>72.5</v>
      </c>
      <c r="Q52" s="74">
        <v>5.2</v>
      </c>
      <c r="R52" s="74">
        <v>6.1</v>
      </c>
      <c r="S52" s="35">
        <f t="shared" si="0"/>
        <v>0</v>
      </c>
      <c r="T52" s="35">
        <f t="shared" si="1"/>
        <v>0</v>
      </c>
      <c r="U52" s="35">
        <f t="shared" si="2"/>
        <v>0</v>
      </c>
      <c r="V52" s="36">
        <f t="shared" si="3"/>
        <v>0</v>
      </c>
    </row>
    <row r="53" spans="1:22" ht="15" customHeight="1" x14ac:dyDescent="0.25">
      <c r="A53" s="27" t="s">
        <v>75</v>
      </c>
      <c r="B53" s="28">
        <v>2000</v>
      </c>
      <c r="C53" s="29" t="s">
        <v>19</v>
      </c>
      <c r="D53" s="87">
        <v>69</v>
      </c>
      <c r="E53" s="28">
        <v>218</v>
      </c>
      <c r="F53" s="31">
        <v>2.48</v>
      </c>
      <c r="G53" s="28">
        <v>353.66903280000002</v>
      </c>
      <c r="H53" s="30">
        <v>45.3</v>
      </c>
      <c r="I53" s="32">
        <v>98</v>
      </c>
      <c r="J53" s="28">
        <v>8.17</v>
      </c>
      <c r="K53" s="32">
        <v>99</v>
      </c>
      <c r="L53" s="33">
        <v>2238.4119999999998</v>
      </c>
      <c r="M53" s="34">
        <v>5867626</v>
      </c>
      <c r="N53" s="31">
        <v>5.2</v>
      </c>
      <c r="O53" s="31">
        <v>16</v>
      </c>
      <c r="P53" s="74">
        <v>178.8</v>
      </c>
      <c r="Q53" s="74">
        <v>8</v>
      </c>
      <c r="R53" s="74">
        <v>18.100000000000001</v>
      </c>
      <c r="S53" s="35">
        <f t="shared" si="0"/>
        <v>0</v>
      </c>
      <c r="T53" s="35">
        <f t="shared" si="1"/>
        <v>0</v>
      </c>
      <c r="U53" s="35">
        <f t="shared" si="2"/>
        <v>0</v>
      </c>
      <c r="V53" s="36">
        <f t="shared" si="3"/>
        <v>0</v>
      </c>
    </row>
    <row r="54" spans="1:22" ht="15" customHeight="1" x14ac:dyDescent="0.25">
      <c r="A54" s="27" t="s">
        <v>76</v>
      </c>
      <c r="B54" s="28">
        <v>2000</v>
      </c>
      <c r="C54" s="29" t="s">
        <v>19</v>
      </c>
      <c r="D54" s="87">
        <v>52.7</v>
      </c>
      <c r="E54" s="28">
        <v>336</v>
      </c>
      <c r="F54" s="31">
        <v>7.89</v>
      </c>
      <c r="G54" s="28">
        <v>14.95451321</v>
      </c>
      <c r="H54" s="30">
        <v>18.3</v>
      </c>
      <c r="I54" s="32">
        <v>41</v>
      </c>
      <c r="J54" s="28">
        <v>2.73</v>
      </c>
      <c r="K54" s="32">
        <v>34</v>
      </c>
      <c r="L54" s="28">
        <v>172.685</v>
      </c>
      <c r="M54" s="34">
        <v>614323</v>
      </c>
      <c r="N54" s="31">
        <v>5.4</v>
      </c>
      <c r="O54" s="31">
        <v>0</v>
      </c>
      <c r="P54" s="74">
        <v>50.8</v>
      </c>
      <c r="Q54" s="74">
        <v>2.5</v>
      </c>
      <c r="R54" s="74">
        <v>2.5</v>
      </c>
      <c r="S54" s="35">
        <f t="shared" si="0"/>
        <v>0</v>
      </c>
      <c r="T54" s="35">
        <f t="shared" si="1"/>
        <v>0</v>
      </c>
      <c r="U54" s="35">
        <f t="shared" si="2"/>
        <v>0</v>
      </c>
      <c r="V54" s="36">
        <f t="shared" si="3"/>
        <v>0</v>
      </c>
    </row>
    <row r="55" spans="1:22" ht="15" customHeight="1" x14ac:dyDescent="0.25">
      <c r="A55" s="27" t="s">
        <v>77</v>
      </c>
      <c r="B55" s="28">
        <v>2000</v>
      </c>
      <c r="C55" s="29" t="s">
        <v>19</v>
      </c>
      <c r="D55" s="87">
        <v>45.3</v>
      </c>
      <c r="E55" s="28">
        <v>593</v>
      </c>
      <c r="F55" s="31">
        <v>0.47</v>
      </c>
      <c r="G55" s="28">
        <v>0.73594036100000004</v>
      </c>
      <c r="H55" s="30">
        <v>12.6</v>
      </c>
      <c r="I55" s="32">
        <v>82</v>
      </c>
      <c r="J55" s="28">
        <v>4.43</v>
      </c>
      <c r="K55" s="32">
        <v>81</v>
      </c>
      <c r="L55" s="28">
        <v>28.196999999999999</v>
      </c>
      <c r="M55" s="34">
        <v>3392801</v>
      </c>
      <c r="N55" s="31">
        <v>2.5</v>
      </c>
      <c r="O55" s="31">
        <v>8.6999999999999993</v>
      </c>
      <c r="P55" s="74">
        <v>11.8</v>
      </c>
      <c r="Q55" s="74">
        <v>5.6</v>
      </c>
      <c r="R55" s="74">
        <v>2.6</v>
      </c>
      <c r="S55" s="35">
        <f t="shared" si="0"/>
        <v>0</v>
      </c>
      <c r="T55" s="35">
        <f t="shared" si="1"/>
        <v>0</v>
      </c>
      <c r="U55" s="35">
        <f t="shared" si="2"/>
        <v>0</v>
      </c>
      <c r="V55" s="36">
        <f t="shared" si="3"/>
        <v>0</v>
      </c>
    </row>
    <row r="56" spans="1:22" ht="15" customHeight="1" x14ac:dyDescent="0.25">
      <c r="A56" s="27" t="s">
        <v>78</v>
      </c>
      <c r="B56" s="28">
        <v>2000</v>
      </c>
      <c r="C56" s="29" t="s">
        <v>19</v>
      </c>
      <c r="D56" s="87">
        <v>78</v>
      </c>
      <c r="E56" s="28">
        <v>218</v>
      </c>
      <c r="F56" s="31">
        <v>14.32</v>
      </c>
      <c r="G56" s="28">
        <v>5.3480945100000001</v>
      </c>
      <c r="H56" s="30">
        <v>54</v>
      </c>
      <c r="I56" s="32">
        <v>93</v>
      </c>
      <c r="J56" s="28">
        <v>5.28</v>
      </c>
      <c r="K56" s="32">
        <v>93</v>
      </c>
      <c r="L56" s="28">
        <v>47.328000000000003</v>
      </c>
      <c r="M56" s="34">
        <v>1396985</v>
      </c>
      <c r="N56" s="31">
        <v>11.7</v>
      </c>
      <c r="O56" s="31">
        <v>39.6</v>
      </c>
      <c r="P56" s="74">
        <v>210.4</v>
      </c>
      <c r="Q56" s="74">
        <v>5.2</v>
      </c>
      <c r="R56" s="74">
        <v>0</v>
      </c>
      <c r="S56" s="35">
        <f t="shared" si="0"/>
        <v>0</v>
      </c>
      <c r="T56" s="35">
        <f t="shared" si="1"/>
        <v>0</v>
      </c>
      <c r="U56" s="35">
        <f t="shared" si="2"/>
        <v>0</v>
      </c>
      <c r="V56" s="36">
        <f t="shared" si="3"/>
        <v>0</v>
      </c>
    </row>
    <row r="57" spans="1:22" ht="15" customHeight="1" x14ac:dyDescent="0.25">
      <c r="A57" s="27" t="s">
        <v>79</v>
      </c>
      <c r="B57" s="28">
        <v>2000</v>
      </c>
      <c r="C57" s="29" t="s">
        <v>19</v>
      </c>
      <c r="D57" s="87">
        <v>51.2</v>
      </c>
      <c r="E57" s="28">
        <v>391</v>
      </c>
      <c r="F57" s="31">
        <v>0.77</v>
      </c>
      <c r="G57" s="28">
        <v>11.59481766</v>
      </c>
      <c r="H57" s="30">
        <v>12.3</v>
      </c>
      <c r="I57" s="32">
        <v>55</v>
      </c>
      <c r="J57" s="28">
        <v>4.3600000000000003</v>
      </c>
      <c r="K57" s="32">
        <v>30</v>
      </c>
      <c r="L57" s="28">
        <v>123.876</v>
      </c>
      <c r="M57" s="34">
        <v>1061468</v>
      </c>
      <c r="N57" s="31">
        <v>1.5</v>
      </c>
      <c r="O57" s="31">
        <v>4.8</v>
      </c>
      <c r="P57" s="74">
        <v>5.4</v>
      </c>
      <c r="Q57" s="74">
        <v>4.4000000000000004</v>
      </c>
      <c r="R57" s="74">
        <v>7</v>
      </c>
      <c r="S57" s="35">
        <f t="shared" si="0"/>
        <v>0</v>
      </c>
      <c r="T57" s="35">
        <f t="shared" si="1"/>
        <v>0</v>
      </c>
      <c r="U57" s="35">
        <f t="shared" si="2"/>
        <v>0</v>
      </c>
      <c r="V57" s="36">
        <f t="shared" si="3"/>
        <v>0</v>
      </c>
    </row>
    <row r="58" spans="1:22" ht="15" customHeight="1" x14ac:dyDescent="0.25">
      <c r="A58" s="27" t="s">
        <v>80</v>
      </c>
      <c r="B58" s="28">
        <v>2000</v>
      </c>
      <c r="C58" s="29" t="s">
        <v>19</v>
      </c>
      <c r="D58" s="87">
        <v>67.7</v>
      </c>
      <c r="E58" s="28">
        <v>221</v>
      </c>
      <c r="F58" s="31">
        <v>2.3199999999999998</v>
      </c>
      <c r="G58" s="28">
        <v>31.258346159999999</v>
      </c>
      <c r="H58" s="30">
        <v>5.2</v>
      </c>
      <c r="I58" s="32">
        <v>91</v>
      </c>
      <c r="J58" s="28">
        <v>3.87</v>
      </c>
      <c r="K58" s="32">
        <v>90</v>
      </c>
      <c r="L58" s="28">
        <v>276.13400000000001</v>
      </c>
      <c r="M58" s="34">
        <v>811223</v>
      </c>
      <c r="N58" s="31">
        <v>9.6</v>
      </c>
      <c r="O58" s="31">
        <v>35.1</v>
      </c>
      <c r="P58" s="74">
        <v>77</v>
      </c>
      <c r="Q58" s="74">
        <v>3.7</v>
      </c>
      <c r="R58" s="74">
        <v>10</v>
      </c>
      <c r="S58" s="35">
        <f t="shared" si="0"/>
        <v>0</v>
      </c>
      <c r="T58" s="35">
        <f t="shared" si="1"/>
        <v>0</v>
      </c>
      <c r="U58" s="35">
        <f t="shared" si="2"/>
        <v>0</v>
      </c>
      <c r="V58" s="36">
        <f t="shared" si="3"/>
        <v>0</v>
      </c>
    </row>
    <row r="59" spans="1:22" ht="15" customHeight="1" x14ac:dyDescent="0.25">
      <c r="A59" s="27" t="s">
        <v>81</v>
      </c>
      <c r="B59" s="28">
        <v>2000</v>
      </c>
      <c r="C59" s="29" t="s">
        <v>19</v>
      </c>
      <c r="D59" s="87">
        <v>77.5</v>
      </c>
      <c r="E59" s="28">
        <v>15</v>
      </c>
      <c r="F59" s="31">
        <v>9.9600000000000009</v>
      </c>
      <c r="G59" s="28">
        <v>397.7533689</v>
      </c>
      <c r="H59" s="30">
        <v>55.5</v>
      </c>
      <c r="I59" s="32">
        <v>96</v>
      </c>
      <c r="J59" s="28">
        <v>7.22</v>
      </c>
      <c r="K59" s="32">
        <v>99</v>
      </c>
      <c r="L59" s="33">
        <v>24253.254000000001</v>
      </c>
      <c r="M59" s="34">
        <v>5176209</v>
      </c>
      <c r="N59" s="31">
        <v>9.3000000000000007</v>
      </c>
      <c r="O59" s="31">
        <v>29.7</v>
      </c>
      <c r="P59" s="74">
        <v>1658.1</v>
      </c>
      <c r="Q59" s="74">
        <v>6.8</v>
      </c>
      <c r="R59" s="74">
        <v>10.5</v>
      </c>
      <c r="S59" s="35">
        <f t="shared" si="0"/>
        <v>0</v>
      </c>
      <c r="T59" s="35">
        <f t="shared" si="1"/>
        <v>0</v>
      </c>
      <c r="U59" s="35">
        <f t="shared" si="2"/>
        <v>0</v>
      </c>
      <c r="V59" s="36">
        <f t="shared" si="3"/>
        <v>0</v>
      </c>
    </row>
    <row r="60" spans="1:22" ht="15" customHeight="1" x14ac:dyDescent="0.25">
      <c r="A60" s="27" t="s">
        <v>82</v>
      </c>
      <c r="B60" s="28">
        <v>2000</v>
      </c>
      <c r="C60" s="29" t="s">
        <v>19</v>
      </c>
      <c r="D60" s="87">
        <v>78.8</v>
      </c>
      <c r="E60" s="28">
        <v>13</v>
      </c>
      <c r="F60" s="31">
        <v>12.3</v>
      </c>
      <c r="G60" s="28">
        <v>3410.284431</v>
      </c>
      <c r="H60" s="30">
        <v>54.6</v>
      </c>
      <c r="I60" s="32">
        <v>98</v>
      </c>
      <c r="J60" s="28">
        <v>9.77</v>
      </c>
      <c r="K60" s="32">
        <v>97</v>
      </c>
      <c r="L60" s="33">
        <v>22465.642</v>
      </c>
      <c r="M60" s="34">
        <v>60912500</v>
      </c>
      <c r="N60" s="31">
        <v>9.8000000000000007</v>
      </c>
      <c r="O60" s="31">
        <v>34.9</v>
      </c>
      <c r="P60" s="74">
        <v>2156.5</v>
      </c>
      <c r="Q60" s="74">
        <v>9.5</v>
      </c>
      <c r="R60" s="74">
        <v>0</v>
      </c>
      <c r="S60" s="35">
        <f t="shared" si="0"/>
        <v>0</v>
      </c>
      <c r="T60" s="35">
        <f t="shared" si="1"/>
        <v>0</v>
      </c>
      <c r="U60" s="35">
        <f t="shared" si="2"/>
        <v>0</v>
      </c>
      <c r="V60" s="36">
        <f t="shared" si="3"/>
        <v>0</v>
      </c>
    </row>
    <row r="61" spans="1:22" ht="15" customHeight="1" x14ac:dyDescent="0.25">
      <c r="A61" s="27" t="s">
        <v>83</v>
      </c>
      <c r="B61" s="28">
        <v>2000</v>
      </c>
      <c r="C61" s="29" t="s">
        <v>19</v>
      </c>
      <c r="D61" s="87">
        <v>61</v>
      </c>
      <c r="E61" s="28">
        <v>296</v>
      </c>
      <c r="F61" s="31">
        <v>8.61</v>
      </c>
      <c r="G61" s="28">
        <v>218.1727473</v>
      </c>
      <c r="H61" s="30">
        <v>28.1</v>
      </c>
      <c r="I61" s="32">
        <v>44</v>
      </c>
      <c r="J61" s="28">
        <v>2.89</v>
      </c>
      <c r="K61" s="32">
        <v>45</v>
      </c>
      <c r="L61" s="33">
        <v>4116.4669999999996</v>
      </c>
      <c r="M61" s="34">
        <v>1231122</v>
      </c>
      <c r="N61" s="31">
        <v>6.2</v>
      </c>
      <c r="O61" s="31">
        <v>0</v>
      </c>
      <c r="P61" s="74">
        <v>119.4</v>
      </c>
      <c r="Q61" s="74">
        <v>2.9</v>
      </c>
      <c r="R61" s="74">
        <v>5.2</v>
      </c>
      <c r="S61" s="35">
        <f t="shared" si="0"/>
        <v>0</v>
      </c>
      <c r="T61" s="35">
        <f t="shared" si="1"/>
        <v>0</v>
      </c>
      <c r="U61" s="35">
        <f t="shared" si="2"/>
        <v>0</v>
      </c>
      <c r="V61" s="36">
        <f t="shared" si="3"/>
        <v>0</v>
      </c>
    </row>
    <row r="62" spans="1:22" ht="15" customHeight="1" x14ac:dyDescent="0.25">
      <c r="A62" s="27" t="s">
        <v>84</v>
      </c>
      <c r="B62" s="28">
        <v>2000</v>
      </c>
      <c r="C62" s="29" t="s">
        <v>19</v>
      </c>
      <c r="D62" s="87">
        <v>55.9</v>
      </c>
      <c r="E62" s="28">
        <v>33</v>
      </c>
      <c r="F62" s="31">
        <v>3.05</v>
      </c>
      <c r="G62" s="28">
        <v>0</v>
      </c>
      <c r="H62" s="30">
        <v>18</v>
      </c>
      <c r="I62" s="32">
        <v>84</v>
      </c>
      <c r="J62" s="28">
        <v>3.61</v>
      </c>
      <c r="K62" s="32">
        <v>80</v>
      </c>
      <c r="L62" s="28">
        <v>635.55999999999995</v>
      </c>
      <c r="M62" s="34">
        <v>1231844</v>
      </c>
      <c r="N62" s="31">
        <v>2</v>
      </c>
      <c r="O62" s="31">
        <v>19.899999999999999</v>
      </c>
      <c r="P62" s="74">
        <v>23</v>
      </c>
      <c r="Q62" s="74">
        <v>3.6</v>
      </c>
      <c r="R62" s="74">
        <v>7.1</v>
      </c>
      <c r="S62" s="35">
        <f t="shared" si="0"/>
        <v>0</v>
      </c>
      <c r="T62" s="35">
        <f t="shared" si="1"/>
        <v>0</v>
      </c>
      <c r="U62" s="35">
        <f t="shared" si="2"/>
        <v>0</v>
      </c>
      <c r="V62" s="36">
        <f t="shared" si="3"/>
        <v>0</v>
      </c>
    </row>
    <row r="63" spans="1:22" ht="15" customHeight="1" x14ac:dyDescent="0.25">
      <c r="A63" s="27" t="s">
        <v>85</v>
      </c>
      <c r="B63" s="28">
        <v>2000</v>
      </c>
      <c r="C63" s="29" t="s">
        <v>19</v>
      </c>
      <c r="D63" s="87">
        <v>71.8</v>
      </c>
      <c r="E63" s="28">
        <v>129</v>
      </c>
      <c r="F63" s="31">
        <v>6.88</v>
      </c>
      <c r="G63" s="28">
        <v>47.817041830000001</v>
      </c>
      <c r="H63" s="30">
        <v>46</v>
      </c>
      <c r="I63" s="32">
        <v>81</v>
      </c>
      <c r="J63" s="28">
        <v>6.94</v>
      </c>
      <c r="K63" s="32">
        <v>80</v>
      </c>
      <c r="L63" s="28">
        <v>691.99800000000005</v>
      </c>
      <c r="M63" s="34">
        <v>4418300</v>
      </c>
      <c r="N63" s="31">
        <v>11.7</v>
      </c>
      <c r="O63" s="31">
        <v>32.200000000000003</v>
      </c>
      <c r="P63" s="74">
        <v>47.9</v>
      </c>
      <c r="Q63" s="74">
        <v>7.4</v>
      </c>
      <c r="R63" s="74">
        <v>6.4</v>
      </c>
      <c r="S63" s="35">
        <f t="shared" si="0"/>
        <v>0</v>
      </c>
      <c r="T63" s="35">
        <f t="shared" si="1"/>
        <v>0</v>
      </c>
      <c r="U63" s="35">
        <f t="shared" si="2"/>
        <v>0</v>
      </c>
      <c r="V63" s="36">
        <f t="shared" si="3"/>
        <v>0</v>
      </c>
    </row>
    <row r="64" spans="1:22" ht="15" customHeight="1" x14ac:dyDescent="0.25">
      <c r="A64" s="27" t="s">
        <v>86</v>
      </c>
      <c r="B64" s="28">
        <v>2000</v>
      </c>
      <c r="C64" s="29" t="s">
        <v>31</v>
      </c>
      <c r="D64" s="87">
        <v>78</v>
      </c>
      <c r="E64" s="28">
        <v>95</v>
      </c>
      <c r="F64" s="31">
        <v>11.61</v>
      </c>
      <c r="G64" s="28">
        <v>4238.540035</v>
      </c>
      <c r="H64" s="30">
        <v>55.1</v>
      </c>
      <c r="I64" s="32">
        <v>94</v>
      </c>
      <c r="J64" s="28">
        <v>1.1000000000000001</v>
      </c>
      <c r="K64" s="32">
        <v>90</v>
      </c>
      <c r="L64" s="33">
        <v>23718.746999999999</v>
      </c>
      <c r="M64" s="34">
        <v>82211508</v>
      </c>
      <c r="N64" s="31">
        <v>11.2</v>
      </c>
      <c r="O64" s="31">
        <v>35.299999999999997</v>
      </c>
      <c r="P64" s="74">
        <v>2355.5</v>
      </c>
      <c r="Q64" s="74">
        <v>9.8000000000000007</v>
      </c>
      <c r="R64" s="74">
        <v>17.5</v>
      </c>
      <c r="S64" s="35">
        <f t="shared" si="0"/>
        <v>1</v>
      </c>
      <c r="T64" s="35">
        <f t="shared" si="1"/>
        <v>94</v>
      </c>
      <c r="U64" s="35">
        <f t="shared" si="2"/>
        <v>11.2</v>
      </c>
      <c r="V64" s="36">
        <f t="shared" si="3"/>
        <v>90</v>
      </c>
    </row>
    <row r="65" spans="1:22" ht="15" customHeight="1" x14ac:dyDescent="0.25">
      <c r="A65" s="27" t="s">
        <v>87</v>
      </c>
      <c r="B65" s="28">
        <v>2000</v>
      </c>
      <c r="C65" s="29" t="s">
        <v>19</v>
      </c>
      <c r="D65" s="87">
        <v>57.2</v>
      </c>
      <c r="E65" s="28">
        <v>38</v>
      </c>
      <c r="F65" s="31">
        <v>1.92</v>
      </c>
      <c r="G65" s="28">
        <v>20.65432873</v>
      </c>
      <c r="H65" s="30">
        <v>19.5</v>
      </c>
      <c r="I65" s="32">
        <v>88</v>
      </c>
      <c r="J65" s="28">
        <v>3</v>
      </c>
      <c r="K65" s="32">
        <v>88</v>
      </c>
      <c r="L65" s="28">
        <v>263.11200000000002</v>
      </c>
      <c r="M65" s="34">
        <v>18938762</v>
      </c>
      <c r="N65" s="31">
        <v>6.1</v>
      </c>
      <c r="O65" s="31">
        <v>5.9</v>
      </c>
      <c r="P65" s="74">
        <v>21.9</v>
      </c>
      <c r="Q65" s="74">
        <v>5.0999999999999996</v>
      </c>
      <c r="R65" s="74">
        <v>6.1</v>
      </c>
      <c r="S65" s="35">
        <f t="shared" si="0"/>
        <v>0</v>
      </c>
      <c r="T65" s="35">
        <f t="shared" si="1"/>
        <v>0</v>
      </c>
      <c r="U65" s="35">
        <f t="shared" si="2"/>
        <v>0</v>
      </c>
      <c r="V65" s="36">
        <f t="shared" si="3"/>
        <v>0</v>
      </c>
    </row>
    <row r="66" spans="1:22" ht="15" customHeight="1" x14ac:dyDescent="0.25">
      <c r="A66" s="27" t="s">
        <v>88</v>
      </c>
      <c r="B66" s="28">
        <v>2000</v>
      </c>
      <c r="C66" s="29" t="s">
        <v>19</v>
      </c>
      <c r="D66" s="87">
        <v>78.2</v>
      </c>
      <c r="E66" s="28">
        <v>84</v>
      </c>
      <c r="F66" s="31">
        <v>9.07</v>
      </c>
      <c r="G66" s="28">
        <v>122.1823517</v>
      </c>
      <c r="H66" s="30">
        <v>57.4</v>
      </c>
      <c r="I66" s="32">
        <v>89</v>
      </c>
      <c r="J66" s="28">
        <v>7.6</v>
      </c>
      <c r="K66" s="32">
        <v>89</v>
      </c>
      <c r="L66" s="33">
        <v>1242.954</v>
      </c>
      <c r="M66" s="34">
        <v>10805808</v>
      </c>
      <c r="N66" s="31">
        <v>8.6</v>
      </c>
      <c r="O66" s="31">
        <v>53.5</v>
      </c>
      <c r="P66" s="74">
        <v>885.4</v>
      </c>
      <c r="Q66" s="74">
        <v>7.2</v>
      </c>
      <c r="R66" s="74">
        <v>0</v>
      </c>
      <c r="S66" s="35">
        <f t="shared" si="0"/>
        <v>0</v>
      </c>
      <c r="T66" s="35">
        <f t="shared" si="1"/>
        <v>0</v>
      </c>
      <c r="U66" s="35">
        <f t="shared" si="2"/>
        <v>0</v>
      </c>
      <c r="V66" s="36">
        <f t="shared" si="3"/>
        <v>0</v>
      </c>
    </row>
    <row r="67" spans="1:22" ht="15" customHeight="1" x14ac:dyDescent="0.25">
      <c r="A67" s="27" t="s">
        <v>89</v>
      </c>
      <c r="B67" s="28">
        <v>2000</v>
      </c>
      <c r="C67" s="29" t="s">
        <v>19</v>
      </c>
      <c r="D67" s="87">
        <v>74</v>
      </c>
      <c r="E67" s="28">
        <v>182</v>
      </c>
      <c r="F67" s="31">
        <v>8.42</v>
      </c>
      <c r="G67" s="28">
        <v>676.54538779999996</v>
      </c>
      <c r="H67" s="30">
        <v>37.700000000000003</v>
      </c>
      <c r="I67" s="32">
        <v>97</v>
      </c>
      <c r="J67" s="28">
        <v>6.62</v>
      </c>
      <c r="K67" s="32">
        <v>97</v>
      </c>
      <c r="L67" s="33">
        <v>5117.59</v>
      </c>
      <c r="M67" s="34">
        <v>101619</v>
      </c>
      <c r="N67" s="31">
        <v>4.5999999999999996</v>
      </c>
      <c r="O67" s="31">
        <v>0</v>
      </c>
      <c r="P67" s="74">
        <v>261</v>
      </c>
      <c r="Q67" s="74">
        <v>5.0999999999999996</v>
      </c>
      <c r="R67" s="74">
        <v>6.8</v>
      </c>
      <c r="S67" s="35">
        <f t="shared" ref="S67:S130" si="4">IF(C67="Developing",0,1)</f>
        <v>0</v>
      </c>
      <c r="T67" s="35">
        <f t="shared" ref="T67:T130" si="5">I67*S67</f>
        <v>0</v>
      </c>
      <c r="U67" s="35">
        <f t="shared" ref="U67:U130" si="6">S67*N67</f>
        <v>0</v>
      </c>
      <c r="V67" s="36">
        <f t="shared" ref="V67:V130" si="7">K67*S67</f>
        <v>0</v>
      </c>
    </row>
    <row r="68" spans="1:22" ht="15" customHeight="1" x14ac:dyDescent="0.25">
      <c r="A68" s="27" t="s">
        <v>90</v>
      </c>
      <c r="B68" s="28">
        <v>2000</v>
      </c>
      <c r="C68" s="29" t="s">
        <v>19</v>
      </c>
      <c r="D68" s="87">
        <v>67.7</v>
      </c>
      <c r="E68" s="28">
        <v>221</v>
      </c>
      <c r="F68" s="31">
        <v>2</v>
      </c>
      <c r="G68" s="28">
        <v>238.7369808</v>
      </c>
      <c r="H68" s="30">
        <v>4.4000000000000004</v>
      </c>
      <c r="I68" s="32">
        <v>80</v>
      </c>
      <c r="J68" s="28">
        <v>5.25</v>
      </c>
      <c r="K68" s="32">
        <v>81</v>
      </c>
      <c r="L68" s="33">
        <v>1655.596</v>
      </c>
      <c r="M68" s="34">
        <v>11650743</v>
      </c>
      <c r="N68" s="31">
        <v>3.7</v>
      </c>
      <c r="O68" s="31">
        <v>0</v>
      </c>
      <c r="P68" s="74">
        <v>85.8</v>
      </c>
      <c r="Q68" s="74">
        <v>5.2</v>
      </c>
      <c r="R68" s="74">
        <v>13.2</v>
      </c>
      <c r="S68" s="35">
        <f t="shared" si="4"/>
        <v>0</v>
      </c>
      <c r="T68" s="35">
        <f t="shared" si="5"/>
        <v>0</v>
      </c>
      <c r="U68" s="35">
        <f t="shared" si="6"/>
        <v>0</v>
      </c>
      <c r="V68" s="36">
        <f t="shared" si="7"/>
        <v>0</v>
      </c>
    </row>
    <row r="69" spans="1:22" ht="15" customHeight="1" x14ac:dyDescent="0.25">
      <c r="A69" s="27" t="s">
        <v>91</v>
      </c>
      <c r="B69" s="28">
        <v>2000</v>
      </c>
      <c r="C69" s="29" t="s">
        <v>19</v>
      </c>
      <c r="D69" s="87">
        <v>52.5</v>
      </c>
      <c r="E69" s="28">
        <v>328</v>
      </c>
      <c r="F69" s="31">
        <v>0.18</v>
      </c>
      <c r="G69" s="28">
        <v>2.2159861360000002</v>
      </c>
      <c r="H69" s="30">
        <v>16.600000000000001</v>
      </c>
      <c r="I69" s="32">
        <v>47</v>
      </c>
      <c r="J69" s="28">
        <v>3.46</v>
      </c>
      <c r="K69" s="32">
        <v>46</v>
      </c>
      <c r="L69" s="28">
        <v>34.517000000000003</v>
      </c>
      <c r="M69" s="34">
        <v>8808546</v>
      </c>
      <c r="N69" s="31">
        <v>1.5</v>
      </c>
      <c r="O69" s="31">
        <v>0</v>
      </c>
      <c r="P69" s="74">
        <v>17</v>
      </c>
      <c r="Q69" s="74">
        <v>5</v>
      </c>
      <c r="R69" s="74">
        <v>2.9</v>
      </c>
      <c r="S69" s="35">
        <f t="shared" si="4"/>
        <v>0</v>
      </c>
      <c r="T69" s="35">
        <f t="shared" si="5"/>
        <v>0</v>
      </c>
      <c r="U69" s="35">
        <f t="shared" si="6"/>
        <v>0</v>
      </c>
      <c r="V69" s="36">
        <f t="shared" si="7"/>
        <v>0</v>
      </c>
    </row>
    <row r="70" spans="1:22" ht="15" customHeight="1" x14ac:dyDescent="0.25">
      <c r="A70" s="27" t="s">
        <v>92</v>
      </c>
      <c r="B70" s="28">
        <v>2000</v>
      </c>
      <c r="C70" s="29" t="s">
        <v>19</v>
      </c>
      <c r="D70" s="87">
        <v>52.1</v>
      </c>
      <c r="E70" s="28">
        <v>3</v>
      </c>
      <c r="F70" s="31">
        <v>2.73</v>
      </c>
      <c r="G70" s="28">
        <v>6.6994187470000002</v>
      </c>
      <c r="H70" s="30">
        <v>17.399999999999999</v>
      </c>
      <c r="I70" s="32">
        <v>52</v>
      </c>
      <c r="J70" s="28">
        <v>4.9400000000000004</v>
      </c>
      <c r="K70" s="32">
        <v>49</v>
      </c>
      <c r="L70" s="28">
        <v>297.75200000000001</v>
      </c>
      <c r="M70" s="34">
        <v>1243229</v>
      </c>
      <c r="N70" s="31">
        <v>0.7</v>
      </c>
      <c r="O70" s="31">
        <v>0</v>
      </c>
      <c r="P70" s="74">
        <v>21.2</v>
      </c>
      <c r="Q70" s="74">
        <v>6.3</v>
      </c>
      <c r="R70" s="74">
        <v>14.3</v>
      </c>
      <c r="S70" s="35">
        <f t="shared" si="4"/>
        <v>0</v>
      </c>
      <c r="T70" s="35">
        <f t="shared" si="5"/>
        <v>0</v>
      </c>
      <c r="U70" s="35">
        <f t="shared" si="6"/>
        <v>0</v>
      </c>
      <c r="V70" s="36">
        <f t="shared" si="7"/>
        <v>0</v>
      </c>
    </row>
    <row r="71" spans="1:22" ht="15" customHeight="1" x14ac:dyDescent="0.25">
      <c r="A71" s="27" t="s">
        <v>93</v>
      </c>
      <c r="B71" s="28">
        <v>2000</v>
      </c>
      <c r="C71" s="29" t="s">
        <v>19</v>
      </c>
      <c r="D71" s="87">
        <v>65.400000000000006</v>
      </c>
      <c r="E71" s="28">
        <v>246</v>
      </c>
      <c r="F71" s="31">
        <v>5.08</v>
      </c>
      <c r="G71" s="28">
        <v>16.754808879999999</v>
      </c>
      <c r="H71" s="30">
        <v>35.700000000000003</v>
      </c>
      <c r="I71" s="32">
        <v>79</v>
      </c>
      <c r="J71" s="28">
        <v>5.85</v>
      </c>
      <c r="K71" s="32">
        <v>88</v>
      </c>
      <c r="L71" s="28">
        <v>946.59900000000005</v>
      </c>
      <c r="M71" s="34">
        <v>753301</v>
      </c>
      <c r="N71" s="31">
        <v>7.7</v>
      </c>
      <c r="O71" s="31">
        <v>0</v>
      </c>
      <c r="P71" s="74">
        <v>41.5</v>
      </c>
      <c r="Q71" s="74">
        <v>4.4000000000000004</v>
      </c>
      <c r="R71" s="74">
        <v>7.1</v>
      </c>
      <c r="S71" s="35">
        <f t="shared" si="4"/>
        <v>0</v>
      </c>
      <c r="T71" s="35">
        <f t="shared" si="5"/>
        <v>0</v>
      </c>
      <c r="U71" s="35">
        <f t="shared" si="6"/>
        <v>0</v>
      </c>
      <c r="V71" s="36">
        <f t="shared" si="7"/>
        <v>0</v>
      </c>
    </row>
    <row r="72" spans="1:22" ht="15" customHeight="1" x14ac:dyDescent="0.25">
      <c r="A72" s="27" t="s">
        <v>94</v>
      </c>
      <c r="B72" s="28">
        <v>2000</v>
      </c>
      <c r="C72" s="29" t="s">
        <v>19</v>
      </c>
      <c r="D72" s="87">
        <v>58.6</v>
      </c>
      <c r="E72" s="28">
        <v>35</v>
      </c>
      <c r="F72" s="31">
        <v>5.9</v>
      </c>
      <c r="G72" s="28">
        <v>74.46033036</v>
      </c>
      <c r="H72" s="30">
        <v>34</v>
      </c>
      <c r="I72" s="32">
        <v>50</v>
      </c>
      <c r="J72" s="28">
        <v>6.6</v>
      </c>
      <c r="K72" s="32">
        <v>41</v>
      </c>
      <c r="L72" s="28">
        <v>462.48700000000002</v>
      </c>
      <c r="M72" s="34">
        <v>8549200</v>
      </c>
      <c r="N72" s="31">
        <v>3.8</v>
      </c>
      <c r="O72" s="31">
        <v>12.1</v>
      </c>
      <c r="P72" s="74">
        <v>29.6</v>
      </c>
      <c r="Q72" s="74">
        <v>6.9</v>
      </c>
      <c r="R72" s="74">
        <v>10.9</v>
      </c>
      <c r="S72" s="35">
        <f t="shared" si="4"/>
        <v>0</v>
      </c>
      <c r="T72" s="35">
        <f t="shared" si="5"/>
        <v>0</v>
      </c>
      <c r="U72" s="35">
        <f t="shared" si="6"/>
        <v>0</v>
      </c>
      <c r="V72" s="36">
        <f t="shared" si="7"/>
        <v>0</v>
      </c>
    </row>
    <row r="73" spans="1:22" ht="15" customHeight="1" x14ac:dyDescent="0.25">
      <c r="A73" s="27" t="s">
        <v>95</v>
      </c>
      <c r="B73" s="28">
        <v>2000</v>
      </c>
      <c r="C73" s="29" t="s">
        <v>19</v>
      </c>
      <c r="D73" s="87">
        <v>71</v>
      </c>
      <c r="E73" s="28">
        <v>174</v>
      </c>
      <c r="F73" s="31">
        <v>2.97</v>
      </c>
      <c r="G73" s="28">
        <v>28.808310980000002</v>
      </c>
      <c r="H73" s="30">
        <v>38.799999999999997</v>
      </c>
      <c r="I73" s="32">
        <v>88</v>
      </c>
      <c r="J73" s="28">
        <v>6.63</v>
      </c>
      <c r="K73" s="32">
        <v>94</v>
      </c>
      <c r="L73" s="28">
        <v>188.78299999999999</v>
      </c>
      <c r="M73" s="34">
        <v>6524283</v>
      </c>
      <c r="N73" s="31">
        <v>4.3</v>
      </c>
      <c r="O73" s="31">
        <v>3.9</v>
      </c>
      <c r="P73" s="74">
        <v>68.900000000000006</v>
      </c>
      <c r="Q73" s="74">
        <v>6.3</v>
      </c>
      <c r="R73" s="74">
        <v>13.9</v>
      </c>
      <c r="S73" s="35">
        <f t="shared" si="4"/>
        <v>0</v>
      </c>
      <c r="T73" s="35">
        <f t="shared" si="5"/>
        <v>0</v>
      </c>
      <c r="U73" s="35">
        <f t="shared" si="6"/>
        <v>0</v>
      </c>
      <c r="V73" s="36">
        <f t="shared" si="7"/>
        <v>0</v>
      </c>
    </row>
    <row r="74" spans="1:22" ht="15" customHeight="1" x14ac:dyDescent="0.25">
      <c r="A74" s="27" t="s">
        <v>96</v>
      </c>
      <c r="B74" s="28">
        <v>2000</v>
      </c>
      <c r="C74" s="29" t="s">
        <v>31</v>
      </c>
      <c r="D74" s="87">
        <v>71.7</v>
      </c>
      <c r="E74" s="28">
        <v>193</v>
      </c>
      <c r="F74" s="31">
        <v>11.46</v>
      </c>
      <c r="G74" s="28">
        <v>75.362514059999995</v>
      </c>
      <c r="H74" s="30">
        <v>56.1</v>
      </c>
      <c r="I74" s="32">
        <v>99</v>
      </c>
      <c r="J74" s="28">
        <v>7.6</v>
      </c>
      <c r="K74" s="32">
        <v>99</v>
      </c>
      <c r="L74" s="33">
        <v>4623.4669999999996</v>
      </c>
      <c r="M74" s="34">
        <v>10210971</v>
      </c>
      <c r="N74" s="31">
        <v>10.199999999999999</v>
      </c>
      <c r="O74" s="31">
        <v>41.1</v>
      </c>
      <c r="P74" s="74">
        <v>313.10000000000002</v>
      </c>
      <c r="Q74" s="74">
        <v>6.8</v>
      </c>
      <c r="R74" s="74">
        <v>0</v>
      </c>
      <c r="S74" s="35">
        <f t="shared" si="4"/>
        <v>1</v>
      </c>
      <c r="T74" s="35">
        <f t="shared" si="5"/>
        <v>99</v>
      </c>
      <c r="U74" s="35">
        <f t="shared" si="6"/>
        <v>10.199999999999999</v>
      </c>
      <c r="V74" s="36">
        <f t="shared" si="7"/>
        <v>99</v>
      </c>
    </row>
    <row r="75" spans="1:22" ht="15" customHeight="1" x14ac:dyDescent="0.25">
      <c r="A75" s="27" t="s">
        <v>97</v>
      </c>
      <c r="B75" s="28">
        <v>2000</v>
      </c>
      <c r="C75" s="29" t="s">
        <v>31</v>
      </c>
      <c r="D75" s="87">
        <v>79.7</v>
      </c>
      <c r="E75" s="28">
        <v>74</v>
      </c>
      <c r="F75" s="31">
        <v>7.24</v>
      </c>
      <c r="G75" s="28">
        <v>5809.1219899999996</v>
      </c>
      <c r="H75" s="30">
        <v>54.2</v>
      </c>
      <c r="I75" s="32">
        <v>98</v>
      </c>
      <c r="J75" s="28">
        <v>9.2799999999999994</v>
      </c>
      <c r="K75" s="32">
        <v>98</v>
      </c>
      <c r="L75" s="33">
        <v>31813.373</v>
      </c>
      <c r="M75" s="34">
        <v>281205</v>
      </c>
      <c r="N75" s="31">
        <v>9.4</v>
      </c>
      <c r="O75" s="31">
        <v>30.1</v>
      </c>
      <c r="P75" s="74">
        <v>2866</v>
      </c>
      <c r="Q75" s="74">
        <v>9</v>
      </c>
      <c r="R75" s="74">
        <v>0</v>
      </c>
      <c r="S75" s="35">
        <f t="shared" si="4"/>
        <v>1</v>
      </c>
      <c r="T75" s="35">
        <f t="shared" si="5"/>
        <v>98</v>
      </c>
      <c r="U75" s="35">
        <f t="shared" si="6"/>
        <v>9.4</v>
      </c>
      <c r="V75" s="36">
        <f t="shared" si="7"/>
        <v>98</v>
      </c>
    </row>
    <row r="76" spans="1:22" ht="15" customHeight="1" x14ac:dyDescent="0.25">
      <c r="A76" s="27" t="s">
        <v>98</v>
      </c>
      <c r="B76" s="28">
        <v>2000</v>
      </c>
      <c r="C76" s="29" t="s">
        <v>19</v>
      </c>
      <c r="D76" s="87">
        <v>62.5</v>
      </c>
      <c r="E76" s="28">
        <v>224</v>
      </c>
      <c r="F76" s="31">
        <v>2.4700000000000002</v>
      </c>
      <c r="G76" s="28">
        <v>19.26615743</v>
      </c>
      <c r="H76" s="30">
        <v>11.4</v>
      </c>
      <c r="I76" s="32">
        <v>57</v>
      </c>
      <c r="J76" s="28">
        <v>4.26</v>
      </c>
      <c r="K76" s="32">
        <v>58</v>
      </c>
      <c r="L76" s="28">
        <v>438.86500000000001</v>
      </c>
      <c r="M76" s="34">
        <v>1053050912</v>
      </c>
      <c r="N76" s="31">
        <v>4.4000000000000004</v>
      </c>
      <c r="O76" s="31">
        <v>21.2</v>
      </c>
      <c r="P76" s="74">
        <v>18.600000000000001</v>
      </c>
      <c r="Q76" s="74">
        <v>4.2</v>
      </c>
      <c r="R76" s="74">
        <v>3.3</v>
      </c>
      <c r="S76" s="35">
        <f t="shared" si="4"/>
        <v>0</v>
      </c>
      <c r="T76" s="35">
        <f t="shared" si="5"/>
        <v>0</v>
      </c>
      <c r="U76" s="35">
        <f t="shared" si="6"/>
        <v>0</v>
      </c>
      <c r="V76" s="36">
        <f t="shared" si="7"/>
        <v>0</v>
      </c>
    </row>
    <row r="77" spans="1:22" ht="15" customHeight="1" x14ac:dyDescent="0.25">
      <c r="A77" s="27" t="s">
        <v>99</v>
      </c>
      <c r="B77" s="28">
        <v>2000</v>
      </c>
      <c r="C77" s="29" t="s">
        <v>19</v>
      </c>
      <c r="D77" s="87">
        <v>66.3</v>
      </c>
      <c r="E77" s="28">
        <v>188</v>
      </c>
      <c r="F77" s="31">
        <v>0.09</v>
      </c>
      <c r="G77" s="28">
        <v>3.4333436399999999</v>
      </c>
      <c r="H77" s="30">
        <v>15.4</v>
      </c>
      <c r="I77" s="32">
        <v>72</v>
      </c>
      <c r="J77" s="28">
        <v>1.98</v>
      </c>
      <c r="K77" s="32">
        <v>75</v>
      </c>
      <c r="L77" s="28">
        <v>78.927000000000007</v>
      </c>
      <c r="M77" s="34">
        <v>211540429</v>
      </c>
      <c r="N77" s="31">
        <v>6.7</v>
      </c>
      <c r="O77" s="31">
        <v>32.9</v>
      </c>
      <c r="P77" s="74">
        <v>15.6</v>
      </c>
      <c r="Q77" s="74">
        <v>2</v>
      </c>
      <c r="R77" s="74">
        <v>3.8</v>
      </c>
      <c r="S77" s="35">
        <f t="shared" si="4"/>
        <v>0</v>
      </c>
      <c r="T77" s="35">
        <f t="shared" si="5"/>
        <v>0</v>
      </c>
      <c r="U77" s="35">
        <f t="shared" si="6"/>
        <v>0</v>
      </c>
      <c r="V77" s="36">
        <f t="shared" si="7"/>
        <v>0</v>
      </c>
    </row>
    <row r="78" spans="1:22" ht="15" customHeight="1" x14ac:dyDescent="0.25">
      <c r="A78" s="27" t="s">
        <v>100</v>
      </c>
      <c r="B78" s="28">
        <v>2000</v>
      </c>
      <c r="C78" s="29" t="s">
        <v>19</v>
      </c>
      <c r="D78" s="87">
        <v>73</v>
      </c>
      <c r="E78" s="28">
        <v>15</v>
      </c>
      <c r="F78" s="31">
        <v>0.03</v>
      </c>
      <c r="G78" s="28">
        <v>0</v>
      </c>
      <c r="H78" s="30">
        <v>44.9</v>
      </c>
      <c r="I78" s="32">
        <v>99</v>
      </c>
      <c r="J78" s="28">
        <v>4.47</v>
      </c>
      <c r="K78" s="32">
        <v>99</v>
      </c>
      <c r="L78" s="33">
        <v>1657.17</v>
      </c>
      <c r="M78" s="34">
        <v>66131854</v>
      </c>
      <c r="N78" s="31">
        <v>6.2</v>
      </c>
      <c r="O78" s="31">
        <v>17.5</v>
      </c>
      <c r="P78" s="74">
        <v>80.2</v>
      </c>
      <c r="Q78" s="74">
        <v>5.2</v>
      </c>
      <c r="R78" s="74">
        <v>11</v>
      </c>
      <c r="S78" s="35">
        <f t="shared" si="4"/>
        <v>0</v>
      </c>
      <c r="T78" s="35">
        <f t="shared" si="5"/>
        <v>0</v>
      </c>
      <c r="U78" s="35">
        <f t="shared" si="6"/>
        <v>0</v>
      </c>
      <c r="V78" s="36">
        <f t="shared" si="7"/>
        <v>0</v>
      </c>
    </row>
    <row r="79" spans="1:22" ht="15" customHeight="1" x14ac:dyDescent="0.25">
      <c r="A79" s="27" t="s">
        <v>101</v>
      </c>
      <c r="B79" s="28">
        <v>2000</v>
      </c>
      <c r="C79" s="29" t="s">
        <v>19</v>
      </c>
      <c r="D79" s="87">
        <v>70</v>
      </c>
      <c r="E79" s="28">
        <v>144</v>
      </c>
      <c r="F79" s="31">
        <v>0.2</v>
      </c>
      <c r="G79" s="28">
        <v>0</v>
      </c>
      <c r="H79" s="30">
        <v>49.5</v>
      </c>
      <c r="I79" s="32">
        <v>83</v>
      </c>
      <c r="J79" s="29"/>
      <c r="K79" s="32">
        <v>80</v>
      </c>
      <c r="L79" s="28">
        <v>717</v>
      </c>
      <c r="M79" s="34">
        <v>23565413</v>
      </c>
      <c r="N79" s="31">
        <v>5</v>
      </c>
      <c r="O79" s="31">
        <v>0</v>
      </c>
      <c r="P79" s="74" t="s">
        <v>25</v>
      </c>
      <c r="Q79" s="74" t="s">
        <v>25</v>
      </c>
      <c r="R79" s="74" t="s">
        <v>25</v>
      </c>
      <c r="S79" s="35">
        <f t="shared" si="4"/>
        <v>0</v>
      </c>
      <c r="T79" s="35">
        <f t="shared" si="5"/>
        <v>0</v>
      </c>
      <c r="U79" s="35">
        <f t="shared" si="6"/>
        <v>0</v>
      </c>
      <c r="V79" s="36">
        <f t="shared" si="7"/>
        <v>0</v>
      </c>
    </row>
    <row r="80" spans="1:22" ht="15" customHeight="1" x14ac:dyDescent="0.25">
      <c r="A80" s="27" t="s">
        <v>102</v>
      </c>
      <c r="B80" s="28">
        <v>2000</v>
      </c>
      <c r="C80" s="29" t="s">
        <v>31</v>
      </c>
      <c r="D80" s="87">
        <v>76.400000000000006</v>
      </c>
      <c r="E80" s="28">
        <v>94</v>
      </c>
      <c r="F80" s="31">
        <v>11.27</v>
      </c>
      <c r="G80" s="28">
        <v>3794.581463</v>
      </c>
      <c r="H80" s="30">
        <v>51.5</v>
      </c>
      <c r="I80" s="32">
        <v>86</v>
      </c>
      <c r="J80" s="28">
        <v>6.3</v>
      </c>
      <c r="K80" s="32">
        <v>86</v>
      </c>
      <c r="L80" s="33">
        <v>26241.919000000002</v>
      </c>
      <c r="M80" s="34">
        <v>3805174</v>
      </c>
      <c r="N80" s="31">
        <v>10.8</v>
      </c>
      <c r="O80" s="31">
        <v>37.799999999999997</v>
      </c>
      <c r="P80" s="74">
        <v>1561</v>
      </c>
      <c r="Q80" s="74">
        <v>5.9</v>
      </c>
      <c r="R80" s="74">
        <v>0</v>
      </c>
      <c r="S80" s="35">
        <f t="shared" si="4"/>
        <v>1</v>
      </c>
      <c r="T80" s="35">
        <f t="shared" si="5"/>
        <v>86</v>
      </c>
      <c r="U80" s="35">
        <f t="shared" si="6"/>
        <v>10.8</v>
      </c>
      <c r="V80" s="36">
        <f t="shared" si="7"/>
        <v>86</v>
      </c>
    </row>
    <row r="81" spans="1:22" ht="15" customHeight="1" x14ac:dyDescent="0.25">
      <c r="A81" s="27" t="s">
        <v>103</v>
      </c>
      <c r="B81" s="28">
        <v>2000</v>
      </c>
      <c r="C81" s="29" t="s">
        <v>19</v>
      </c>
      <c r="D81" s="87">
        <v>78.900000000000006</v>
      </c>
      <c r="E81" s="28">
        <v>76</v>
      </c>
      <c r="F81" s="31">
        <v>2.56</v>
      </c>
      <c r="G81" s="28">
        <v>199.9341033</v>
      </c>
      <c r="H81" s="30">
        <v>58.3</v>
      </c>
      <c r="I81" s="32">
        <v>93</v>
      </c>
      <c r="J81" s="28">
        <v>7.13</v>
      </c>
      <c r="K81" s="32">
        <v>93</v>
      </c>
      <c r="L81" s="33">
        <v>2152.143</v>
      </c>
      <c r="M81" s="34">
        <v>6289000</v>
      </c>
      <c r="N81" s="31">
        <v>12</v>
      </c>
      <c r="O81" s="31">
        <v>31.9</v>
      </c>
      <c r="P81" s="74">
        <v>1496.9</v>
      </c>
      <c r="Q81" s="74">
        <v>6.8</v>
      </c>
      <c r="R81" s="74">
        <v>0</v>
      </c>
      <c r="S81" s="35">
        <f t="shared" si="4"/>
        <v>0</v>
      </c>
      <c r="T81" s="35">
        <f t="shared" si="5"/>
        <v>0</v>
      </c>
      <c r="U81" s="35">
        <f t="shared" si="6"/>
        <v>0</v>
      </c>
      <c r="V81" s="36">
        <f t="shared" si="7"/>
        <v>0</v>
      </c>
    </row>
    <row r="82" spans="1:22" ht="15" customHeight="1" x14ac:dyDescent="0.25">
      <c r="A82" s="27" t="s">
        <v>104</v>
      </c>
      <c r="B82" s="28">
        <v>2000</v>
      </c>
      <c r="C82" s="29" t="s">
        <v>31</v>
      </c>
      <c r="D82" s="87">
        <v>79.400000000000006</v>
      </c>
      <c r="E82" s="28">
        <v>77</v>
      </c>
      <c r="F82" s="31">
        <v>6.4</v>
      </c>
      <c r="G82" s="28">
        <v>31.505822040000002</v>
      </c>
      <c r="H82" s="30">
        <v>55</v>
      </c>
      <c r="I82" s="32">
        <v>97</v>
      </c>
      <c r="J82" s="28">
        <v>7.91</v>
      </c>
      <c r="K82" s="32">
        <v>87</v>
      </c>
      <c r="L82" s="28">
        <v>251.24299999999999</v>
      </c>
      <c r="M82" s="34">
        <v>56942108</v>
      </c>
      <c r="N82" s="31">
        <v>8.6</v>
      </c>
      <c r="O82" s="31">
        <v>26.5</v>
      </c>
      <c r="P82" s="74">
        <v>1520.5</v>
      </c>
      <c r="Q82" s="74">
        <v>7.6</v>
      </c>
      <c r="R82" s="74">
        <v>12.1</v>
      </c>
      <c r="S82" s="35">
        <f t="shared" si="4"/>
        <v>1</v>
      </c>
      <c r="T82" s="35">
        <f t="shared" si="5"/>
        <v>97</v>
      </c>
      <c r="U82" s="35">
        <f t="shared" si="6"/>
        <v>8.6</v>
      </c>
      <c r="V82" s="36">
        <f t="shared" si="7"/>
        <v>87</v>
      </c>
    </row>
    <row r="83" spans="1:22" ht="15" customHeight="1" x14ac:dyDescent="0.25">
      <c r="A83" s="27" t="s">
        <v>105</v>
      </c>
      <c r="B83" s="28">
        <v>2000</v>
      </c>
      <c r="C83" s="29" t="s">
        <v>19</v>
      </c>
      <c r="D83" s="87">
        <v>72.599999999999994</v>
      </c>
      <c r="E83" s="28">
        <v>171</v>
      </c>
      <c r="F83" s="31">
        <v>2.84</v>
      </c>
      <c r="G83" s="28">
        <v>24.827628539999999</v>
      </c>
      <c r="H83" s="30">
        <v>41.6</v>
      </c>
      <c r="I83" s="32">
        <v>95</v>
      </c>
      <c r="J83" s="28">
        <v>5.81</v>
      </c>
      <c r="K83" s="32">
        <v>93</v>
      </c>
      <c r="L83" s="28">
        <v>336.87400000000002</v>
      </c>
      <c r="M83" s="34">
        <v>2656864</v>
      </c>
      <c r="N83" s="31">
        <v>7.3</v>
      </c>
      <c r="O83" s="31">
        <v>18.399999999999999</v>
      </c>
      <c r="P83" s="74">
        <v>195.5</v>
      </c>
      <c r="Q83" s="74">
        <v>5.8</v>
      </c>
      <c r="R83" s="74">
        <v>11.8</v>
      </c>
      <c r="S83" s="35">
        <f t="shared" si="4"/>
        <v>0</v>
      </c>
      <c r="T83" s="35">
        <f t="shared" si="5"/>
        <v>0</v>
      </c>
      <c r="U83" s="35">
        <f t="shared" si="6"/>
        <v>0</v>
      </c>
      <c r="V83" s="36">
        <f t="shared" si="7"/>
        <v>0</v>
      </c>
    </row>
    <row r="84" spans="1:22" ht="15" customHeight="1" x14ac:dyDescent="0.25">
      <c r="A84" s="27" t="s">
        <v>106</v>
      </c>
      <c r="B84" s="28">
        <v>2000</v>
      </c>
      <c r="C84" s="29" t="s">
        <v>31</v>
      </c>
      <c r="D84" s="87">
        <v>81.099999999999994</v>
      </c>
      <c r="E84" s="28">
        <v>74</v>
      </c>
      <c r="F84" s="31">
        <v>6.98</v>
      </c>
      <c r="G84" s="28">
        <v>5926.2966539999998</v>
      </c>
      <c r="H84" s="30">
        <v>22.2</v>
      </c>
      <c r="I84" s="32">
        <v>98</v>
      </c>
      <c r="J84" s="28">
        <v>7.53</v>
      </c>
      <c r="K84" s="32">
        <v>85</v>
      </c>
      <c r="L84" s="33">
        <v>38532.487999999998</v>
      </c>
      <c r="M84" s="34">
        <v>126843000</v>
      </c>
      <c r="N84" s="31">
        <v>10.7</v>
      </c>
      <c r="O84" s="31">
        <v>33</v>
      </c>
      <c r="P84" s="74">
        <v>2740.5</v>
      </c>
      <c r="Q84" s="74">
        <v>7.2</v>
      </c>
      <c r="R84" s="74">
        <v>14.8</v>
      </c>
      <c r="S84" s="35">
        <f t="shared" si="4"/>
        <v>1</v>
      </c>
      <c r="T84" s="35">
        <f t="shared" si="5"/>
        <v>98</v>
      </c>
      <c r="U84" s="35">
        <f t="shared" si="6"/>
        <v>10.7</v>
      </c>
      <c r="V84" s="36">
        <f t="shared" si="7"/>
        <v>85</v>
      </c>
    </row>
    <row r="85" spans="1:22" ht="15" customHeight="1" x14ac:dyDescent="0.25">
      <c r="A85" s="27" t="s">
        <v>107</v>
      </c>
      <c r="B85" s="28">
        <v>2000</v>
      </c>
      <c r="C85" s="29" t="s">
        <v>19</v>
      </c>
      <c r="D85" s="87">
        <v>71.7</v>
      </c>
      <c r="E85" s="28">
        <v>133</v>
      </c>
      <c r="F85" s="31">
        <v>0.59</v>
      </c>
      <c r="G85" s="28">
        <v>227.296617</v>
      </c>
      <c r="H85" s="30">
        <v>54</v>
      </c>
      <c r="I85" s="32">
        <v>94</v>
      </c>
      <c r="J85" s="28">
        <v>9.65</v>
      </c>
      <c r="K85" s="32">
        <v>91</v>
      </c>
      <c r="L85" s="33">
        <v>1657.8889999999999</v>
      </c>
      <c r="M85" s="34">
        <v>5103130</v>
      </c>
      <c r="N85" s="31">
        <v>9.5</v>
      </c>
      <c r="O85" s="31">
        <v>0</v>
      </c>
      <c r="P85" s="74">
        <v>159.80000000000001</v>
      </c>
      <c r="Q85" s="74">
        <v>9.6</v>
      </c>
      <c r="R85" s="74">
        <v>12.8</v>
      </c>
      <c r="S85" s="35">
        <f t="shared" si="4"/>
        <v>0</v>
      </c>
      <c r="T85" s="35">
        <f t="shared" si="5"/>
        <v>0</v>
      </c>
      <c r="U85" s="35">
        <f t="shared" si="6"/>
        <v>0</v>
      </c>
      <c r="V85" s="36">
        <f t="shared" si="7"/>
        <v>0</v>
      </c>
    </row>
    <row r="86" spans="1:22" ht="15" customHeight="1" x14ac:dyDescent="0.25">
      <c r="A86" s="27" t="s">
        <v>108</v>
      </c>
      <c r="B86" s="28">
        <v>2000</v>
      </c>
      <c r="C86" s="29" t="s">
        <v>19</v>
      </c>
      <c r="D86" s="87">
        <v>63.9</v>
      </c>
      <c r="E86" s="28">
        <v>292</v>
      </c>
      <c r="F86" s="31">
        <v>6.44</v>
      </c>
      <c r="G86" s="28">
        <v>112.541157</v>
      </c>
      <c r="H86" s="30">
        <v>43.9</v>
      </c>
      <c r="I86" s="32">
        <v>96</v>
      </c>
      <c r="J86" s="28">
        <v>4.16</v>
      </c>
      <c r="K86" s="32">
        <v>97</v>
      </c>
      <c r="L86" s="33">
        <v>1229.9580000000001</v>
      </c>
      <c r="M86" s="34">
        <v>14883626</v>
      </c>
      <c r="N86" s="31">
        <v>10.5</v>
      </c>
      <c r="O86" s="31">
        <v>31.9</v>
      </c>
      <c r="P86" s="74">
        <v>50.5</v>
      </c>
      <c r="Q86" s="74">
        <v>4.2</v>
      </c>
      <c r="R86" s="74">
        <v>9.1999999999999993</v>
      </c>
      <c r="S86" s="35">
        <f t="shared" si="4"/>
        <v>0</v>
      </c>
      <c r="T86" s="35">
        <f t="shared" si="5"/>
        <v>0</v>
      </c>
      <c r="U86" s="35">
        <f t="shared" si="6"/>
        <v>0</v>
      </c>
      <c r="V86" s="36">
        <f t="shared" si="7"/>
        <v>0</v>
      </c>
    </row>
    <row r="87" spans="1:22" ht="15" customHeight="1" x14ac:dyDescent="0.25">
      <c r="A87" s="27" t="s">
        <v>109</v>
      </c>
      <c r="B87" s="28">
        <v>2000</v>
      </c>
      <c r="C87" s="29" t="s">
        <v>19</v>
      </c>
      <c r="D87" s="87">
        <v>51.9</v>
      </c>
      <c r="E87" s="28">
        <v>428</v>
      </c>
      <c r="F87" s="31">
        <v>2.04</v>
      </c>
      <c r="G87" s="28">
        <v>0.68168555500000005</v>
      </c>
      <c r="H87" s="30">
        <v>14.4</v>
      </c>
      <c r="I87" s="32">
        <v>80</v>
      </c>
      <c r="J87" s="28">
        <v>4.68</v>
      </c>
      <c r="K87" s="32">
        <v>82</v>
      </c>
      <c r="L87" s="28">
        <v>43.98</v>
      </c>
      <c r="M87" s="34">
        <v>31450483</v>
      </c>
      <c r="N87" s="31">
        <v>5.3</v>
      </c>
      <c r="O87" s="31">
        <v>16.600000000000001</v>
      </c>
      <c r="P87" s="74">
        <v>21.2</v>
      </c>
      <c r="Q87" s="74">
        <v>5.2</v>
      </c>
      <c r="R87" s="74">
        <v>9.4</v>
      </c>
      <c r="S87" s="35">
        <f t="shared" si="4"/>
        <v>0</v>
      </c>
      <c r="T87" s="35">
        <f t="shared" si="5"/>
        <v>0</v>
      </c>
      <c r="U87" s="35">
        <f t="shared" si="6"/>
        <v>0</v>
      </c>
      <c r="V87" s="36">
        <f t="shared" si="7"/>
        <v>0</v>
      </c>
    </row>
    <row r="88" spans="1:22" ht="15" customHeight="1" x14ac:dyDescent="0.25">
      <c r="A88" s="27" t="s">
        <v>110</v>
      </c>
      <c r="B88" s="28">
        <v>2000</v>
      </c>
      <c r="C88" s="29" t="s">
        <v>19</v>
      </c>
      <c r="D88" s="87">
        <v>64.099999999999994</v>
      </c>
      <c r="E88" s="28">
        <v>222</v>
      </c>
      <c r="F88" s="31">
        <v>0.56000000000000005</v>
      </c>
      <c r="G88" s="28">
        <v>11.075433309999999</v>
      </c>
      <c r="H88" s="30">
        <v>67.900000000000006</v>
      </c>
      <c r="I88" s="32">
        <v>90</v>
      </c>
      <c r="J88" s="28">
        <v>8.1199999999999992</v>
      </c>
      <c r="K88" s="32">
        <v>90</v>
      </c>
      <c r="L88" s="28">
        <v>796.79399999999998</v>
      </c>
      <c r="M88" s="34">
        <v>84406</v>
      </c>
      <c r="N88" s="31">
        <v>6.8</v>
      </c>
      <c r="O88" s="31">
        <v>73.400000000000006</v>
      </c>
      <c r="P88" s="74">
        <v>68.900000000000006</v>
      </c>
      <c r="Q88" s="74">
        <v>8.6</v>
      </c>
      <c r="R88" s="74">
        <v>11.4</v>
      </c>
      <c r="S88" s="35">
        <f t="shared" si="4"/>
        <v>0</v>
      </c>
      <c r="T88" s="35">
        <f t="shared" si="5"/>
        <v>0</v>
      </c>
      <c r="U88" s="35">
        <f t="shared" si="6"/>
        <v>0</v>
      </c>
      <c r="V88" s="36">
        <f t="shared" si="7"/>
        <v>0</v>
      </c>
    </row>
    <row r="89" spans="1:22" ht="15" customHeight="1" x14ac:dyDescent="0.25">
      <c r="A89" s="27" t="s">
        <v>111</v>
      </c>
      <c r="B89" s="28">
        <v>2000</v>
      </c>
      <c r="C89" s="29" t="s">
        <v>19</v>
      </c>
      <c r="D89" s="87">
        <v>73.2</v>
      </c>
      <c r="E89" s="28">
        <v>96</v>
      </c>
      <c r="F89" s="31">
        <v>0.1</v>
      </c>
      <c r="G89" s="28">
        <v>959.92586200000005</v>
      </c>
      <c r="H89" s="30">
        <v>64</v>
      </c>
      <c r="I89" s="32">
        <v>94</v>
      </c>
      <c r="J89" s="28">
        <v>2.5099999999999998</v>
      </c>
      <c r="K89" s="32">
        <v>98</v>
      </c>
      <c r="L89" s="33">
        <v>18389.383999999998</v>
      </c>
      <c r="M89" s="34">
        <v>2050741</v>
      </c>
      <c r="N89" s="31">
        <v>6.2</v>
      </c>
      <c r="O89" s="31">
        <v>24.8</v>
      </c>
      <c r="P89" s="74">
        <v>462.6</v>
      </c>
      <c r="Q89" s="74">
        <v>2.5</v>
      </c>
      <c r="R89" s="74">
        <v>5.2</v>
      </c>
      <c r="S89" s="35">
        <f t="shared" si="4"/>
        <v>0</v>
      </c>
      <c r="T89" s="35">
        <f t="shared" si="5"/>
        <v>0</v>
      </c>
      <c r="U89" s="35">
        <f t="shared" si="6"/>
        <v>0</v>
      </c>
      <c r="V89" s="36">
        <f t="shared" si="7"/>
        <v>0</v>
      </c>
    </row>
    <row r="90" spans="1:22" ht="15" customHeight="1" x14ac:dyDescent="0.25">
      <c r="A90" s="27" t="s">
        <v>112</v>
      </c>
      <c r="B90" s="28">
        <v>2000</v>
      </c>
      <c r="C90" s="29" t="s">
        <v>19</v>
      </c>
      <c r="D90" s="87">
        <v>66.599999999999994</v>
      </c>
      <c r="E90" s="28">
        <v>225</v>
      </c>
      <c r="F90" s="31">
        <v>5.99</v>
      </c>
      <c r="G90" s="28">
        <v>0</v>
      </c>
      <c r="H90" s="30">
        <v>35.6</v>
      </c>
      <c r="I90" s="32">
        <v>99</v>
      </c>
      <c r="J90" s="28">
        <v>4.68</v>
      </c>
      <c r="K90" s="32">
        <v>99</v>
      </c>
      <c r="L90" s="28">
        <v>278</v>
      </c>
      <c r="M90" s="34">
        <v>4898400</v>
      </c>
      <c r="N90" s="31">
        <v>9.8000000000000007</v>
      </c>
      <c r="O90" s="31">
        <v>27.3</v>
      </c>
      <c r="P90" s="74">
        <v>12.3</v>
      </c>
      <c r="Q90" s="74">
        <v>4.4000000000000004</v>
      </c>
      <c r="R90" s="74">
        <v>7.1</v>
      </c>
      <c r="S90" s="35">
        <f t="shared" si="4"/>
        <v>0</v>
      </c>
      <c r="T90" s="35">
        <f t="shared" si="5"/>
        <v>0</v>
      </c>
      <c r="U90" s="35">
        <f t="shared" si="6"/>
        <v>0</v>
      </c>
      <c r="V90" s="36">
        <f t="shared" si="7"/>
        <v>0</v>
      </c>
    </row>
    <row r="91" spans="1:22" ht="15" customHeight="1" x14ac:dyDescent="0.25">
      <c r="A91" s="27" t="s">
        <v>113</v>
      </c>
      <c r="B91" s="28">
        <v>2000</v>
      </c>
      <c r="C91" s="29" t="s">
        <v>19</v>
      </c>
      <c r="D91" s="87">
        <v>58.1</v>
      </c>
      <c r="E91" s="28">
        <v>278</v>
      </c>
      <c r="F91" s="31">
        <v>5.3</v>
      </c>
      <c r="G91" s="28">
        <v>0</v>
      </c>
      <c r="H91" s="30">
        <v>12.3</v>
      </c>
      <c r="I91" s="32">
        <v>57</v>
      </c>
      <c r="J91" s="28">
        <v>3.41</v>
      </c>
      <c r="K91" s="32">
        <v>51</v>
      </c>
      <c r="L91" s="28">
        <v>324.85000000000002</v>
      </c>
      <c r="M91" s="34">
        <v>5329304</v>
      </c>
      <c r="N91" s="31">
        <v>3.9</v>
      </c>
      <c r="O91" s="31">
        <v>42.7</v>
      </c>
      <c r="P91" s="74">
        <v>14.5</v>
      </c>
      <c r="Q91" s="74">
        <v>4.7</v>
      </c>
      <c r="R91" s="74">
        <v>6.7</v>
      </c>
      <c r="S91" s="35">
        <f t="shared" si="4"/>
        <v>0</v>
      </c>
      <c r="T91" s="35">
        <f t="shared" si="5"/>
        <v>0</v>
      </c>
      <c r="U91" s="35">
        <f t="shared" si="6"/>
        <v>0</v>
      </c>
      <c r="V91" s="36">
        <f t="shared" si="7"/>
        <v>0</v>
      </c>
    </row>
    <row r="92" spans="1:22" ht="15" customHeight="1" x14ac:dyDescent="0.25">
      <c r="A92" s="27" t="s">
        <v>114</v>
      </c>
      <c r="B92" s="28">
        <v>2000</v>
      </c>
      <c r="C92" s="29" t="s">
        <v>31</v>
      </c>
      <c r="D92" s="87">
        <v>71</v>
      </c>
      <c r="E92" s="28">
        <v>218</v>
      </c>
      <c r="F92" s="31">
        <v>9.85</v>
      </c>
      <c r="G92" s="28">
        <v>291.01707649999997</v>
      </c>
      <c r="H92" s="30">
        <v>55.4</v>
      </c>
      <c r="I92" s="32">
        <v>96</v>
      </c>
      <c r="J92" s="28">
        <v>6</v>
      </c>
      <c r="K92" s="32">
        <v>96</v>
      </c>
      <c r="L92" s="33">
        <v>3352.7310000000002</v>
      </c>
      <c r="M92" s="34">
        <v>2047187331</v>
      </c>
      <c r="N92" s="31">
        <v>9.5</v>
      </c>
      <c r="O92" s="31">
        <v>38.799999999999997</v>
      </c>
      <c r="P92" s="74">
        <v>258.8</v>
      </c>
      <c r="Q92" s="74">
        <v>7.9</v>
      </c>
      <c r="R92" s="74">
        <v>7.4</v>
      </c>
      <c r="S92" s="35">
        <f t="shared" si="4"/>
        <v>1</v>
      </c>
      <c r="T92" s="35">
        <f t="shared" si="5"/>
        <v>96</v>
      </c>
      <c r="U92" s="35">
        <f t="shared" si="6"/>
        <v>9.5</v>
      </c>
      <c r="V92" s="36">
        <f t="shared" si="7"/>
        <v>96</v>
      </c>
    </row>
    <row r="93" spans="1:22" ht="15" customHeight="1" x14ac:dyDescent="0.25">
      <c r="A93" s="27" t="s">
        <v>115</v>
      </c>
      <c r="B93" s="28">
        <v>2000</v>
      </c>
      <c r="C93" s="29" t="s">
        <v>19</v>
      </c>
      <c r="D93" s="87">
        <v>72.7</v>
      </c>
      <c r="E93" s="28">
        <v>112</v>
      </c>
      <c r="F93" s="31">
        <v>1.61</v>
      </c>
      <c r="G93" s="28">
        <v>404.38794339999998</v>
      </c>
      <c r="H93" s="30">
        <v>57.9</v>
      </c>
      <c r="I93" s="32">
        <v>83</v>
      </c>
      <c r="J93" s="28">
        <v>1.86</v>
      </c>
      <c r="K93" s="32">
        <v>83</v>
      </c>
      <c r="L93" s="33">
        <v>5334.933</v>
      </c>
      <c r="M93" s="34">
        <v>2367550</v>
      </c>
      <c r="N93" s="31">
        <v>3.7</v>
      </c>
      <c r="O93" s="31">
        <v>37.5</v>
      </c>
      <c r="P93" s="74">
        <v>569.1</v>
      </c>
      <c r="Q93" s="74">
        <v>10.7</v>
      </c>
      <c r="R93" s="74">
        <v>7.5</v>
      </c>
      <c r="S93" s="35">
        <f t="shared" si="4"/>
        <v>0</v>
      </c>
      <c r="T93" s="35">
        <f t="shared" si="5"/>
        <v>0</v>
      </c>
      <c r="U93" s="35">
        <f t="shared" si="6"/>
        <v>0</v>
      </c>
      <c r="V93" s="36">
        <f t="shared" si="7"/>
        <v>0</v>
      </c>
    </row>
    <row r="94" spans="1:22" ht="15" customHeight="1" x14ac:dyDescent="0.25">
      <c r="A94" s="27" t="s">
        <v>116</v>
      </c>
      <c r="B94" s="28">
        <v>2000</v>
      </c>
      <c r="C94" s="29" t="s">
        <v>19</v>
      </c>
      <c r="D94" s="87">
        <v>49.3</v>
      </c>
      <c r="E94" s="28">
        <v>543</v>
      </c>
      <c r="F94" s="31">
        <v>2.98</v>
      </c>
      <c r="G94" s="28">
        <v>29.866164640000001</v>
      </c>
      <c r="H94" s="30">
        <v>24.9</v>
      </c>
      <c r="I94" s="32">
        <v>82</v>
      </c>
      <c r="J94" s="28">
        <v>6.92</v>
      </c>
      <c r="K94" s="32">
        <v>83</v>
      </c>
      <c r="L94" s="28">
        <v>474.82</v>
      </c>
      <c r="M94" s="34">
        <v>3235366</v>
      </c>
      <c r="N94" s="31">
        <v>4.9000000000000004</v>
      </c>
      <c r="O94" s="31">
        <v>17.600000000000001</v>
      </c>
      <c r="P94" s="74">
        <v>28.5</v>
      </c>
      <c r="Q94" s="74">
        <v>5.8</v>
      </c>
      <c r="R94" s="74">
        <v>7.7</v>
      </c>
      <c r="S94" s="35">
        <f t="shared" si="4"/>
        <v>0</v>
      </c>
      <c r="T94" s="35">
        <f t="shared" si="5"/>
        <v>0</v>
      </c>
      <c r="U94" s="35">
        <f t="shared" si="6"/>
        <v>0</v>
      </c>
      <c r="V94" s="36">
        <f t="shared" si="7"/>
        <v>0</v>
      </c>
    </row>
    <row r="95" spans="1:22" ht="15" customHeight="1" x14ac:dyDescent="0.25">
      <c r="A95" s="27" t="s">
        <v>117</v>
      </c>
      <c r="B95" s="28">
        <v>2000</v>
      </c>
      <c r="C95" s="29" t="s">
        <v>19</v>
      </c>
      <c r="D95" s="87">
        <v>51.9</v>
      </c>
      <c r="E95" s="28">
        <v>39</v>
      </c>
      <c r="F95" s="31">
        <v>3.75</v>
      </c>
      <c r="G95" s="28">
        <v>12.19709744</v>
      </c>
      <c r="H95" s="30">
        <v>2.2000000000000002</v>
      </c>
      <c r="I95" s="32">
        <v>56</v>
      </c>
      <c r="J95" s="28">
        <v>5.91</v>
      </c>
      <c r="K95" s="32">
        <v>46</v>
      </c>
      <c r="L95" s="28">
        <v>183.41499999999999</v>
      </c>
      <c r="M95" s="34">
        <v>2884522</v>
      </c>
      <c r="N95" s="31">
        <v>3.5</v>
      </c>
      <c r="O95" s="31">
        <v>13.8</v>
      </c>
      <c r="P95" s="74">
        <v>7</v>
      </c>
      <c r="Q95" s="74">
        <v>3.8</v>
      </c>
      <c r="R95" s="74">
        <v>7.7</v>
      </c>
      <c r="S95" s="35">
        <f t="shared" si="4"/>
        <v>0</v>
      </c>
      <c r="T95" s="35">
        <f t="shared" si="5"/>
        <v>0</v>
      </c>
      <c r="U95" s="35">
        <f t="shared" si="6"/>
        <v>0</v>
      </c>
      <c r="V95" s="36">
        <f t="shared" si="7"/>
        <v>0</v>
      </c>
    </row>
    <row r="96" spans="1:22" ht="15" customHeight="1" x14ac:dyDescent="0.25">
      <c r="A96" s="27" t="s">
        <v>118</v>
      </c>
      <c r="B96" s="28">
        <v>2000</v>
      </c>
      <c r="C96" s="29" t="s">
        <v>19</v>
      </c>
      <c r="D96" s="87">
        <v>78</v>
      </c>
      <c r="E96" s="28">
        <v>148</v>
      </c>
      <c r="F96" s="31">
        <v>0.01</v>
      </c>
      <c r="G96" s="28">
        <v>457.32022360000002</v>
      </c>
      <c r="H96" s="30">
        <v>52.8</v>
      </c>
      <c r="I96" s="32">
        <v>94</v>
      </c>
      <c r="J96" s="28">
        <v>3.41</v>
      </c>
      <c r="K96" s="32">
        <v>94</v>
      </c>
      <c r="L96" s="33">
        <v>7145.6279999999997</v>
      </c>
      <c r="M96" s="34">
        <v>5355751</v>
      </c>
      <c r="N96" s="31">
        <v>5.6</v>
      </c>
      <c r="O96" s="31">
        <v>0</v>
      </c>
      <c r="P96" s="74">
        <v>244.8</v>
      </c>
      <c r="Q96" s="74">
        <v>3.4</v>
      </c>
      <c r="R96" s="74">
        <v>6</v>
      </c>
      <c r="S96" s="35">
        <f t="shared" si="4"/>
        <v>0</v>
      </c>
      <c r="T96" s="35">
        <f t="shared" si="5"/>
        <v>0</v>
      </c>
      <c r="U96" s="35">
        <f t="shared" si="6"/>
        <v>0</v>
      </c>
      <c r="V96" s="36">
        <f t="shared" si="7"/>
        <v>0</v>
      </c>
    </row>
    <row r="97" spans="1:22" ht="15" customHeight="1" x14ac:dyDescent="0.25">
      <c r="A97" s="27" t="s">
        <v>119</v>
      </c>
      <c r="B97" s="28">
        <v>2000</v>
      </c>
      <c r="C97" s="29" t="s">
        <v>31</v>
      </c>
      <c r="D97" s="87">
        <v>71.599999999999994</v>
      </c>
      <c r="E97" s="28">
        <v>2</v>
      </c>
      <c r="F97" s="31">
        <v>12.4</v>
      </c>
      <c r="G97" s="28">
        <v>373.2605532</v>
      </c>
      <c r="H97" s="30">
        <v>56.9</v>
      </c>
      <c r="I97" s="32">
        <v>92</v>
      </c>
      <c r="J97" s="28">
        <v>6.46</v>
      </c>
      <c r="K97" s="32">
        <v>94</v>
      </c>
      <c r="L97" s="33">
        <v>3297.355</v>
      </c>
      <c r="M97" s="34">
        <v>3499536</v>
      </c>
      <c r="N97" s="31">
        <v>10.7</v>
      </c>
      <c r="O97" s="31">
        <v>35.9</v>
      </c>
      <c r="P97" s="74">
        <v>204.4</v>
      </c>
      <c r="Q97" s="74">
        <v>5.8</v>
      </c>
      <c r="R97" s="74">
        <v>10.199999999999999</v>
      </c>
      <c r="S97" s="35">
        <f t="shared" si="4"/>
        <v>1</v>
      </c>
      <c r="T97" s="35">
        <f t="shared" si="5"/>
        <v>92</v>
      </c>
      <c r="U97" s="35">
        <f t="shared" si="6"/>
        <v>10.7</v>
      </c>
      <c r="V97" s="36">
        <f t="shared" si="7"/>
        <v>94</v>
      </c>
    </row>
    <row r="98" spans="1:22" ht="15" customHeight="1" x14ac:dyDescent="0.25">
      <c r="A98" s="27" t="s">
        <v>120</v>
      </c>
      <c r="B98" s="28">
        <v>2000</v>
      </c>
      <c r="C98" s="29" t="s">
        <v>31</v>
      </c>
      <c r="D98" s="87">
        <v>77.8</v>
      </c>
      <c r="E98" s="28">
        <v>98</v>
      </c>
      <c r="F98" s="31">
        <v>11.6</v>
      </c>
      <c r="G98" s="28">
        <v>8246.1304369999998</v>
      </c>
      <c r="H98" s="30">
        <v>54</v>
      </c>
      <c r="I98" s="32">
        <v>99</v>
      </c>
      <c r="J98" s="28">
        <v>7.48</v>
      </c>
      <c r="K98" s="32">
        <v>99</v>
      </c>
      <c r="L98" s="33">
        <v>48735.995000000003</v>
      </c>
      <c r="M98" s="34">
        <v>436300</v>
      </c>
      <c r="N98" s="31">
        <v>10.3</v>
      </c>
      <c r="O98" s="31">
        <v>34.700000000000003</v>
      </c>
      <c r="P98" s="74">
        <v>2894</v>
      </c>
      <c r="Q98" s="74">
        <v>5.9</v>
      </c>
      <c r="R98" s="74">
        <v>12.8</v>
      </c>
      <c r="S98" s="35">
        <f t="shared" si="4"/>
        <v>1</v>
      </c>
      <c r="T98" s="35">
        <f t="shared" si="5"/>
        <v>99</v>
      </c>
      <c r="U98" s="35">
        <f t="shared" si="6"/>
        <v>10.3</v>
      </c>
      <c r="V98" s="36">
        <f t="shared" si="7"/>
        <v>99</v>
      </c>
    </row>
    <row r="99" spans="1:22" ht="15" customHeight="1" x14ac:dyDescent="0.25">
      <c r="A99" s="27" t="s">
        <v>121</v>
      </c>
      <c r="B99" s="28">
        <v>2000</v>
      </c>
      <c r="C99" s="29" t="s">
        <v>19</v>
      </c>
      <c r="D99" s="87">
        <v>57.9</v>
      </c>
      <c r="E99" s="28">
        <v>283</v>
      </c>
      <c r="F99" s="31">
        <v>0.91</v>
      </c>
      <c r="G99" s="28">
        <v>35.661250559999999</v>
      </c>
      <c r="H99" s="30">
        <v>13.9</v>
      </c>
      <c r="I99" s="32">
        <v>58</v>
      </c>
      <c r="J99" s="28">
        <v>5.8</v>
      </c>
      <c r="K99" s="32">
        <v>57</v>
      </c>
      <c r="L99" s="28">
        <v>245.94</v>
      </c>
      <c r="M99" s="34">
        <v>15766806</v>
      </c>
      <c r="N99" s="31">
        <v>5.2</v>
      </c>
      <c r="O99" s="31">
        <v>0</v>
      </c>
      <c r="P99" s="74">
        <v>13.1</v>
      </c>
      <c r="Q99" s="74">
        <v>5.3</v>
      </c>
      <c r="R99" s="74">
        <v>12.4</v>
      </c>
      <c r="S99" s="35">
        <f t="shared" si="4"/>
        <v>0</v>
      </c>
      <c r="T99" s="35">
        <f t="shared" si="5"/>
        <v>0</v>
      </c>
      <c r="U99" s="35">
        <f t="shared" si="6"/>
        <v>0</v>
      </c>
      <c r="V99" s="36">
        <f t="shared" si="7"/>
        <v>0</v>
      </c>
    </row>
    <row r="100" spans="1:22" ht="15" customHeight="1" x14ac:dyDescent="0.25">
      <c r="A100" s="27" t="s">
        <v>122</v>
      </c>
      <c r="B100" s="28">
        <v>2000</v>
      </c>
      <c r="C100" s="29" t="s">
        <v>19</v>
      </c>
      <c r="D100" s="87">
        <v>43.1</v>
      </c>
      <c r="E100" s="28">
        <v>588</v>
      </c>
      <c r="F100" s="31">
        <v>1.78</v>
      </c>
      <c r="G100" s="28">
        <v>13.76270195</v>
      </c>
      <c r="H100" s="30">
        <v>14.1</v>
      </c>
      <c r="I100" s="32">
        <v>73</v>
      </c>
      <c r="J100" s="28">
        <v>6.7</v>
      </c>
      <c r="K100" s="32">
        <v>75</v>
      </c>
      <c r="L100" s="28">
        <v>153.25899999999999</v>
      </c>
      <c r="M100" s="34">
        <v>11376172</v>
      </c>
      <c r="N100" s="31">
        <v>3</v>
      </c>
      <c r="O100" s="31">
        <v>21</v>
      </c>
      <c r="P100" s="74">
        <v>6.7</v>
      </c>
      <c r="Q100" s="74">
        <v>4.4000000000000004</v>
      </c>
      <c r="R100" s="74">
        <v>7.4</v>
      </c>
      <c r="S100" s="35">
        <f t="shared" si="4"/>
        <v>0</v>
      </c>
      <c r="T100" s="35">
        <f t="shared" si="5"/>
        <v>0</v>
      </c>
      <c r="U100" s="35">
        <f t="shared" si="6"/>
        <v>0</v>
      </c>
      <c r="V100" s="36">
        <f t="shared" si="7"/>
        <v>0</v>
      </c>
    </row>
    <row r="101" spans="1:22" ht="15" customHeight="1" x14ac:dyDescent="0.25">
      <c r="A101" s="27" t="s">
        <v>123</v>
      </c>
      <c r="B101" s="28">
        <v>2000</v>
      </c>
      <c r="C101" s="29" t="s">
        <v>19</v>
      </c>
      <c r="D101" s="87">
        <v>72.400000000000006</v>
      </c>
      <c r="E101" s="28">
        <v>149</v>
      </c>
      <c r="F101" s="31">
        <v>0.47</v>
      </c>
      <c r="G101" s="28">
        <v>23.371672279999999</v>
      </c>
      <c r="H101" s="30">
        <v>26</v>
      </c>
      <c r="I101" s="32">
        <v>98</v>
      </c>
      <c r="J101" s="28">
        <v>3.4</v>
      </c>
      <c r="K101" s="32">
        <v>98</v>
      </c>
      <c r="L101" s="28">
        <v>445.17500000000001</v>
      </c>
      <c r="M101" s="34">
        <v>23185608</v>
      </c>
      <c r="N101" s="31">
        <v>8.6</v>
      </c>
      <c r="O101" s="31">
        <v>28.2</v>
      </c>
      <c r="P101" s="74">
        <v>105.8</v>
      </c>
      <c r="Q101" s="74">
        <v>2.4</v>
      </c>
      <c r="R101" s="74">
        <v>4.7</v>
      </c>
      <c r="S101" s="35">
        <f t="shared" si="4"/>
        <v>0</v>
      </c>
      <c r="T101" s="35">
        <f t="shared" si="5"/>
        <v>0</v>
      </c>
      <c r="U101" s="35">
        <f t="shared" si="6"/>
        <v>0</v>
      </c>
      <c r="V101" s="36">
        <f t="shared" si="7"/>
        <v>0</v>
      </c>
    </row>
    <row r="102" spans="1:22" ht="15" customHeight="1" x14ac:dyDescent="0.25">
      <c r="A102" s="27" t="s">
        <v>124</v>
      </c>
      <c r="B102" s="28">
        <v>2000</v>
      </c>
      <c r="C102" s="29" t="s">
        <v>19</v>
      </c>
      <c r="D102" s="87">
        <v>69.599999999999994</v>
      </c>
      <c r="E102" s="28">
        <v>139</v>
      </c>
      <c r="F102" s="31">
        <v>1.62</v>
      </c>
      <c r="G102" s="28">
        <v>300.16210260000003</v>
      </c>
      <c r="H102" s="30">
        <v>15.2</v>
      </c>
      <c r="I102" s="32">
        <v>98</v>
      </c>
      <c r="J102" s="28">
        <v>8</v>
      </c>
      <c r="K102" s="32">
        <v>98</v>
      </c>
      <c r="L102" s="33">
        <v>2182.9969999999998</v>
      </c>
      <c r="M102" s="34">
        <v>280384</v>
      </c>
      <c r="N102" s="31">
        <v>3</v>
      </c>
      <c r="O102" s="31">
        <v>37.1</v>
      </c>
      <c r="P102" s="74">
        <v>163.69999999999999</v>
      </c>
      <c r="Q102" s="74">
        <v>7.4</v>
      </c>
      <c r="R102" s="74">
        <v>8.8000000000000007</v>
      </c>
      <c r="S102" s="35">
        <f t="shared" si="4"/>
        <v>0</v>
      </c>
      <c r="T102" s="35">
        <f t="shared" si="5"/>
        <v>0</v>
      </c>
      <c r="U102" s="35">
        <f t="shared" si="6"/>
        <v>0</v>
      </c>
      <c r="V102" s="36">
        <f t="shared" si="7"/>
        <v>0</v>
      </c>
    </row>
    <row r="103" spans="1:22" ht="15" customHeight="1" x14ac:dyDescent="0.25">
      <c r="A103" s="27" t="s">
        <v>125</v>
      </c>
      <c r="B103" s="28">
        <v>2000</v>
      </c>
      <c r="C103" s="29" t="s">
        <v>19</v>
      </c>
      <c r="D103" s="87">
        <v>49.8</v>
      </c>
      <c r="E103" s="28">
        <v>37</v>
      </c>
      <c r="F103" s="31">
        <v>0.56000000000000005</v>
      </c>
      <c r="G103" s="28">
        <v>23.945071240000001</v>
      </c>
      <c r="H103" s="30">
        <v>15.6</v>
      </c>
      <c r="I103" s="32">
        <v>53</v>
      </c>
      <c r="J103" s="28">
        <v>6.29</v>
      </c>
      <c r="K103" s="32">
        <v>43</v>
      </c>
      <c r="L103" s="28">
        <v>269.34800000000001</v>
      </c>
      <c r="M103" s="34">
        <v>10967690</v>
      </c>
      <c r="N103" s="31">
        <v>1.2</v>
      </c>
      <c r="O103" s="31">
        <v>13</v>
      </c>
      <c r="P103" s="74">
        <v>13.7</v>
      </c>
      <c r="Q103" s="74">
        <v>5.0999999999999996</v>
      </c>
      <c r="R103" s="74">
        <v>5</v>
      </c>
      <c r="S103" s="35">
        <f t="shared" si="4"/>
        <v>0</v>
      </c>
      <c r="T103" s="35">
        <f t="shared" si="5"/>
        <v>0</v>
      </c>
      <c r="U103" s="35">
        <f t="shared" si="6"/>
        <v>0</v>
      </c>
      <c r="V103" s="36">
        <f t="shared" si="7"/>
        <v>0</v>
      </c>
    </row>
    <row r="104" spans="1:22" ht="15" customHeight="1" x14ac:dyDescent="0.25">
      <c r="A104" s="27" t="s">
        <v>126</v>
      </c>
      <c r="B104" s="28">
        <v>2000</v>
      </c>
      <c r="C104" s="29" t="s">
        <v>31</v>
      </c>
      <c r="D104" s="87">
        <v>77.5</v>
      </c>
      <c r="E104" s="28">
        <v>8</v>
      </c>
      <c r="F104" s="31">
        <v>7.53</v>
      </c>
      <c r="G104" s="28">
        <v>134.35472530000001</v>
      </c>
      <c r="H104" s="30">
        <v>62.3</v>
      </c>
      <c r="I104" s="32">
        <v>94</v>
      </c>
      <c r="J104" s="28">
        <v>6.83</v>
      </c>
      <c r="K104" s="32">
        <v>94</v>
      </c>
      <c r="L104" s="33">
        <v>1139.5650000000001</v>
      </c>
      <c r="M104" s="34">
        <v>390087</v>
      </c>
      <c r="N104" s="31">
        <v>8.1</v>
      </c>
      <c r="O104" s="31">
        <v>35.299999999999997</v>
      </c>
      <c r="P104" s="74">
        <v>641.20000000000005</v>
      </c>
      <c r="Q104" s="74">
        <v>6.5</v>
      </c>
      <c r="R104" s="74">
        <v>11.8</v>
      </c>
      <c r="S104" s="35">
        <f t="shared" si="4"/>
        <v>1</v>
      </c>
      <c r="T104" s="35">
        <f t="shared" si="5"/>
        <v>94</v>
      </c>
      <c r="U104" s="35">
        <f t="shared" si="6"/>
        <v>8.1</v>
      </c>
      <c r="V104" s="36">
        <f t="shared" si="7"/>
        <v>94</v>
      </c>
    </row>
    <row r="105" spans="1:22" ht="15" customHeight="1" x14ac:dyDescent="0.25">
      <c r="A105" s="27" t="s">
        <v>127</v>
      </c>
      <c r="B105" s="28">
        <v>2000</v>
      </c>
      <c r="C105" s="29" t="s">
        <v>19</v>
      </c>
      <c r="D105" s="87">
        <v>60</v>
      </c>
      <c r="E105" s="28">
        <v>23</v>
      </c>
      <c r="F105" s="31">
        <v>0</v>
      </c>
      <c r="G105" s="28">
        <v>8.5945702320000006</v>
      </c>
      <c r="H105" s="30">
        <v>21.1</v>
      </c>
      <c r="I105" s="32">
        <v>58</v>
      </c>
      <c r="J105" s="28">
        <v>5.26</v>
      </c>
      <c r="K105" s="32">
        <v>51</v>
      </c>
      <c r="L105" s="28">
        <v>477.476</v>
      </c>
      <c r="M105" s="34">
        <v>2709359</v>
      </c>
      <c r="N105" s="31">
        <v>3</v>
      </c>
      <c r="O105" s="31">
        <v>0</v>
      </c>
      <c r="P105" s="74">
        <v>21.3</v>
      </c>
      <c r="Q105" s="74">
        <v>4.5</v>
      </c>
      <c r="R105" s="74">
        <v>2.5</v>
      </c>
      <c r="S105" s="35">
        <f t="shared" si="4"/>
        <v>0</v>
      </c>
      <c r="T105" s="35">
        <f t="shared" si="5"/>
        <v>0</v>
      </c>
      <c r="U105" s="35">
        <f t="shared" si="6"/>
        <v>0</v>
      </c>
      <c r="V105" s="36">
        <f t="shared" si="7"/>
        <v>0</v>
      </c>
    </row>
    <row r="106" spans="1:22" ht="15" customHeight="1" x14ac:dyDescent="0.25">
      <c r="A106" s="27" t="s">
        <v>128</v>
      </c>
      <c r="B106" s="28">
        <v>2000</v>
      </c>
      <c r="C106" s="29" t="s">
        <v>19</v>
      </c>
      <c r="D106" s="87">
        <v>71</v>
      </c>
      <c r="E106" s="28">
        <v>177</v>
      </c>
      <c r="F106" s="31">
        <v>2.82</v>
      </c>
      <c r="G106" s="28">
        <v>336.32133260000001</v>
      </c>
      <c r="H106" s="30">
        <v>25.3</v>
      </c>
      <c r="I106" s="32">
        <v>88</v>
      </c>
      <c r="J106" s="28">
        <v>3.78</v>
      </c>
      <c r="K106" s="32">
        <v>88</v>
      </c>
      <c r="L106" s="33">
        <v>3861.3240000000001</v>
      </c>
      <c r="M106" s="34">
        <v>1186873</v>
      </c>
      <c r="N106" s="31">
        <v>6.2</v>
      </c>
      <c r="O106" s="31">
        <v>25</v>
      </c>
      <c r="P106" s="74">
        <v>119</v>
      </c>
      <c r="Q106" s="74">
        <v>3</v>
      </c>
      <c r="R106" s="74">
        <v>6.9</v>
      </c>
      <c r="S106" s="35">
        <f t="shared" si="4"/>
        <v>0</v>
      </c>
      <c r="T106" s="35">
        <f t="shared" si="5"/>
        <v>0</v>
      </c>
      <c r="U106" s="35">
        <f t="shared" si="6"/>
        <v>0</v>
      </c>
      <c r="V106" s="36">
        <f t="shared" si="7"/>
        <v>0</v>
      </c>
    </row>
    <row r="107" spans="1:22" ht="15" customHeight="1" x14ac:dyDescent="0.25">
      <c r="A107" s="27" t="s">
        <v>129</v>
      </c>
      <c r="B107" s="28">
        <v>2000</v>
      </c>
      <c r="C107" s="29" t="s">
        <v>19</v>
      </c>
      <c r="D107" s="87">
        <v>74.8</v>
      </c>
      <c r="E107" s="28">
        <v>129</v>
      </c>
      <c r="F107" s="31">
        <v>5.23</v>
      </c>
      <c r="G107" s="28">
        <v>10.228401180000001</v>
      </c>
      <c r="H107" s="30">
        <v>52.4</v>
      </c>
      <c r="I107" s="32">
        <v>97</v>
      </c>
      <c r="J107" s="28">
        <v>4.9800000000000004</v>
      </c>
      <c r="K107" s="32">
        <v>97</v>
      </c>
      <c r="L107" s="28">
        <v>672.92100000000005</v>
      </c>
      <c r="M107" s="34">
        <v>101719673</v>
      </c>
      <c r="N107" s="31">
        <v>6.7</v>
      </c>
      <c r="O107" s="31">
        <v>24</v>
      </c>
      <c r="P107" s="74">
        <v>309.60000000000002</v>
      </c>
      <c r="Q107" s="74">
        <v>4.9000000000000004</v>
      </c>
      <c r="R107" s="74">
        <v>0</v>
      </c>
      <c r="S107" s="35">
        <f t="shared" si="4"/>
        <v>0</v>
      </c>
      <c r="T107" s="35">
        <f t="shared" si="5"/>
        <v>0</v>
      </c>
      <c r="U107" s="35">
        <f t="shared" si="6"/>
        <v>0</v>
      </c>
      <c r="V107" s="36">
        <f t="shared" si="7"/>
        <v>0</v>
      </c>
    </row>
    <row r="108" spans="1:22" ht="15" customHeight="1" x14ac:dyDescent="0.25">
      <c r="A108" s="27" t="s">
        <v>130</v>
      </c>
      <c r="B108" s="28">
        <v>2000</v>
      </c>
      <c r="C108" s="29" t="s">
        <v>19</v>
      </c>
      <c r="D108" s="87">
        <v>67</v>
      </c>
      <c r="E108" s="28">
        <v>185</v>
      </c>
      <c r="F108" s="31">
        <v>2.0499999999999998</v>
      </c>
      <c r="G108" s="28">
        <v>0</v>
      </c>
      <c r="H108" s="30">
        <v>61.5</v>
      </c>
      <c r="I108" s="32">
        <v>85</v>
      </c>
      <c r="J108" s="28">
        <v>7.88</v>
      </c>
      <c r="K108" s="32">
        <v>85</v>
      </c>
      <c r="L108" s="33">
        <v>2170.92</v>
      </c>
      <c r="M108" s="34">
        <v>107432</v>
      </c>
      <c r="N108" s="31">
        <v>4.8</v>
      </c>
      <c r="O108" s="31">
        <v>0</v>
      </c>
      <c r="P108" s="74">
        <v>168.4</v>
      </c>
      <c r="Q108" s="74">
        <v>7.7</v>
      </c>
      <c r="R108" s="74">
        <v>2.6</v>
      </c>
      <c r="S108" s="35">
        <f t="shared" si="4"/>
        <v>0</v>
      </c>
      <c r="T108" s="35">
        <f t="shared" si="5"/>
        <v>0</v>
      </c>
      <c r="U108" s="35">
        <f t="shared" si="6"/>
        <v>0</v>
      </c>
      <c r="V108" s="36">
        <f t="shared" si="7"/>
        <v>0</v>
      </c>
    </row>
    <row r="109" spans="1:22" ht="15" customHeight="1" x14ac:dyDescent="0.25">
      <c r="A109" s="27" t="s">
        <v>131</v>
      </c>
      <c r="B109" s="28">
        <v>2000</v>
      </c>
      <c r="C109" s="29" t="s">
        <v>19</v>
      </c>
      <c r="D109" s="87">
        <v>62.8</v>
      </c>
      <c r="E109" s="28">
        <v>274</v>
      </c>
      <c r="F109" s="31">
        <v>4.6399999999999997</v>
      </c>
      <c r="G109" s="28">
        <v>56.431387000000001</v>
      </c>
      <c r="H109" s="30">
        <v>38.5</v>
      </c>
      <c r="I109" s="32">
        <v>94</v>
      </c>
      <c r="J109" s="28">
        <v>4.92</v>
      </c>
      <c r="K109" s="32">
        <v>94</v>
      </c>
      <c r="L109" s="28">
        <v>474.21300000000002</v>
      </c>
      <c r="M109" s="34">
        <v>2397436</v>
      </c>
      <c r="N109" s="31">
        <v>8.1999999999999993</v>
      </c>
      <c r="O109" s="31">
        <v>32.200000000000003</v>
      </c>
      <c r="P109" s="74">
        <v>27.5</v>
      </c>
      <c r="Q109" s="74">
        <v>5.5</v>
      </c>
      <c r="R109" s="74">
        <v>12.3</v>
      </c>
      <c r="S109" s="35">
        <f t="shared" si="4"/>
        <v>0</v>
      </c>
      <c r="T109" s="35">
        <f t="shared" si="5"/>
        <v>0</v>
      </c>
      <c r="U109" s="35">
        <f t="shared" si="6"/>
        <v>0</v>
      </c>
      <c r="V109" s="36">
        <f t="shared" si="7"/>
        <v>0</v>
      </c>
    </row>
    <row r="110" spans="1:22" ht="15" customHeight="1" x14ac:dyDescent="0.25">
      <c r="A110" s="27" t="s">
        <v>132</v>
      </c>
      <c r="B110" s="28">
        <v>2000</v>
      </c>
      <c r="C110" s="29" t="s">
        <v>19</v>
      </c>
      <c r="D110" s="87">
        <v>73</v>
      </c>
      <c r="E110" s="28">
        <v>144</v>
      </c>
      <c r="F110" s="31">
        <v>7.26</v>
      </c>
      <c r="G110" s="28">
        <v>274.54726049999999</v>
      </c>
      <c r="H110" s="30">
        <v>51.9</v>
      </c>
      <c r="I110" s="32">
        <v>90</v>
      </c>
      <c r="J110" s="28">
        <v>7.32</v>
      </c>
      <c r="K110" s="32">
        <v>90</v>
      </c>
      <c r="L110" s="33">
        <v>1627.4290000000001</v>
      </c>
      <c r="M110" s="34">
        <v>604950</v>
      </c>
      <c r="N110" s="31">
        <v>6.3</v>
      </c>
      <c r="O110" s="31">
        <v>52.7</v>
      </c>
      <c r="P110" s="74">
        <v>108</v>
      </c>
      <c r="Q110" s="74">
        <v>6.7</v>
      </c>
      <c r="R110" s="74">
        <v>15</v>
      </c>
      <c r="S110" s="35">
        <f t="shared" si="4"/>
        <v>0</v>
      </c>
      <c r="T110" s="35">
        <f t="shared" si="5"/>
        <v>0</v>
      </c>
      <c r="U110" s="35">
        <f t="shared" si="6"/>
        <v>0</v>
      </c>
      <c r="V110" s="36">
        <f t="shared" si="7"/>
        <v>0</v>
      </c>
    </row>
    <row r="111" spans="1:22" ht="15" customHeight="1" x14ac:dyDescent="0.25">
      <c r="A111" s="27" t="s">
        <v>133</v>
      </c>
      <c r="B111" s="28">
        <v>2000</v>
      </c>
      <c r="C111" s="29" t="s">
        <v>19</v>
      </c>
      <c r="D111" s="87">
        <v>68.599999999999994</v>
      </c>
      <c r="E111" s="28">
        <v>16</v>
      </c>
      <c r="F111" s="31">
        <v>0.62</v>
      </c>
      <c r="G111" s="28">
        <v>63.421400239999997</v>
      </c>
      <c r="H111" s="30">
        <v>44.8</v>
      </c>
      <c r="I111" s="32">
        <v>95</v>
      </c>
      <c r="J111" s="28">
        <v>4.18</v>
      </c>
      <c r="K111" s="32">
        <v>95</v>
      </c>
      <c r="L111" s="33">
        <v>1332.3820000000001</v>
      </c>
      <c r="M111" s="34">
        <v>28849621</v>
      </c>
      <c r="N111" s="31">
        <v>3.4</v>
      </c>
      <c r="O111" s="31">
        <v>18.7</v>
      </c>
      <c r="P111" s="74">
        <v>53.6</v>
      </c>
      <c r="Q111" s="74">
        <v>4</v>
      </c>
      <c r="R111" s="74">
        <v>4</v>
      </c>
      <c r="S111" s="35">
        <f t="shared" si="4"/>
        <v>0</v>
      </c>
      <c r="T111" s="35">
        <f t="shared" si="5"/>
        <v>0</v>
      </c>
      <c r="U111" s="35">
        <f t="shared" si="6"/>
        <v>0</v>
      </c>
      <c r="V111" s="36">
        <f t="shared" si="7"/>
        <v>0</v>
      </c>
    </row>
    <row r="112" spans="1:22" ht="15" customHeight="1" x14ac:dyDescent="0.25">
      <c r="A112" s="27" t="s">
        <v>134</v>
      </c>
      <c r="B112" s="28">
        <v>2000</v>
      </c>
      <c r="C112" s="29" t="s">
        <v>19</v>
      </c>
      <c r="D112" s="87">
        <v>49</v>
      </c>
      <c r="E112" s="28">
        <v>43</v>
      </c>
      <c r="F112" s="31">
        <v>0.74</v>
      </c>
      <c r="G112" s="28">
        <v>47.172507179999997</v>
      </c>
      <c r="H112" s="30">
        <v>16.5</v>
      </c>
      <c r="I112" s="32">
        <v>69</v>
      </c>
      <c r="J112" s="28">
        <v>6.16</v>
      </c>
      <c r="K112" s="32">
        <v>70</v>
      </c>
      <c r="L112" s="28">
        <v>277.649</v>
      </c>
      <c r="M112" s="34">
        <v>18067687</v>
      </c>
      <c r="N112" s="31">
        <v>2.2000000000000002</v>
      </c>
      <c r="O112" s="31">
        <v>23.4</v>
      </c>
      <c r="P112" s="74">
        <v>9.9</v>
      </c>
      <c r="Q112" s="74">
        <v>3.7</v>
      </c>
      <c r="R112" s="74">
        <v>14.5</v>
      </c>
      <c r="S112" s="35">
        <f t="shared" si="4"/>
        <v>0</v>
      </c>
      <c r="T112" s="35">
        <f t="shared" si="5"/>
        <v>0</v>
      </c>
      <c r="U112" s="35">
        <f t="shared" si="6"/>
        <v>0</v>
      </c>
      <c r="V112" s="36">
        <f t="shared" si="7"/>
        <v>0</v>
      </c>
    </row>
    <row r="113" spans="1:22" ht="15" customHeight="1" x14ac:dyDescent="0.25">
      <c r="A113" s="27" t="s">
        <v>135</v>
      </c>
      <c r="B113" s="28">
        <v>2000</v>
      </c>
      <c r="C113" s="29" t="s">
        <v>19</v>
      </c>
      <c r="D113" s="87">
        <v>62.1</v>
      </c>
      <c r="E113" s="28">
        <v>243</v>
      </c>
      <c r="F113" s="31">
        <v>0.86</v>
      </c>
      <c r="G113" s="28">
        <v>2.5114372920000001</v>
      </c>
      <c r="H113" s="30">
        <v>13.6</v>
      </c>
      <c r="I113" s="32">
        <v>88</v>
      </c>
      <c r="J113" s="28">
        <v>1.84</v>
      </c>
      <c r="K113" s="32">
        <v>82</v>
      </c>
      <c r="L113" s="28">
        <v>193.18700000000001</v>
      </c>
      <c r="M113" s="34">
        <v>46095462</v>
      </c>
      <c r="N113" s="31">
        <v>3.1</v>
      </c>
      <c r="O113" s="31">
        <v>32.5</v>
      </c>
      <c r="P113" s="74">
        <v>3.3</v>
      </c>
      <c r="Q113" s="74">
        <v>1.8</v>
      </c>
      <c r="R113" s="74">
        <v>1.2</v>
      </c>
      <c r="S113" s="35">
        <f t="shared" si="4"/>
        <v>0</v>
      </c>
      <c r="T113" s="35">
        <f t="shared" si="5"/>
        <v>0</v>
      </c>
      <c r="U113" s="35">
        <f t="shared" si="6"/>
        <v>0</v>
      </c>
      <c r="V113" s="36">
        <f t="shared" si="7"/>
        <v>0</v>
      </c>
    </row>
    <row r="114" spans="1:22" ht="15" customHeight="1" x14ac:dyDescent="0.25">
      <c r="A114" s="27" t="s">
        <v>136</v>
      </c>
      <c r="B114" s="28">
        <v>2000</v>
      </c>
      <c r="C114" s="29" t="s">
        <v>19</v>
      </c>
      <c r="D114" s="87">
        <v>57.4</v>
      </c>
      <c r="E114" s="28">
        <v>41</v>
      </c>
      <c r="F114" s="31">
        <v>7.87</v>
      </c>
      <c r="G114" s="28">
        <v>35.809785120000001</v>
      </c>
      <c r="H114" s="30">
        <v>24.5</v>
      </c>
      <c r="I114" s="32">
        <v>80</v>
      </c>
      <c r="J114" s="28">
        <v>6.11</v>
      </c>
      <c r="K114" s="32">
        <v>79</v>
      </c>
      <c r="L114" s="28">
        <v>257.99599999999998</v>
      </c>
      <c r="M114" s="34">
        <v>1899257</v>
      </c>
      <c r="N114" s="31">
        <v>5.6</v>
      </c>
      <c r="O114" s="31">
        <v>22.3</v>
      </c>
      <c r="P114" s="74">
        <v>207.5</v>
      </c>
      <c r="Q114" s="74">
        <v>11.5</v>
      </c>
      <c r="R114" s="74">
        <v>20.5</v>
      </c>
      <c r="S114" s="35">
        <f t="shared" si="4"/>
        <v>0</v>
      </c>
      <c r="T114" s="35">
        <f t="shared" si="5"/>
        <v>0</v>
      </c>
      <c r="U114" s="35">
        <f t="shared" si="6"/>
        <v>0</v>
      </c>
      <c r="V114" s="36">
        <f t="shared" si="7"/>
        <v>0</v>
      </c>
    </row>
    <row r="115" spans="1:22" ht="15" customHeight="1" x14ac:dyDescent="0.25">
      <c r="A115" s="27" t="s">
        <v>137</v>
      </c>
      <c r="B115" s="28">
        <v>2000</v>
      </c>
      <c r="C115" s="29" t="s">
        <v>19</v>
      </c>
      <c r="D115" s="87">
        <v>62.5</v>
      </c>
      <c r="E115" s="28">
        <v>238</v>
      </c>
      <c r="F115" s="31">
        <v>0.22</v>
      </c>
      <c r="G115" s="28">
        <v>17.912336799999999</v>
      </c>
      <c r="H115" s="30">
        <v>11.4</v>
      </c>
      <c r="I115" s="32">
        <v>74</v>
      </c>
      <c r="J115" s="28">
        <v>5.43</v>
      </c>
      <c r="K115" s="32">
        <v>74</v>
      </c>
      <c r="L115" s="28">
        <v>231.42599999999999</v>
      </c>
      <c r="M115" s="34">
        <v>23740911</v>
      </c>
      <c r="N115" s="31">
        <v>2.4</v>
      </c>
      <c r="O115" s="31">
        <v>38.9</v>
      </c>
      <c r="P115" s="74">
        <v>8.6</v>
      </c>
      <c r="Q115" s="74">
        <v>3.6</v>
      </c>
      <c r="R115" s="74">
        <v>4.2</v>
      </c>
      <c r="S115" s="35">
        <f t="shared" si="4"/>
        <v>0</v>
      </c>
      <c r="T115" s="35">
        <f t="shared" si="5"/>
        <v>0</v>
      </c>
      <c r="U115" s="35">
        <f t="shared" si="6"/>
        <v>0</v>
      </c>
      <c r="V115" s="36">
        <f t="shared" si="7"/>
        <v>0</v>
      </c>
    </row>
    <row r="116" spans="1:22" ht="15" customHeight="1" x14ac:dyDescent="0.25">
      <c r="A116" s="27" t="s">
        <v>138</v>
      </c>
      <c r="B116" s="28">
        <v>2000</v>
      </c>
      <c r="C116" s="29" t="s">
        <v>31</v>
      </c>
      <c r="D116" s="87">
        <v>78.099999999999994</v>
      </c>
      <c r="E116" s="28">
        <v>84</v>
      </c>
      <c r="F116" s="31">
        <v>9.2200000000000006</v>
      </c>
      <c r="G116" s="28">
        <v>2944.6401340000002</v>
      </c>
      <c r="H116" s="30">
        <v>51.8</v>
      </c>
      <c r="I116" s="32">
        <v>97</v>
      </c>
      <c r="J116" s="28">
        <v>7.42</v>
      </c>
      <c r="K116" s="32">
        <v>97</v>
      </c>
      <c r="L116" s="33">
        <v>25921.128000000001</v>
      </c>
      <c r="M116" s="34">
        <v>15925513</v>
      </c>
      <c r="N116" s="31">
        <v>10.8</v>
      </c>
      <c r="O116" s="31">
        <v>37.700000000000003</v>
      </c>
      <c r="P116" s="74">
        <v>1836.2</v>
      </c>
      <c r="Q116" s="74">
        <v>7.1</v>
      </c>
      <c r="R116" s="74">
        <v>0</v>
      </c>
      <c r="S116" s="35">
        <f t="shared" si="4"/>
        <v>1</v>
      </c>
      <c r="T116" s="35">
        <f t="shared" si="5"/>
        <v>97</v>
      </c>
      <c r="U116" s="35">
        <f t="shared" si="6"/>
        <v>10.8</v>
      </c>
      <c r="V116" s="36">
        <f t="shared" si="7"/>
        <v>97</v>
      </c>
    </row>
    <row r="117" spans="1:22" ht="15" customHeight="1" x14ac:dyDescent="0.25">
      <c r="A117" s="27" t="s">
        <v>139</v>
      </c>
      <c r="B117" s="28">
        <v>2000</v>
      </c>
      <c r="C117" s="29" t="s">
        <v>31</v>
      </c>
      <c r="D117" s="87">
        <v>78.599999999999994</v>
      </c>
      <c r="E117" s="28">
        <v>87</v>
      </c>
      <c r="F117" s="31">
        <v>9.23</v>
      </c>
      <c r="G117" s="28">
        <v>2143.0210830000001</v>
      </c>
      <c r="H117" s="30">
        <v>58.9</v>
      </c>
      <c r="I117" s="32">
        <v>82</v>
      </c>
      <c r="J117" s="28">
        <v>7.47</v>
      </c>
      <c r="K117" s="32">
        <v>90</v>
      </c>
      <c r="L117" s="33">
        <v>13641.127</v>
      </c>
      <c r="M117" s="34">
        <v>213230</v>
      </c>
      <c r="N117" s="31">
        <v>11.6</v>
      </c>
      <c r="O117" s="31">
        <v>29.4</v>
      </c>
      <c r="P117" s="74">
        <v>1053.9000000000001</v>
      </c>
      <c r="Q117" s="74">
        <v>7.5</v>
      </c>
      <c r="R117" s="74">
        <v>17.100000000000001</v>
      </c>
      <c r="S117" s="35">
        <f t="shared" si="4"/>
        <v>1</v>
      </c>
      <c r="T117" s="35">
        <f t="shared" si="5"/>
        <v>82</v>
      </c>
      <c r="U117" s="35">
        <f t="shared" si="6"/>
        <v>11.6</v>
      </c>
      <c r="V117" s="36">
        <f t="shared" si="7"/>
        <v>90</v>
      </c>
    </row>
    <row r="118" spans="1:22" ht="15" customHeight="1" x14ac:dyDescent="0.25">
      <c r="A118" s="27" t="s">
        <v>140</v>
      </c>
      <c r="B118" s="28">
        <v>2000</v>
      </c>
      <c r="C118" s="29" t="s">
        <v>19</v>
      </c>
      <c r="D118" s="87">
        <v>73</v>
      </c>
      <c r="E118" s="28">
        <v>192</v>
      </c>
      <c r="F118" s="31">
        <v>3.32</v>
      </c>
      <c r="G118" s="28">
        <v>15.255188159999999</v>
      </c>
      <c r="H118" s="30">
        <v>42.8</v>
      </c>
      <c r="I118" s="32">
        <v>85</v>
      </c>
      <c r="J118" s="28">
        <v>5.39</v>
      </c>
      <c r="K118" s="32">
        <v>83</v>
      </c>
      <c r="L118" s="28">
        <v>116.274</v>
      </c>
      <c r="M118" s="34">
        <v>3857700</v>
      </c>
      <c r="N118" s="31">
        <v>5.0999999999999996</v>
      </c>
      <c r="O118" s="31">
        <v>0</v>
      </c>
      <c r="P118" s="74">
        <v>53</v>
      </c>
      <c r="Q118" s="74">
        <v>5.2</v>
      </c>
      <c r="R118" s="74">
        <v>10.8</v>
      </c>
      <c r="S118" s="35">
        <f t="shared" si="4"/>
        <v>0</v>
      </c>
      <c r="T118" s="35">
        <f t="shared" si="5"/>
        <v>0</v>
      </c>
      <c r="U118" s="35">
        <f t="shared" si="6"/>
        <v>0</v>
      </c>
      <c r="V118" s="36">
        <f t="shared" si="7"/>
        <v>0</v>
      </c>
    </row>
    <row r="119" spans="1:22" ht="15" customHeight="1" x14ac:dyDescent="0.25">
      <c r="A119" s="27" t="s">
        <v>141</v>
      </c>
      <c r="B119" s="28">
        <v>2000</v>
      </c>
      <c r="C119" s="29" t="s">
        <v>19</v>
      </c>
      <c r="D119" s="87">
        <v>50</v>
      </c>
      <c r="E119" s="28">
        <v>284</v>
      </c>
      <c r="F119" s="31">
        <v>0.1</v>
      </c>
      <c r="G119" s="28">
        <v>13.35783844</v>
      </c>
      <c r="H119" s="30">
        <v>13.6</v>
      </c>
      <c r="I119" s="32">
        <v>41</v>
      </c>
      <c r="J119" s="28">
        <v>6.1</v>
      </c>
      <c r="K119" s="32">
        <v>34</v>
      </c>
      <c r="L119" s="28">
        <v>158.45599999999999</v>
      </c>
      <c r="M119" s="34">
        <v>11352973</v>
      </c>
      <c r="N119" s="31">
        <v>1.1000000000000001</v>
      </c>
      <c r="O119" s="31">
        <v>6.4</v>
      </c>
      <c r="P119" s="74">
        <v>8.6</v>
      </c>
      <c r="Q119" s="74">
        <v>5.7</v>
      </c>
      <c r="R119" s="74">
        <v>8.4</v>
      </c>
      <c r="S119" s="35">
        <f t="shared" si="4"/>
        <v>0</v>
      </c>
      <c r="T119" s="35">
        <f t="shared" si="5"/>
        <v>0</v>
      </c>
      <c r="U119" s="35">
        <f t="shared" si="6"/>
        <v>0</v>
      </c>
      <c r="V119" s="36">
        <f t="shared" si="7"/>
        <v>0</v>
      </c>
    </row>
    <row r="120" spans="1:22" ht="15" customHeight="1" x14ac:dyDescent="0.25">
      <c r="A120" s="27" t="s">
        <v>142</v>
      </c>
      <c r="B120" s="28">
        <v>2000</v>
      </c>
      <c r="C120" s="29" t="s">
        <v>19</v>
      </c>
      <c r="D120" s="87">
        <v>47.1</v>
      </c>
      <c r="E120" s="28">
        <v>45</v>
      </c>
      <c r="F120" s="31">
        <v>10.49</v>
      </c>
      <c r="G120" s="28">
        <v>22.481776060000001</v>
      </c>
      <c r="H120" s="30">
        <v>16.899999999999999</v>
      </c>
      <c r="I120" s="32">
        <v>31</v>
      </c>
      <c r="J120" s="28">
        <v>2.84</v>
      </c>
      <c r="K120" s="32">
        <v>29</v>
      </c>
      <c r="L120" s="28">
        <v>379.11900000000003</v>
      </c>
      <c r="M120" s="34">
        <v>122352009</v>
      </c>
      <c r="N120" s="31">
        <v>3.4</v>
      </c>
      <c r="O120" s="31">
        <v>7.7</v>
      </c>
      <c r="P120" s="74">
        <v>14.6</v>
      </c>
      <c r="Q120" s="74">
        <v>2.6</v>
      </c>
      <c r="R120" s="74">
        <v>2.1</v>
      </c>
      <c r="S120" s="35">
        <f t="shared" si="4"/>
        <v>0</v>
      </c>
      <c r="T120" s="35">
        <f t="shared" si="5"/>
        <v>0</v>
      </c>
      <c r="U120" s="35">
        <f t="shared" si="6"/>
        <v>0</v>
      </c>
      <c r="V120" s="36">
        <f t="shared" si="7"/>
        <v>0</v>
      </c>
    </row>
    <row r="121" spans="1:22" ht="15" customHeight="1" x14ac:dyDescent="0.25">
      <c r="A121" s="27" t="s">
        <v>143</v>
      </c>
      <c r="B121" s="28">
        <v>2000</v>
      </c>
      <c r="C121" s="29" t="s">
        <v>31</v>
      </c>
      <c r="D121" s="87">
        <v>78.5</v>
      </c>
      <c r="E121" s="28">
        <v>85</v>
      </c>
      <c r="F121" s="31">
        <v>6.68</v>
      </c>
      <c r="G121" s="28">
        <v>6191.2119080000002</v>
      </c>
      <c r="H121" s="30">
        <v>53.3</v>
      </c>
      <c r="I121" s="32">
        <v>91</v>
      </c>
      <c r="J121" s="28">
        <v>8.27</v>
      </c>
      <c r="K121" s="32">
        <v>90</v>
      </c>
      <c r="L121" s="33">
        <v>38146.714999999997</v>
      </c>
      <c r="M121" s="34">
        <v>4490967</v>
      </c>
      <c r="N121" s="31">
        <v>12</v>
      </c>
      <c r="O121" s="31">
        <v>43.1</v>
      </c>
      <c r="P121" s="74">
        <v>2948.9</v>
      </c>
      <c r="Q121" s="74">
        <v>7.7</v>
      </c>
      <c r="R121" s="74">
        <v>0</v>
      </c>
      <c r="S121" s="35">
        <f t="shared" si="4"/>
        <v>1</v>
      </c>
      <c r="T121" s="35">
        <f t="shared" si="5"/>
        <v>91</v>
      </c>
      <c r="U121" s="35">
        <f t="shared" si="6"/>
        <v>12</v>
      </c>
      <c r="V121" s="36">
        <f t="shared" si="7"/>
        <v>90</v>
      </c>
    </row>
    <row r="122" spans="1:22" ht="15" customHeight="1" x14ac:dyDescent="0.25">
      <c r="A122" s="27" t="s">
        <v>144</v>
      </c>
      <c r="B122" s="28">
        <v>2000</v>
      </c>
      <c r="C122" s="29" t="s">
        <v>19</v>
      </c>
      <c r="D122" s="87">
        <v>72.599999999999994</v>
      </c>
      <c r="E122" s="28">
        <v>138</v>
      </c>
      <c r="F122" s="31">
        <v>0.53</v>
      </c>
      <c r="G122" s="28">
        <v>62.866575079999997</v>
      </c>
      <c r="H122" s="30">
        <v>45.9</v>
      </c>
      <c r="I122" s="32">
        <v>99</v>
      </c>
      <c r="J122" s="28">
        <v>3.7</v>
      </c>
      <c r="K122" s="32">
        <v>99</v>
      </c>
      <c r="L122" s="28">
        <v>861.18600000000004</v>
      </c>
      <c r="M122" s="34">
        <v>2267991</v>
      </c>
      <c r="N122" s="31">
        <v>5.3</v>
      </c>
      <c r="O122" s="31">
        <v>8.1999999999999993</v>
      </c>
      <c r="P122" s="74">
        <v>263.5</v>
      </c>
      <c r="Q122" s="74">
        <v>3.1</v>
      </c>
      <c r="R122" s="74">
        <v>7</v>
      </c>
      <c r="S122" s="35">
        <f t="shared" si="4"/>
        <v>0</v>
      </c>
      <c r="T122" s="35">
        <f t="shared" si="5"/>
        <v>0</v>
      </c>
      <c r="U122" s="35">
        <f t="shared" si="6"/>
        <v>0</v>
      </c>
      <c r="V122" s="36">
        <f t="shared" si="7"/>
        <v>0</v>
      </c>
    </row>
    <row r="123" spans="1:22" ht="15" customHeight="1" x14ac:dyDescent="0.25">
      <c r="A123" s="27" t="s">
        <v>145</v>
      </c>
      <c r="B123" s="28">
        <v>2000</v>
      </c>
      <c r="C123" s="29" t="s">
        <v>19</v>
      </c>
      <c r="D123" s="87">
        <v>62.8</v>
      </c>
      <c r="E123" s="28">
        <v>19</v>
      </c>
      <c r="F123" s="31">
        <v>0.03</v>
      </c>
      <c r="G123" s="28">
        <v>18.845343119999999</v>
      </c>
      <c r="H123" s="30">
        <v>16.399999999999999</v>
      </c>
      <c r="I123" s="32">
        <v>61</v>
      </c>
      <c r="J123" s="28">
        <v>2.79</v>
      </c>
      <c r="K123" s="32">
        <v>59</v>
      </c>
      <c r="L123" s="28">
        <v>533.86199999999997</v>
      </c>
      <c r="M123" s="34">
        <v>138523285</v>
      </c>
      <c r="N123" s="31">
        <v>3.3</v>
      </c>
      <c r="O123" s="31">
        <v>24.5</v>
      </c>
      <c r="P123" s="74">
        <v>15.9</v>
      </c>
      <c r="Q123" s="74">
        <v>3.1</v>
      </c>
      <c r="R123" s="74">
        <v>5.9</v>
      </c>
      <c r="S123" s="35">
        <f t="shared" si="4"/>
        <v>0</v>
      </c>
      <c r="T123" s="35">
        <f t="shared" si="5"/>
        <v>0</v>
      </c>
      <c r="U123" s="35">
        <f t="shared" si="6"/>
        <v>0</v>
      </c>
      <c r="V123" s="36">
        <f t="shared" si="7"/>
        <v>0</v>
      </c>
    </row>
    <row r="124" spans="1:22" ht="15" customHeight="1" x14ac:dyDescent="0.25">
      <c r="A124" s="27" t="s">
        <v>146</v>
      </c>
      <c r="B124" s="28">
        <v>2000</v>
      </c>
      <c r="C124" s="29" t="s">
        <v>19</v>
      </c>
      <c r="D124" s="87">
        <v>75.7</v>
      </c>
      <c r="E124" s="28">
        <v>121</v>
      </c>
      <c r="F124" s="31">
        <v>6.9</v>
      </c>
      <c r="G124" s="28">
        <v>9.8710214199999999</v>
      </c>
      <c r="H124" s="30">
        <v>45.9</v>
      </c>
      <c r="I124" s="32">
        <v>99</v>
      </c>
      <c r="J124" s="28">
        <v>7.76</v>
      </c>
      <c r="K124" s="32">
        <v>98</v>
      </c>
      <c r="L124" s="28">
        <v>46.298999999999999</v>
      </c>
      <c r="M124" s="34">
        <v>3030347</v>
      </c>
      <c r="N124" s="31">
        <v>8.5</v>
      </c>
      <c r="O124" s="31">
        <v>15</v>
      </c>
      <c r="P124" s="74">
        <v>285.7</v>
      </c>
      <c r="Q124" s="74">
        <v>7.5</v>
      </c>
      <c r="R124" s="74">
        <v>20.3</v>
      </c>
      <c r="S124" s="35">
        <f t="shared" si="4"/>
        <v>0</v>
      </c>
      <c r="T124" s="35">
        <f t="shared" si="5"/>
        <v>0</v>
      </c>
      <c r="U124" s="35">
        <f t="shared" si="6"/>
        <v>0</v>
      </c>
      <c r="V124" s="36">
        <f t="shared" si="7"/>
        <v>0</v>
      </c>
    </row>
    <row r="125" spans="1:22" ht="15" customHeight="1" x14ac:dyDescent="0.25">
      <c r="A125" s="27" t="s">
        <v>147</v>
      </c>
      <c r="B125" s="28">
        <v>2000</v>
      </c>
      <c r="C125" s="29" t="s">
        <v>19</v>
      </c>
      <c r="D125" s="87">
        <v>58.9</v>
      </c>
      <c r="E125" s="28">
        <v>335</v>
      </c>
      <c r="F125" s="31">
        <v>0.82</v>
      </c>
      <c r="G125" s="28">
        <v>62.562738410000001</v>
      </c>
      <c r="H125" s="30">
        <v>37.5</v>
      </c>
      <c r="I125" s="32">
        <v>51</v>
      </c>
      <c r="J125" s="28">
        <v>3.98</v>
      </c>
      <c r="K125" s="32">
        <v>59</v>
      </c>
      <c r="L125" s="28">
        <v>631.947</v>
      </c>
      <c r="M125" s="34">
        <v>5572222</v>
      </c>
      <c r="N125" s="31">
        <v>3.3</v>
      </c>
      <c r="O125" s="31">
        <v>60.9</v>
      </c>
      <c r="P125" s="74">
        <v>19</v>
      </c>
      <c r="Q125" s="74">
        <v>3</v>
      </c>
      <c r="R125" s="74">
        <v>8.3000000000000007</v>
      </c>
      <c r="S125" s="35">
        <f t="shared" si="4"/>
        <v>0</v>
      </c>
      <c r="T125" s="35">
        <f t="shared" si="5"/>
        <v>0</v>
      </c>
      <c r="U125" s="35">
        <f t="shared" si="6"/>
        <v>0</v>
      </c>
      <c r="V125" s="36">
        <f t="shared" si="7"/>
        <v>0</v>
      </c>
    </row>
    <row r="126" spans="1:22" ht="15" customHeight="1" x14ac:dyDescent="0.25">
      <c r="A126" s="27" t="s">
        <v>148</v>
      </c>
      <c r="B126" s="28">
        <v>2000</v>
      </c>
      <c r="C126" s="29" t="s">
        <v>19</v>
      </c>
      <c r="D126" s="87">
        <v>79</v>
      </c>
      <c r="E126" s="28">
        <v>172</v>
      </c>
      <c r="F126" s="31">
        <v>6.64</v>
      </c>
      <c r="G126" s="28">
        <v>273.57587690000003</v>
      </c>
      <c r="H126" s="30">
        <v>39.1</v>
      </c>
      <c r="I126" s="32">
        <v>86</v>
      </c>
      <c r="J126" s="28">
        <v>8.1</v>
      </c>
      <c r="K126" s="32">
        <v>86</v>
      </c>
      <c r="L126" s="33">
        <v>1545.626</v>
      </c>
      <c r="M126" s="34">
        <v>5302700</v>
      </c>
      <c r="N126" s="31">
        <v>5.9</v>
      </c>
      <c r="O126" s="31">
        <v>30.8</v>
      </c>
      <c r="P126" s="74">
        <v>89</v>
      </c>
      <c r="Q126" s="74">
        <v>5.8</v>
      </c>
      <c r="R126" s="74">
        <v>6.7</v>
      </c>
      <c r="S126" s="35">
        <f t="shared" si="4"/>
        <v>0</v>
      </c>
      <c r="T126" s="35">
        <f t="shared" si="5"/>
        <v>0</v>
      </c>
      <c r="U126" s="35">
        <f t="shared" si="6"/>
        <v>0</v>
      </c>
      <c r="V126" s="36">
        <f t="shared" si="7"/>
        <v>0</v>
      </c>
    </row>
    <row r="127" spans="1:22" ht="15" customHeight="1" x14ac:dyDescent="0.25">
      <c r="A127" s="27" t="s">
        <v>149</v>
      </c>
      <c r="B127" s="28">
        <v>2000</v>
      </c>
      <c r="C127" s="29" t="s">
        <v>19</v>
      </c>
      <c r="D127" s="87">
        <v>71.400000000000006</v>
      </c>
      <c r="E127" s="28">
        <v>154</v>
      </c>
      <c r="F127" s="31">
        <v>5.18</v>
      </c>
      <c r="G127" s="28">
        <v>297.51123369999999</v>
      </c>
      <c r="H127" s="30">
        <v>45.4</v>
      </c>
      <c r="I127" s="32">
        <v>93</v>
      </c>
      <c r="J127" s="28">
        <v>4.83</v>
      </c>
      <c r="K127" s="32">
        <v>98</v>
      </c>
      <c r="L127" s="33">
        <v>1996.72</v>
      </c>
      <c r="M127" s="34">
        <v>25914879</v>
      </c>
      <c r="N127" s="31">
        <v>8</v>
      </c>
      <c r="O127" s="31">
        <v>12.1</v>
      </c>
      <c r="P127" s="74">
        <v>90.2</v>
      </c>
      <c r="Q127" s="74">
        <v>4.4000000000000004</v>
      </c>
      <c r="R127" s="74">
        <v>11.2</v>
      </c>
      <c r="S127" s="35">
        <f t="shared" si="4"/>
        <v>0</v>
      </c>
      <c r="T127" s="35">
        <f t="shared" si="5"/>
        <v>0</v>
      </c>
      <c r="U127" s="35">
        <f t="shared" si="6"/>
        <v>0</v>
      </c>
      <c r="V127" s="36">
        <f t="shared" si="7"/>
        <v>0</v>
      </c>
    </row>
    <row r="128" spans="1:22" ht="15" customHeight="1" x14ac:dyDescent="0.25">
      <c r="A128" s="27" t="s">
        <v>150</v>
      </c>
      <c r="B128" s="28">
        <v>2000</v>
      </c>
      <c r="C128" s="29" t="s">
        <v>19</v>
      </c>
      <c r="D128" s="87">
        <v>66.8</v>
      </c>
      <c r="E128" s="28">
        <v>219</v>
      </c>
      <c r="F128" s="31">
        <v>4.37</v>
      </c>
      <c r="G128" s="28">
        <v>11.697044630000001</v>
      </c>
      <c r="H128" s="30">
        <v>17.8</v>
      </c>
      <c r="I128" s="32">
        <v>74</v>
      </c>
      <c r="J128" s="28">
        <v>3.21</v>
      </c>
      <c r="K128" s="32">
        <v>78</v>
      </c>
      <c r="L128" s="28">
        <v>138.91999999999999</v>
      </c>
      <c r="M128" s="34">
        <v>77991569</v>
      </c>
      <c r="N128" s="31">
        <v>7.6</v>
      </c>
      <c r="O128" s="31">
        <v>34.4</v>
      </c>
      <c r="P128" s="74">
        <v>32.799999999999997</v>
      </c>
      <c r="Q128" s="74">
        <v>3.2</v>
      </c>
      <c r="R128" s="74">
        <v>6.5</v>
      </c>
      <c r="S128" s="35">
        <f t="shared" si="4"/>
        <v>0</v>
      </c>
      <c r="T128" s="35">
        <f t="shared" si="5"/>
        <v>0</v>
      </c>
      <c r="U128" s="35">
        <f t="shared" si="6"/>
        <v>0</v>
      </c>
      <c r="V128" s="36">
        <f t="shared" si="7"/>
        <v>0</v>
      </c>
    </row>
    <row r="129" spans="1:22" ht="15" customHeight="1" x14ac:dyDescent="0.25">
      <c r="A129" s="27" t="s">
        <v>151</v>
      </c>
      <c r="B129" s="28">
        <v>2000</v>
      </c>
      <c r="C129" s="29" t="s">
        <v>31</v>
      </c>
      <c r="D129" s="87">
        <v>73.7</v>
      </c>
      <c r="E129" s="28">
        <v>153</v>
      </c>
      <c r="F129" s="31">
        <v>10.7</v>
      </c>
      <c r="G129" s="28">
        <v>412.43239740000001</v>
      </c>
      <c r="H129" s="30">
        <v>53.1</v>
      </c>
      <c r="I129" s="32">
        <v>98</v>
      </c>
      <c r="J129" s="28">
        <v>5.5</v>
      </c>
      <c r="K129" s="32">
        <v>98</v>
      </c>
      <c r="L129" s="33">
        <v>4492.7280000000001</v>
      </c>
      <c r="M129" s="34">
        <v>38258629</v>
      </c>
      <c r="N129" s="31">
        <v>11.1</v>
      </c>
      <c r="O129" s="31">
        <v>40.700000000000003</v>
      </c>
      <c r="P129" s="74">
        <v>238</v>
      </c>
      <c r="Q129" s="74">
        <v>5.3</v>
      </c>
      <c r="R129" s="74">
        <v>0</v>
      </c>
      <c r="S129" s="35">
        <f t="shared" si="4"/>
        <v>1</v>
      </c>
      <c r="T129" s="35">
        <f t="shared" si="5"/>
        <v>98</v>
      </c>
      <c r="U129" s="35">
        <f t="shared" si="6"/>
        <v>11.1</v>
      </c>
      <c r="V129" s="36">
        <f t="shared" si="7"/>
        <v>98</v>
      </c>
    </row>
    <row r="130" spans="1:22" ht="15" customHeight="1" x14ac:dyDescent="0.25">
      <c r="A130" s="27" t="s">
        <v>152</v>
      </c>
      <c r="B130" s="28">
        <v>2000</v>
      </c>
      <c r="C130" s="29" t="s">
        <v>31</v>
      </c>
      <c r="D130" s="87">
        <v>76.599999999999994</v>
      </c>
      <c r="E130" s="28">
        <v>11</v>
      </c>
      <c r="F130" s="31">
        <v>12.03</v>
      </c>
      <c r="G130" s="28">
        <v>167.3280168</v>
      </c>
      <c r="H130" s="30">
        <v>5.0999999999999996</v>
      </c>
      <c r="I130" s="32">
        <v>96</v>
      </c>
      <c r="J130" s="28">
        <v>9.14</v>
      </c>
      <c r="K130" s="32">
        <v>96</v>
      </c>
      <c r="L130" s="33">
        <v>1152.3969999999999</v>
      </c>
      <c r="M130" s="34">
        <v>10289898</v>
      </c>
      <c r="N130" s="31">
        <v>6.8</v>
      </c>
      <c r="O130" s="31">
        <v>25.9</v>
      </c>
      <c r="P130" s="74">
        <v>967.1</v>
      </c>
      <c r="Q130" s="74">
        <v>8.4</v>
      </c>
      <c r="R130" s="74">
        <v>13.8</v>
      </c>
      <c r="S130" s="35">
        <f t="shared" si="4"/>
        <v>1</v>
      </c>
      <c r="T130" s="35">
        <f t="shared" si="5"/>
        <v>96</v>
      </c>
      <c r="U130" s="35">
        <f t="shared" si="6"/>
        <v>6.8</v>
      </c>
      <c r="V130" s="36">
        <f t="shared" si="7"/>
        <v>96</v>
      </c>
    </row>
    <row r="131" spans="1:22" ht="15" customHeight="1" x14ac:dyDescent="0.25">
      <c r="A131" s="27" t="s">
        <v>153</v>
      </c>
      <c r="B131" s="28">
        <v>2000</v>
      </c>
      <c r="C131" s="29" t="s">
        <v>19</v>
      </c>
      <c r="D131" s="87">
        <v>76.2</v>
      </c>
      <c r="E131" s="28">
        <v>88</v>
      </c>
      <c r="F131" s="31">
        <v>1.08</v>
      </c>
      <c r="G131" s="28">
        <v>1559.2871580000001</v>
      </c>
      <c r="H131" s="30">
        <v>62.4</v>
      </c>
      <c r="I131" s="32">
        <v>91</v>
      </c>
      <c r="J131" s="28">
        <v>2.1800000000000002</v>
      </c>
      <c r="K131" s="32">
        <v>80</v>
      </c>
      <c r="L131" s="33">
        <v>29986.292000000001</v>
      </c>
      <c r="M131" s="34">
        <v>592267</v>
      </c>
      <c r="N131" s="31">
        <v>7.9</v>
      </c>
      <c r="O131" s="31">
        <v>16.5</v>
      </c>
      <c r="P131" s="74">
        <v>602.29999999999995</v>
      </c>
      <c r="Q131" s="74">
        <v>2</v>
      </c>
      <c r="R131" s="74">
        <v>3.9</v>
      </c>
      <c r="S131" s="35">
        <f t="shared" ref="S131:S184" si="8">IF(C131="Developing",0,1)</f>
        <v>0</v>
      </c>
      <c r="T131" s="35">
        <f t="shared" ref="T131:T184" si="9">I131*S131</f>
        <v>0</v>
      </c>
      <c r="U131" s="35">
        <f t="shared" ref="U131:U184" si="10">S131*N131</f>
        <v>0</v>
      </c>
      <c r="V131" s="36">
        <f t="shared" ref="V131:V184" si="11">K131*S131</f>
        <v>0</v>
      </c>
    </row>
    <row r="132" spans="1:22" ht="15" customHeight="1" x14ac:dyDescent="0.25">
      <c r="A132" s="27" t="s">
        <v>154</v>
      </c>
      <c r="B132" s="28">
        <v>2000</v>
      </c>
      <c r="C132" s="29" t="s">
        <v>19</v>
      </c>
      <c r="D132" s="87">
        <v>76</v>
      </c>
      <c r="E132" s="28">
        <v>116</v>
      </c>
      <c r="F132" s="31">
        <v>8.9700000000000006</v>
      </c>
      <c r="G132" s="28">
        <v>0</v>
      </c>
      <c r="H132" s="30">
        <v>24.7</v>
      </c>
      <c r="I132" s="32">
        <v>99</v>
      </c>
      <c r="J132" s="28">
        <v>4.2300000000000004</v>
      </c>
      <c r="K132" s="32">
        <v>97</v>
      </c>
      <c r="L132" s="33">
        <v>11947.58</v>
      </c>
      <c r="M132" s="34">
        <v>47008111</v>
      </c>
      <c r="N132" s="31">
        <v>10.6</v>
      </c>
      <c r="O132" s="31">
        <v>34.299999999999997</v>
      </c>
      <c r="P132" s="74">
        <v>473.9</v>
      </c>
      <c r="Q132" s="74">
        <v>4</v>
      </c>
      <c r="R132" s="74">
        <v>8.6999999999999993</v>
      </c>
      <c r="S132" s="35">
        <f t="shared" si="8"/>
        <v>0</v>
      </c>
      <c r="T132" s="35">
        <f t="shared" si="9"/>
        <v>0</v>
      </c>
      <c r="U132" s="35">
        <f t="shared" si="10"/>
        <v>0</v>
      </c>
      <c r="V132" s="36">
        <f t="shared" si="11"/>
        <v>0</v>
      </c>
    </row>
    <row r="133" spans="1:22" ht="15" customHeight="1" x14ac:dyDescent="0.25">
      <c r="A133" s="27" t="s">
        <v>155</v>
      </c>
      <c r="B133" s="28">
        <v>2000</v>
      </c>
      <c r="C133" s="29" t="s">
        <v>19</v>
      </c>
      <c r="D133" s="87">
        <v>67.099999999999994</v>
      </c>
      <c r="E133" s="28">
        <v>235</v>
      </c>
      <c r="F133" s="31">
        <v>7.77</v>
      </c>
      <c r="G133" s="28">
        <v>0</v>
      </c>
      <c r="H133" s="30">
        <v>46.5</v>
      </c>
      <c r="I133" s="32">
        <v>97</v>
      </c>
      <c r="J133" s="28">
        <v>6.65</v>
      </c>
      <c r="K133" s="32">
        <v>95</v>
      </c>
      <c r="L133" s="28">
        <v>354</v>
      </c>
      <c r="M133" s="34">
        <v>3639592</v>
      </c>
      <c r="N133" s="31">
        <v>9</v>
      </c>
      <c r="O133" s="31">
        <v>23.3</v>
      </c>
      <c r="P133" s="74">
        <v>20.5</v>
      </c>
      <c r="Q133" s="74">
        <v>5.8</v>
      </c>
      <c r="R133" s="74">
        <v>8.5</v>
      </c>
      <c r="S133" s="35">
        <f t="shared" si="8"/>
        <v>0</v>
      </c>
      <c r="T133" s="35">
        <f t="shared" si="9"/>
        <v>0</v>
      </c>
      <c r="U133" s="35">
        <f t="shared" si="10"/>
        <v>0</v>
      </c>
      <c r="V133" s="36">
        <f t="shared" si="11"/>
        <v>0</v>
      </c>
    </row>
    <row r="134" spans="1:22" ht="15" customHeight="1" x14ac:dyDescent="0.25">
      <c r="A134" s="27" t="s">
        <v>156</v>
      </c>
      <c r="B134" s="28">
        <v>2000</v>
      </c>
      <c r="C134" s="29" t="s">
        <v>31</v>
      </c>
      <c r="D134" s="87">
        <v>77</v>
      </c>
      <c r="E134" s="28">
        <v>175</v>
      </c>
      <c r="F134" s="31">
        <v>11.77</v>
      </c>
      <c r="G134" s="28">
        <v>152.6368899</v>
      </c>
      <c r="H134" s="30">
        <v>51.4</v>
      </c>
      <c r="I134" s="32">
        <v>99</v>
      </c>
      <c r="J134" s="28">
        <v>4.33</v>
      </c>
      <c r="K134" s="32">
        <v>99</v>
      </c>
      <c r="L134" s="33">
        <v>1668.163</v>
      </c>
      <c r="M134" s="34">
        <v>22442971</v>
      </c>
      <c r="N134" s="31">
        <v>9.9</v>
      </c>
      <c r="O134" s="31">
        <v>39.6</v>
      </c>
      <c r="P134" s="74">
        <v>69.900000000000006</v>
      </c>
      <c r="Q134" s="74">
        <v>4.2</v>
      </c>
      <c r="R134" s="74">
        <v>8.8000000000000007</v>
      </c>
      <c r="S134" s="35">
        <f t="shared" si="8"/>
        <v>1</v>
      </c>
      <c r="T134" s="35">
        <f t="shared" si="9"/>
        <v>99</v>
      </c>
      <c r="U134" s="35">
        <f t="shared" si="10"/>
        <v>9.9</v>
      </c>
      <c r="V134" s="36">
        <f t="shared" si="11"/>
        <v>99</v>
      </c>
    </row>
    <row r="135" spans="1:22" ht="15" customHeight="1" x14ac:dyDescent="0.25">
      <c r="A135" s="27" t="s">
        <v>157</v>
      </c>
      <c r="B135" s="28">
        <v>2000</v>
      </c>
      <c r="C135" s="29" t="s">
        <v>19</v>
      </c>
      <c r="D135" s="87">
        <v>65</v>
      </c>
      <c r="E135" s="28">
        <v>37</v>
      </c>
      <c r="F135" s="31">
        <v>11.25</v>
      </c>
      <c r="G135" s="28">
        <v>224.46002480000001</v>
      </c>
      <c r="H135" s="30">
        <v>54</v>
      </c>
      <c r="I135" s="32">
        <v>97</v>
      </c>
      <c r="J135" s="28">
        <v>5.42</v>
      </c>
      <c r="K135" s="32">
        <v>96</v>
      </c>
      <c r="L135" s="33">
        <v>1771.587</v>
      </c>
      <c r="M135" s="34">
        <v>146596557</v>
      </c>
      <c r="N135" s="31">
        <v>11.3</v>
      </c>
      <c r="O135" s="31">
        <v>42.8</v>
      </c>
      <c r="P135" s="74">
        <v>95.4</v>
      </c>
      <c r="Q135" s="74">
        <v>5.4</v>
      </c>
      <c r="R135" s="74">
        <v>9.6999999999999993</v>
      </c>
      <c r="S135" s="35">
        <f t="shared" si="8"/>
        <v>0</v>
      </c>
      <c r="T135" s="35">
        <f t="shared" si="9"/>
        <v>0</v>
      </c>
      <c r="U135" s="35">
        <f t="shared" si="10"/>
        <v>0</v>
      </c>
      <c r="V135" s="36">
        <f t="shared" si="11"/>
        <v>0</v>
      </c>
    </row>
    <row r="136" spans="1:22" ht="15" customHeight="1" x14ac:dyDescent="0.25">
      <c r="A136" s="27" t="s">
        <v>158</v>
      </c>
      <c r="B136" s="28">
        <v>2000</v>
      </c>
      <c r="C136" s="29" t="s">
        <v>19</v>
      </c>
      <c r="D136" s="87">
        <v>48.3</v>
      </c>
      <c r="E136" s="28">
        <v>426</v>
      </c>
      <c r="F136" s="31">
        <v>7.35</v>
      </c>
      <c r="G136" s="28">
        <v>18.41791804</v>
      </c>
      <c r="H136" s="30">
        <v>13.2</v>
      </c>
      <c r="I136" s="32">
        <v>90</v>
      </c>
      <c r="J136" s="28">
        <v>4.22</v>
      </c>
      <c r="K136" s="32">
        <v>90</v>
      </c>
      <c r="L136" s="28">
        <v>216.173</v>
      </c>
      <c r="M136" s="34">
        <v>8025703</v>
      </c>
      <c r="N136" s="31">
        <v>2.2999999999999998</v>
      </c>
      <c r="O136" s="31">
        <v>17.8</v>
      </c>
      <c r="P136" s="74">
        <v>10</v>
      </c>
      <c r="Q136" s="74">
        <v>4.5999999999999996</v>
      </c>
      <c r="R136" s="74">
        <v>5.3</v>
      </c>
      <c r="S136" s="35">
        <f t="shared" si="8"/>
        <v>0</v>
      </c>
      <c r="T136" s="35">
        <f t="shared" si="9"/>
        <v>0</v>
      </c>
      <c r="U136" s="35">
        <f t="shared" si="10"/>
        <v>0</v>
      </c>
      <c r="V136" s="36">
        <f t="shared" si="11"/>
        <v>0</v>
      </c>
    </row>
    <row r="137" spans="1:22" ht="15" customHeight="1" x14ac:dyDescent="0.25">
      <c r="A137" s="27" t="s">
        <v>159</v>
      </c>
      <c r="B137" s="28">
        <v>2000</v>
      </c>
      <c r="C137" s="29" t="s">
        <v>19</v>
      </c>
      <c r="D137" s="87">
        <v>71.599999999999994</v>
      </c>
      <c r="E137" s="28">
        <v>183</v>
      </c>
      <c r="F137" s="31">
        <v>10.83</v>
      </c>
      <c r="G137" s="28">
        <v>0</v>
      </c>
      <c r="H137" s="30">
        <v>36.799999999999997</v>
      </c>
      <c r="I137" s="32">
        <v>70</v>
      </c>
      <c r="J137" s="28">
        <v>5.53</v>
      </c>
      <c r="K137" s="32">
        <v>70</v>
      </c>
      <c r="L137" s="33">
        <v>4996.2700000000004</v>
      </c>
      <c r="M137" s="34">
        <v>156949</v>
      </c>
      <c r="N137" s="31">
        <v>7</v>
      </c>
      <c r="O137" s="31">
        <v>0</v>
      </c>
      <c r="P137" s="74">
        <v>245.9</v>
      </c>
      <c r="Q137" s="74">
        <v>4.9000000000000004</v>
      </c>
      <c r="R137" s="74">
        <v>8.5</v>
      </c>
      <c r="S137" s="35">
        <f t="shared" si="8"/>
        <v>0</v>
      </c>
      <c r="T137" s="35">
        <f t="shared" si="9"/>
        <v>0</v>
      </c>
      <c r="U137" s="35">
        <f t="shared" si="10"/>
        <v>0</v>
      </c>
      <c r="V137" s="36">
        <f t="shared" si="11"/>
        <v>0</v>
      </c>
    </row>
    <row r="138" spans="1:22" ht="15" customHeight="1" x14ac:dyDescent="0.25">
      <c r="A138" s="27" t="s">
        <v>160</v>
      </c>
      <c r="B138" s="28">
        <v>2000</v>
      </c>
      <c r="C138" s="29" t="s">
        <v>19</v>
      </c>
      <c r="D138" s="87">
        <v>79</v>
      </c>
      <c r="E138" s="28">
        <v>186</v>
      </c>
      <c r="F138" s="31">
        <v>6.84</v>
      </c>
      <c r="G138" s="28">
        <v>0</v>
      </c>
      <c r="H138" s="30">
        <v>4.0999999999999996</v>
      </c>
      <c r="I138" s="32">
        <v>99</v>
      </c>
      <c r="J138" s="28">
        <v>3.73</v>
      </c>
      <c r="K138" s="32">
        <v>98</v>
      </c>
      <c r="L138" s="33">
        <v>3672.64</v>
      </c>
      <c r="M138" s="34">
        <v>107898</v>
      </c>
      <c r="N138" s="31">
        <v>7.6</v>
      </c>
      <c r="O138" s="31">
        <v>0</v>
      </c>
      <c r="P138" s="74">
        <v>140.5</v>
      </c>
      <c r="Q138" s="74">
        <v>3.8</v>
      </c>
      <c r="R138" s="74">
        <v>11.9</v>
      </c>
      <c r="S138" s="35">
        <f t="shared" si="8"/>
        <v>0</v>
      </c>
      <c r="T138" s="35">
        <f t="shared" si="9"/>
        <v>0</v>
      </c>
      <c r="U138" s="35">
        <f t="shared" si="10"/>
        <v>0</v>
      </c>
      <c r="V138" s="36">
        <f t="shared" si="11"/>
        <v>0</v>
      </c>
    </row>
    <row r="139" spans="1:22" ht="15" customHeight="1" x14ac:dyDescent="0.25">
      <c r="A139" s="27" t="s">
        <v>161</v>
      </c>
      <c r="B139" s="28">
        <v>2000</v>
      </c>
      <c r="C139" s="29" t="s">
        <v>19</v>
      </c>
      <c r="D139" s="87">
        <v>72</v>
      </c>
      <c r="E139" s="28">
        <v>18</v>
      </c>
      <c r="F139" s="31">
        <v>2.88</v>
      </c>
      <c r="G139" s="28">
        <v>21.254300199999999</v>
      </c>
      <c r="H139" s="30">
        <v>65.599999999999994</v>
      </c>
      <c r="I139" s="32">
        <v>98</v>
      </c>
      <c r="J139" s="28">
        <v>5.31</v>
      </c>
      <c r="K139" s="32">
        <v>98</v>
      </c>
      <c r="L139" s="28">
        <v>154.68899999999999</v>
      </c>
      <c r="M139" s="34">
        <v>174610</v>
      </c>
      <c r="N139" s="31">
        <v>8.8000000000000007</v>
      </c>
      <c r="O139" s="31">
        <v>45.1</v>
      </c>
      <c r="P139" s="74">
        <v>73.099999999999994</v>
      </c>
      <c r="Q139" s="74">
        <v>5.5</v>
      </c>
      <c r="R139" s="74">
        <v>11.8</v>
      </c>
      <c r="S139" s="35">
        <f t="shared" si="8"/>
        <v>0</v>
      </c>
      <c r="T139" s="35">
        <f t="shared" si="9"/>
        <v>0</v>
      </c>
      <c r="U139" s="35">
        <f t="shared" si="10"/>
        <v>0</v>
      </c>
      <c r="V139" s="36">
        <f t="shared" si="11"/>
        <v>0</v>
      </c>
    </row>
    <row r="140" spans="1:22" ht="15" customHeight="1" x14ac:dyDescent="0.25">
      <c r="A140" s="27" t="s">
        <v>162</v>
      </c>
      <c r="B140" s="28">
        <v>2000</v>
      </c>
      <c r="C140" s="29" t="s">
        <v>19</v>
      </c>
      <c r="D140" s="87">
        <v>62.6</v>
      </c>
      <c r="E140" s="28">
        <v>224</v>
      </c>
      <c r="F140" s="31">
        <v>4.3099999999999996</v>
      </c>
      <c r="G140" s="28">
        <v>0</v>
      </c>
      <c r="H140" s="30">
        <v>2.7</v>
      </c>
      <c r="I140" s="32">
        <v>87</v>
      </c>
      <c r="J140" s="28">
        <v>8.86</v>
      </c>
      <c r="K140" s="32">
        <v>82</v>
      </c>
      <c r="L140" s="37">
        <v>1800.64</v>
      </c>
      <c r="M140" s="34">
        <v>138606</v>
      </c>
      <c r="N140" s="31">
        <v>4.2</v>
      </c>
      <c r="O140" s="31">
        <v>0</v>
      </c>
      <c r="P140" s="74">
        <v>53.9</v>
      </c>
      <c r="Q140" s="74">
        <v>9.6999999999999993</v>
      </c>
      <c r="R140" s="74">
        <v>9</v>
      </c>
      <c r="S140" s="35">
        <f t="shared" si="8"/>
        <v>0</v>
      </c>
      <c r="T140" s="35">
        <f t="shared" si="9"/>
        <v>0</v>
      </c>
      <c r="U140" s="35">
        <f t="shared" si="10"/>
        <v>0</v>
      </c>
      <c r="V140" s="36">
        <f t="shared" si="11"/>
        <v>0</v>
      </c>
    </row>
    <row r="141" spans="1:22" ht="15" customHeight="1" x14ac:dyDescent="0.25">
      <c r="A141" s="27" t="s">
        <v>163</v>
      </c>
      <c r="B141" s="28">
        <v>2000</v>
      </c>
      <c r="C141" s="29" t="s">
        <v>19</v>
      </c>
      <c r="D141" s="87">
        <v>72.599999999999994</v>
      </c>
      <c r="E141" s="28">
        <v>11</v>
      </c>
      <c r="F141" s="31">
        <v>0.08</v>
      </c>
      <c r="G141" s="28">
        <v>782.17998150000005</v>
      </c>
      <c r="H141" s="30">
        <v>56.2</v>
      </c>
      <c r="I141" s="32">
        <v>95</v>
      </c>
      <c r="J141" s="28">
        <v>4.24</v>
      </c>
      <c r="K141" s="32">
        <v>95</v>
      </c>
      <c r="L141" s="33">
        <v>9126.9539999999997</v>
      </c>
      <c r="M141" s="34">
        <v>20764312</v>
      </c>
      <c r="N141" s="31">
        <v>6.7</v>
      </c>
      <c r="O141" s="31">
        <v>14.5</v>
      </c>
      <c r="P141" s="74">
        <v>384.4</v>
      </c>
      <c r="Q141" s="74">
        <v>4.2</v>
      </c>
      <c r="R141" s="74">
        <v>9.1999999999999993</v>
      </c>
      <c r="S141" s="35">
        <f t="shared" si="8"/>
        <v>0</v>
      </c>
      <c r="T141" s="35">
        <f t="shared" si="9"/>
        <v>0</v>
      </c>
      <c r="U141" s="35">
        <f t="shared" si="10"/>
        <v>0</v>
      </c>
      <c r="V141" s="36">
        <f t="shared" si="11"/>
        <v>0</v>
      </c>
    </row>
    <row r="142" spans="1:22" ht="15" customHeight="1" x14ac:dyDescent="0.25">
      <c r="A142" s="27" t="s">
        <v>164</v>
      </c>
      <c r="B142" s="28">
        <v>2000</v>
      </c>
      <c r="C142" s="29" t="s">
        <v>19</v>
      </c>
      <c r="D142" s="87">
        <v>57.5</v>
      </c>
      <c r="E142" s="28">
        <v>25</v>
      </c>
      <c r="F142" s="31">
        <v>0.3</v>
      </c>
      <c r="G142" s="28">
        <v>5.3973685319999998</v>
      </c>
      <c r="H142" s="30">
        <v>17.5</v>
      </c>
      <c r="I142" s="32">
        <v>49</v>
      </c>
      <c r="J142" s="28">
        <v>4.63</v>
      </c>
      <c r="K142" s="32">
        <v>52</v>
      </c>
      <c r="L142" s="28">
        <v>473.45299999999997</v>
      </c>
      <c r="M142" s="34">
        <v>9884052</v>
      </c>
      <c r="N142" s="31">
        <v>1.9</v>
      </c>
      <c r="O142" s="31">
        <v>10.9</v>
      </c>
      <c r="P142" s="74">
        <v>21.9</v>
      </c>
      <c r="Q142" s="74">
        <v>4.5999999999999996</v>
      </c>
      <c r="R142" s="74">
        <v>9.1</v>
      </c>
      <c r="S142" s="35">
        <f t="shared" si="8"/>
        <v>0</v>
      </c>
      <c r="T142" s="35">
        <f t="shared" si="9"/>
        <v>0</v>
      </c>
      <c r="U142" s="35">
        <f t="shared" si="10"/>
        <v>0</v>
      </c>
      <c r="V142" s="36">
        <f t="shared" si="11"/>
        <v>0</v>
      </c>
    </row>
    <row r="143" spans="1:22" ht="15" customHeight="1" x14ac:dyDescent="0.25">
      <c r="A143" s="27" t="s">
        <v>165</v>
      </c>
      <c r="B143" s="28">
        <v>2000</v>
      </c>
      <c r="C143" s="29" t="s">
        <v>19</v>
      </c>
      <c r="D143" s="87">
        <v>72.599999999999994</v>
      </c>
      <c r="E143" s="28">
        <v>141</v>
      </c>
      <c r="F143" s="31">
        <v>8.6</v>
      </c>
      <c r="G143" s="28">
        <v>11.859281080000001</v>
      </c>
      <c r="H143" s="30">
        <v>51.2</v>
      </c>
      <c r="I143" s="32">
        <v>98</v>
      </c>
      <c r="J143" s="28">
        <v>6.53</v>
      </c>
      <c r="K143" s="32">
        <v>95</v>
      </c>
      <c r="L143" s="28">
        <v>87.137</v>
      </c>
      <c r="M143" s="34">
        <v>7516346</v>
      </c>
      <c r="N143" s="31">
        <v>9.4</v>
      </c>
      <c r="O143" s="31">
        <v>48.7</v>
      </c>
      <c r="P143" s="74">
        <v>65.2</v>
      </c>
      <c r="Q143" s="74">
        <v>6.5</v>
      </c>
      <c r="R143" s="74">
        <v>13.6</v>
      </c>
      <c r="S143" s="35">
        <f t="shared" si="8"/>
        <v>0</v>
      </c>
      <c r="T143" s="35">
        <f t="shared" si="9"/>
        <v>0</v>
      </c>
      <c r="U143" s="35">
        <f t="shared" si="10"/>
        <v>0</v>
      </c>
      <c r="V143" s="36">
        <f t="shared" si="11"/>
        <v>0</v>
      </c>
    </row>
    <row r="144" spans="1:22" ht="15" customHeight="1" x14ac:dyDescent="0.25">
      <c r="A144" s="27" t="s">
        <v>166</v>
      </c>
      <c r="B144" s="28">
        <v>2000</v>
      </c>
      <c r="C144" s="29" t="s">
        <v>19</v>
      </c>
      <c r="D144" s="87">
        <v>71.8</v>
      </c>
      <c r="E144" s="28">
        <v>188</v>
      </c>
      <c r="F144" s="31">
        <v>5.53</v>
      </c>
      <c r="G144" s="28">
        <v>601.76081150000005</v>
      </c>
      <c r="H144" s="30">
        <v>27.1</v>
      </c>
      <c r="I144" s="32">
        <v>98</v>
      </c>
      <c r="J144" s="28">
        <v>4.62</v>
      </c>
      <c r="K144" s="32">
        <v>98</v>
      </c>
      <c r="L144" s="33">
        <v>7578.8519999999999</v>
      </c>
      <c r="M144" s="34">
        <v>81131</v>
      </c>
      <c r="N144" s="31">
        <v>7.4</v>
      </c>
      <c r="O144" s="31">
        <v>25.1</v>
      </c>
      <c r="P144" s="74">
        <v>349.3</v>
      </c>
      <c r="Q144" s="74">
        <v>4.5999999999999996</v>
      </c>
      <c r="R144" s="74">
        <v>6.8</v>
      </c>
      <c r="S144" s="35">
        <f t="shared" si="8"/>
        <v>0</v>
      </c>
      <c r="T144" s="35">
        <f t="shared" si="9"/>
        <v>0</v>
      </c>
      <c r="U144" s="35">
        <f t="shared" si="10"/>
        <v>0</v>
      </c>
      <c r="V144" s="36">
        <f t="shared" si="11"/>
        <v>0</v>
      </c>
    </row>
    <row r="145" spans="1:22" ht="15" customHeight="1" x14ac:dyDescent="0.25">
      <c r="A145" s="27" t="s">
        <v>167</v>
      </c>
      <c r="B145" s="28">
        <v>2000</v>
      </c>
      <c r="C145" s="29" t="s">
        <v>19</v>
      </c>
      <c r="D145" s="87">
        <v>39</v>
      </c>
      <c r="E145" s="28">
        <v>533</v>
      </c>
      <c r="F145" s="31">
        <v>4.0599999999999996</v>
      </c>
      <c r="G145" s="28">
        <v>20.395682829999998</v>
      </c>
      <c r="H145" s="30">
        <v>17.2</v>
      </c>
      <c r="I145" s="32">
        <v>46</v>
      </c>
      <c r="J145" s="28">
        <v>13.63</v>
      </c>
      <c r="K145" s="32">
        <v>44</v>
      </c>
      <c r="L145" s="28">
        <v>139.315</v>
      </c>
      <c r="M145" s="34">
        <v>4564297</v>
      </c>
      <c r="N145" s="31">
        <v>2.2999999999999998</v>
      </c>
      <c r="O145" s="31">
        <v>42.2</v>
      </c>
      <c r="P145" s="74">
        <v>13.8</v>
      </c>
      <c r="Q145" s="74">
        <v>9.9</v>
      </c>
      <c r="R145" s="74">
        <v>12.7</v>
      </c>
      <c r="S145" s="35">
        <f t="shared" si="8"/>
        <v>0</v>
      </c>
      <c r="T145" s="35">
        <f t="shared" si="9"/>
        <v>0</v>
      </c>
      <c r="U145" s="35">
        <f t="shared" si="10"/>
        <v>0</v>
      </c>
      <c r="V145" s="36">
        <f t="shared" si="11"/>
        <v>0</v>
      </c>
    </row>
    <row r="146" spans="1:22" ht="15" customHeight="1" x14ac:dyDescent="0.25">
      <c r="A146" s="27" t="s">
        <v>168</v>
      </c>
      <c r="B146" s="28">
        <v>2000</v>
      </c>
      <c r="C146" s="29" t="s">
        <v>31</v>
      </c>
      <c r="D146" s="87">
        <v>78.3</v>
      </c>
      <c r="E146" s="28">
        <v>78</v>
      </c>
      <c r="F146" s="31">
        <v>1.72</v>
      </c>
      <c r="G146" s="28">
        <v>1855.828806</v>
      </c>
      <c r="H146" s="30">
        <v>28.5</v>
      </c>
      <c r="I146" s="32">
        <v>98</v>
      </c>
      <c r="J146" s="28">
        <v>2.71</v>
      </c>
      <c r="K146" s="32">
        <v>98</v>
      </c>
      <c r="L146" s="33">
        <v>23792.677</v>
      </c>
      <c r="M146" s="34">
        <v>4027887</v>
      </c>
      <c r="N146" s="31">
        <v>8.9</v>
      </c>
      <c r="O146" s="31">
        <v>16.3</v>
      </c>
      <c r="P146" s="74">
        <v>820.7</v>
      </c>
      <c r="Q146" s="74">
        <v>3.4</v>
      </c>
      <c r="R146" s="74">
        <v>6.7</v>
      </c>
      <c r="S146" s="35">
        <f t="shared" si="8"/>
        <v>1</v>
      </c>
      <c r="T146" s="35">
        <f t="shared" si="9"/>
        <v>98</v>
      </c>
      <c r="U146" s="35">
        <f t="shared" si="10"/>
        <v>8.9</v>
      </c>
      <c r="V146" s="36">
        <f t="shared" si="11"/>
        <v>98</v>
      </c>
    </row>
    <row r="147" spans="1:22" ht="15" customHeight="1" x14ac:dyDescent="0.25">
      <c r="A147" s="27" t="s">
        <v>169</v>
      </c>
      <c r="B147" s="28">
        <v>2000</v>
      </c>
      <c r="C147" s="29" t="s">
        <v>31</v>
      </c>
      <c r="D147" s="87">
        <v>73</v>
      </c>
      <c r="E147" s="28">
        <v>147</v>
      </c>
      <c r="F147" s="31">
        <v>10.69</v>
      </c>
      <c r="G147" s="28">
        <v>0</v>
      </c>
      <c r="H147" s="30">
        <v>5.7</v>
      </c>
      <c r="I147" s="32">
        <v>98</v>
      </c>
      <c r="J147" s="28">
        <v>5.5</v>
      </c>
      <c r="K147" s="32">
        <v>99</v>
      </c>
      <c r="L147" s="33">
        <v>5402.93</v>
      </c>
      <c r="M147" s="34">
        <v>5388720</v>
      </c>
      <c r="N147" s="31">
        <v>10.3</v>
      </c>
      <c r="O147" s="31">
        <v>32.1</v>
      </c>
      <c r="P147" s="74">
        <v>203.5</v>
      </c>
      <c r="Q147" s="74">
        <v>5.3</v>
      </c>
      <c r="R147" s="74">
        <v>0</v>
      </c>
      <c r="S147" s="35">
        <f t="shared" si="8"/>
        <v>1</v>
      </c>
      <c r="T147" s="35">
        <f t="shared" si="9"/>
        <v>98</v>
      </c>
      <c r="U147" s="35">
        <f t="shared" si="10"/>
        <v>10.3</v>
      </c>
      <c r="V147" s="36">
        <f t="shared" si="11"/>
        <v>99</v>
      </c>
    </row>
    <row r="148" spans="1:22" ht="15" customHeight="1" x14ac:dyDescent="0.25">
      <c r="A148" s="27" t="s">
        <v>170</v>
      </c>
      <c r="B148" s="28">
        <v>2000</v>
      </c>
      <c r="C148" s="29" t="s">
        <v>31</v>
      </c>
      <c r="D148" s="87">
        <v>76</v>
      </c>
      <c r="E148" s="28">
        <v>122</v>
      </c>
      <c r="F148" s="31">
        <v>10.52</v>
      </c>
      <c r="G148" s="28">
        <v>161.44738530000001</v>
      </c>
      <c r="H148" s="30">
        <v>51.2</v>
      </c>
      <c r="I148" s="32">
        <v>93</v>
      </c>
      <c r="J148" s="28">
        <v>8.26</v>
      </c>
      <c r="K148" s="32">
        <v>91</v>
      </c>
      <c r="L148" s="33">
        <v>1227.7370000000001</v>
      </c>
      <c r="M148" s="34">
        <v>1988925</v>
      </c>
      <c r="N148" s="31">
        <v>11.6</v>
      </c>
      <c r="O148" s="31">
        <v>26.8</v>
      </c>
      <c r="P148" s="74">
        <v>796.6</v>
      </c>
      <c r="Q148" s="74">
        <v>7.8</v>
      </c>
      <c r="R148" s="74">
        <v>0</v>
      </c>
      <c r="S148" s="35">
        <f t="shared" si="8"/>
        <v>1</v>
      </c>
      <c r="T148" s="35">
        <f t="shared" si="9"/>
        <v>93</v>
      </c>
      <c r="U148" s="35">
        <f t="shared" si="10"/>
        <v>11.6</v>
      </c>
      <c r="V148" s="36">
        <f t="shared" si="11"/>
        <v>91</v>
      </c>
    </row>
    <row r="149" spans="1:22" ht="15" customHeight="1" x14ac:dyDescent="0.25">
      <c r="A149" s="27" t="s">
        <v>171</v>
      </c>
      <c r="B149" s="28">
        <v>2000</v>
      </c>
      <c r="C149" s="29" t="s">
        <v>19</v>
      </c>
      <c r="D149" s="87">
        <v>65.8</v>
      </c>
      <c r="E149" s="28">
        <v>235</v>
      </c>
      <c r="F149" s="31">
        <v>1.2</v>
      </c>
      <c r="G149" s="28">
        <v>4.2492607299999996</v>
      </c>
      <c r="H149" s="30">
        <v>37.9</v>
      </c>
      <c r="I149" s="32">
        <v>88</v>
      </c>
      <c r="J149" s="28">
        <v>4.5599999999999996</v>
      </c>
      <c r="K149" s="32">
        <v>86</v>
      </c>
      <c r="L149" s="28">
        <v>154.51900000000001</v>
      </c>
      <c r="M149" s="34">
        <v>412609</v>
      </c>
      <c r="N149" s="31">
        <v>4.5999999999999996</v>
      </c>
      <c r="O149" s="31">
        <v>0</v>
      </c>
      <c r="P149" s="74">
        <v>53.9</v>
      </c>
      <c r="Q149" s="74">
        <v>5.8</v>
      </c>
      <c r="R149" s="74">
        <v>23.1</v>
      </c>
      <c r="S149" s="35">
        <f t="shared" si="8"/>
        <v>0</v>
      </c>
      <c r="T149" s="35">
        <f t="shared" si="9"/>
        <v>0</v>
      </c>
      <c r="U149" s="35">
        <f t="shared" si="10"/>
        <v>0</v>
      </c>
      <c r="V149" s="36">
        <f t="shared" si="11"/>
        <v>0</v>
      </c>
    </row>
    <row r="150" spans="1:22" ht="15" customHeight="1" x14ac:dyDescent="0.25">
      <c r="A150" s="27" t="s">
        <v>172</v>
      </c>
      <c r="B150" s="28">
        <v>2000</v>
      </c>
      <c r="C150" s="29" t="s">
        <v>19</v>
      </c>
      <c r="D150" s="87">
        <v>55</v>
      </c>
      <c r="E150" s="28">
        <v>355</v>
      </c>
      <c r="F150" s="31">
        <v>0</v>
      </c>
      <c r="G150" s="28">
        <v>0</v>
      </c>
      <c r="H150" s="30">
        <v>17.8</v>
      </c>
      <c r="I150" s="32">
        <v>37</v>
      </c>
      <c r="J150" s="29"/>
      <c r="K150" s="32">
        <v>33</v>
      </c>
      <c r="L150" s="28">
        <v>228</v>
      </c>
      <c r="M150" s="34">
        <v>9011479</v>
      </c>
      <c r="N150" s="38"/>
      <c r="O150" s="31">
        <v>0</v>
      </c>
      <c r="P150" s="74" t="s">
        <v>25</v>
      </c>
      <c r="Q150" s="74" t="s">
        <v>25</v>
      </c>
      <c r="R150" s="74" t="s">
        <v>25</v>
      </c>
      <c r="S150" s="35">
        <f t="shared" si="8"/>
        <v>0</v>
      </c>
      <c r="T150" s="35">
        <f t="shared" si="9"/>
        <v>0</v>
      </c>
      <c r="U150" s="35">
        <f t="shared" si="10"/>
        <v>0</v>
      </c>
      <c r="V150" s="36">
        <f t="shared" si="11"/>
        <v>0</v>
      </c>
    </row>
    <row r="151" spans="1:22" ht="15" customHeight="1" x14ac:dyDescent="0.25">
      <c r="A151" s="27" t="s">
        <v>173</v>
      </c>
      <c r="B151" s="28">
        <v>2000</v>
      </c>
      <c r="C151" s="29" t="s">
        <v>19</v>
      </c>
      <c r="D151" s="87">
        <v>57.3</v>
      </c>
      <c r="E151" s="28">
        <v>397</v>
      </c>
      <c r="F151" s="31">
        <v>8.0299999999999994</v>
      </c>
      <c r="G151" s="28">
        <v>45.963808389999997</v>
      </c>
      <c r="H151" s="30">
        <v>4.0999999999999996</v>
      </c>
      <c r="I151" s="32">
        <v>71</v>
      </c>
      <c r="J151" s="28">
        <v>8.6999999999999993</v>
      </c>
      <c r="K151" s="32">
        <v>73</v>
      </c>
      <c r="L151" s="28">
        <v>337.22500000000002</v>
      </c>
      <c r="M151" s="34">
        <v>45728315</v>
      </c>
      <c r="N151" s="31">
        <v>8.8000000000000007</v>
      </c>
      <c r="O151" s="31">
        <v>22.7</v>
      </c>
      <c r="P151" s="74">
        <v>221.8</v>
      </c>
      <c r="Q151" s="74">
        <v>7.4</v>
      </c>
      <c r="R151" s="74">
        <v>10.9</v>
      </c>
      <c r="S151" s="35">
        <f t="shared" si="8"/>
        <v>0</v>
      </c>
      <c r="T151" s="35">
        <f t="shared" si="9"/>
        <v>0</v>
      </c>
      <c r="U151" s="35">
        <f t="shared" si="10"/>
        <v>0</v>
      </c>
      <c r="V151" s="36">
        <f t="shared" si="11"/>
        <v>0</v>
      </c>
    </row>
    <row r="152" spans="1:22" ht="15" customHeight="1" x14ac:dyDescent="0.25">
      <c r="A152" s="27" t="s">
        <v>174</v>
      </c>
      <c r="B152" s="28">
        <v>2000</v>
      </c>
      <c r="C152" s="29" t="s">
        <v>19</v>
      </c>
      <c r="D152" s="87">
        <v>48.9</v>
      </c>
      <c r="E152" s="28">
        <v>38</v>
      </c>
      <c r="F152" s="31">
        <v>0</v>
      </c>
      <c r="G152" s="28">
        <v>0</v>
      </c>
      <c r="H152" s="30">
        <v>23.9</v>
      </c>
      <c r="I152" s="32">
        <v>66</v>
      </c>
      <c r="J152" s="29"/>
      <c r="K152" s="32">
        <v>61</v>
      </c>
      <c r="L152" s="37">
        <v>1506.47</v>
      </c>
      <c r="M152" s="34">
        <v>6700656</v>
      </c>
      <c r="N152" s="31">
        <v>4.8</v>
      </c>
      <c r="O152" s="31">
        <v>0</v>
      </c>
      <c r="P152" s="74" t="s">
        <v>25</v>
      </c>
      <c r="Q152" s="74" t="s">
        <v>25</v>
      </c>
      <c r="R152" s="74" t="s">
        <v>25</v>
      </c>
      <c r="S152" s="35">
        <f t="shared" si="8"/>
        <v>0</v>
      </c>
      <c r="T152" s="35">
        <f t="shared" si="9"/>
        <v>0</v>
      </c>
      <c r="U152" s="35">
        <f t="shared" si="10"/>
        <v>0</v>
      </c>
      <c r="V152" s="36">
        <f t="shared" si="11"/>
        <v>0</v>
      </c>
    </row>
    <row r="153" spans="1:22" ht="15" customHeight="1" x14ac:dyDescent="0.25">
      <c r="A153" s="27" t="s">
        <v>175</v>
      </c>
      <c r="B153" s="28">
        <v>2000</v>
      </c>
      <c r="C153" s="29" t="s">
        <v>31</v>
      </c>
      <c r="D153" s="87">
        <v>79.099999999999994</v>
      </c>
      <c r="E153" s="28">
        <v>86</v>
      </c>
      <c r="F153" s="31">
        <v>9.99</v>
      </c>
      <c r="G153" s="28">
        <v>1934.398154</v>
      </c>
      <c r="H153" s="30">
        <v>57.6</v>
      </c>
      <c r="I153" s="32">
        <v>95</v>
      </c>
      <c r="J153" s="28">
        <v>7.21</v>
      </c>
      <c r="K153" s="32">
        <v>95</v>
      </c>
      <c r="L153" s="33">
        <v>14676.769</v>
      </c>
      <c r="M153" s="34">
        <v>40567864</v>
      </c>
      <c r="N153" s="31">
        <v>8.4</v>
      </c>
      <c r="O153" s="31">
        <v>39.5</v>
      </c>
      <c r="P153" s="74">
        <v>1002.8</v>
      </c>
      <c r="Q153" s="74">
        <v>6.8</v>
      </c>
      <c r="R153" s="74">
        <v>0</v>
      </c>
      <c r="S153" s="35">
        <f t="shared" si="8"/>
        <v>1</v>
      </c>
      <c r="T153" s="35">
        <f t="shared" si="9"/>
        <v>95</v>
      </c>
      <c r="U153" s="35">
        <f t="shared" si="10"/>
        <v>8.4</v>
      </c>
      <c r="V153" s="36">
        <f t="shared" si="11"/>
        <v>95</v>
      </c>
    </row>
    <row r="154" spans="1:22" ht="15" customHeight="1" x14ac:dyDescent="0.25">
      <c r="A154" s="27" t="s">
        <v>176</v>
      </c>
      <c r="B154" s="28">
        <v>2000</v>
      </c>
      <c r="C154" s="29" t="s">
        <v>19</v>
      </c>
      <c r="D154" s="87">
        <v>71.5</v>
      </c>
      <c r="E154" s="28">
        <v>175</v>
      </c>
      <c r="F154" s="31">
        <v>2.0499999999999998</v>
      </c>
      <c r="G154" s="28">
        <v>60.490981499999997</v>
      </c>
      <c r="H154" s="30">
        <v>14.1</v>
      </c>
      <c r="I154" s="32">
        <v>99</v>
      </c>
      <c r="J154" s="28">
        <v>3.77</v>
      </c>
      <c r="K154" s="32">
        <v>99</v>
      </c>
      <c r="L154" s="28">
        <v>875.41200000000003</v>
      </c>
      <c r="M154" s="34">
        <v>18781938</v>
      </c>
      <c r="N154" s="31">
        <v>10</v>
      </c>
      <c r="O154" s="31">
        <v>16.5</v>
      </c>
      <c r="P154" s="74">
        <v>36</v>
      </c>
      <c r="Q154" s="74">
        <v>4.0999999999999996</v>
      </c>
      <c r="R154" s="74">
        <v>10.1</v>
      </c>
      <c r="S154" s="35">
        <f t="shared" si="8"/>
        <v>0</v>
      </c>
      <c r="T154" s="35">
        <f t="shared" si="9"/>
        <v>0</v>
      </c>
      <c r="U154" s="35">
        <f t="shared" si="10"/>
        <v>0</v>
      </c>
      <c r="V154" s="36">
        <f t="shared" si="11"/>
        <v>0</v>
      </c>
    </row>
    <row r="155" spans="1:22" ht="15" customHeight="1" x14ac:dyDescent="0.25">
      <c r="A155" s="27" t="s">
        <v>177</v>
      </c>
      <c r="B155" s="28">
        <v>2000</v>
      </c>
      <c r="C155" s="29" t="s">
        <v>19</v>
      </c>
      <c r="D155" s="87">
        <v>58.6</v>
      </c>
      <c r="E155" s="28">
        <v>284</v>
      </c>
      <c r="F155" s="31">
        <v>1.99</v>
      </c>
      <c r="G155" s="28">
        <v>30.86000992</v>
      </c>
      <c r="H155" s="30">
        <v>23.9</v>
      </c>
      <c r="I155" s="32">
        <v>62</v>
      </c>
      <c r="J155" s="28">
        <v>3.23</v>
      </c>
      <c r="K155" s="32">
        <v>62</v>
      </c>
      <c r="L155" s="28">
        <v>361.358</v>
      </c>
      <c r="M155" s="34">
        <v>27250535</v>
      </c>
      <c r="N155" s="31">
        <v>2.4</v>
      </c>
      <c r="O155" s="31">
        <v>0</v>
      </c>
      <c r="P155" s="74">
        <v>16.899999999999999</v>
      </c>
      <c r="Q155" s="74">
        <v>3.6</v>
      </c>
      <c r="R155" s="74">
        <v>11.8</v>
      </c>
      <c r="S155" s="35">
        <f t="shared" si="8"/>
        <v>0</v>
      </c>
      <c r="T155" s="35">
        <f t="shared" si="9"/>
        <v>0</v>
      </c>
      <c r="U155" s="35">
        <f t="shared" si="10"/>
        <v>0</v>
      </c>
      <c r="V155" s="36">
        <f t="shared" si="11"/>
        <v>0</v>
      </c>
    </row>
    <row r="156" spans="1:22" ht="15" customHeight="1" x14ac:dyDescent="0.25">
      <c r="A156" s="27" t="s">
        <v>178</v>
      </c>
      <c r="B156" s="28">
        <v>2000</v>
      </c>
      <c r="C156" s="29" t="s">
        <v>19</v>
      </c>
      <c r="D156" s="87">
        <v>67.400000000000006</v>
      </c>
      <c r="E156" s="28">
        <v>224</v>
      </c>
      <c r="F156" s="31">
        <v>5.14</v>
      </c>
      <c r="G156" s="28">
        <v>268.18379720000001</v>
      </c>
      <c r="H156" s="30">
        <v>47.6</v>
      </c>
      <c r="I156" s="32">
        <v>70</v>
      </c>
      <c r="J156" s="28">
        <v>9.65</v>
      </c>
      <c r="K156" s="32">
        <v>71</v>
      </c>
      <c r="L156" s="33">
        <v>1888.6179999999999</v>
      </c>
      <c r="M156" s="34">
        <v>472390</v>
      </c>
      <c r="N156" s="31">
        <v>5.3</v>
      </c>
      <c r="O156" s="31">
        <v>50</v>
      </c>
      <c r="P156" s="74">
        <v>168.8</v>
      </c>
      <c r="Q156" s="74">
        <v>8.4</v>
      </c>
      <c r="R156" s="74">
        <v>11.6</v>
      </c>
      <c r="S156" s="35">
        <f t="shared" si="8"/>
        <v>0</v>
      </c>
      <c r="T156" s="35">
        <f t="shared" si="9"/>
        <v>0</v>
      </c>
      <c r="U156" s="35">
        <f t="shared" si="10"/>
        <v>0</v>
      </c>
      <c r="V156" s="36">
        <f t="shared" si="11"/>
        <v>0</v>
      </c>
    </row>
    <row r="157" spans="1:22" ht="15" customHeight="1" x14ac:dyDescent="0.25">
      <c r="A157" s="27" t="s">
        <v>179</v>
      </c>
      <c r="B157" s="28">
        <v>2000</v>
      </c>
      <c r="C157" s="29" t="s">
        <v>19</v>
      </c>
      <c r="D157" s="87">
        <v>48.4</v>
      </c>
      <c r="E157" s="28">
        <v>536</v>
      </c>
      <c r="F157" s="31">
        <v>0</v>
      </c>
      <c r="G157" s="28">
        <v>25.216833179999998</v>
      </c>
      <c r="H157" s="30">
        <v>25.9</v>
      </c>
      <c r="I157" s="32">
        <v>70</v>
      </c>
      <c r="J157" s="28">
        <v>5.26</v>
      </c>
      <c r="K157" s="32">
        <v>71</v>
      </c>
      <c r="L157" s="33">
        <v>1637.4570000000001</v>
      </c>
      <c r="M157" s="34">
        <v>1061468</v>
      </c>
      <c r="N157" s="31">
        <v>3.9</v>
      </c>
      <c r="O157" s="31">
        <v>9.3000000000000007</v>
      </c>
      <c r="P157" s="74" t="s">
        <v>180</v>
      </c>
      <c r="Q157" s="74" t="s">
        <v>25</v>
      </c>
      <c r="R157" s="74" t="s">
        <v>25</v>
      </c>
      <c r="S157" s="35">
        <f t="shared" si="8"/>
        <v>0</v>
      </c>
      <c r="T157" s="35">
        <f t="shared" si="9"/>
        <v>0</v>
      </c>
      <c r="U157" s="35">
        <f t="shared" si="10"/>
        <v>0</v>
      </c>
      <c r="V157" s="36">
        <f t="shared" si="11"/>
        <v>0</v>
      </c>
    </row>
    <row r="158" spans="1:22" ht="15" customHeight="1" x14ac:dyDescent="0.25">
      <c r="A158" s="27" t="s">
        <v>181</v>
      </c>
      <c r="B158" s="28">
        <v>2000</v>
      </c>
      <c r="C158" s="29" t="s">
        <v>31</v>
      </c>
      <c r="D158" s="87">
        <v>79.599999999999994</v>
      </c>
      <c r="E158" s="28">
        <v>73</v>
      </c>
      <c r="F158" s="31">
        <v>7.3</v>
      </c>
      <c r="G158" s="28">
        <v>3689.7273</v>
      </c>
      <c r="H158" s="30">
        <v>52.8</v>
      </c>
      <c r="I158" s="32">
        <v>99</v>
      </c>
      <c r="J158" s="28">
        <v>8.18</v>
      </c>
      <c r="K158" s="32">
        <v>99</v>
      </c>
      <c r="L158" s="33">
        <v>29283.55</v>
      </c>
      <c r="M158" s="34">
        <v>8872109</v>
      </c>
      <c r="N158" s="31">
        <v>11.4</v>
      </c>
      <c r="O158" s="31">
        <v>32.299999999999997</v>
      </c>
      <c r="P158" s="74">
        <v>2173.1999999999998</v>
      </c>
      <c r="Q158" s="74">
        <v>7.4</v>
      </c>
      <c r="R158" s="74">
        <v>0</v>
      </c>
      <c r="S158" s="35">
        <f t="shared" si="8"/>
        <v>1</v>
      </c>
      <c r="T158" s="35">
        <f t="shared" si="9"/>
        <v>99</v>
      </c>
      <c r="U158" s="35">
        <f t="shared" si="10"/>
        <v>11.4</v>
      </c>
      <c r="V158" s="36">
        <f t="shared" si="11"/>
        <v>99</v>
      </c>
    </row>
    <row r="159" spans="1:22" ht="15" customHeight="1" x14ac:dyDescent="0.25">
      <c r="A159" s="27" t="s">
        <v>182</v>
      </c>
      <c r="B159" s="28">
        <v>2000</v>
      </c>
      <c r="C159" s="29" t="s">
        <v>31</v>
      </c>
      <c r="D159" s="87">
        <v>79.7</v>
      </c>
      <c r="E159" s="28">
        <v>78</v>
      </c>
      <c r="F159" s="31">
        <v>10.15</v>
      </c>
      <c r="G159" s="28">
        <v>5834.5820460000004</v>
      </c>
      <c r="H159" s="30">
        <v>5.8</v>
      </c>
      <c r="I159" s="32">
        <v>95</v>
      </c>
      <c r="J159" s="28">
        <v>9.91</v>
      </c>
      <c r="K159" s="32">
        <v>93</v>
      </c>
      <c r="L159" s="33">
        <v>37813.233999999997</v>
      </c>
      <c r="M159" s="34">
        <v>7184250</v>
      </c>
      <c r="N159" s="31">
        <v>11.4</v>
      </c>
      <c r="O159" s="31">
        <v>31.2</v>
      </c>
      <c r="P159" s="74">
        <v>3540.8</v>
      </c>
      <c r="Q159" s="74">
        <v>9.3000000000000007</v>
      </c>
      <c r="R159" s="74">
        <v>0</v>
      </c>
      <c r="S159" s="35">
        <f t="shared" si="8"/>
        <v>1</v>
      </c>
      <c r="T159" s="35">
        <f t="shared" si="9"/>
        <v>95</v>
      </c>
      <c r="U159" s="35">
        <f t="shared" si="10"/>
        <v>11.4</v>
      </c>
      <c r="V159" s="36">
        <f t="shared" si="11"/>
        <v>93</v>
      </c>
    </row>
    <row r="160" spans="1:22" ht="15" customHeight="1" x14ac:dyDescent="0.25">
      <c r="A160" s="27" t="s">
        <v>183</v>
      </c>
      <c r="B160" s="28">
        <v>2000</v>
      </c>
      <c r="C160" s="29" t="s">
        <v>19</v>
      </c>
      <c r="D160" s="87">
        <v>72.599999999999994</v>
      </c>
      <c r="E160" s="28">
        <v>136</v>
      </c>
      <c r="F160" s="31">
        <v>0.75</v>
      </c>
      <c r="G160" s="28">
        <v>81.727471199999997</v>
      </c>
      <c r="H160" s="30">
        <v>43.9</v>
      </c>
      <c r="I160" s="32">
        <v>86</v>
      </c>
      <c r="J160" s="28">
        <v>4.92</v>
      </c>
      <c r="K160" s="32">
        <v>84</v>
      </c>
      <c r="L160" s="33">
        <v>1177.6289999999999</v>
      </c>
      <c r="M160" s="34">
        <v>16410848</v>
      </c>
      <c r="N160" s="31">
        <v>4.5999999999999996</v>
      </c>
      <c r="O160" s="31">
        <v>0</v>
      </c>
      <c r="P160" s="74">
        <v>54.2</v>
      </c>
      <c r="Q160" s="74">
        <v>4.5999999999999996</v>
      </c>
      <c r="R160" s="74">
        <v>5.6</v>
      </c>
      <c r="S160" s="35">
        <f t="shared" si="8"/>
        <v>0</v>
      </c>
      <c r="T160" s="35">
        <f t="shared" si="9"/>
        <v>0</v>
      </c>
      <c r="U160" s="35">
        <f t="shared" si="10"/>
        <v>0</v>
      </c>
      <c r="V160" s="36">
        <f t="shared" si="11"/>
        <v>0</v>
      </c>
    </row>
    <row r="161" spans="1:22" ht="15" customHeight="1" x14ac:dyDescent="0.25">
      <c r="A161" s="27" t="s">
        <v>184</v>
      </c>
      <c r="B161" s="28">
        <v>2000</v>
      </c>
      <c r="C161" s="29" t="s">
        <v>19</v>
      </c>
      <c r="D161" s="87">
        <v>63.7</v>
      </c>
      <c r="E161" s="28">
        <v>198</v>
      </c>
      <c r="F161" s="31">
        <v>0.68</v>
      </c>
      <c r="G161" s="28">
        <v>8.9430064920000003</v>
      </c>
      <c r="H161" s="30">
        <v>31.3</v>
      </c>
      <c r="I161" s="32">
        <v>86</v>
      </c>
      <c r="J161" s="28">
        <v>4.6399999999999997</v>
      </c>
      <c r="K161" s="32">
        <v>83</v>
      </c>
      <c r="L161" s="28">
        <v>138.43700000000001</v>
      </c>
      <c r="M161" s="34">
        <v>6216205</v>
      </c>
      <c r="N161" s="31">
        <v>10.6</v>
      </c>
      <c r="O161" s="31">
        <v>0</v>
      </c>
      <c r="P161" s="74">
        <v>6</v>
      </c>
      <c r="Q161" s="74">
        <v>4.3</v>
      </c>
      <c r="R161" s="74">
        <v>4.5999999999999996</v>
      </c>
      <c r="S161" s="35">
        <f t="shared" si="8"/>
        <v>0</v>
      </c>
      <c r="T161" s="35">
        <f t="shared" si="9"/>
        <v>0</v>
      </c>
      <c r="U161" s="35">
        <f t="shared" si="10"/>
        <v>0</v>
      </c>
      <c r="V161" s="36">
        <f t="shared" si="11"/>
        <v>0</v>
      </c>
    </row>
    <row r="162" spans="1:22" ht="15" customHeight="1" x14ac:dyDescent="0.25">
      <c r="A162" s="27" t="s">
        <v>185</v>
      </c>
      <c r="B162" s="28">
        <v>2000</v>
      </c>
      <c r="C162" s="29" t="s">
        <v>19</v>
      </c>
      <c r="D162" s="87">
        <v>71.099999999999994</v>
      </c>
      <c r="E162" s="28">
        <v>194</v>
      </c>
      <c r="F162" s="31">
        <v>6.74</v>
      </c>
      <c r="G162" s="28">
        <v>0.27564825999999998</v>
      </c>
      <c r="H162" s="30">
        <v>18.7</v>
      </c>
      <c r="I162" s="32">
        <v>97</v>
      </c>
      <c r="J162" s="28">
        <v>3.4</v>
      </c>
      <c r="K162" s="32">
        <v>97</v>
      </c>
      <c r="L162" s="28">
        <v>27.565000000000001</v>
      </c>
      <c r="M162" s="34">
        <v>62958021</v>
      </c>
      <c r="N162" s="31">
        <v>6.1</v>
      </c>
      <c r="O162" s="31">
        <v>24.9</v>
      </c>
      <c r="P162" s="74">
        <v>62.3</v>
      </c>
      <c r="Q162" s="74">
        <v>3.2</v>
      </c>
      <c r="R162" s="74">
        <v>13.2</v>
      </c>
      <c r="S162" s="35">
        <f t="shared" si="8"/>
        <v>0</v>
      </c>
      <c r="T162" s="35">
        <f t="shared" si="9"/>
        <v>0</v>
      </c>
      <c r="U162" s="35">
        <f t="shared" si="10"/>
        <v>0</v>
      </c>
      <c r="V162" s="36">
        <f t="shared" si="11"/>
        <v>0</v>
      </c>
    </row>
    <row r="163" spans="1:22" ht="15" customHeight="1" x14ac:dyDescent="0.25">
      <c r="A163" s="27" t="s">
        <v>186</v>
      </c>
      <c r="B163" s="28">
        <v>2000</v>
      </c>
      <c r="C163" s="29" t="s">
        <v>19</v>
      </c>
      <c r="D163" s="87">
        <v>72.599999999999994</v>
      </c>
      <c r="E163" s="28">
        <v>125</v>
      </c>
      <c r="F163" s="31">
        <v>3.9</v>
      </c>
      <c r="G163" s="28">
        <v>0</v>
      </c>
      <c r="H163" s="30">
        <v>52.7</v>
      </c>
      <c r="I163" s="32">
        <v>96</v>
      </c>
      <c r="J163" s="28">
        <v>8.52</v>
      </c>
      <c r="K163" s="32">
        <v>95</v>
      </c>
      <c r="L163" s="33">
        <v>1854.15</v>
      </c>
      <c r="M163" s="34">
        <v>2034819</v>
      </c>
      <c r="N163" s="31">
        <v>6.5</v>
      </c>
      <c r="O163" s="31">
        <v>0</v>
      </c>
      <c r="P163" s="74">
        <v>71.599999999999994</v>
      </c>
      <c r="Q163" s="74">
        <v>3.9</v>
      </c>
      <c r="R163" s="74">
        <v>0.4</v>
      </c>
      <c r="S163" s="35">
        <f t="shared" si="8"/>
        <v>0</v>
      </c>
      <c r="T163" s="35">
        <f t="shared" si="9"/>
        <v>0</v>
      </c>
      <c r="U163" s="35">
        <f t="shared" si="10"/>
        <v>0</v>
      </c>
      <c r="V163" s="36">
        <f t="shared" si="11"/>
        <v>0</v>
      </c>
    </row>
    <row r="164" spans="1:22" ht="15" customHeight="1" x14ac:dyDescent="0.25">
      <c r="A164" s="27" t="s">
        <v>187</v>
      </c>
      <c r="B164" s="28">
        <v>2000</v>
      </c>
      <c r="C164" s="29" t="s">
        <v>19</v>
      </c>
      <c r="D164" s="87">
        <v>58.7</v>
      </c>
      <c r="E164" s="28">
        <v>276</v>
      </c>
      <c r="F164" s="31">
        <v>0.09</v>
      </c>
      <c r="G164" s="28">
        <v>49.069671550000002</v>
      </c>
      <c r="H164" s="30">
        <v>11.9</v>
      </c>
      <c r="I164" s="32">
        <v>38</v>
      </c>
      <c r="J164" s="28">
        <v>3.26</v>
      </c>
      <c r="K164" s="32">
        <v>54</v>
      </c>
      <c r="L164" s="28">
        <v>422.286</v>
      </c>
      <c r="M164" s="34">
        <v>871607</v>
      </c>
      <c r="N164" s="31">
        <v>2.8</v>
      </c>
      <c r="O164" s="31">
        <v>51.8</v>
      </c>
      <c r="P164" s="74" t="s">
        <v>25</v>
      </c>
      <c r="Q164" s="74" t="s">
        <v>25</v>
      </c>
      <c r="R164" s="74" t="s">
        <v>25</v>
      </c>
      <c r="S164" s="35">
        <f t="shared" si="8"/>
        <v>0</v>
      </c>
      <c r="T164" s="35">
        <f t="shared" si="9"/>
        <v>0</v>
      </c>
      <c r="U164" s="35">
        <f t="shared" si="10"/>
        <v>0</v>
      </c>
      <c r="V164" s="36">
        <f t="shared" si="11"/>
        <v>0</v>
      </c>
    </row>
    <row r="165" spans="1:22" ht="15" customHeight="1" x14ac:dyDescent="0.25">
      <c r="A165" s="27" t="s">
        <v>188</v>
      </c>
      <c r="B165" s="28">
        <v>2000</v>
      </c>
      <c r="C165" s="29" t="s">
        <v>19</v>
      </c>
      <c r="D165" s="87">
        <v>54.6</v>
      </c>
      <c r="E165" s="28">
        <v>339</v>
      </c>
      <c r="F165" s="31">
        <v>1.31</v>
      </c>
      <c r="G165" s="28">
        <v>2.0296442699999999</v>
      </c>
      <c r="H165" s="30">
        <v>16.600000000000001</v>
      </c>
      <c r="I165" s="32">
        <v>63</v>
      </c>
      <c r="J165" s="28">
        <v>4.3499999999999996</v>
      </c>
      <c r="K165" s="32">
        <v>64</v>
      </c>
      <c r="L165" s="28">
        <v>26.393000000000001</v>
      </c>
      <c r="M165" s="34">
        <v>4970367</v>
      </c>
      <c r="N165" s="31">
        <v>4</v>
      </c>
      <c r="O165" s="31">
        <v>10</v>
      </c>
      <c r="P165" s="74">
        <v>9.8000000000000007</v>
      </c>
      <c r="Q165" s="74">
        <v>3.8</v>
      </c>
      <c r="R165" s="74">
        <v>2.4</v>
      </c>
      <c r="S165" s="35">
        <f t="shared" si="8"/>
        <v>0</v>
      </c>
      <c r="T165" s="35">
        <f t="shared" si="9"/>
        <v>0</v>
      </c>
      <c r="U165" s="35">
        <f t="shared" si="10"/>
        <v>0</v>
      </c>
      <c r="V165" s="36">
        <f t="shared" si="11"/>
        <v>0</v>
      </c>
    </row>
    <row r="166" spans="1:22" ht="15" customHeight="1" x14ac:dyDescent="0.25">
      <c r="A166" s="27" t="s">
        <v>189</v>
      </c>
      <c r="B166" s="28">
        <v>2000</v>
      </c>
      <c r="C166" s="29" t="s">
        <v>19</v>
      </c>
      <c r="D166" s="87">
        <v>71.599999999999994</v>
      </c>
      <c r="E166" s="28">
        <v>158</v>
      </c>
      <c r="F166" s="31">
        <v>1.08</v>
      </c>
      <c r="G166" s="28">
        <v>40.491288969999999</v>
      </c>
      <c r="H166" s="30">
        <v>65.5</v>
      </c>
      <c r="I166" s="32">
        <v>91</v>
      </c>
      <c r="J166" s="28">
        <v>4.75</v>
      </c>
      <c r="K166" s="32">
        <v>91</v>
      </c>
      <c r="L166" s="28">
        <v>263.27199999999999</v>
      </c>
      <c r="M166" s="34">
        <v>98082</v>
      </c>
      <c r="N166" s="31">
        <v>9.1</v>
      </c>
      <c r="O166" s="31">
        <v>36.299999999999997</v>
      </c>
      <c r="P166" s="74">
        <v>79.900000000000006</v>
      </c>
      <c r="Q166" s="74">
        <v>4.0999999999999996</v>
      </c>
      <c r="R166" s="74">
        <v>11.4</v>
      </c>
      <c r="S166" s="35">
        <f t="shared" si="8"/>
        <v>0</v>
      </c>
      <c r="T166" s="35">
        <f t="shared" si="9"/>
        <v>0</v>
      </c>
      <c r="U166" s="35">
        <f t="shared" si="10"/>
        <v>0</v>
      </c>
      <c r="V166" s="36">
        <f t="shared" si="11"/>
        <v>0</v>
      </c>
    </row>
    <row r="167" spans="1:22" ht="15" customHeight="1" x14ac:dyDescent="0.25">
      <c r="A167" s="27" t="s">
        <v>190</v>
      </c>
      <c r="B167" s="28">
        <v>2000</v>
      </c>
      <c r="C167" s="29" t="s">
        <v>19</v>
      </c>
      <c r="D167" s="87">
        <v>69.099999999999994</v>
      </c>
      <c r="E167" s="28">
        <v>197</v>
      </c>
      <c r="F167" s="31">
        <v>6.37</v>
      </c>
      <c r="G167" s="28">
        <v>43.595229639999999</v>
      </c>
      <c r="H167" s="30">
        <v>33.6</v>
      </c>
      <c r="I167" s="32">
        <v>90</v>
      </c>
      <c r="J167" s="28">
        <v>4.17</v>
      </c>
      <c r="K167" s="32">
        <v>90</v>
      </c>
      <c r="L167" s="28">
        <v>643.947</v>
      </c>
      <c r="M167" s="34">
        <v>1267984</v>
      </c>
      <c r="N167" s="31">
        <v>9.1999999999999993</v>
      </c>
      <c r="O167" s="31">
        <v>0</v>
      </c>
      <c r="P167" s="74">
        <v>258.7</v>
      </c>
      <c r="Q167" s="74">
        <v>4</v>
      </c>
      <c r="R167" s="74">
        <v>6.5</v>
      </c>
      <c r="S167" s="35">
        <f t="shared" si="8"/>
        <v>0</v>
      </c>
      <c r="T167" s="35">
        <f t="shared" si="9"/>
        <v>0</v>
      </c>
      <c r="U167" s="35">
        <f t="shared" si="10"/>
        <v>0</v>
      </c>
      <c r="V167" s="36">
        <f t="shared" si="11"/>
        <v>0</v>
      </c>
    </row>
    <row r="168" spans="1:22" ht="15" customHeight="1" x14ac:dyDescent="0.25">
      <c r="A168" s="27" t="s">
        <v>191</v>
      </c>
      <c r="B168" s="28">
        <v>2000</v>
      </c>
      <c r="C168" s="29" t="s">
        <v>19</v>
      </c>
      <c r="D168" s="87">
        <v>72.900000000000006</v>
      </c>
      <c r="E168" s="28">
        <v>112</v>
      </c>
      <c r="F168" s="31">
        <v>1.39</v>
      </c>
      <c r="G168" s="28">
        <v>264.78421959999997</v>
      </c>
      <c r="H168" s="30">
        <v>48.1</v>
      </c>
      <c r="I168" s="32">
        <v>97</v>
      </c>
      <c r="J168" s="28">
        <v>5.4</v>
      </c>
      <c r="K168" s="32">
        <v>97</v>
      </c>
      <c r="L168" s="33">
        <v>2213.915</v>
      </c>
      <c r="M168" s="34">
        <v>9699197</v>
      </c>
      <c r="N168" s="31">
        <v>4.9000000000000004</v>
      </c>
      <c r="O168" s="31">
        <v>31.8</v>
      </c>
      <c r="P168" s="74">
        <v>111.8</v>
      </c>
      <c r="Q168" s="74">
        <v>5</v>
      </c>
      <c r="R168" s="74">
        <v>10.7</v>
      </c>
      <c r="S168" s="35">
        <f t="shared" si="8"/>
        <v>0</v>
      </c>
      <c r="T168" s="35">
        <f t="shared" si="9"/>
        <v>0</v>
      </c>
      <c r="U168" s="35">
        <f t="shared" si="10"/>
        <v>0</v>
      </c>
      <c r="V168" s="36">
        <f t="shared" si="11"/>
        <v>0</v>
      </c>
    </row>
    <row r="169" spans="1:22" ht="15" customHeight="1" x14ac:dyDescent="0.25">
      <c r="A169" s="27" t="s">
        <v>192</v>
      </c>
      <c r="B169" s="28">
        <v>2000</v>
      </c>
      <c r="C169" s="29" t="s">
        <v>19</v>
      </c>
      <c r="D169" s="87">
        <v>74</v>
      </c>
      <c r="E169" s="28">
        <v>143</v>
      </c>
      <c r="F169" s="31">
        <v>1.4</v>
      </c>
      <c r="G169" s="28">
        <v>421.29566019999999</v>
      </c>
      <c r="H169" s="30">
        <v>53.5</v>
      </c>
      <c r="I169" s="32">
        <v>85</v>
      </c>
      <c r="J169" s="28">
        <v>4.95</v>
      </c>
      <c r="K169" s="32">
        <v>85</v>
      </c>
      <c r="L169" s="33">
        <v>4316.5540000000001</v>
      </c>
      <c r="M169" s="34">
        <v>63240121</v>
      </c>
      <c r="N169" s="31">
        <v>5.5</v>
      </c>
      <c r="O169" s="31">
        <v>38.4</v>
      </c>
      <c r="P169" s="74">
        <v>199.5</v>
      </c>
      <c r="Q169" s="74">
        <v>4.5999999999999996</v>
      </c>
      <c r="R169" s="74">
        <v>0</v>
      </c>
      <c r="S169" s="35">
        <f t="shared" si="8"/>
        <v>0</v>
      </c>
      <c r="T169" s="35">
        <f t="shared" si="9"/>
        <v>0</v>
      </c>
      <c r="U169" s="35">
        <f t="shared" si="10"/>
        <v>0</v>
      </c>
      <c r="V169" s="36">
        <f t="shared" si="11"/>
        <v>0</v>
      </c>
    </row>
    <row r="170" spans="1:22" ht="15" customHeight="1" x14ac:dyDescent="0.25">
      <c r="A170" s="27" t="s">
        <v>193</v>
      </c>
      <c r="B170" s="28">
        <v>2000</v>
      </c>
      <c r="C170" s="29" t="s">
        <v>19</v>
      </c>
      <c r="D170" s="87">
        <v>63.8</v>
      </c>
      <c r="E170" s="28">
        <v>224</v>
      </c>
      <c r="F170" s="31">
        <v>2.35</v>
      </c>
      <c r="G170" s="28">
        <v>88.243634700000001</v>
      </c>
      <c r="H170" s="30">
        <v>37.5</v>
      </c>
      <c r="I170" s="32">
        <v>98</v>
      </c>
      <c r="J170" s="28">
        <v>3.94</v>
      </c>
      <c r="K170" s="32">
        <v>97</v>
      </c>
      <c r="L170" s="28">
        <v>643.17499999999995</v>
      </c>
      <c r="M170" s="34">
        <v>4516131</v>
      </c>
      <c r="N170" s="31">
        <v>11</v>
      </c>
      <c r="O170" s="31">
        <v>0</v>
      </c>
      <c r="P170" s="74">
        <v>76.599999999999994</v>
      </c>
      <c r="Q170" s="74">
        <v>6.9</v>
      </c>
      <c r="R170" s="74">
        <v>13.3</v>
      </c>
      <c r="S170" s="35">
        <f t="shared" si="8"/>
        <v>0</v>
      </c>
      <c r="T170" s="35">
        <f t="shared" si="9"/>
        <v>0</v>
      </c>
      <c r="U170" s="35">
        <f t="shared" si="10"/>
        <v>0</v>
      </c>
      <c r="V170" s="36">
        <f t="shared" si="11"/>
        <v>0</v>
      </c>
    </row>
    <row r="171" spans="1:22" ht="15" customHeight="1" x14ac:dyDescent="0.25">
      <c r="A171" s="27" t="s">
        <v>194</v>
      </c>
      <c r="B171" s="28">
        <v>2000</v>
      </c>
      <c r="C171" s="29" t="s">
        <v>19</v>
      </c>
      <c r="D171" s="87">
        <v>46.6</v>
      </c>
      <c r="E171" s="28">
        <v>554</v>
      </c>
      <c r="F171" s="31">
        <v>10.88</v>
      </c>
      <c r="G171" s="28">
        <v>22.594474609999999</v>
      </c>
      <c r="H171" s="30">
        <v>13</v>
      </c>
      <c r="I171" s="32">
        <v>55</v>
      </c>
      <c r="J171" s="28">
        <v>6.77</v>
      </c>
      <c r="K171" s="32">
        <v>52</v>
      </c>
      <c r="L171" s="28">
        <v>257.63400000000001</v>
      </c>
      <c r="M171" s="34">
        <v>24039274</v>
      </c>
      <c r="N171" s="31">
        <v>3.9</v>
      </c>
      <c r="O171" s="31">
        <v>17.100000000000001</v>
      </c>
      <c r="P171" s="74">
        <v>18.8</v>
      </c>
      <c r="Q171" s="74">
        <v>8</v>
      </c>
      <c r="R171" s="74">
        <v>9.4</v>
      </c>
      <c r="S171" s="35">
        <f t="shared" si="8"/>
        <v>0</v>
      </c>
      <c r="T171" s="35">
        <f t="shared" si="9"/>
        <v>0</v>
      </c>
      <c r="U171" s="35">
        <f t="shared" si="10"/>
        <v>0</v>
      </c>
      <c r="V171" s="36">
        <f t="shared" si="11"/>
        <v>0</v>
      </c>
    </row>
    <row r="172" spans="1:22" ht="15" customHeight="1" x14ac:dyDescent="0.25">
      <c r="A172" s="27" t="s">
        <v>195</v>
      </c>
      <c r="B172" s="28">
        <v>2000</v>
      </c>
      <c r="C172" s="29" t="s">
        <v>19</v>
      </c>
      <c r="D172" s="87">
        <v>67.5</v>
      </c>
      <c r="E172" s="28">
        <v>257</v>
      </c>
      <c r="F172" s="31">
        <v>9.41</v>
      </c>
      <c r="G172" s="28">
        <v>7.8837914739999997</v>
      </c>
      <c r="H172" s="30">
        <v>54.8</v>
      </c>
      <c r="I172" s="32">
        <v>99</v>
      </c>
      <c r="J172" s="28">
        <v>5.59</v>
      </c>
      <c r="K172" s="32">
        <v>99</v>
      </c>
      <c r="L172" s="28">
        <v>635.79</v>
      </c>
      <c r="M172" s="34">
        <v>49175848</v>
      </c>
      <c r="N172" s="31">
        <v>10.7</v>
      </c>
      <c r="O172" s="31">
        <v>36</v>
      </c>
      <c r="P172" s="74">
        <v>35.1</v>
      </c>
      <c r="Q172" s="74">
        <v>5.3</v>
      </c>
      <c r="R172" s="74">
        <v>9.1999999999999993</v>
      </c>
      <c r="S172" s="35">
        <f t="shared" si="8"/>
        <v>0</v>
      </c>
      <c r="T172" s="35">
        <f t="shared" si="9"/>
        <v>0</v>
      </c>
      <c r="U172" s="35">
        <f t="shared" si="10"/>
        <v>0</v>
      </c>
      <c r="V172" s="36">
        <f t="shared" si="11"/>
        <v>0</v>
      </c>
    </row>
    <row r="173" spans="1:22" ht="15" customHeight="1" x14ac:dyDescent="0.25">
      <c r="A173" s="27" t="s">
        <v>196</v>
      </c>
      <c r="B173" s="28">
        <v>2000</v>
      </c>
      <c r="C173" s="29" t="s">
        <v>19</v>
      </c>
      <c r="D173" s="87">
        <v>74.2</v>
      </c>
      <c r="E173" s="28">
        <v>17</v>
      </c>
      <c r="F173" s="31">
        <v>1.72</v>
      </c>
      <c r="G173" s="28">
        <v>262.95895780000001</v>
      </c>
      <c r="H173" s="30">
        <v>54.1</v>
      </c>
      <c r="I173" s="32">
        <v>94</v>
      </c>
      <c r="J173" s="28">
        <v>2.38</v>
      </c>
      <c r="K173" s="32">
        <v>94</v>
      </c>
      <c r="L173" s="33">
        <v>3371.2689999999998</v>
      </c>
      <c r="M173" s="34">
        <v>3154925</v>
      </c>
      <c r="N173" s="31">
        <v>8.3000000000000007</v>
      </c>
      <c r="O173" s="31">
        <v>25.2</v>
      </c>
      <c r="P173" s="74">
        <v>781.8</v>
      </c>
      <c r="Q173" s="74">
        <v>3.5</v>
      </c>
      <c r="R173" s="74">
        <v>7.6</v>
      </c>
      <c r="S173" s="35">
        <f t="shared" si="8"/>
        <v>0</v>
      </c>
      <c r="T173" s="35">
        <f t="shared" si="9"/>
        <v>0</v>
      </c>
      <c r="U173" s="35">
        <f t="shared" si="10"/>
        <v>0</v>
      </c>
      <c r="V173" s="36">
        <f t="shared" si="11"/>
        <v>0</v>
      </c>
    </row>
    <row r="174" spans="1:22" ht="15" customHeight="1" x14ac:dyDescent="0.25">
      <c r="A174" s="27" t="s">
        <v>197</v>
      </c>
      <c r="B174" s="28">
        <v>2000</v>
      </c>
      <c r="C174" s="29" t="s">
        <v>31</v>
      </c>
      <c r="D174" s="87">
        <v>77.8</v>
      </c>
      <c r="E174" s="28">
        <v>89</v>
      </c>
      <c r="F174" s="31">
        <v>10.14</v>
      </c>
      <c r="G174" s="28">
        <v>0</v>
      </c>
      <c r="H174" s="30">
        <v>57.5</v>
      </c>
      <c r="I174" s="32">
        <v>91</v>
      </c>
      <c r="J174" s="28">
        <v>6.94</v>
      </c>
      <c r="K174" s="32">
        <v>91</v>
      </c>
      <c r="L174" s="33">
        <v>27982.36</v>
      </c>
      <c r="M174" s="34">
        <v>58892514</v>
      </c>
      <c r="N174" s="31">
        <v>11.7</v>
      </c>
      <c r="O174" s="31">
        <v>38.200000000000003</v>
      </c>
      <c r="P174" s="74">
        <v>1672.5</v>
      </c>
      <c r="Q174" s="74">
        <v>6</v>
      </c>
      <c r="R174" s="74">
        <v>13.8</v>
      </c>
      <c r="S174" s="35">
        <f t="shared" si="8"/>
        <v>1</v>
      </c>
      <c r="T174" s="35">
        <f t="shared" si="9"/>
        <v>91</v>
      </c>
      <c r="U174" s="35">
        <f t="shared" si="10"/>
        <v>11.7</v>
      </c>
      <c r="V174" s="36">
        <f t="shared" si="11"/>
        <v>91</v>
      </c>
    </row>
    <row r="175" spans="1:22" ht="15" customHeight="1" x14ac:dyDescent="0.25">
      <c r="A175" s="27" t="s">
        <v>198</v>
      </c>
      <c r="B175" s="28">
        <v>2000</v>
      </c>
      <c r="C175" s="29" t="s">
        <v>19</v>
      </c>
      <c r="D175" s="87">
        <v>49.2</v>
      </c>
      <c r="E175" s="28">
        <v>457</v>
      </c>
      <c r="F175" s="31">
        <v>6.28</v>
      </c>
      <c r="G175" s="28">
        <v>0</v>
      </c>
      <c r="H175" s="30">
        <v>16</v>
      </c>
      <c r="I175" s="32">
        <v>64</v>
      </c>
      <c r="J175" s="28">
        <v>2.64</v>
      </c>
      <c r="K175" s="32">
        <v>79</v>
      </c>
      <c r="L175" s="28">
        <v>306.72000000000003</v>
      </c>
      <c r="M175" s="34">
        <v>34178042</v>
      </c>
      <c r="N175" s="31">
        <v>4.2</v>
      </c>
      <c r="O175" s="31">
        <v>22.3</v>
      </c>
      <c r="P175" s="74">
        <v>12.6</v>
      </c>
      <c r="Q175" s="74" t="s">
        <v>25</v>
      </c>
      <c r="R175" s="74">
        <v>6.1</v>
      </c>
      <c r="S175" s="35">
        <f t="shared" si="8"/>
        <v>0</v>
      </c>
      <c r="T175" s="35">
        <f t="shared" si="9"/>
        <v>0</v>
      </c>
      <c r="U175" s="35">
        <f t="shared" si="10"/>
        <v>0</v>
      </c>
      <c r="V175" s="36">
        <f t="shared" si="11"/>
        <v>0</v>
      </c>
    </row>
    <row r="176" spans="1:22" ht="15" customHeight="1" x14ac:dyDescent="0.25">
      <c r="A176" s="27" t="s">
        <v>199</v>
      </c>
      <c r="B176" s="28">
        <v>2000</v>
      </c>
      <c r="C176" s="29" t="s">
        <v>31</v>
      </c>
      <c r="D176" s="87">
        <v>76.8</v>
      </c>
      <c r="E176" s="28">
        <v>114</v>
      </c>
      <c r="F176" s="31">
        <v>8.7100000000000009</v>
      </c>
      <c r="G176" s="28">
        <v>0</v>
      </c>
      <c r="H176" s="30">
        <v>6.1</v>
      </c>
      <c r="I176" s="32">
        <v>90</v>
      </c>
      <c r="J176" s="28">
        <v>13.7</v>
      </c>
      <c r="K176" s="32">
        <v>94</v>
      </c>
      <c r="L176" s="33">
        <v>36449.86</v>
      </c>
      <c r="M176" s="34">
        <v>282162411</v>
      </c>
      <c r="N176" s="31">
        <v>12.7</v>
      </c>
      <c r="O176" s="31">
        <v>31.4</v>
      </c>
      <c r="P176" s="74">
        <v>4561.8999999999996</v>
      </c>
      <c r="Q176" s="74">
        <v>12.5</v>
      </c>
      <c r="R176" s="74">
        <v>16.399999999999999</v>
      </c>
      <c r="S176" s="35">
        <f t="shared" si="8"/>
        <v>1</v>
      </c>
      <c r="T176" s="35">
        <f t="shared" si="9"/>
        <v>90</v>
      </c>
      <c r="U176" s="35">
        <f t="shared" si="10"/>
        <v>12.7</v>
      </c>
      <c r="V176" s="36">
        <f t="shared" si="11"/>
        <v>94</v>
      </c>
    </row>
    <row r="177" spans="1:22" ht="15" customHeight="1" x14ac:dyDescent="0.25">
      <c r="A177" s="27" t="s">
        <v>200</v>
      </c>
      <c r="B177" s="28">
        <v>2000</v>
      </c>
      <c r="C177" s="29" t="s">
        <v>19</v>
      </c>
      <c r="D177" s="87">
        <v>75.099999999999994</v>
      </c>
      <c r="E177" s="28">
        <v>131</v>
      </c>
      <c r="F177" s="31">
        <v>6.67</v>
      </c>
      <c r="G177" s="28">
        <v>645.95838160000005</v>
      </c>
      <c r="H177" s="30">
        <v>55</v>
      </c>
      <c r="I177" s="32">
        <v>92</v>
      </c>
      <c r="J177" s="28">
        <v>7.82</v>
      </c>
      <c r="K177" s="32">
        <v>90</v>
      </c>
      <c r="L177" s="33">
        <v>6871.8980000000001</v>
      </c>
      <c r="M177" s="34">
        <v>3321245</v>
      </c>
      <c r="N177" s="31">
        <v>8</v>
      </c>
      <c r="O177" s="31">
        <v>52.7</v>
      </c>
      <c r="P177" s="74">
        <v>624</v>
      </c>
      <c r="Q177" s="74">
        <v>9.1</v>
      </c>
      <c r="R177" s="74">
        <v>13.9</v>
      </c>
      <c r="S177" s="35">
        <f t="shared" si="8"/>
        <v>0</v>
      </c>
      <c r="T177" s="35">
        <f t="shared" si="9"/>
        <v>0</v>
      </c>
      <c r="U177" s="35">
        <f t="shared" si="10"/>
        <v>0</v>
      </c>
      <c r="V177" s="36">
        <f t="shared" si="11"/>
        <v>0</v>
      </c>
    </row>
    <row r="178" spans="1:22" ht="15" customHeight="1" x14ac:dyDescent="0.25">
      <c r="A178" s="27" t="s">
        <v>201</v>
      </c>
      <c r="B178" s="28">
        <v>2000</v>
      </c>
      <c r="C178" s="29" t="s">
        <v>19</v>
      </c>
      <c r="D178" s="87">
        <v>67.099999999999994</v>
      </c>
      <c r="E178" s="28">
        <v>189</v>
      </c>
      <c r="F178" s="31">
        <v>1.78</v>
      </c>
      <c r="G178" s="28">
        <v>48.509417409999998</v>
      </c>
      <c r="H178" s="30">
        <v>34.799999999999997</v>
      </c>
      <c r="I178" s="32">
        <v>99</v>
      </c>
      <c r="J178" s="28">
        <v>5.29</v>
      </c>
      <c r="K178" s="32">
        <v>99</v>
      </c>
      <c r="L178" s="28">
        <v>558.221</v>
      </c>
      <c r="M178" s="34">
        <v>24650400</v>
      </c>
      <c r="N178" s="31">
        <v>9.1</v>
      </c>
      <c r="O178" s="31">
        <v>15.8</v>
      </c>
      <c r="P178" s="74">
        <v>29.3</v>
      </c>
      <c r="Q178" s="74">
        <v>5.3</v>
      </c>
      <c r="R178" s="74">
        <v>6.4</v>
      </c>
      <c r="S178" s="35">
        <f t="shared" si="8"/>
        <v>0</v>
      </c>
      <c r="T178" s="35">
        <f t="shared" si="9"/>
        <v>0</v>
      </c>
      <c r="U178" s="35">
        <f t="shared" si="10"/>
        <v>0</v>
      </c>
      <c r="V178" s="36">
        <f t="shared" si="11"/>
        <v>0</v>
      </c>
    </row>
    <row r="179" spans="1:22" ht="15" customHeight="1" x14ac:dyDescent="0.25">
      <c r="A179" s="27" t="s">
        <v>202</v>
      </c>
      <c r="B179" s="28">
        <v>2000</v>
      </c>
      <c r="C179" s="29" t="s">
        <v>19</v>
      </c>
      <c r="D179" s="87">
        <v>69</v>
      </c>
      <c r="E179" s="28">
        <v>18</v>
      </c>
      <c r="F179" s="31">
        <v>0.83</v>
      </c>
      <c r="G179" s="28">
        <v>21.900752319999999</v>
      </c>
      <c r="H179" s="30">
        <v>41.1</v>
      </c>
      <c r="I179" s="32">
        <v>67</v>
      </c>
      <c r="J179" s="28">
        <v>3.28</v>
      </c>
      <c r="K179" s="32">
        <v>71</v>
      </c>
      <c r="L179" s="33">
        <v>1469.8489999999999</v>
      </c>
      <c r="M179" s="34">
        <v>185063</v>
      </c>
      <c r="N179" s="31">
        <v>5.2</v>
      </c>
      <c r="O179" s="31">
        <v>31.9</v>
      </c>
      <c r="P179" s="74">
        <v>20.2</v>
      </c>
      <c r="Q179" s="74">
        <v>1.4</v>
      </c>
      <c r="R179" s="74">
        <v>3.4</v>
      </c>
      <c r="S179" s="35">
        <f t="shared" si="8"/>
        <v>0</v>
      </c>
      <c r="T179" s="35">
        <f t="shared" si="9"/>
        <v>0</v>
      </c>
      <c r="U179" s="35">
        <f t="shared" si="10"/>
        <v>0</v>
      </c>
      <c r="V179" s="36">
        <f t="shared" si="11"/>
        <v>0</v>
      </c>
    </row>
    <row r="180" spans="1:22" ht="15" customHeight="1" x14ac:dyDescent="0.25">
      <c r="A180" s="27" t="s">
        <v>203</v>
      </c>
      <c r="B180" s="28">
        <v>2000</v>
      </c>
      <c r="C180" s="29" t="s">
        <v>19</v>
      </c>
      <c r="D180" s="87">
        <v>72.5</v>
      </c>
      <c r="E180" s="28">
        <v>168</v>
      </c>
      <c r="F180" s="31">
        <v>7.56</v>
      </c>
      <c r="G180" s="28">
        <v>0</v>
      </c>
      <c r="H180" s="30">
        <v>53.4</v>
      </c>
      <c r="I180" s="32">
        <v>86</v>
      </c>
      <c r="J180" s="28">
        <v>4.91</v>
      </c>
      <c r="K180" s="32">
        <v>77</v>
      </c>
      <c r="L180" s="33">
        <v>4783.53</v>
      </c>
      <c r="M180" s="34">
        <v>24488340</v>
      </c>
      <c r="N180" s="31">
        <v>6.4</v>
      </c>
      <c r="O180" s="31">
        <v>0</v>
      </c>
      <c r="P180" s="74">
        <v>210.3</v>
      </c>
      <c r="Q180" s="74">
        <v>4.4000000000000004</v>
      </c>
      <c r="R180" s="74">
        <v>6.5</v>
      </c>
      <c r="S180" s="35">
        <f t="shared" si="8"/>
        <v>0</v>
      </c>
      <c r="T180" s="35">
        <f t="shared" si="9"/>
        <v>0</v>
      </c>
      <c r="U180" s="35">
        <f t="shared" si="10"/>
        <v>0</v>
      </c>
      <c r="V180" s="36">
        <f t="shared" si="11"/>
        <v>0</v>
      </c>
    </row>
    <row r="181" spans="1:22" x14ac:dyDescent="0.25">
      <c r="A181" s="27" t="s">
        <v>204</v>
      </c>
      <c r="B181" s="28">
        <v>2000</v>
      </c>
      <c r="C181" s="29" t="s">
        <v>19</v>
      </c>
      <c r="D181" s="87">
        <v>73.400000000000006</v>
      </c>
      <c r="E181" s="28">
        <v>139</v>
      </c>
      <c r="F181" s="31">
        <v>1.91</v>
      </c>
      <c r="G181" s="28">
        <v>0</v>
      </c>
      <c r="H181" s="30">
        <v>9.1999999999999993</v>
      </c>
      <c r="I181" s="32">
        <v>96</v>
      </c>
      <c r="J181" s="28">
        <v>4.8899999999999997</v>
      </c>
      <c r="K181" s="32">
        <v>96</v>
      </c>
      <c r="L181" s="28">
        <v>388.27</v>
      </c>
      <c r="M181" s="34">
        <v>80285562</v>
      </c>
      <c r="N181" s="31">
        <v>5.4</v>
      </c>
      <c r="O181" s="31">
        <v>25.1</v>
      </c>
      <c r="P181" s="74">
        <v>18.399999999999999</v>
      </c>
      <c r="Q181" s="74">
        <v>4.4000000000000004</v>
      </c>
      <c r="R181" s="74">
        <v>9.5</v>
      </c>
      <c r="S181" s="35">
        <f t="shared" si="8"/>
        <v>0</v>
      </c>
      <c r="T181" s="35">
        <f t="shared" si="9"/>
        <v>0</v>
      </c>
      <c r="U181" s="35">
        <f t="shared" si="10"/>
        <v>0</v>
      </c>
      <c r="V181" s="36">
        <f t="shared" si="11"/>
        <v>0</v>
      </c>
    </row>
    <row r="182" spans="1:22" x14ac:dyDescent="0.25">
      <c r="A182" s="27" t="s">
        <v>205</v>
      </c>
      <c r="B182" s="28">
        <v>2000</v>
      </c>
      <c r="C182" s="29" t="s">
        <v>19</v>
      </c>
      <c r="D182" s="87">
        <v>68</v>
      </c>
      <c r="E182" s="28">
        <v>252</v>
      </c>
      <c r="F182" s="31">
        <v>0.03</v>
      </c>
      <c r="G182" s="28">
        <v>0</v>
      </c>
      <c r="H182" s="30">
        <v>31.2</v>
      </c>
      <c r="I182" s="32">
        <v>74</v>
      </c>
      <c r="J182" s="28">
        <v>4.1399999999999997</v>
      </c>
      <c r="K182" s="32">
        <v>74</v>
      </c>
      <c r="L182" s="28">
        <v>539.1</v>
      </c>
      <c r="M182" s="34">
        <v>17874725</v>
      </c>
      <c r="N182" s="31">
        <v>1.2</v>
      </c>
      <c r="O182" s="31">
        <v>23.3</v>
      </c>
      <c r="P182" s="74">
        <v>25.2</v>
      </c>
      <c r="Q182" s="74">
        <v>4.0999999999999996</v>
      </c>
      <c r="R182" s="74">
        <v>7.5</v>
      </c>
      <c r="S182" s="35">
        <f t="shared" si="8"/>
        <v>0</v>
      </c>
      <c r="T182" s="35">
        <f t="shared" si="9"/>
        <v>0</v>
      </c>
      <c r="U182" s="35">
        <f t="shared" si="10"/>
        <v>0</v>
      </c>
      <c r="V182" s="36">
        <f t="shared" si="11"/>
        <v>0</v>
      </c>
    </row>
    <row r="183" spans="1:22" x14ac:dyDescent="0.25">
      <c r="A183" s="27" t="s">
        <v>206</v>
      </c>
      <c r="B183" s="28">
        <v>2000</v>
      </c>
      <c r="C183" s="29" t="s">
        <v>19</v>
      </c>
      <c r="D183" s="87">
        <v>43.8</v>
      </c>
      <c r="E183" s="28">
        <v>614</v>
      </c>
      <c r="F183" s="31">
        <v>2.5</v>
      </c>
      <c r="G183" s="28">
        <v>45.616880379999998</v>
      </c>
      <c r="H183" s="30">
        <v>16.8</v>
      </c>
      <c r="I183" s="32">
        <v>85</v>
      </c>
      <c r="J183" s="28">
        <v>7.16</v>
      </c>
      <c r="K183" s="32">
        <v>85</v>
      </c>
      <c r="L183" s="28">
        <v>341.95600000000002</v>
      </c>
      <c r="M183" s="34">
        <v>10531221</v>
      </c>
      <c r="N183" s="31">
        <v>5.9</v>
      </c>
      <c r="O183" s="31">
        <v>18</v>
      </c>
      <c r="P183" s="74">
        <v>24.5</v>
      </c>
      <c r="Q183" s="74">
        <v>7.9</v>
      </c>
      <c r="R183" s="74">
        <v>9.1999999999999993</v>
      </c>
      <c r="S183" s="35">
        <f t="shared" si="8"/>
        <v>0</v>
      </c>
      <c r="T183" s="35">
        <f t="shared" si="9"/>
        <v>0</v>
      </c>
      <c r="U183" s="35">
        <f t="shared" si="10"/>
        <v>0</v>
      </c>
      <c r="V183" s="36">
        <f t="shared" si="11"/>
        <v>0</v>
      </c>
    </row>
    <row r="184" spans="1:22" ht="16.5" thickBot="1" x14ac:dyDescent="0.3">
      <c r="A184" s="39" t="s">
        <v>207</v>
      </c>
      <c r="B184" s="40">
        <v>2000</v>
      </c>
      <c r="C184" s="41" t="s">
        <v>19</v>
      </c>
      <c r="D184" s="88">
        <v>46</v>
      </c>
      <c r="E184" s="40">
        <v>665</v>
      </c>
      <c r="F184" s="43">
        <v>2.48</v>
      </c>
      <c r="G184" s="40">
        <v>0</v>
      </c>
      <c r="H184" s="42">
        <v>25.5</v>
      </c>
      <c r="I184" s="44">
        <v>78</v>
      </c>
      <c r="J184" s="40">
        <v>7.1</v>
      </c>
      <c r="K184" s="44">
        <v>78</v>
      </c>
      <c r="L184" s="40">
        <v>547.35900000000004</v>
      </c>
      <c r="M184" s="45">
        <v>12222251</v>
      </c>
      <c r="N184" s="43">
        <v>6.5</v>
      </c>
      <c r="O184" s="43">
        <v>18</v>
      </c>
      <c r="P184" s="75" t="s">
        <v>25</v>
      </c>
      <c r="Q184" s="75" t="s">
        <v>25</v>
      </c>
      <c r="R184" s="75" t="s">
        <v>25</v>
      </c>
      <c r="S184" s="46">
        <f t="shared" si="8"/>
        <v>0</v>
      </c>
      <c r="T184" s="46">
        <f t="shared" si="9"/>
        <v>0</v>
      </c>
      <c r="U184" s="46">
        <f t="shared" si="10"/>
        <v>0</v>
      </c>
      <c r="V184" s="47">
        <f t="shared" si="11"/>
        <v>0</v>
      </c>
    </row>
    <row r="185" spans="1:22" thickTop="1" x14ac:dyDescent="0.25">
      <c r="D185" s="89"/>
      <c r="E185" s="3"/>
      <c r="H185" s="3"/>
      <c r="P185" s="76"/>
      <c r="Q185" s="76"/>
      <c r="R185" s="76"/>
      <c r="S185" s="1"/>
      <c r="T185" s="1"/>
      <c r="U185" s="1"/>
      <c r="V185" s="1"/>
    </row>
    <row r="186" spans="1:22" ht="15" x14ac:dyDescent="0.25">
      <c r="D186" s="89"/>
      <c r="E186" s="3"/>
      <c r="H186" s="3"/>
      <c r="P186" s="76"/>
      <c r="Q186" s="76"/>
      <c r="R186" s="76"/>
      <c r="S186" s="1"/>
      <c r="T186" s="1"/>
      <c r="U186" s="1"/>
      <c r="V186" s="1"/>
    </row>
    <row r="187" spans="1:22" ht="15" x14ac:dyDescent="0.25">
      <c r="D187" s="89"/>
      <c r="E187" s="3"/>
      <c r="H187" s="3"/>
      <c r="P187" s="76"/>
      <c r="Q187" s="76"/>
      <c r="R187" s="76"/>
      <c r="S187" s="1"/>
      <c r="T187" s="1"/>
      <c r="U187" s="1"/>
      <c r="V187" s="1"/>
    </row>
    <row r="188" spans="1:22" ht="15" x14ac:dyDescent="0.25">
      <c r="D188" s="89"/>
      <c r="E188" s="3"/>
      <c r="H188" s="3"/>
      <c r="P188" s="76"/>
      <c r="Q188" s="76"/>
      <c r="R188" s="76"/>
      <c r="S188" s="1"/>
      <c r="T188" s="1"/>
      <c r="U188" s="1"/>
      <c r="V188" s="1"/>
    </row>
    <row r="189" spans="1:22" ht="15" x14ac:dyDescent="0.25">
      <c r="D189" s="89"/>
      <c r="E189" s="3"/>
      <c r="H189" s="3"/>
      <c r="P189" s="76"/>
      <c r="Q189" s="76"/>
      <c r="R189" s="76"/>
      <c r="S189" s="1"/>
      <c r="T189" s="1"/>
      <c r="U189" s="1"/>
      <c r="V189" s="1"/>
    </row>
    <row r="190" spans="1:22" ht="15" x14ac:dyDescent="0.25">
      <c r="D190" s="89"/>
      <c r="E190" s="3"/>
      <c r="H190" s="3"/>
      <c r="P190" s="76"/>
      <c r="Q190" s="76"/>
      <c r="R190" s="76"/>
      <c r="S190" s="1"/>
      <c r="T190" s="1"/>
      <c r="U190" s="1"/>
      <c r="V190" s="1"/>
    </row>
    <row r="191" spans="1:22" ht="15" x14ac:dyDescent="0.25">
      <c r="D191" s="89"/>
      <c r="E191" s="3"/>
      <c r="H191" s="3"/>
      <c r="P191" s="76"/>
      <c r="Q191" s="76"/>
      <c r="R191" s="76"/>
      <c r="S191" s="1"/>
      <c r="T191" s="1"/>
      <c r="U191" s="1"/>
      <c r="V191" s="1"/>
    </row>
    <row r="192" spans="1:22" ht="15" x14ac:dyDescent="0.25">
      <c r="D192" s="89"/>
      <c r="E192" s="3"/>
      <c r="H192" s="3"/>
      <c r="P192" s="76"/>
      <c r="Q192" s="76"/>
      <c r="R192" s="76"/>
      <c r="S192" s="1"/>
      <c r="T192" s="1"/>
      <c r="U192" s="1"/>
      <c r="V192" s="1"/>
    </row>
    <row r="193" spans="4:22" ht="15" x14ac:dyDescent="0.25">
      <c r="D193" s="89"/>
      <c r="E193" s="3"/>
      <c r="H193" s="3"/>
      <c r="P193" s="76"/>
      <c r="Q193" s="76"/>
      <c r="R193" s="76"/>
      <c r="S193" s="1"/>
      <c r="T193" s="1"/>
      <c r="U193" s="1"/>
      <c r="V193" s="1"/>
    </row>
    <row r="194" spans="4:22" ht="15" x14ac:dyDescent="0.25">
      <c r="D194" s="89"/>
      <c r="E194" s="3"/>
      <c r="H194" s="3"/>
      <c r="P194" s="77"/>
      <c r="Q194" s="77"/>
      <c r="R194" s="77"/>
      <c r="S194" s="4"/>
      <c r="T194" s="4"/>
      <c r="U194" s="4"/>
      <c r="V194" s="4"/>
    </row>
    <row r="195" spans="4:22" ht="15" x14ac:dyDescent="0.25">
      <c r="D195" s="89"/>
      <c r="E195" s="3"/>
      <c r="H195" s="3"/>
      <c r="P195" s="77"/>
      <c r="Q195" s="77"/>
      <c r="R195" s="77"/>
      <c r="S195" s="4"/>
      <c r="T195" s="4"/>
      <c r="U195" s="4"/>
      <c r="V195" s="4"/>
    </row>
    <row r="196" spans="4:22" ht="15" x14ac:dyDescent="0.25">
      <c r="D196" s="89"/>
      <c r="E196" s="3"/>
      <c r="H196" s="3"/>
      <c r="P196" s="77"/>
      <c r="Q196" s="77"/>
      <c r="R196" s="77"/>
      <c r="S196" s="4"/>
      <c r="T196" s="4"/>
      <c r="U196" s="4"/>
      <c r="V196" s="4"/>
    </row>
    <row r="197" spans="4:22" ht="15" x14ac:dyDescent="0.25">
      <c r="D197" s="89"/>
      <c r="E197" s="3"/>
      <c r="H197" s="3"/>
      <c r="P197" s="77"/>
      <c r="Q197" s="77"/>
      <c r="R197" s="77"/>
      <c r="S197" s="4"/>
      <c r="T197" s="4"/>
      <c r="U197" s="4"/>
      <c r="V197" s="4"/>
    </row>
    <row r="198" spans="4:22" ht="15" x14ac:dyDescent="0.25">
      <c r="D198" s="89"/>
      <c r="E198" s="3"/>
      <c r="H198" s="3"/>
      <c r="P198" s="77"/>
      <c r="Q198" s="77"/>
      <c r="R198" s="77"/>
      <c r="S198" s="4"/>
      <c r="T198" s="4"/>
      <c r="U198" s="4"/>
      <c r="V198" s="4"/>
    </row>
    <row r="199" spans="4:22" ht="15" x14ac:dyDescent="0.25">
      <c r="D199" s="89"/>
      <c r="E199" s="3"/>
      <c r="H199" s="3"/>
      <c r="P199" s="77"/>
      <c r="Q199" s="77"/>
      <c r="R199" s="77"/>
      <c r="S199" s="4"/>
      <c r="T199" s="4"/>
      <c r="U199" s="4"/>
      <c r="V199" s="4"/>
    </row>
    <row r="200" spans="4:22" ht="15" x14ac:dyDescent="0.25">
      <c r="D200" s="89"/>
      <c r="E200" s="3"/>
      <c r="H200" s="3"/>
      <c r="P200" s="77"/>
      <c r="Q200" s="77"/>
      <c r="R200" s="77"/>
      <c r="S200" s="4"/>
      <c r="T200" s="4"/>
      <c r="U200" s="4"/>
      <c r="V200" s="4"/>
    </row>
    <row r="201" spans="4:22" ht="15" x14ac:dyDescent="0.25">
      <c r="D201" s="89"/>
      <c r="E201" s="3"/>
      <c r="H201" s="3"/>
      <c r="P201" s="77"/>
      <c r="Q201" s="77"/>
      <c r="R201" s="77"/>
      <c r="S201" s="4"/>
      <c r="T201" s="4"/>
      <c r="U201" s="4"/>
      <c r="V201" s="4"/>
    </row>
    <row r="202" spans="4:22" ht="15" x14ac:dyDescent="0.25">
      <c r="D202" s="89"/>
      <c r="E202" s="3"/>
      <c r="H202" s="3"/>
      <c r="P202" s="77"/>
      <c r="Q202" s="77"/>
      <c r="R202" s="77"/>
      <c r="S202" s="4"/>
      <c r="T202" s="4"/>
      <c r="U202" s="4"/>
      <c r="V202" s="4"/>
    </row>
    <row r="203" spans="4:22" ht="15" x14ac:dyDescent="0.25">
      <c r="D203" s="89"/>
      <c r="E203" s="3"/>
      <c r="H203" s="3"/>
      <c r="P203" s="77"/>
      <c r="Q203" s="77"/>
      <c r="R203" s="77"/>
      <c r="S203" s="4"/>
      <c r="T203" s="4"/>
      <c r="U203" s="4"/>
      <c r="V203" s="4"/>
    </row>
    <row r="204" spans="4:22" ht="15" x14ac:dyDescent="0.25">
      <c r="D204" s="89"/>
      <c r="E204" s="3"/>
      <c r="H204" s="3"/>
      <c r="P204" s="77"/>
      <c r="Q204" s="77"/>
      <c r="R204" s="77"/>
      <c r="S204" s="4"/>
      <c r="T204" s="4"/>
      <c r="U204" s="4"/>
      <c r="V204" s="4"/>
    </row>
    <row r="205" spans="4:22" ht="15" x14ac:dyDescent="0.25">
      <c r="D205" s="89"/>
      <c r="E205" s="3"/>
      <c r="H205" s="3"/>
      <c r="P205" s="77"/>
      <c r="Q205" s="77"/>
      <c r="R205" s="77"/>
      <c r="S205" s="4"/>
      <c r="T205" s="4"/>
      <c r="U205" s="4"/>
      <c r="V205" s="4"/>
    </row>
    <row r="206" spans="4:22" ht="15" x14ac:dyDescent="0.25">
      <c r="D206" s="89"/>
      <c r="E206" s="3"/>
      <c r="H206" s="3"/>
      <c r="P206" s="77"/>
      <c r="Q206" s="77"/>
      <c r="R206" s="77"/>
      <c r="S206" s="4"/>
      <c r="T206" s="4"/>
      <c r="U206" s="4"/>
      <c r="V206" s="4"/>
    </row>
    <row r="207" spans="4:22" ht="15" x14ac:dyDescent="0.25">
      <c r="D207" s="89"/>
      <c r="E207" s="3"/>
      <c r="H207" s="3"/>
      <c r="P207" s="77"/>
      <c r="Q207" s="77"/>
      <c r="R207" s="77"/>
      <c r="S207" s="4"/>
      <c r="T207" s="4"/>
      <c r="U207" s="4"/>
      <c r="V207" s="4"/>
    </row>
    <row r="208" spans="4:22" ht="15" x14ac:dyDescent="0.25">
      <c r="D208" s="89"/>
      <c r="E208" s="3"/>
      <c r="H208" s="3"/>
      <c r="P208" s="77"/>
      <c r="Q208" s="77"/>
      <c r="R208" s="77"/>
      <c r="S208" s="4"/>
      <c r="T208" s="4"/>
      <c r="U208" s="4"/>
      <c r="V208" s="4"/>
    </row>
    <row r="209" spans="4:22" ht="15" x14ac:dyDescent="0.25">
      <c r="D209" s="89"/>
      <c r="E209" s="3"/>
      <c r="H209" s="3"/>
      <c r="P209" s="77"/>
      <c r="Q209" s="77"/>
      <c r="R209" s="77"/>
      <c r="S209" s="4"/>
      <c r="T209" s="4"/>
      <c r="U209" s="4"/>
      <c r="V209" s="4"/>
    </row>
    <row r="210" spans="4:22" ht="15" x14ac:dyDescent="0.25">
      <c r="D210" s="89"/>
      <c r="E210" s="3"/>
      <c r="H210" s="3"/>
      <c r="P210" s="77"/>
      <c r="Q210" s="77"/>
      <c r="R210" s="77"/>
      <c r="S210" s="4"/>
      <c r="T210" s="4"/>
      <c r="U210" s="4"/>
      <c r="V210" s="4"/>
    </row>
    <row r="211" spans="4:22" ht="15" x14ac:dyDescent="0.25">
      <c r="D211" s="89"/>
      <c r="E211" s="3"/>
      <c r="H211" s="3"/>
      <c r="P211" s="77"/>
      <c r="Q211" s="77"/>
      <c r="R211" s="77"/>
      <c r="S211" s="4"/>
      <c r="T211" s="4"/>
      <c r="U211" s="4"/>
      <c r="V211" s="4"/>
    </row>
    <row r="212" spans="4:22" ht="15" x14ac:dyDescent="0.25">
      <c r="D212" s="89"/>
      <c r="E212" s="3"/>
      <c r="H212" s="3"/>
      <c r="P212" s="77"/>
      <c r="Q212" s="77"/>
      <c r="R212" s="77"/>
      <c r="S212" s="4"/>
      <c r="T212" s="4"/>
      <c r="U212" s="4"/>
      <c r="V212" s="4"/>
    </row>
    <row r="213" spans="4:22" ht="15" x14ac:dyDescent="0.25">
      <c r="D213" s="89"/>
      <c r="E213" s="3"/>
      <c r="H213" s="3"/>
      <c r="P213" s="77"/>
      <c r="Q213" s="77"/>
      <c r="R213" s="77"/>
      <c r="S213" s="4"/>
      <c r="T213" s="4"/>
      <c r="U213" s="4"/>
      <c r="V213" s="4"/>
    </row>
    <row r="214" spans="4:22" ht="15" x14ac:dyDescent="0.25">
      <c r="D214" s="89"/>
      <c r="E214" s="3"/>
      <c r="H214" s="3"/>
      <c r="P214" s="77"/>
      <c r="Q214" s="77"/>
      <c r="R214" s="77"/>
      <c r="S214" s="4"/>
      <c r="T214" s="4"/>
      <c r="U214" s="4"/>
      <c r="V214" s="4"/>
    </row>
    <row r="215" spans="4:22" ht="15" x14ac:dyDescent="0.25">
      <c r="D215" s="89"/>
      <c r="E215" s="3"/>
      <c r="H215" s="3"/>
      <c r="P215" s="77"/>
      <c r="Q215" s="77"/>
      <c r="R215" s="77"/>
      <c r="S215" s="4"/>
      <c r="T215" s="4"/>
      <c r="U215" s="4"/>
      <c r="V215" s="4"/>
    </row>
    <row r="216" spans="4:22" ht="15" x14ac:dyDescent="0.25">
      <c r="D216" s="89"/>
      <c r="E216" s="3"/>
      <c r="H216" s="3"/>
      <c r="P216" s="77"/>
      <c r="Q216" s="77"/>
      <c r="R216" s="77"/>
      <c r="S216" s="4"/>
      <c r="T216" s="4"/>
      <c r="U216" s="4"/>
      <c r="V216" s="4"/>
    </row>
    <row r="217" spans="4:22" ht="15" x14ac:dyDescent="0.25">
      <c r="D217" s="89"/>
      <c r="E217" s="3"/>
      <c r="H217" s="3"/>
      <c r="P217" s="77"/>
      <c r="Q217" s="77"/>
      <c r="R217" s="77"/>
      <c r="S217" s="4"/>
      <c r="T217" s="4"/>
      <c r="U217" s="4"/>
      <c r="V217" s="4"/>
    </row>
    <row r="218" spans="4:22" ht="15" x14ac:dyDescent="0.25">
      <c r="D218" s="89"/>
      <c r="E218" s="3"/>
      <c r="H218" s="3"/>
      <c r="P218" s="77"/>
      <c r="Q218" s="77"/>
      <c r="R218" s="77"/>
      <c r="S218" s="4"/>
      <c r="T218" s="4"/>
      <c r="U218" s="4"/>
      <c r="V218" s="4"/>
    </row>
    <row r="219" spans="4:22" ht="15" x14ac:dyDescent="0.25">
      <c r="D219" s="89"/>
      <c r="E219" s="3"/>
      <c r="H219" s="3"/>
      <c r="P219" s="77"/>
      <c r="Q219" s="77"/>
      <c r="R219" s="77"/>
      <c r="S219" s="4"/>
      <c r="T219" s="4"/>
      <c r="U219" s="4"/>
      <c r="V219" s="4"/>
    </row>
    <row r="220" spans="4:22" ht="15" x14ac:dyDescent="0.25">
      <c r="D220" s="89"/>
      <c r="E220" s="3"/>
      <c r="H220" s="3"/>
      <c r="P220" s="77"/>
      <c r="Q220" s="77"/>
      <c r="R220" s="77"/>
      <c r="S220" s="4"/>
      <c r="T220" s="4"/>
      <c r="U220" s="4"/>
      <c r="V220" s="4"/>
    </row>
    <row r="221" spans="4:22" ht="15" x14ac:dyDescent="0.25">
      <c r="D221" s="89"/>
      <c r="E221" s="3"/>
      <c r="H221" s="3"/>
      <c r="P221" s="77"/>
      <c r="Q221" s="77"/>
      <c r="R221" s="77"/>
      <c r="S221" s="4"/>
      <c r="T221" s="4"/>
      <c r="U221" s="4"/>
      <c r="V221" s="4"/>
    </row>
    <row r="222" spans="4:22" ht="15" x14ac:dyDescent="0.25">
      <c r="D222" s="89"/>
      <c r="E222" s="3"/>
      <c r="H222" s="3"/>
      <c r="P222" s="77"/>
      <c r="Q222" s="77"/>
      <c r="R222" s="77"/>
      <c r="S222" s="4"/>
      <c r="T222" s="4"/>
      <c r="U222" s="4"/>
      <c r="V222" s="4"/>
    </row>
    <row r="223" spans="4:22" ht="15" x14ac:dyDescent="0.25">
      <c r="D223" s="89"/>
      <c r="E223" s="3"/>
      <c r="H223" s="3"/>
      <c r="P223" s="77"/>
      <c r="Q223" s="77"/>
      <c r="R223" s="77"/>
      <c r="S223" s="4"/>
      <c r="T223" s="4"/>
      <c r="U223" s="4"/>
      <c r="V223" s="4"/>
    </row>
    <row r="224" spans="4:22" ht="15" x14ac:dyDescent="0.25">
      <c r="D224" s="89"/>
      <c r="E224" s="3"/>
      <c r="H224" s="3"/>
      <c r="P224" s="77"/>
      <c r="Q224" s="77"/>
      <c r="R224" s="77"/>
      <c r="S224" s="4"/>
      <c r="T224" s="4"/>
      <c r="U224" s="4"/>
      <c r="V224" s="4"/>
    </row>
    <row r="225" spans="4:22" ht="15" x14ac:dyDescent="0.25">
      <c r="D225" s="89"/>
      <c r="E225" s="3"/>
      <c r="H225" s="3"/>
      <c r="P225" s="77"/>
      <c r="Q225" s="77"/>
      <c r="R225" s="77"/>
      <c r="S225" s="4"/>
      <c r="T225" s="4"/>
      <c r="U225" s="4"/>
      <c r="V225" s="4"/>
    </row>
    <row r="226" spans="4:22" ht="15" x14ac:dyDescent="0.25">
      <c r="D226" s="89"/>
      <c r="E226" s="3"/>
      <c r="H226" s="3"/>
      <c r="P226" s="77"/>
      <c r="Q226" s="77"/>
      <c r="R226" s="77"/>
      <c r="S226" s="4"/>
      <c r="T226" s="4"/>
      <c r="U226" s="4"/>
      <c r="V226" s="4"/>
    </row>
    <row r="227" spans="4:22" ht="15" x14ac:dyDescent="0.25">
      <c r="D227" s="89"/>
      <c r="E227" s="3"/>
      <c r="H227" s="3"/>
      <c r="P227" s="77"/>
      <c r="Q227" s="77"/>
      <c r="R227" s="77"/>
      <c r="S227" s="4"/>
      <c r="T227" s="4"/>
      <c r="U227" s="4"/>
      <c r="V227" s="4"/>
    </row>
    <row r="228" spans="4:22" ht="15" x14ac:dyDescent="0.25">
      <c r="D228" s="89"/>
      <c r="E228" s="3"/>
      <c r="H228" s="3"/>
      <c r="P228" s="77"/>
      <c r="Q228" s="77"/>
      <c r="R228" s="77"/>
      <c r="S228" s="4"/>
      <c r="T228" s="4"/>
      <c r="U228" s="4"/>
      <c r="V228" s="4"/>
    </row>
    <row r="229" spans="4:22" ht="15" x14ac:dyDescent="0.25">
      <c r="D229" s="89"/>
      <c r="E229" s="3"/>
      <c r="H229" s="3"/>
      <c r="P229" s="77"/>
      <c r="Q229" s="77"/>
      <c r="R229" s="77"/>
      <c r="S229" s="4"/>
      <c r="T229" s="4"/>
      <c r="U229" s="4"/>
      <c r="V229" s="4"/>
    </row>
    <row r="230" spans="4:22" ht="15" x14ac:dyDescent="0.25">
      <c r="D230" s="89"/>
      <c r="E230" s="3"/>
      <c r="H230" s="3"/>
      <c r="P230" s="77"/>
      <c r="Q230" s="77"/>
      <c r="R230" s="77"/>
      <c r="S230" s="4"/>
      <c r="T230" s="4"/>
      <c r="U230" s="4"/>
      <c r="V230" s="4"/>
    </row>
    <row r="231" spans="4:22" ht="15" x14ac:dyDescent="0.25">
      <c r="D231" s="89"/>
      <c r="E231" s="3"/>
      <c r="H231" s="3"/>
      <c r="P231" s="77"/>
      <c r="Q231" s="77"/>
      <c r="R231" s="77"/>
      <c r="S231" s="4"/>
      <c r="T231" s="4"/>
      <c r="U231" s="4"/>
      <c r="V231" s="4"/>
    </row>
    <row r="232" spans="4:22" ht="15" x14ac:dyDescent="0.25">
      <c r="D232" s="89"/>
      <c r="E232" s="3"/>
      <c r="H232" s="3"/>
      <c r="P232" s="77"/>
      <c r="Q232" s="77"/>
      <c r="R232" s="77"/>
      <c r="S232" s="4"/>
      <c r="T232" s="4"/>
      <c r="U232" s="4"/>
      <c r="V232" s="4"/>
    </row>
    <row r="233" spans="4:22" ht="15" x14ac:dyDescent="0.25">
      <c r="D233" s="89"/>
      <c r="E233" s="3"/>
      <c r="H233" s="3"/>
      <c r="P233" s="77"/>
      <c r="Q233" s="77"/>
      <c r="R233" s="77"/>
      <c r="S233" s="4"/>
      <c r="T233" s="4"/>
      <c r="U233" s="4"/>
      <c r="V233" s="4"/>
    </row>
    <row r="234" spans="4:22" ht="15" x14ac:dyDescent="0.25">
      <c r="D234" s="89"/>
      <c r="E234" s="3"/>
      <c r="H234" s="3"/>
      <c r="P234" s="77"/>
      <c r="Q234" s="77"/>
      <c r="R234" s="77"/>
      <c r="S234" s="4"/>
      <c r="T234" s="4"/>
      <c r="U234" s="4"/>
      <c r="V234" s="4"/>
    </row>
    <row r="235" spans="4:22" ht="15" x14ac:dyDescent="0.25">
      <c r="D235" s="89"/>
      <c r="E235" s="3"/>
      <c r="H235" s="3"/>
      <c r="P235" s="77"/>
      <c r="Q235" s="77"/>
      <c r="R235" s="77"/>
      <c r="S235" s="4"/>
      <c r="T235" s="4"/>
      <c r="U235" s="4"/>
      <c r="V235" s="4"/>
    </row>
    <row r="236" spans="4:22" ht="15" x14ac:dyDescent="0.25">
      <c r="D236" s="89"/>
      <c r="E236" s="3"/>
      <c r="H236" s="3"/>
      <c r="P236" s="77"/>
      <c r="Q236" s="77"/>
      <c r="R236" s="77"/>
      <c r="S236" s="4"/>
      <c r="T236" s="4"/>
      <c r="U236" s="4"/>
      <c r="V236" s="4"/>
    </row>
    <row r="237" spans="4:22" ht="15" x14ac:dyDescent="0.25">
      <c r="D237" s="89"/>
      <c r="E237" s="3"/>
      <c r="H237" s="3"/>
      <c r="P237" s="77"/>
      <c r="Q237" s="77"/>
      <c r="R237" s="77"/>
      <c r="S237" s="4"/>
      <c r="T237" s="4"/>
      <c r="U237" s="4"/>
      <c r="V237" s="4"/>
    </row>
    <row r="238" spans="4:22" ht="15" x14ac:dyDescent="0.25">
      <c r="D238" s="89"/>
      <c r="E238" s="3"/>
      <c r="H238" s="3"/>
      <c r="P238" s="77"/>
      <c r="Q238" s="77"/>
      <c r="R238" s="77"/>
      <c r="S238" s="4"/>
      <c r="T238" s="4"/>
      <c r="U238" s="4"/>
      <c r="V238" s="4"/>
    </row>
    <row r="239" spans="4:22" ht="15" x14ac:dyDescent="0.25">
      <c r="D239" s="89"/>
      <c r="E239" s="3"/>
      <c r="H239" s="3"/>
      <c r="P239" s="77"/>
      <c r="Q239" s="77"/>
      <c r="R239" s="77"/>
      <c r="S239" s="4"/>
      <c r="T239" s="4"/>
      <c r="U239" s="4"/>
      <c r="V239" s="4"/>
    </row>
    <row r="240" spans="4:22" ht="15" x14ac:dyDescent="0.25">
      <c r="D240" s="89"/>
      <c r="E240" s="3"/>
      <c r="H240" s="3"/>
      <c r="P240" s="77"/>
      <c r="Q240" s="77"/>
      <c r="R240" s="77"/>
      <c r="S240" s="4"/>
      <c r="T240" s="4"/>
      <c r="U240" s="4"/>
      <c r="V240" s="4"/>
    </row>
    <row r="241" spans="4:22" ht="15" x14ac:dyDescent="0.25">
      <c r="D241" s="89"/>
      <c r="E241" s="3"/>
      <c r="H241" s="3"/>
      <c r="P241" s="77"/>
      <c r="Q241" s="77"/>
      <c r="R241" s="77"/>
      <c r="S241" s="4"/>
      <c r="T241" s="4"/>
      <c r="U241" s="4"/>
      <c r="V241" s="4"/>
    </row>
    <row r="242" spans="4:22" ht="15" x14ac:dyDescent="0.25">
      <c r="D242" s="89"/>
      <c r="E242" s="3"/>
      <c r="H242" s="3"/>
      <c r="P242" s="77"/>
      <c r="Q242" s="77"/>
      <c r="R242" s="77"/>
      <c r="S242" s="4"/>
      <c r="T242" s="4"/>
      <c r="U242" s="4"/>
      <c r="V242" s="4"/>
    </row>
    <row r="243" spans="4:22" ht="15" x14ac:dyDescent="0.25">
      <c r="D243" s="89"/>
      <c r="E243" s="3"/>
      <c r="H243" s="3"/>
      <c r="P243" s="77"/>
      <c r="Q243" s="77"/>
      <c r="R243" s="77"/>
      <c r="S243" s="4"/>
      <c r="T243" s="4"/>
      <c r="U243" s="4"/>
      <c r="V243" s="4"/>
    </row>
    <row r="244" spans="4:22" ht="15" x14ac:dyDescent="0.25">
      <c r="D244" s="89"/>
      <c r="E244" s="3"/>
      <c r="H244" s="3"/>
      <c r="P244" s="77"/>
      <c r="Q244" s="77"/>
      <c r="R244" s="77"/>
      <c r="S244" s="4"/>
      <c r="T244" s="4"/>
      <c r="U244" s="4"/>
      <c r="V244" s="4"/>
    </row>
    <row r="245" spans="4:22" ht="15" x14ac:dyDescent="0.25">
      <c r="D245" s="89"/>
      <c r="E245" s="3"/>
      <c r="H245" s="3"/>
      <c r="P245" s="77"/>
      <c r="Q245" s="77"/>
      <c r="R245" s="77"/>
      <c r="S245" s="4"/>
      <c r="T245" s="4"/>
      <c r="U245" s="4"/>
      <c r="V245" s="4"/>
    </row>
    <row r="246" spans="4:22" ht="15" x14ac:dyDescent="0.25">
      <c r="D246" s="89"/>
      <c r="E246" s="3"/>
      <c r="H246" s="3"/>
      <c r="P246" s="77"/>
      <c r="Q246" s="77"/>
      <c r="R246" s="77"/>
      <c r="S246" s="4"/>
      <c r="T246" s="4"/>
      <c r="U246" s="4"/>
      <c r="V246" s="4"/>
    </row>
    <row r="247" spans="4:22" ht="15" x14ac:dyDescent="0.25">
      <c r="D247" s="89"/>
      <c r="E247" s="3"/>
      <c r="H247" s="3"/>
      <c r="P247" s="77"/>
      <c r="Q247" s="77"/>
      <c r="R247" s="77"/>
      <c r="S247" s="4"/>
      <c r="T247" s="4"/>
      <c r="U247" s="4"/>
      <c r="V247" s="4"/>
    </row>
    <row r="248" spans="4:22" ht="15" x14ac:dyDescent="0.25">
      <c r="D248" s="89"/>
      <c r="E248" s="3"/>
      <c r="H248" s="3"/>
      <c r="P248" s="77"/>
      <c r="Q248" s="77"/>
      <c r="R248" s="77"/>
      <c r="S248" s="4"/>
      <c r="T248" s="4"/>
      <c r="U248" s="4"/>
      <c r="V248" s="4"/>
    </row>
    <row r="249" spans="4:22" ht="15" x14ac:dyDescent="0.25">
      <c r="D249" s="89"/>
      <c r="E249" s="3"/>
      <c r="H249" s="3"/>
      <c r="P249" s="77"/>
      <c r="Q249" s="77"/>
      <c r="R249" s="77"/>
      <c r="S249" s="4"/>
      <c r="T249" s="4"/>
      <c r="U249" s="4"/>
      <c r="V249" s="4"/>
    </row>
    <row r="250" spans="4:22" ht="15" x14ac:dyDescent="0.25">
      <c r="D250" s="89"/>
      <c r="E250" s="3"/>
      <c r="H250" s="3"/>
      <c r="P250" s="77"/>
      <c r="Q250" s="77"/>
      <c r="R250" s="77"/>
      <c r="S250" s="4"/>
      <c r="T250" s="4"/>
      <c r="U250" s="4"/>
      <c r="V250" s="4"/>
    </row>
    <row r="251" spans="4:22" ht="15" x14ac:dyDescent="0.25">
      <c r="D251" s="89"/>
      <c r="E251" s="3"/>
      <c r="H251" s="3"/>
      <c r="P251" s="77"/>
      <c r="Q251" s="77"/>
      <c r="R251" s="77"/>
      <c r="S251" s="4"/>
      <c r="T251" s="4"/>
      <c r="U251" s="4"/>
      <c r="V251" s="4"/>
    </row>
    <row r="252" spans="4:22" ht="15" x14ac:dyDescent="0.25">
      <c r="D252" s="89"/>
      <c r="E252" s="3"/>
      <c r="H252" s="3"/>
      <c r="P252" s="77"/>
      <c r="Q252" s="77"/>
      <c r="R252" s="77"/>
      <c r="S252" s="4"/>
      <c r="T252" s="4"/>
      <c r="U252" s="4"/>
      <c r="V252" s="4"/>
    </row>
    <row r="253" spans="4:22" ht="15" x14ac:dyDescent="0.25">
      <c r="D253" s="89"/>
      <c r="E253" s="3"/>
      <c r="H253" s="3"/>
      <c r="P253" s="77"/>
      <c r="Q253" s="77"/>
      <c r="R253" s="77"/>
      <c r="S253" s="4"/>
      <c r="T253" s="4"/>
      <c r="U253" s="4"/>
      <c r="V253" s="4"/>
    </row>
    <row r="254" spans="4:22" ht="15" x14ac:dyDescent="0.25">
      <c r="D254" s="89"/>
      <c r="E254" s="3"/>
      <c r="H254" s="3"/>
      <c r="P254" s="77"/>
      <c r="Q254" s="77"/>
      <c r="R254" s="77"/>
      <c r="S254" s="4"/>
      <c r="T254" s="4"/>
      <c r="U254" s="4"/>
      <c r="V254" s="4"/>
    </row>
    <row r="255" spans="4:22" ht="15" x14ac:dyDescent="0.25">
      <c r="D255" s="89"/>
      <c r="E255" s="3"/>
      <c r="H255" s="3"/>
      <c r="P255" s="77"/>
      <c r="Q255" s="77"/>
      <c r="R255" s="77"/>
      <c r="S255" s="4"/>
      <c r="T255" s="4"/>
      <c r="U255" s="4"/>
      <c r="V255" s="4"/>
    </row>
    <row r="256" spans="4:22" ht="15" x14ac:dyDescent="0.25">
      <c r="D256" s="89"/>
      <c r="E256" s="3"/>
      <c r="H256" s="3"/>
      <c r="P256" s="77"/>
      <c r="Q256" s="77"/>
      <c r="R256" s="77"/>
      <c r="S256" s="4"/>
      <c r="T256" s="4"/>
      <c r="U256" s="4"/>
      <c r="V256" s="4"/>
    </row>
    <row r="257" spans="4:22" ht="15" x14ac:dyDescent="0.25">
      <c r="D257" s="89"/>
      <c r="E257" s="3"/>
      <c r="H257" s="3"/>
      <c r="P257" s="77"/>
      <c r="Q257" s="77"/>
      <c r="R257" s="77"/>
      <c r="S257" s="4"/>
      <c r="T257" s="4"/>
      <c r="U257" s="4"/>
      <c r="V257" s="4"/>
    </row>
    <row r="258" spans="4:22" ht="15" x14ac:dyDescent="0.25">
      <c r="D258" s="89"/>
      <c r="E258" s="3"/>
      <c r="H258" s="3"/>
      <c r="P258" s="77"/>
      <c r="Q258" s="77"/>
      <c r="R258" s="77"/>
      <c r="S258" s="4"/>
      <c r="T258" s="4"/>
      <c r="U258" s="4"/>
      <c r="V258" s="4"/>
    </row>
    <row r="259" spans="4:22" ht="15" x14ac:dyDescent="0.25">
      <c r="D259" s="89"/>
      <c r="E259" s="3"/>
      <c r="H259" s="3"/>
      <c r="P259" s="77"/>
      <c r="Q259" s="77"/>
      <c r="R259" s="77"/>
      <c r="S259" s="4"/>
      <c r="T259" s="4"/>
      <c r="U259" s="4"/>
      <c r="V259" s="4"/>
    </row>
    <row r="260" spans="4:22" ht="15" x14ac:dyDescent="0.25">
      <c r="D260" s="89"/>
      <c r="E260" s="3"/>
      <c r="H260" s="3"/>
      <c r="P260" s="77"/>
      <c r="Q260" s="77"/>
      <c r="R260" s="77"/>
      <c r="S260" s="4"/>
      <c r="T260" s="4"/>
      <c r="U260" s="4"/>
      <c r="V260" s="4"/>
    </row>
    <row r="261" spans="4:22" ht="15" x14ac:dyDescent="0.25">
      <c r="D261" s="89"/>
      <c r="E261" s="3"/>
      <c r="H261" s="3"/>
      <c r="P261" s="77"/>
      <c r="Q261" s="77"/>
      <c r="R261" s="77"/>
      <c r="S261" s="4"/>
      <c r="T261" s="4"/>
      <c r="U261" s="4"/>
      <c r="V261" s="4"/>
    </row>
    <row r="262" spans="4:22" ht="15" x14ac:dyDescent="0.25">
      <c r="D262" s="89"/>
      <c r="E262" s="3"/>
      <c r="H262" s="3"/>
      <c r="P262" s="77"/>
      <c r="Q262" s="77"/>
      <c r="R262" s="77"/>
      <c r="S262" s="4"/>
      <c r="T262" s="4"/>
      <c r="U262" s="4"/>
      <c r="V262" s="4"/>
    </row>
    <row r="263" spans="4:22" ht="15" x14ac:dyDescent="0.25">
      <c r="D263" s="89"/>
      <c r="E263" s="3"/>
      <c r="H263" s="3"/>
      <c r="P263" s="77"/>
      <c r="Q263" s="77"/>
      <c r="R263" s="77"/>
      <c r="S263" s="4"/>
      <c r="T263" s="4"/>
      <c r="U263" s="4"/>
      <c r="V263" s="4"/>
    </row>
    <row r="264" spans="4:22" ht="15" x14ac:dyDescent="0.25">
      <c r="D264" s="89"/>
      <c r="E264" s="3"/>
      <c r="H264" s="3"/>
      <c r="P264" s="77"/>
      <c r="Q264" s="77"/>
      <c r="R264" s="77"/>
      <c r="S264" s="4"/>
      <c r="T264" s="4"/>
      <c r="U264" s="4"/>
      <c r="V264" s="4"/>
    </row>
    <row r="265" spans="4:22" ht="15" x14ac:dyDescent="0.25">
      <c r="D265" s="89"/>
      <c r="E265" s="3"/>
      <c r="H265" s="3"/>
      <c r="P265" s="77"/>
      <c r="Q265" s="77"/>
      <c r="R265" s="77"/>
      <c r="S265" s="4"/>
      <c r="T265" s="4"/>
      <c r="U265" s="4"/>
      <c r="V265" s="4"/>
    </row>
    <row r="266" spans="4:22" ht="15" x14ac:dyDescent="0.25">
      <c r="D266" s="89"/>
      <c r="E266" s="3"/>
      <c r="H266" s="3"/>
      <c r="P266" s="77"/>
      <c r="Q266" s="77"/>
      <c r="R266" s="77"/>
      <c r="S266" s="4"/>
      <c r="T266" s="4"/>
      <c r="U266" s="4"/>
      <c r="V266" s="4"/>
    </row>
    <row r="267" spans="4:22" ht="15" x14ac:dyDescent="0.25">
      <c r="D267" s="89"/>
      <c r="E267" s="3"/>
      <c r="H267" s="3"/>
      <c r="P267" s="77"/>
      <c r="Q267" s="77"/>
      <c r="R267" s="77"/>
      <c r="S267" s="4"/>
      <c r="T267" s="4"/>
      <c r="U267" s="4"/>
      <c r="V267" s="4"/>
    </row>
    <row r="268" spans="4:22" ht="15" x14ac:dyDescent="0.25">
      <c r="D268" s="89"/>
      <c r="E268" s="3"/>
      <c r="H268" s="3"/>
      <c r="P268" s="77"/>
      <c r="Q268" s="77"/>
      <c r="R268" s="77"/>
      <c r="S268" s="4"/>
      <c r="T268" s="4"/>
      <c r="U268" s="4"/>
      <c r="V268" s="4"/>
    </row>
    <row r="269" spans="4:22" ht="15" x14ac:dyDescent="0.25">
      <c r="D269" s="89"/>
      <c r="E269" s="3"/>
      <c r="H269" s="3"/>
      <c r="P269" s="77"/>
      <c r="Q269" s="77"/>
      <c r="R269" s="77"/>
      <c r="S269" s="4"/>
      <c r="T269" s="4"/>
      <c r="U269" s="4"/>
      <c r="V269" s="4"/>
    </row>
    <row r="270" spans="4:22" ht="15" x14ac:dyDescent="0.25">
      <c r="D270" s="89"/>
      <c r="E270" s="3"/>
      <c r="H270" s="3"/>
      <c r="P270" s="77"/>
      <c r="Q270" s="77"/>
      <c r="R270" s="77"/>
      <c r="S270" s="4"/>
      <c r="T270" s="4"/>
      <c r="U270" s="4"/>
      <c r="V270" s="4"/>
    </row>
    <row r="271" spans="4:22" ht="15" x14ac:dyDescent="0.25">
      <c r="D271" s="89"/>
      <c r="E271" s="3"/>
      <c r="H271" s="3"/>
      <c r="P271" s="77"/>
      <c r="Q271" s="77"/>
      <c r="R271" s="77"/>
      <c r="S271" s="4"/>
      <c r="T271" s="4"/>
      <c r="U271" s="4"/>
      <c r="V271" s="4"/>
    </row>
    <row r="272" spans="4:22" ht="15" x14ac:dyDescent="0.25">
      <c r="D272" s="89"/>
      <c r="E272" s="3"/>
      <c r="H272" s="3"/>
      <c r="P272" s="77"/>
      <c r="Q272" s="77"/>
      <c r="R272" s="77"/>
      <c r="S272" s="4"/>
      <c r="T272" s="4"/>
      <c r="U272" s="4"/>
      <c r="V272" s="4"/>
    </row>
    <row r="273" spans="4:22" ht="15" x14ac:dyDescent="0.25">
      <c r="D273" s="89"/>
      <c r="E273" s="3"/>
      <c r="H273" s="3"/>
      <c r="P273" s="77"/>
      <c r="Q273" s="77"/>
      <c r="R273" s="77"/>
      <c r="S273" s="4"/>
      <c r="T273" s="4"/>
      <c r="U273" s="4"/>
      <c r="V273" s="4"/>
    </row>
    <row r="274" spans="4:22" ht="15" x14ac:dyDescent="0.25">
      <c r="D274" s="89"/>
      <c r="E274" s="3"/>
      <c r="H274" s="3"/>
      <c r="P274" s="77"/>
      <c r="Q274" s="77"/>
      <c r="R274" s="77"/>
      <c r="S274" s="4"/>
      <c r="T274" s="4"/>
      <c r="U274" s="4"/>
      <c r="V274" s="4"/>
    </row>
    <row r="275" spans="4:22" ht="15" x14ac:dyDescent="0.25">
      <c r="D275" s="89"/>
      <c r="E275" s="3"/>
      <c r="H275" s="3"/>
      <c r="P275" s="77"/>
      <c r="Q275" s="77"/>
      <c r="R275" s="77"/>
      <c r="S275" s="4"/>
      <c r="T275" s="4"/>
      <c r="U275" s="4"/>
      <c r="V275" s="4"/>
    </row>
    <row r="276" spans="4:22" ht="15" x14ac:dyDescent="0.25">
      <c r="D276" s="89"/>
      <c r="E276" s="3"/>
      <c r="H276" s="3"/>
      <c r="P276" s="77"/>
      <c r="Q276" s="77"/>
      <c r="R276" s="77"/>
      <c r="S276" s="4"/>
      <c r="T276" s="4"/>
      <c r="U276" s="4"/>
      <c r="V276" s="4"/>
    </row>
    <row r="277" spans="4:22" ht="15" x14ac:dyDescent="0.25">
      <c r="D277" s="89"/>
      <c r="E277" s="3"/>
      <c r="H277" s="3"/>
      <c r="P277" s="77"/>
      <c r="Q277" s="77"/>
      <c r="R277" s="77"/>
      <c r="S277" s="4"/>
      <c r="T277" s="4"/>
      <c r="U277" s="4"/>
      <c r="V277" s="4"/>
    </row>
    <row r="278" spans="4:22" ht="15" x14ac:dyDescent="0.25">
      <c r="D278" s="89"/>
      <c r="E278" s="3"/>
      <c r="H278" s="3"/>
      <c r="P278" s="77"/>
      <c r="Q278" s="77"/>
      <c r="R278" s="77"/>
      <c r="S278" s="4"/>
      <c r="T278" s="4"/>
      <c r="U278" s="4"/>
      <c r="V278" s="4"/>
    </row>
    <row r="279" spans="4:22" ht="15" x14ac:dyDescent="0.25">
      <c r="D279" s="89"/>
      <c r="E279" s="3"/>
      <c r="H279" s="3"/>
      <c r="P279" s="77"/>
      <c r="Q279" s="77"/>
      <c r="R279" s="77"/>
      <c r="S279" s="4"/>
      <c r="T279" s="4"/>
      <c r="U279" s="4"/>
      <c r="V279" s="4"/>
    </row>
    <row r="280" spans="4:22" ht="15" x14ac:dyDescent="0.25">
      <c r="D280" s="89"/>
      <c r="E280" s="3"/>
      <c r="H280" s="3"/>
      <c r="P280" s="77"/>
      <c r="Q280" s="77"/>
      <c r="R280" s="77"/>
      <c r="S280" s="4"/>
      <c r="T280" s="4"/>
      <c r="U280" s="4"/>
      <c r="V280" s="4"/>
    </row>
    <row r="281" spans="4:22" ht="15" x14ac:dyDescent="0.25">
      <c r="D281" s="89"/>
      <c r="E281" s="3"/>
      <c r="H281" s="3"/>
      <c r="P281" s="77"/>
      <c r="Q281" s="77"/>
      <c r="R281" s="77"/>
      <c r="S281" s="4"/>
      <c r="T281" s="4"/>
      <c r="U281" s="4"/>
      <c r="V281" s="4"/>
    </row>
    <row r="282" spans="4:22" ht="15" x14ac:dyDescent="0.25">
      <c r="D282" s="89"/>
      <c r="E282" s="3"/>
      <c r="H282" s="3"/>
      <c r="P282" s="77"/>
      <c r="Q282" s="77"/>
      <c r="R282" s="77"/>
      <c r="S282" s="4"/>
      <c r="T282" s="4"/>
      <c r="U282" s="4"/>
      <c r="V282" s="4"/>
    </row>
    <row r="283" spans="4:22" ht="15" x14ac:dyDescent="0.25">
      <c r="D283" s="89"/>
      <c r="E283" s="3"/>
      <c r="H283" s="3"/>
      <c r="P283" s="77"/>
      <c r="Q283" s="77"/>
      <c r="R283" s="77"/>
      <c r="S283" s="4"/>
      <c r="T283" s="4"/>
      <c r="U283" s="4"/>
      <c r="V283" s="4"/>
    </row>
    <row r="284" spans="4:22" ht="15" x14ac:dyDescent="0.25">
      <c r="D284" s="89"/>
      <c r="E284" s="3"/>
      <c r="H284" s="3"/>
      <c r="P284" s="77"/>
      <c r="Q284" s="77"/>
      <c r="R284" s="77"/>
      <c r="S284" s="4"/>
      <c r="T284" s="4"/>
      <c r="U284" s="4"/>
      <c r="V284" s="4"/>
    </row>
    <row r="285" spans="4:22" ht="15" x14ac:dyDescent="0.25">
      <c r="D285" s="89"/>
      <c r="E285" s="3"/>
      <c r="H285" s="3"/>
      <c r="P285" s="77"/>
      <c r="Q285" s="77"/>
      <c r="R285" s="77"/>
      <c r="S285" s="4"/>
      <c r="T285" s="4"/>
      <c r="U285" s="4"/>
      <c r="V285" s="4"/>
    </row>
    <row r="286" spans="4:22" ht="15" x14ac:dyDescent="0.25">
      <c r="D286" s="89"/>
      <c r="E286" s="3"/>
      <c r="H286" s="3"/>
      <c r="P286" s="77"/>
      <c r="Q286" s="77"/>
      <c r="R286" s="77"/>
      <c r="S286" s="4"/>
      <c r="T286" s="4"/>
      <c r="U286" s="4"/>
      <c r="V286" s="4"/>
    </row>
    <row r="287" spans="4:22" ht="15" x14ac:dyDescent="0.25">
      <c r="D287" s="89"/>
      <c r="E287" s="3"/>
      <c r="H287" s="3"/>
      <c r="P287" s="77"/>
      <c r="Q287" s="77"/>
      <c r="R287" s="77"/>
      <c r="S287" s="4"/>
      <c r="T287" s="4"/>
      <c r="U287" s="4"/>
      <c r="V287" s="4"/>
    </row>
    <row r="288" spans="4:22" ht="15" x14ac:dyDescent="0.25">
      <c r="D288" s="89"/>
      <c r="E288" s="3"/>
      <c r="H288" s="3"/>
      <c r="P288" s="77"/>
      <c r="Q288" s="77"/>
      <c r="R288" s="77"/>
      <c r="S288" s="4"/>
      <c r="T288" s="4"/>
      <c r="U288" s="4"/>
      <c r="V288" s="4"/>
    </row>
    <row r="289" spans="4:22" ht="15" x14ac:dyDescent="0.25">
      <c r="D289" s="89"/>
      <c r="E289" s="3"/>
      <c r="H289" s="3"/>
      <c r="P289" s="77"/>
      <c r="Q289" s="77"/>
      <c r="R289" s="77"/>
      <c r="S289" s="4"/>
      <c r="T289" s="4"/>
      <c r="U289" s="4"/>
      <c r="V289" s="4"/>
    </row>
    <row r="290" spans="4:22" ht="15" x14ac:dyDescent="0.25">
      <c r="D290" s="89"/>
      <c r="E290" s="3"/>
      <c r="H290" s="3"/>
      <c r="P290" s="77"/>
      <c r="Q290" s="77"/>
      <c r="R290" s="77"/>
      <c r="S290" s="4"/>
      <c r="T290" s="4"/>
      <c r="U290" s="4"/>
      <c r="V290" s="4"/>
    </row>
    <row r="291" spans="4:22" ht="15" x14ac:dyDescent="0.25">
      <c r="D291" s="89"/>
      <c r="E291" s="3"/>
      <c r="H291" s="3"/>
      <c r="P291" s="77"/>
      <c r="Q291" s="77"/>
      <c r="R291" s="77"/>
      <c r="S291" s="4"/>
      <c r="T291" s="4"/>
      <c r="U291" s="4"/>
      <c r="V291" s="4"/>
    </row>
    <row r="292" spans="4:22" ht="15" x14ac:dyDescent="0.25">
      <c r="D292" s="89"/>
      <c r="E292" s="3"/>
      <c r="H292" s="3"/>
      <c r="P292" s="77"/>
      <c r="Q292" s="77"/>
      <c r="R292" s="77"/>
      <c r="S292" s="4"/>
      <c r="T292" s="4"/>
      <c r="U292" s="4"/>
      <c r="V292" s="4"/>
    </row>
    <row r="293" spans="4:22" ht="15" x14ac:dyDescent="0.25">
      <c r="D293" s="89"/>
      <c r="E293" s="3"/>
      <c r="H293" s="3"/>
      <c r="P293" s="77"/>
      <c r="Q293" s="77"/>
      <c r="R293" s="77"/>
      <c r="S293" s="4"/>
      <c r="T293" s="4"/>
      <c r="U293" s="4"/>
      <c r="V293" s="4"/>
    </row>
    <row r="294" spans="4:22" ht="15" x14ac:dyDescent="0.25">
      <c r="D294" s="89"/>
      <c r="E294" s="3"/>
      <c r="H294" s="3"/>
      <c r="P294" s="77"/>
      <c r="Q294" s="77"/>
      <c r="R294" s="77"/>
      <c r="S294" s="4"/>
      <c r="T294" s="4"/>
      <c r="U294" s="4"/>
      <c r="V294" s="4"/>
    </row>
    <row r="295" spans="4:22" ht="15" x14ac:dyDescent="0.25">
      <c r="D295" s="89"/>
      <c r="E295" s="3"/>
      <c r="H295" s="3"/>
      <c r="P295" s="77"/>
      <c r="Q295" s="77"/>
      <c r="R295" s="77"/>
      <c r="S295" s="4"/>
      <c r="T295" s="4"/>
      <c r="U295" s="4"/>
      <c r="V295" s="4"/>
    </row>
    <row r="296" spans="4:22" ht="15" x14ac:dyDescent="0.25">
      <c r="D296" s="89"/>
      <c r="E296" s="3"/>
      <c r="H296" s="3"/>
      <c r="P296" s="77"/>
      <c r="Q296" s="77"/>
      <c r="R296" s="77"/>
      <c r="S296" s="4"/>
      <c r="T296" s="4"/>
      <c r="U296" s="4"/>
      <c r="V296" s="4"/>
    </row>
    <row r="297" spans="4:22" ht="15" x14ac:dyDescent="0.25">
      <c r="D297" s="89"/>
      <c r="E297" s="3"/>
      <c r="H297" s="3"/>
      <c r="P297" s="77"/>
      <c r="Q297" s="77"/>
      <c r="R297" s="77"/>
      <c r="S297" s="4"/>
      <c r="T297" s="4"/>
      <c r="U297" s="4"/>
      <c r="V297" s="4"/>
    </row>
    <row r="298" spans="4:22" ht="15" x14ac:dyDescent="0.25">
      <c r="D298" s="89"/>
      <c r="E298" s="3"/>
      <c r="H298" s="3"/>
      <c r="P298" s="77"/>
      <c r="Q298" s="77"/>
      <c r="R298" s="77"/>
      <c r="S298" s="4"/>
      <c r="T298" s="4"/>
      <c r="U298" s="4"/>
      <c r="V298" s="4"/>
    </row>
    <row r="299" spans="4:22" ht="15" x14ac:dyDescent="0.25">
      <c r="D299" s="89"/>
      <c r="E299" s="3"/>
      <c r="H299" s="3"/>
      <c r="P299" s="77"/>
      <c r="Q299" s="77"/>
      <c r="R299" s="77"/>
      <c r="S299" s="4"/>
      <c r="T299" s="4"/>
      <c r="U299" s="4"/>
      <c r="V299" s="4"/>
    </row>
    <row r="300" spans="4:22" ht="15" x14ac:dyDescent="0.25">
      <c r="D300" s="89"/>
      <c r="E300" s="3"/>
      <c r="H300" s="3"/>
      <c r="P300" s="77"/>
      <c r="Q300" s="77"/>
      <c r="R300" s="77"/>
      <c r="S300" s="4"/>
      <c r="T300" s="4"/>
      <c r="U300" s="4"/>
      <c r="V300" s="4"/>
    </row>
    <row r="301" spans="4:22" ht="15" x14ac:dyDescent="0.25">
      <c r="D301" s="89"/>
      <c r="E301" s="3"/>
      <c r="H301" s="3"/>
      <c r="P301" s="77"/>
      <c r="Q301" s="77"/>
      <c r="R301" s="77"/>
      <c r="S301" s="4"/>
      <c r="T301" s="4"/>
      <c r="U301" s="4"/>
      <c r="V301" s="4"/>
    </row>
    <row r="302" spans="4:22" ht="15" x14ac:dyDescent="0.25">
      <c r="D302" s="89"/>
      <c r="E302" s="3"/>
      <c r="H302" s="3"/>
      <c r="P302" s="77"/>
      <c r="Q302" s="77"/>
      <c r="R302" s="77"/>
      <c r="S302" s="4"/>
      <c r="T302" s="4"/>
      <c r="U302" s="4"/>
      <c r="V302" s="4"/>
    </row>
    <row r="303" spans="4:22" ht="15" x14ac:dyDescent="0.25">
      <c r="D303" s="89"/>
      <c r="E303" s="3"/>
      <c r="H303" s="3"/>
      <c r="P303" s="77"/>
      <c r="Q303" s="77"/>
      <c r="R303" s="77"/>
      <c r="S303" s="4"/>
      <c r="T303" s="4"/>
      <c r="U303" s="4"/>
      <c r="V303" s="4"/>
    </row>
    <row r="304" spans="4:22" ht="15" x14ac:dyDescent="0.25">
      <c r="D304" s="89"/>
      <c r="E304" s="3"/>
      <c r="H304" s="3"/>
      <c r="P304" s="77"/>
      <c r="Q304" s="77"/>
      <c r="R304" s="77"/>
      <c r="S304" s="4"/>
      <c r="T304" s="4"/>
      <c r="U304" s="4"/>
      <c r="V304" s="4"/>
    </row>
    <row r="305" spans="4:22" ht="15" x14ac:dyDescent="0.25">
      <c r="D305" s="89"/>
      <c r="E305" s="3"/>
      <c r="H305" s="3"/>
      <c r="P305" s="77"/>
      <c r="Q305" s="77"/>
      <c r="R305" s="77"/>
      <c r="S305" s="4"/>
      <c r="T305" s="4"/>
      <c r="U305" s="4"/>
      <c r="V305" s="4"/>
    </row>
    <row r="306" spans="4:22" ht="15" x14ac:dyDescent="0.25">
      <c r="D306" s="89"/>
      <c r="E306" s="3"/>
      <c r="H306" s="3"/>
      <c r="P306" s="77"/>
      <c r="Q306" s="77"/>
      <c r="R306" s="77"/>
      <c r="S306" s="4"/>
      <c r="T306" s="4"/>
      <c r="U306" s="4"/>
      <c r="V306" s="4"/>
    </row>
    <row r="307" spans="4:22" ht="15" x14ac:dyDescent="0.25">
      <c r="D307" s="89"/>
      <c r="E307" s="3"/>
      <c r="H307" s="3"/>
      <c r="P307" s="77"/>
      <c r="Q307" s="77"/>
      <c r="R307" s="77"/>
      <c r="S307" s="4"/>
      <c r="T307" s="4"/>
      <c r="U307" s="4"/>
      <c r="V307" s="4"/>
    </row>
    <row r="308" spans="4:22" ht="15" x14ac:dyDescent="0.25">
      <c r="D308" s="89"/>
      <c r="E308" s="3"/>
      <c r="H308" s="3"/>
      <c r="P308" s="77"/>
      <c r="Q308" s="77"/>
      <c r="R308" s="77"/>
      <c r="S308" s="4"/>
      <c r="T308" s="4"/>
      <c r="U308" s="4"/>
      <c r="V308" s="4"/>
    </row>
    <row r="309" spans="4:22" ht="15" x14ac:dyDescent="0.25">
      <c r="D309" s="89"/>
      <c r="E309" s="3"/>
      <c r="H309" s="3"/>
      <c r="P309" s="77"/>
      <c r="Q309" s="77"/>
      <c r="R309" s="77"/>
      <c r="S309" s="4"/>
      <c r="T309" s="4"/>
      <c r="U309" s="4"/>
      <c r="V309" s="4"/>
    </row>
    <row r="310" spans="4:22" ht="15" x14ac:dyDescent="0.25">
      <c r="D310" s="89"/>
      <c r="E310" s="3"/>
      <c r="H310" s="3"/>
      <c r="P310" s="77"/>
      <c r="Q310" s="77"/>
      <c r="R310" s="77"/>
      <c r="S310" s="4"/>
      <c r="T310" s="4"/>
      <c r="U310" s="4"/>
      <c r="V310" s="4"/>
    </row>
    <row r="311" spans="4:22" ht="15" x14ac:dyDescent="0.25">
      <c r="D311" s="89"/>
      <c r="E311" s="3"/>
      <c r="H311" s="3"/>
      <c r="P311" s="77"/>
      <c r="Q311" s="77"/>
      <c r="R311" s="77"/>
      <c r="S311" s="4"/>
      <c r="T311" s="4"/>
      <c r="U311" s="4"/>
      <c r="V311" s="4"/>
    </row>
    <row r="312" spans="4:22" ht="15" x14ac:dyDescent="0.25">
      <c r="D312" s="89"/>
      <c r="E312" s="3"/>
      <c r="H312" s="3"/>
      <c r="P312" s="77"/>
      <c r="Q312" s="77"/>
      <c r="R312" s="77"/>
      <c r="S312" s="4"/>
      <c r="T312" s="4"/>
      <c r="U312" s="4"/>
      <c r="V312" s="4"/>
    </row>
    <row r="313" spans="4:22" ht="15" x14ac:dyDescent="0.25">
      <c r="D313" s="89"/>
      <c r="E313" s="3"/>
      <c r="H313" s="3"/>
      <c r="P313" s="77"/>
      <c r="Q313" s="77"/>
      <c r="R313" s="77"/>
      <c r="S313" s="4"/>
      <c r="T313" s="4"/>
      <c r="U313" s="4"/>
      <c r="V313" s="4"/>
    </row>
    <row r="314" spans="4:22" ht="15" x14ac:dyDescent="0.25">
      <c r="D314" s="89"/>
      <c r="E314" s="3"/>
      <c r="H314" s="3"/>
      <c r="P314" s="77"/>
      <c r="Q314" s="77"/>
      <c r="R314" s="77"/>
      <c r="S314" s="4"/>
      <c r="T314" s="4"/>
      <c r="U314" s="4"/>
      <c r="V314" s="4"/>
    </row>
    <row r="315" spans="4:22" ht="15" x14ac:dyDescent="0.25">
      <c r="D315" s="89"/>
      <c r="E315" s="3"/>
      <c r="H315" s="3"/>
      <c r="P315" s="77"/>
      <c r="Q315" s="77"/>
      <c r="R315" s="77"/>
      <c r="S315" s="4"/>
      <c r="T315" s="4"/>
      <c r="U315" s="4"/>
      <c r="V315" s="4"/>
    </row>
    <row r="316" spans="4:22" ht="15" x14ac:dyDescent="0.25">
      <c r="D316" s="89"/>
      <c r="E316" s="3"/>
      <c r="H316" s="3"/>
      <c r="P316" s="77"/>
      <c r="Q316" s="77"/>
      <c r="R316" s="77"/>
      <c r="S316" s="4"/>
      <c r="T316" s="4"/>
      <c r="U316" s="4"/>
      <c r="V316" s="4"/>
    </row>
    <row r="317" spans="4:22" ht="15" x14ac:dyDescent="0.25">
      <c r="D317" s="89"/>
      <c r="E317" s="3"/>
      <c r="H317" s="3"/>
      <c r="P317" s="77"/>
      <c r="Q317" s="77"/>
      <c r="R317" s="77"/>
      <c r="S317" s="4"/>
      <c r="T317" s="4"/>
      <c r="U317" s="4"/>
      <c r="V317" s="4"/>
    </row>
    <row r="318" spans="4:22" ht="15" x14ac:dyDescent="0.25">
      <c r="D318" s="89"/>
      <c r="E318" s="3"/>
      <c r="H318" s="3"/>
      <c r="P318" s="77"/>
      <c r="Q318" s="77"/>
      <c r="R318" s="77"/>
      <c r="S318" s="4"/>
      <c r="T318" s="4"/>
      <c r="U318" s="4"/>
      <c r="V318" s="4"/>
    </row>
    <row r="319" spans="4:22" ht="15" x14ac:dyDescent="0.25">
      <c r="D319" s="89"/>
      <c r="E319" s="3"/>
      <c r="H319" s="3"/>
      <c r="P319" s="77"/>
      <c r="Q319" s="77"/>
      <c r="R319" s="77"/>
      <c r="S319" s="4"/>
      <c r="T319" s="4"/>
      <c r="U319" s="4"/>
      <c r="V319" s="4"/>
    </row>
    <row r="320" spans="4:22" ht="15" x14ac:dyDescent="0.25">
      <c r="D320" s="89"/>
      <c r="E320" s="3"/>
      <c r="H320" s="3"/>
      <c r="P320" s="77"/>
      <c r="Q320" s="77"/>
      <c r="R320" s="77"/>
      <c r="S320" s="4"/>
      <c r="T320" s="4"/>
      <c r="U320" s="4"/>
      <c r="V320" s="4"/>
    </row>
    <row r="321" spans="4:22" ht="15" x14ac:dyDescent="0.25">
      <c r="D321" s="89"/>
      <c r="E321" s="3"/>
      <c r="H321" s="3"/>
      <c r="P321" s="77"/>
      <c r="Q321" s="77"/>
      <c r="R321" s="77"/>
      <c r="S321" s="4"/>
      <c r="T321" s="4"/>
      <c r="U321" s="4"/>
      <c r="V321" s="4"/>
    </row>
    <row r="322" spans="4:22" ht="15" x14ac:dyDescent="0.25">
      <c r="D322" s="89"/>
      <c r="E322" s="3"/>
      <c r="H322" s="3"/>
      <c r="P322" s="77"/>
      <c r="Q322" s="77"/>
      <c r="R322" s="77"/>
      <c r="S322" s="4"/>
      <c r="T322" s="4"/>
      <c r="U322" s="4"/>
      <c r="V322" s="4"/>
    </row>
    <row r="323" spans="4:22" ht="15" x14ac:dyDescent="0.25">
      <c r="D323" s="89"/>
      <c r="E323" s="3"/>
      <c r="H323" s="3"/>
      <c r="P323" s="77"/>
      <c r="Q323" s="77"/>
      <c r="R323" s="77"/>
      <c r="S323" s="4"/>
      <c r="T323" s="4"/>
      <c r="U323" s="4"/>
      <c r="V323" s="4"/>
    </row>
    <row r="324" spans="4:22" ht="15" x14ac:dyDescent="0.25">
      <c r="D324" s="89"/>
      <c r="E324" s="3"/>
      <c r="H324" s="3"/>
      <c r="P324" s="77"/>
      <c r="Q324" s="77"/>
      <c r="R324" s="77"/>
      <c r="S324" s="4"/>
      <c r="T324" s="4"/>
      <c r="U324" s="4"/>
      <c r="V324" s="4"/>
    </row>
    <row r="325" spans="4:22" ht="15" x14ac:dyDescent="0.25">
      <c r="D325" s="89"/>
      <c r="E325" s="3"/>
      <c r="H325" s="3"/>
      <c r="P325" s="77"/>
      <c r="Q325" s="77"/>
      <c r="R325" s="77"/>
      <c r="S325" s="4"/>
      <c r="T325" s="4"/>
      <c r="U325" s="4"/>
      <c r="V325" s="4"/>
    </row>
    <row r="326" spans="4:22" ht="15" x14ac:dyDescent="0.25">
      <c r="D326" s="89"/>
      <c r="E326" s="3"/>
      <c r="H326" s="3"/>
      <c r="P326" s="77"/>
      <c r="Q326" s="77"/>
      <c r="R326" s="77"/>
      <c r="S326" s="4"/>
      <c r="T326" s="4"/>
      <c r="U326" s="4"/>
      <c r="V326" s="4"/>
    </row>
    <row r="327" spans="4:22" ht="15" x14ac:dyDescent="0.25">
      <c r="D327" s="89"/>
      <c r="E327" s="3"/>
      <c r="H327" s="3"/>
      <c r="P327" s="77"/>
      <c r="Q327" s="77"/>
      <c r="R327" s="77"/>
      <c r="S327" s="4"/>
      <c r="T327" s="4"/>
      <c r="U327" s="4"/>
      <c r="V327" s="4"/>
    </row>
    <row r="328" spans="4:22" ht="15" x14ac:dyDescent="0.25">
      <c r="D328" s="89"/>
      <c r="E328" s="3"/>
      <c r="H328" s="3"/>
      <c r="P328" s="77"/>
      <c r="Q328" s="77"/>
      <c r="R328" s="77"/>
      <c r="S328" s="4"/>
      <c r="T328" s="4"/>
      <c r="U328" s="4"/>
      <c r="V328" s="4"/>
    </row>
    <row r="329" spans="4:22" ht="15" x14ac:dyDescent="0.25">
      <c r="D329" s="89"/>
      <c r="E329" s="3"/>
      <c r="H329" s="3"/>
      <c r="P329" s="77"/>
      <c r="Q329" s="77"/>
      <c r="R329" s="77"/>
      <c r="S329" s="4"/>
      <c r="T329" s="4"/>
      <c r="U329" s="4"/>
      <c r="V329" s="4"/>
    </row>
    <row r="330" spans="4:22" ht="15" x14ac:dyDescent="0.25">
      <c r="D330" s="89"/>
      <c r="E330" s="3"/>
      <c r="H330" s="3"/>
      <c r="P330" s="77"/>
      <c r="Q330" s="77"/>
      <c r="R330" s="77"/>
      <c r="S330" s="4"/>
      <c r="T330" s="4"/>
      <c r="U330" s="4"/>
      <c r="V330" s="4"/>
    </row>
    <row r="331" spans="4:22" ht="15" x14ac:dyDescent="0.25">
      <c r="D331" s="89"/>
      <c r="E331" s="3"/>
      <c r="H331" s="3"/>
      <c r="P331" s="77"/>
      <c r="Q331" s="77"/>
      <c r="R331" s="77"/>
      <c r="S331" s="4"/>
      <c r="T331" s="4"/>
      <c r="U331" s="4"/>
      <c r="V331" s="4"/>
    </row>
    <row r="332" spans="4:22" ht="15" x14ac:dyDescent="0.25">
      <c r="D332" s="89"/>
      <c r="E332" s="3"/>
      <c r="H332" s="3"/>
      <c r="P332" s="77"/>
      <c r="Q332" s="77"/>
      <c r="R332" s="77"/>
      <c r="S332" s="4"/>
      <c r="T332" s="4"/>
      <c r="U332" s="4"/>
      <c r="V332" s="4"/>
    </row>
    <row r="333" spans="4:22" ht="15" x14ac:dyDescent="0.25">
      <c r="D333" s="89"/>
      <c r="E333" s="3"/>
      <c r="H333" s="3"/>
      <c r="P333" s="77"/>
      <c r="Q333" s="77"/>
      <c r="R333" s="77"/>
      <c r="S333" s="4"/>
      <c r="T333" s="4"/>
      <c r="U333" s="4"/>
      <c r="V333" s="4"/>
    </row>
    <row r="334" spans="4:22" ht="15" x14ac:dyDescent="0.25">
      <c r="D334" s="89"/>
      <c r="E334" s="3"/>
      <c r="H334" s="3"/>
      <c r="P334" s="77"/>
      <c r="Q334" s="77"/>
      <c r="R334" s="77"/>
      <c r="S334" s="4"/>
      <c r="T334" s="4"/>
      <c r="U334" s="4"/>
      <c r="V334" s="4"/>
    </row>
    <row r="335" spans="4:22" ht="15" x14ac:dyDescent="0.25">
      <c r="D335" s="89"/>
      <c r="E335" s="3"/>
      <c r="H335" s="3"/>
      <c r="P335" s="77"/>
      <c r="Q335" s="77"/>
      <c r="R335" s="77"/>
      <c r="S335" s="4"/>
      <c r="T335" s="4"/>
      <c r="U335" s="4"/>
      <c r="V335" s="4"/>
    </row>
    <row r="336" spans="4:22" ht="15" x14ac:dyDescent="0.25">
      <c r="D336" s="89"/>
      <c r="E336" s="3"/>
      <c r="H336" s="3"/>
      <c r="P336" s="77"/>
      <c r="Q336" s="77"/>
      <c r="R336" s="77"/>
      <c r="S336" s="4"/>
      <c r="T336" s="4"/>
      <c r="U336" s="4"/>
      <c r="V336" s="4"/>
    </row>
    <row r="337" spans="4:22" ht="15" x14ac:dyDescent="0.25">
      <c r="D337" s="89"/>
      <c r="E337" s="3"/>
      <c r="H337" s="3"/>
      <c r="P337" s="77"/>
      <c r="Q337" s="77"/>
      <c r="R337" s="77"/>
      <c r="S337" s="4"/>
      <c r="T337" s="4"/>
      <c r="U337" s="4"/>
      <c r="V337" s="4"/>
    </row>
    <row r="338" spans="4:22" ht="15" x14ac:dyDescent="0.25">
      <c r="D338" s="89"/>
      <c r="E338" s="3"/>
      <c r="H338" s="3"/>
      <c r="P338" s="77"/>
      <c r="Q338" s="77"/>
      <c r="R338" s="77"/>
      <c r="S338" s="4"/>
      <c r="T338" s="4"/>
      <c r="U338" s="4"/>
      <c r="V338" s="4"/>
    </row>
    <row r="339" spans="4:22" ht="15" x14ac:dyDescent="0.25">
      <c r="D339" s="89"/>
      <c r="E339" s="3"/>
      <c r="H339" s="3"/>
      <c r="P339" s="77"/>
      <c r="Q339" s="77"/>
      <c r="R339" s="77"/>
      <c r="S339" s="4"/>
      <c r="T339" s="4"/>
      <c r="U339" s="4"/>
      <c r="V339" s="4"/>
    </row>
    <row r="340" spans="4:22" ht="15" x14ac:dyDescent="0.25">
      <c r="D340" s="89"/>
      <c r="E340" s="3"/>
      <c r="H340" s="3"/>
      <c r="P340" s="77"/>
      <c r="Q340" s="77"/>
      <c r="R340" s="77"/>
      <c r="S340" s="4"/>
      <c r="T340" s="4"/>
      <c r="U340" s="4"/>
      <c r="V340" s="4"/>
    </row>
    <row r="341" spans="4:22" ht="15" x14ac:dyDescent="0.25">
      <c r="D341" s="89"/>
      <c r="E341" s="3"/>
      <c r="H341" s="3"/>
      <c r="P341" s="77"/>
      <c r="Q341" s="77"/>
      <c r="R341" s="77"/>
      <c r="S341" s="4"/>
      <c r="T341" s="4"/>
      <c r="U341" s="4"/>
      <c r="V341" s="4"/>
    </row>
    <row r="342" spans="4:22" ht="15" x14ac:dyDescent="0.25">
      <c r="D342" s="89"/>
      <c r="E342" s="3"/>
      <c r="H342" s="3"/>
      <c r="P342" s="77"/>
      <c r="Q342" s="77"/>
      <c r="R342" s="77"/>
      <c r="S342" s="4"/>
      <c r="T342" s="4"/>
      <c r="U342" s="4"/>
      <c r="V342" s="4"/>
    </row>
    <row r="343" spans="4:22" ht="15" x14ac:dyDescent="0.25">
      <c r="D343" s="89"/>
      <c r="E343" s="3"/>
      <c r="H343" s="3"/>
      <c r="P343" s="77"/>
      <c r="Q343" s="77"/>
      <c r="R343" s="77"/>
      <c r="S343" s="4"/>
      <c r="T343" s="4"/>
      <c r="U343" s="4"/>
      <c r="V343" s="4"/>
    </row>
    <row r="344" spans="4:22" ht="15" x14ac:dyDescent="0.25">
      <c r="D344" s="89"/>
      <c r="E344" s="3"/>
      <c r="H344" s="3"/>
      <c r="P344" s="77"/>
      <c r="Q344" s="77"/>
      <c r="R344" s="77"/>
      <c r="S344" s="4"/>
      <c r="T344" s="4"/>
      <c r="U344" s="4"/>
      <c r="V344" s="4"/>
    </row>
    <row r="345" spans="4:22" ht="15" x14ac:dyDescent="0.25">
      <c r="D345" s="89"/>
      <c r="E345" s="3"/>
      <c r="H345" s="3"/>
      <c r="P345" s="77"/>
      <c r="Q345" s="77"/>
      <c r="R345" s="77"/>
      <c r="S345" s="4"/>
      <c r="T345" s="4"/>
      <c r="U345" s="4"/>
      <c r="V345" s="4"/>
    </row>
    <row r="346" spans="4:22" ht="15" x14ac:dyDescent="0.25">
      <c r="D346" s="89"/>
      <c r="E346" s="3"/>
      <c r="H346" s="3"/>
      <c r="P346" s="77"/>
      <c r="Q346" s="77"/>
      <c r="R346" s="77"/>
      <c r="S346" s="4"/>
      <c r="T346" s="4"/>
      <c r="U346" s="4"/>
      <c r="V346" s="4"/>
    </row>
    <row r="347" spans="4:22" ht="15" x14ac:dyDescent="0.25">
      <c r="D347" s="89"/>
      <c r="E347" s="3"/>
      <c r="H347" s="3"/>
      <c r="P347" s="77"/>
      <c r="Q347" s="77"/>
      <c r="R347" s="77"/>
      <c r="S347" s="4"/>
      <c r="T347" s="4"/>
      <c r="U347" s="4"/>
      <c r="V347" s="4"/>
    </row>
    <row r="348" spans="4:22" ht="15" x14ac:dyDescent="0.25">
      <c r="D348" s="89"/>
      <c r="E348" s="3"/>
      <c r="H348" s="3"/>
      <c r="P348" s="77"/>
      <c r="Q348" s="77"/>
      <c r="R348" s="77"/>
      <c r="S348" s="4"/>
      <c r="T348" s="4"/>
      <c r="U348" s="4"/>
      <c r="V348" s="4"/>
    </row>
    <row r="349" spans="4:22" ht="15" x14ac:dyDescent="0.25">
      <c r="D349" s="89"/>
      <c r="E349" s="3"/>
      <c r="H349" s="3"/>
      <c r="P349" s="77"/>
      <c r="Q349" s="77"/>
      <c r="R349" s="77"/>
      <c r="S349" s="4"/>
      <c r="T349" s="4"/>
      <c r="U349" s="4"/>
      <c r="V349" s="4"/>
    </row>
    <row r="350" spans="4:22" ht="15" x14ac:dyDescent="0.25">
      <c r="D350" s="89"/>
      <c r="E350" s="3"/>
      <c r="H350" s="3"/>
      <c r="P350" s="77"/>
      <c r="Q350" s="77"/>
      <c r="R350" s="77"/>
      <c r="S350" s="4"/>
      <c r="T350" s="4"/>
      <c r="U350" s="4"/>
      <c r="V350" s="4"/>
    </row>
    <row r="351" spans="4:22" ht="15" x14ac:dyDescent="0.25">
      <c r="D351" s="89"/>
      <c r="E351" s="3"/>
      <c r="H351" s="3"/>
      <c r="P351" s="77"/>
      <c r="Q351" s="77"/>
      <c r="R351" s="77"/>
      <c r="S351" s="4"/>
      <c r="T351" s="4"/>
      <c r="U351" s="4"/>
      <c r="V351" s="4"/>
    </row>
    <row r="352" spans="4:22" ht="15" x14ac:dyDescent="0.25">
      <c r="D352" s="89"/>
      <c r="E352" s="3"/>
      <c r="H352" s="3"/>
      <c r="P352" s="77"/>
      <c r="Q352" s="77"/>
      <c r="R352" s="77"/>
      <c r="S352" s="4"/>
      <c r="T352" s="4"/>
      <c r="U352" s="4"/>
      <c r="V352" s="4"/>
    </row>
    <row r="353" spans="4:22" ht="15" x14ac:dyDescent="0.25">
      <c r="D353" s="89"/>
      <c r="E353" s="3"/>
      <c r="H353" s="3"/>
      <c r="P353" s="77"/>
      <c r="Q353" s="77"/>
      <c r="R353" s="77"/>
      <c r="S353" s="4"/>
      <c r="T353" s="4"/>
      <c r="U353" s="4"/>
      <c r="V353" s="4"/>
    </row>
    <row r="354" spans="4:22" ht="15" x14ac:dyDescent="0.25">
      <c r="D354" s="89"/>
      <c r="E354" s="3"/>
      <c r="H354" s="3"/>
      <c r="P354" s="77"/>
      <c r="Q354" s="77"/>
      <c r="R354" s="77"/>
      <c r="S354" s="4"/>
      <c r="T354" s="4"/>
      <c r="U354" s="4"/>
      <c r="V354" s="4"/>
    </row>
    <row r="355" spans="4:22" ht="15" x14ac:dyDescent="0.25">
      <c r="D355" s="89"/>
      <c r="E355" s="3"/>
      <c r="H355" s="3"/>
      <c r="P355" s="77"/>
      <c r="Q355" s="77"/>
      <c r="R355" s="77"/>
      <c r="S355" s="4"/>
      <c r="T355" s="4"/>
      <c r="U355" s="4"/>
      <c r="V355" s="4"/>
    </row>
    <row r="356" spans="4:22" ht="15" x14ac:dyDescent="0.25">
      <c r="D356" s="89"/>
      <c r="E356" s="3"/>
      <c r="H356" s="3"/>
      <c r="P356" s="77"/>
      <c r="Q356" s="77"/>
      <c r="R356" s="77"/>
      <c r="S356" s="4"/>
      <c r="T356" s="4"/>
      <c r="U356" s="4"/>
      <c r="V356" s="4"/>
    </row>
    <row r="357" spans="4:22" ht="15" x14ac:dyDescent="0.25">
      <c r="D357" s="89"/>
      <c r="E357" s="3"/>
      <c r="H357" s="3"/>
      <c r="P357" s="77"/>
      <c r="Q357" s="77"/>
      <c r="R357" s="77"/>
      <c r="S357" s="4"/>
      <c r="T357" s="4"/>
      <c r="U357" s="4"/>
      <c r="V357" s="4"/>
    </row>
    <row r="358" spans="4:22" ht="15" x14ac:dyDescent="0.25">
      <c r="D358" s="89"/>
      <c r="E358" s="3"/>
      <c r="H358" s="3"/>
      <c r="P358" s="77"/>
      <c r="Q358" s="77"/>
      <c r="R358" s="77"/>
      <c r="S358" s="4"/>
      <c r="T358" s="4"/>
      <c r="U358" s="4"/>
      <c r="V358" s="4"/>
    </row>
    <row r="359" spans="4:22" ht="15" x14ac:dyDescent="0.25">
      <c r="D359" s="89"/>
      <c r="E359" s="3"/>
      <c r="H359" s="3"/>
      <c r="P359" s="77"/>
      <c r="Q359" s="77"/>
      <c r="R359" s="77"/>
      <c r="S359" s="4"/>
      <c r="T359" s="4"/>
      <c r="U359" s="4"/>
      <c r="V359" s="4"/>
    </row>
    <row r="360" spans="4:22" ht="15" x14ac:dyDescent="0.25">
      <c r="D360" s="89"/>
      <c r="E360" s="3"/>
      <c r="H360" s="3"/>
      <c r="P360" s="77"/>
      <c r="Q360" s="77"/>
      <c r="R360" s="77"/>
      <c r="S360" s="4"/>
      <c r="T360" s="4"/>
      <c r="U360" s="4"/>
      <c r="V360" s="4"/>
    </row>
    <row r="361" spans="4:22" ht="15" x14ac:dyDescent="0.25">
      <c r="D361" s="89"/>
      <c r="E361" s="3"/>
      <c r="H361" s="3"/>
      <c r="P361" s="77"/>
      <c r="Q361" s="77"/>
      <c r="R361" s="77"/>
      <c r="S361" s="4"/>
      <c r="T361" s="4"/>
      <c r="U361" s="4"/>
      <c r="V361" s="4"/>
    </row>
    <row r="362" spans="4:22" ht="15" x14ac:dyDescent="0.25">
      <c r="D362" s="89"/>
      <c r="E362" s="3"/>
      <c r="H362" s="3"/>
      <c r="P362" s="77"/>
      <c r="Q362" s="77"/>
      <c r="R362" s="77"/>
      <c r="S362" s="4"/>
      <c r="T362" s="4"/>
      <c r="U362" s="4"/>
      <c r="V362" s="4"/>
    </row>
    <row r="363" spans="4:22" ht="15" x14ac:dyDescent="0.25">
      <c r="D363" s="89"/>
      <c r="E363" s="3"/>
      <c r="H363" s="3"/>
      <c r="P363" s="77"/>
      <c r="Q363" s="77"/>
      <c r="R363" s="77"/>
      <c r="S363" s="4"/>
      <c r="T363" s="4"/>
      <c r="U363" s="4"/>
      <c r="V363" s="4"/>
    </row>
    <row r="364" spans="4:22" ht="15" x14ac:dyDescent="0.25">
      <c r="D364" s="89"/>
      <c r="E364" s="3"/>
      <c r="H364" s="3"/>
      <c r="P364" s="77"/>
      <c r="Q364" s="77"/>
      <c r="R364" s="77"/>
      <c r="S364" s="4"/>
      <c r="T364" s="4"/>
      <c r="U364" s="4"/>
      <c r="V364" s="4"/>
    </row>
    <row r="365" spans="4:22" ht="15" x14ac:dyDescent="0.25">
      <c r="D365" s="89"/>
      <c r="E365" s="3"/>
      <c r="H365" s="3"/>
      <c r="P365" s="77"/>
      <c r="Q365" s="77"/>
      <c r="R365" s="77"/>
      <c r="S365" s="4"/>
      <c r="T365" s="4"/>
      <c r="U365" s="4"/>
      <c r="V365" s="4"/>
    </row>
    <row r="366" spans="4:22" ht="15" x14ac:dyDescent="0.25">
      <c r="D366" s="89"/>
      <c r="E366" s="3"/>
      <c r="H366" s="3"/>
      <c r="P366" s="77"/>
      <c r="Q366" s="77"/>
      <c r="R366" s="77"/>
      <c r="S366" s="4"/>
      <c r="T366" s="4"/>
      <c r="U366" s="4"/>
      <c r="V366" s="4"/>
    </row>
    <row r="367" spans="4:22" ht="15" x14ac:dyDescent="0.25">
      <c r="D367" s="89"/>
      <c r="E367" s="3"/>
      <c r="H367" s="3"/>
      <c r="P367" s="77"/>
      <c r="Q367" s="77"/>
      <c r="R367" s="77"/>
      <c r="S367" s="4"/>
      <c r="T367" s="4"/>
      <c r="U367" s="4"/>
      <c r="V367" s="4"/>
    </row>
    <row r="368" spans="4:22" ht="15" x14ac:dyDescent="0.25">
      <c r="D368" s="89"/>
      <c r="E368" s="3"/>
      <c r="H368" s="3"/>
      <c r="P368" s="77"/>
      <c r="Q368" s="77"/>
      <c r="R368" s="77"/>
      <c r="S368" s="4"/>
      <c r="T368" s="4"/>
      <c r="U368" s="4"/>
      <c r="V368" s="4"/>
    </row>
    <row r="369" spans="4:22" ht="15" x14ac:dyDescent="0.25">
      <c r="D369" s="89"/>
      <c r="E369" s="3"/>
      <c r="H369" s="3"/>
      <c r="P369" s="77"/>
      <c r="Q369" s="77"/>
      <c r="R369" s="77"/>
      <c r="S369" s="4"/>
      <c r="T369" s="4"/>
      <c r="U369" s="4"/>
      <c r="V369" s="4"/>
    </row>
    <row r="370" spans="4:22" ht="15" x14ac:dyDescent="0.25">
      <c r="D370" s="89"/>
      <c r="E370" s="3"/>
      <c r="H370" s="3"/>
      <c r="P370" s="77"/>
      <c r="Q370" s="77"/>
      <c r="R370" s="77"/>
      <c r="S370" s="4"/>
      <c r="T370" s="4"/>
      <c r="U370" s="4"/>
      <c r="V370" s="4"/>
    </row>
    <row r="371" spans="4:22" ht="15" x14ac:dyDescent="0.25">
      <c r="D371" s="89"/>
      <c r="E371" s="3"/>
      <c r="H371" s="3"/>
      <c r="P371" s="77"/>
      <c r="Q371" s="77"/>
      <c r="R371" s="77"/>
      <c r="S371" s="4"/>
      <c r="T371" s="4"/>
      <c r="U371" s="4"/>
      <c r="V371" s="4"/>
    </row>
    <row r="372" spans="4:22" ht="15" x14ac:dyDescent="0.25">
      <c r="D372" s="89"/>
      <c r="E372" s="3"/>
      <c r="H372" s="3"/>
      <c r="P372" s="77"/>
      <c r="Q372" s="77"/>
      <c r="R372" s="77"/>
      <c r="S372" s="4"/>
      <c r="T372" s="4"/>
      <c r="U372" s="4"/>
      <c r="V372" s="4"/>
    </row>
    <row r="373" spans="4:22" ht="15" x14ac:dyDescent="0.25">
      <c r="D373" s="89"/>
      <c r="E373" s="3"/>
      <c r="H373" s="3"/>
      <c r="P373" s="77"/>
      <c r="Q373" s="77"/>
      <c r="R373" s="77"/>
      <c r="S373" s="4"/>
      <c r="T373" s="4"/>
      <c r="U373" s="4"/>
      <c r="V373" s="4"/>
    </row>
    <row r="374" spans="4:22" ht="15" x14ac:dyDescent="0.25">
      <c r="D374" s="89"/>
      <c r="E374" s="3"/>
      <c r="H374" s="3"/>
      <c r="P374" s="77"/>
      <c r="Q374" s="77"/>
      <c r="R374" s="77"/>
      <c r="S374" s="4"/>
      <c r="T374" s="4"/>
      <c r="U374" s="4"/>
      <c r="V374" s="4"/>
    </row>
    <row r="375" spans="4:22" ht="15" x14ac:dyDescent="0.25">
      <c r="D375" s="89"/>
      <c r="E375" s="3"/>
      <c r="H375" s="3"/>
      <c r="P375" s="77"/>
      <c r="Q375" s="77"/>
      <c r="R375" s="77"/>
      <c r="S375" s="4"/>
      <c r="T375" s="4"/>
      <c r="U375" s="4"/>
      <c r="V375" s="4"/>
    </row>
    <row r="376" spans="4:22" ht="15" x14ac:dyDescent="0.25">
      <c r="D376" s="89"/>
      <c r="E376" s="3"/>
      <c r="H376" s="3"/>
      <c r="P376" s="77"/>
      <c r="Q376" s="77"/>
      <c r="R376" s="77"/>
      <c r="S376" s="4"/>
      <c r="T376" s="4"/>
      <c r="U376" s="4"/>
      <c r="V376" s="4"/>
    </row>
    <row r="377" spans="4:22" ht="15" x14ac:dyDescent="0.25">
      <c r="D377" s="89"/>
      <c r="E377" s="3"/>
      <c r="H377" s="3"/>
      <c r="P377" s="77"/>
      <c r="Q377" s="77"/>
      <c r="R377" s="77"/>
      <c r="S377" s="4"/>
      <c r="T377" s="4"/>
      <c r="U377" s="4"/>
      <c r="V377" s="4"/>
    </row>
    <row r="378" spans="4:22" ht="15" x14ac:dyDescent="0.25">
      <c r="D378" s="89"/>
      <c r="E378" s="3"/>
      <c r="H378" s="3"/>
      <c r="P378" s="77"/>
      <c r="Q378" s="77"/>
      <c r="R378" s="77"/>
      <c r="S378" s="4"/>
      <c r="T378" s="4"/>
      <c r="U378" s="4"/>
      <c r="V378" s="4"/>
    </row>
    <row r="379" spans="4:22" ht="15" x14ac:dyDescent="0.25">
      <c r="D379" s="89"/>
      <c r="E379" s="3"/>
      <c r="H379" s="3"/>
      <c r="P379" s="77"/>
      <c r="Q379" s="77"/>
      <c r="R379" s="77"/>
      <c r="S379" s="4"/>
      <c r="T379" s="4"/>
      <c r="U379" s="4"/>
      <c r="V379" s="4"/>
    </row>
    <row r="380" spans="4:22" ht="15" x14ac:dyDescent="0.25">
      <c r="D380" s="89"/>
      <c r="E380" s="3"/>
      <c r="H380" s="3"/>
      <c r="P380" s="77"/>
      <c r="Q380" s="77"/>
      <c r="R380" s="77"/>
      <c r="S380" s="4"/>
      <c r="T380" s="4"/>
      <c r="U380" s="4"/>
      <c r="V380" s="4"/>
    </row>
    <row r="381" spans="4:22" ht="15" x14ac:dyDescent="0.25">
      <c r="D381" s="89"/>
      <c r="E381" s="3"/>
      <c r="H381" s="3"/>
      <c r="P381" s="77"/>
      <c r="Q381" s="77"/>
      <c r="R381" s="77"/>
      <c r="S381" s="4"/>
      <c r="T381" s="4"/>
      <c r="U381" s="4"/>
      <c r="V381" s="4"/>
    </row>
    <row r="382" spans="4:22" ht="15" x14ac:dyDescent="0.25">
      <c r="D382" s="89"/>
      <c r="E382" s="3"/>
      <c r="H382" s="3"/>
      <c r="P382" s="77"/>
      <c r="Q382" s="77"/>
      <c r="R382" s="77"/>
      <c r="S382" s="4"/>
      <c r="T382" s="4"/>
      <c r="U382" s="4"/>
      <c r="V382" s="4"/>
    </row>
    <row r="383" spans="4:22" ht="15" x14ac:dyDescent="0.25">
      <c r="D383" s="89"/>
      <c r="E383" s="3"/>
      <c r="H383" s="3"/>
      <c r="P383" s="77"/>
      <c r="Q383" s="77"/>
      <c r="R383" s="77"/>
      <c r="S383" s="4"/>
      <c r="T383" s="4"/>
      <c r="U383" s="4"/>
      <c r="V383" s="4"/>
    </row>
    <row r="384" spans="4:22" ht="15" x14ac:dyDescent="0.25">
      <c r="D384" s="89"/>
      <c r="E384" s="3"/>
      <c r="H384" s="3"/>
      <c r="P384" s="77"/>
      <c r="Q384" s="77"/>
      <c r="R384" s="77"/>
      <c r="S384" s="4"/>
      <c r="T384" s="4"/>
      <c r="U384" s="4"/>
      <c r="V384" s="4"/>
    </row>
    <row r="385" spans="4:22" ht="15" x14ac:dyDescent="0.25">
      <c r="D385" s="89"/>
      <c r="E385" s="3"/>
      <c r="H385" s="3"/>
      <c r="P385" s="77"/>
      <c r="Q385" s="77"/>
      <c r="R385" s="77"/>
      <c r="S385" s="4"/>
      <c r="T385" s="4"/>
      <c r="U385" s="4"/>
      <c r="V385" s="4"/>
    </row>
    <row r="386" spans="4:22" ht="15" x14ac:dyDescent="0.25">
      <c r="D386" s="89"/>
      <c r="E386" s="3"/>
      <c r="H386" s="3"/>
      <c r="P386" s="77"/>
      <c r="Q386" s="77"/>
      <c r="R386" s="77"/>
      <c r="S386" s="4"/>
      <c r="T386" s="4"/>
      <c r="U386" s="4"/>
      <c r="V386" s="4"/>
    </row>
    <row r="387" spans="4:22" ht="15" x14ac:dyDescent="0.25">
      <c r="D387" s="89"/>
      <c r="E387" s="3"/>
      <c r="H387" s="3"/>
      <c r="P387" s="77"/>
      <c r="Q387" s="77"/>
      <c r="R387" s="77"/>
      <c r="S387" s="4"/>
      <c r="T387" s="4"/>
      <c r="U387" s="4"/>
      <c r="V387" s="4"/>
    </row>
    <row r="388" spans="4:22" ht="15" x14ac:dyDescent="0.25">
      <c r="D388" s="89"/>
      <c r="E388" s="3"/>
      <c r="H388" s="3"/>
      <c r="P388" s="77"/>
      <c r="Q388" s="77"/>
      <c r="R388" s="77"/>
      <c r="S388" s="4"/>
      <c r="T388" s="4"/>
      <c r="U388" s="4"/>
      <c r="V388" s="4"/>
    </row>
    <row r="389" spans="4:22" ht="15" x14ac:dyDescent="0.25">
      <c r="D389" s="89"/>
      <c r="E389" s="3"/>
      <c r="H389" s="3"/>
      <c r="P389" s="77"/>
      <c r="Q389" s="77"/>
      <c r="R389" s="77"/>
      <c r="S389" s="4"/>
      <c r="T389" s="4"/>
      <c r="U389" s="4"/>
      <c r="V389" s="4"/>
    </row>
    <row r="390" spans="4:22" ht="15" x14ac:dyDescent="0.25">
      <c r="D390" s="89"/>
      <c r="E390" s="3"/>
      <c r="H390" s="3"/>
      <c r="P390" s="77"/>
      <c r="Q390" s="77"/>
      <c r="R390" s="77"/>
      <c r="S390" s="4"/>
      <c r="T390" s="4"/>
      <c r="U390" s="4"/>
      <c r="V390" s="4"/>
    </row>
    <row r="391" spans="4:22" ht="15" x14ac:dyDescent="0.25">
      <c r="D391" s="89"/>
      <c r="E391" s="3"/>
      <c r="H391" s="3"/>
      <c r="P391" s="77"/>
      <c r="Q391" s="77"/>
      <c r="R391" s="77"/>
      <c r="S391" s="4"/>
      <c r="T391" s="4"/>
      <c r="U391" s="4"/>
      <c r="V391" s="4"/>
    </row>
    <row r="392" spans="4:22" ht="15" x14ac:dyDescent="0.25">
      <c r="D392" s="89"/>
      <c r="E392" s="3"/>
      <c r="H392" s="3"/>
      <c r="P392" s="77"/>
      <c r="Q392" s="77"/>
      <c r="R392" s="77"/>
      <c r="S392" s="4"/>
      <c r="T392" s="4"/>
      <c r="U392" s="4"/>
      <c r="V392" s="4"/>
    </row>
    <row r="393" spans="4:22" ht="15" x14ac:dyDescent="0.25">
      <c r="D393" s="89"/>
      <c r="E393" s="3"/>
      <c r="H393" s="3"/>
      <c r="P393" s="77"/>
      <c r="Q393" s="77"/>
      <c r="R393" s="77"/>
      <c r="S393" s="4"/>
      <c r="T393" s="4"/>
      <c r="U393" s="4"/>
      <c r="V393" s="4"/>
    </row>
    <row r="394" spans="4:22" ht="15" x14ac:dyDescent="0.25">
      <c r="D394" s="89"/>
      <c r="E394" s="3"/>
      <c r="H394" s="3"/>
      <c r="P394" s="77"/>
      <c r="Q394" s="77"/>
      <c r="R394" s="77"/>
      <c r="S394" s="4"/>
      <c r="T394" s="4"/>
      <c r="U394" s="4"/>
      <c r="V394" s="4"/>
    </row>
    <row r="395" spans="4:22" ht="15" x14ac:dyDescent="0.25">
      <c r="D395" s="89"/>
      <c r="E395" s="3"/>
      <c r="H395" s="3"/>
      <c r="P395" s="77"/>
      <c r="Q395" s="77"/>
      <c r="R395" s="77"/>
      <c r="S395" s="4"/>
      <c r="T395" s="4"/>
      <c r="U395" s="4"/>
      <c r="V395" s="4"/>
    </row>
    <row r="396" spans="4:22" ht="15" x14ac:dyDescent="0.25">
      <c r="D396" s="89"/>
      <c r="E396" s="3"/>
      <c r="H396" s="3"/>
      <c r="P396" s="77"/>
      <c r="Q396" s="77"/>
      <c r="R396" s="77"/>
      <c r="S396" s="4"/>
      <c r="T396" s="4"/>
      <c r="U396" s="4"/>
      <c r="V396" s="4"/>
    </row>
    <row r="397" spans="4:22" ht="15" x14ac:dyDescent="0.25">
      <c r="D397" s="89"/>
      <c r="E397" s="3"/>
      <c r="H397" s="3"/>
      <c r="P397" s="77"/>
      <c r="Q397" s="77"/>
      <c r="R397" s="77"/>
      <c r="S397" s="4"/>
      <c r="T397" s="4"/>
      <c r="U397" s="4"/>
      <c r="V397" s="4"/>
    </row>
    <row r="398" spans="4:22" ht="15" x14ac:dyDescent="0.25">
      <c r="D398" s="89"/>
      <c r="E398" s="3"/>
      <c r="H398" s="3"/>
      <c r="P398" s="77"/>
      <c r="Q398" s="77"/>
      <c r="R398" s="77"/>
      <c r="S398" s="4"/>
      <c r="T398" s="4"/>
      <c r="U398" s="4"/>
      <c r="V398" s="4"/>
    </row>
    <row r="399" spans="4:22" ht="15" x14ac:dyDescent="0.25">
      <c r="D399" s="89"/>
      <c r="E399" s="3"/>
      <c r="H399" s="3"/>
      <c r="P399" s="77"/>
      <c r="Q399" s="77"/>
      <c r="R399" s="77"/>
      <c r="S399" s="4"/>
      <c r="T399" s="4"/>
      <c r="U399" s="4"/>
      <c r="V399" s="4"/>
    </row>
    <row r="400" spans="4:22" ht="15" x14ac:dyDescent="0.25">
      <c r="D400" s="89"/>
      <c r="E400" s="3"/>
      <c r="H400" s="3"/>
      <c r="P400" s="77"/>
      <c r="Q400" s="77"/>
      <c r="R400" s="77"/>
      <c r="S400" s="4"/>
      <c r="T400" s="4"/>
      <c r="U400" s="4"/>
      <c r="V400" s="4"/>
    </row>
    <row r="401" spans="4:22" ht="15" x14ac:dyDescent="0.25">
      <c r="D401" s="89"/>
      <c r="E401" s="3"/>
      <c r="H401" s="3"/>
      <c r="P401" s="77"/>
      <c r="Q401" s="77"/>
      <c r="R401" s="77"/>
      <c r="S401" s="4"/>
      <c r="T401" s="4"/>
      <c r="U401" s="4"/>
      <c r="V401" s="4"/>
    </row>
    <row r="402" spans="4:22" ht="15" x14ac:dyDescent="0.25">
      <c r="D402" s="89"/>
      <c r="E402" s="3"/>
      <c r="H402" s="3"/>
      <c r="P402" s="77"/>
      <c r="Q402" s="77"/>
      <c r="R402" s="77"/>
      <c r="S402" s="4"/>
      <c r="T402" s="4"/>
      <c r="U402" s="4"/>
      <c r="V402" s="4"/>
    </row>
    <row r="403" spans="4:22" ht="15" x14ac:dyDescent="0.25">
      <c r="D403" s="89"/>
      <c r="E403" s="3"/>
      <c r="H403" s="3"/>
      <c r="P403" s="77"/>
      <c r="Q403" s="77"/>
      <c r="R403" s="77"/>
      <c r="S403" s="4"/>
      <c r="T403" s="4"/>
      <c r="U403" s="4"/>
      <c r="V403" s="4"/>
    </row>
    <row r="404" spans="4:22" ht="15" x14ac:dyDescent="0.25">
      <c r="D404" s="89"/>
      <c r="E404" s="3"/>
      <c r="H404" s="3"/>
      <c r="P404" s="77"/>
      <c r="Q404" s="77"/>
      <c r="R404" s="77"/>
      <c r="S404" s="4"/>
      <c r="T404" s="4"/>
      <c r="U404" s="4"/>
      <c r="V404" s="4"/>
    </row>
    <row r="405" spans="4:22" ht="15" x14ac:dyDescent="0.25">
      <c r="D405" s="89"/>
      <c r="E405" s="3"/>
      <c r="H405" s="3"/>
      <c r="P405" s="77"/>
      <c r="Q405" s="77"/>
      <c r="R405" s="77"/>
      <c r="S405" s="4"/>
      <c r="T405" s="4"/>
      <c r="U405" s="4"/>
      <c r="V405" s="4"/>
    </row>
    <row r="406" spans="4:22" ht="15" x14ac:dyDescent="0.25">
      <c r="D406" s="89"/>
      <c r="E406" s="3"/>
      <c r="H406" s="3"/>
      <c r="P406" s="77"/>
      <c r="Q406" s="77"/>
      <c r="R406" s="77"/>
      <c r="S406" s="4"/>
      <c r="T406" s="4"/>
      <c r="U406" s="4"/>
      <c r="V406" s="4"/>
    </row>
    <row r="407" spans="4:22" ht="15" x14ac:dyDescent="0.25">
      <c r="D407" s="89"/>
      <c r="E407" s="3"/>
      <c r="H407" s="3"/>
      <c r="P407" s="77"/>
      <c r="Q407" s="77"/>
      <c r="R407" s="77"/>
      <c r="S407" s="4"/>
      <c r="T407" s="4"/>
      <c r="U407" s="4"/>
      <c r="V407" s="4"/>
    </row>
    <row r="408" spans="4:22" ht="15" x14ac:dyDescent="0.25">
      <c r="D408" s="89"/>
      <c r="E408" s="3"/>
      <c r="H408" s="3"/>
      <c r="P408" s="77"/>
      <c r="Q408" s="77"/>
      <c r="R408" s="77"/>
      <c r="S408" s="4"/>
      <c r="T408" s="4"/>
      <c r="U408" s="4"/>
      <c r="V408" s="4"/>
    </row>
    <row r="409" spans="4:22" ht="15" x14ac:dyDescent="0.25">
      <c r="D409" s="89"/>
      <c r="E409" s="3"/>
      <c r="H409" s="3"/>
      <c r="P409" s="77"/>
      <c r="Q409" s="77"/>
      <c r="R409" s="77"/>
      <c r="S409" s="4"/>
      <c r="T409" s="4"/>
      <c r="U409" s="4"/>
      <c r="V409" s="4"/>
    </row>
    <row r="410" spans="4:22" ht="15" x14ac:dyDescent="0.25">
      <c r="D410" s="89"/>
      <c r="E410" s="3"/>
      <c r="H410" s="3"/>
      <c r="P410" s="77"/>
      <c r="Q410" s="77"/>
      <c r="R410" s="77"/>
      <c r="S410" s="4"/>
      <c r="T410" s="4"/>
      <c r="U410" s="4"/>
      <c r="V410" s="4"/>
    </row>
    <row r="411" spans="4:22" ht="15" x14ac:dyDescent="0.25">
      <c r="D411" s="89"/>
      <c r="E411" s="3"/>
      <c r="H411" s="3"/>
      <c r="P411" s="77"/>
      <c r="Q411" s="77"/>
      <c r="R411" s="77"/>
      <c r="S411" s="4"/>
      <c r="T411" s="4"/>
      <c r="U411" s="4"/>
      <c r="V411" s="4"/>
    </row>
    <row r="412" spans="4:22" ht="15" x14ac:dyDescent="0.25">
      <c r="D412" s="89"/>
      <c r="E412" s="3"/>
      <c r="H412" s="3"/>
      <c r="P412" s="77"/>
      <c r="Q412" s="77"/>
      <c r="R412" s="77"/>
      <c r="S412" s="4"/>
      <c r="T412" s="4"/>
      <c r="U412" s="4"/>
      <c r="V412" s="4"/>
    </row>
    <row r="413" spans="4:22" ht="15" x14ac:dyDescent="0.25">
      <c r="D413" s="89"/>
      <c r="E413" s="3"/>
      <c r="H413" s="3"/>
      <c r="P413" s="77"/>
      <c r="Q413" s="77"/>
      <c r="R413" s="77"/>
      <c r="S413" s="4"/>
      <c r="T413" s="4"/>
      <c r="U413" s="4"/>
      <c r="V413" s="4"/>
    </row>
    <row r="414" spans="4:22" ht="15" x14ac:dyDescent="0.25">
      <c r="D414" s="89"/>
      <c r="E414" s="3"/>
      <c r="H414" s="3"/>
      <c r="P414" s="77"/>
      <c r="Q414" s="77"/>
      <c r="R414" s="77"/>
      <c r="S414" s="4"/>
      <c r="T414" s="4"/>
      <c r="U414" s="4"/>
      <c r="V414" s="4"/>
    </row>
    <row r="415" spans="4:22" ht="15" x14ac:dyDescent="0.25">
      <c r="D415" s="89"/>
      <c r="E415" s="3"/>
      <c r="H415" s="3"/>
      <c r="P415" s="77"/>
      <c r="Q415" s="77"/>
      <c r="R415" s="77"/>
      <c r="S415" s="4"/>
      <c r="T415" s="4"/>
      <c r="U415" s="4"/>
      <c r="V415" s="4"/>
    </row>
    <row r="416" spans="4:22" ht="15" x14ac:dyDescent="0.25">
      <c r="D416" s="89"/>
      <c r="E416" s="3"/>
      <c r="H416" s="3"/>
      <c r="P416" s="77"/>
      <c r="Q416" s="77"/>
      <c r="R416" s="77"/>
      <c r="S416" s="4"/>
      <c r="T416" s="4"/>
      <c r="U416" s="4"/>
      <c r="V416" s="4"/>
    </row>
    <row r="417" spans="4:22" ht="15" x14ac:dyDescent="0.25">
      <c r="D417" s="89"/>
      <c r="E417" s="3"/>
      <c r="H417" s="3"/>
      <c r="P417" s="77"/>
      <c r="Q417" s="77"/>
      <c r="R417" s="77"/>
      <c r="S417" s="4"/>
      <c r="T417" s="4"/>
      <c r="U417" s="4"/>
      <c r="V417" s="4"/>
    </row>
    <row r="418" spans="4:22" ht="15" x14ac:dyDescent="0.25">
      <c r="D418" s="89"/>
      <c r="E418" s="3"/>
      <c r="H418" s="3"/>
      <c r="P418" s="77"/>
      <c r="Q418" s="77"/>
      <c r="R418" s="77"/>
      <c r="S418" s="4"/>
      <c r="T418" s="4"/>
      <c r="U418" s="4"/>
      <c r="V418" s="4"/>
    </row>
    <row r="419" spans="4:22" ht="15" x14ac:dyDescent="0.25">
      <c r="D419" s="89"/>
      <c r="E419" s="3"/>
      <c r="H419" s="3"/>
      <c r="P419" s="77"/>
      <c r="Q419" s="77"/>
      <c r="R419" s="77"/>
      <c r="S419" s="4"/>
      <c r="T419" s="4"/>
      <c r="U419" s="4"/>
      <c r="V419" s="4"/>
    </row>
    <row r="420" spans="4:22" ht="15" x14ac:dyDescent="0.25">
      <c r="D420" s="89"/>
      <c r="E420" s="3"/>
      <c r="H420" s="3"/>
      <c r="P420" s="77"/>
      <c r="Q420" s="77"/>
      <c r="R420" s="77"/>
      <c r="S420" s="4"/>
      <c r="T420" s="4"/>
      <c r="U420" s="4"/>
      <c r="V420" s="4"/>
    </row>
    <row r="421" spans="4:22" ht="15" x14ac:dyDescent="0.25">
      <c r="D421" s="89"/>
      <c r="E421" s="3"/>
      <c r="H421" s="3"/>
      <c r="P421" s="77"/>
      <c r="Q421" s="77"/>
      <c r="R421" s="77"/>
      <c r="S421" s="4"/>
      <c r="T421" s="4"/>
      <c r="U421" s="4"/>
      <c r="V421" s="4"/>
    </row>
    <row r="422" spans="4:22" ht="15" x14ac:dyDescent="0.25">
      <c r="D422" s="89"/>
      <c r="E422" s="3"/>
      <c r="H422" s="3"/>
      <c r="P422" s="77"/>
      <c r="Q422" s="77"/>
      <c r="R422" s="77"/>
      <c r="S422" s="4"/>
      <c r="T422" s="4"/>
      <c r="U422" s="4"/>
      <c r="V422" s="4"/>
    </row>
    <row r="423" spans="4:22" ht="15" x14ac:dyDescent="0.25">
      <c r="D423" s="89"/>
      <c r="E423" s="3"/>
      <c r="H423" s="3"/>
      <c r="P423" s="77"/>
      <c r="Q423" s="77"/>
      <c r="R423" s="77"/>
      <c r="S423" s="4"/>
      <c r="T423" s="4"/>
      <c r="U423" s="4"/>
      <c r="V423" s="4"/>
    </row>
    <row r="424" spans="4:22" ht="15" x14ac:dyDescent="0.25">
      <c r="D424" s="89"/>
      <c r="E424" s="3"/>
      <c r="H424" s="3"/>
      <c r="P424" s="77"/>
      <c r="Q424" s="77"/>
      <c r="R424" s="77"/>
      <c r="S424" s="4"/>
      <c r="T424" s="4"/>
      <c r="U424" s="4"/>
      <c r="V424" s="4"/>
    </row>
    <row r="425" spans="4:22" ht="15" x14ac:dyDescent="0.25">
      <c r="D425" s="89"/>
      <c r="E425" s="3"/>
      <c r="H425" s="3"/>
      <c r="P425" s="77"/>
      <c r="Q425" s="77"/>
      <c r="R425" s="77"/>
      <c r="S425" s="4"/>
      <c r="T425" s="4"/>
      <c r="U425" s="4"/>
      <c r="V425" s="4"/>
    </row>
    <row r="426" spans="4:22" ht="15" x14ac:dyDescent="0.25">
      <c r="D426" s="89"/>
      <c r="E426" s="3"/>
      <c r="H426" s="3"/>
      <c r="P426" s="77"/>
      <c r="Q426" s="77"/>
      <c r="R426" s="77"/>
      <c r="S426" s="4"/>
      <c r="T426" s="4"/>
      <c r="U426" s="4"/>
      <c r="V426" s="4"/>
    </row>
    <row r="427" spans="4:22" ht="15" x14ac:dyDescent="0.25">
      <c r="D427" s="89"/>
      <c r="E427" s="3"/>
      <c r="H427" s="3"/>
      <c r="P427" s="77"/>
      <c r="Q427" s="77"/>
      <c r="R427" s="77"/>
      <c r="S427" s="4"/>
      <c r="T427" s="4"/>
      <c r="U427" s="4"/>
      <c r="V427" s="4"/>
    </row>
    <row r="428" spans="4:22" ht="15" x14ac:dyDescent="0.25">
      <c r="D428" s="89"/>
      <c r="E428" s="3"/>
      <c r="H428" s="3"/>
      <c r="P428" s="77"/>
      <c r="Q428" s="77"/>
      <c r="R428" s="77"/>
      <c r="S428" s="4"/>
      <c r="T428" s="4"/>
      <c r="U428" s="4"/>
      <c r="V428" s="4"/>
    </row>
    <row r="429" spans="4:22" ht="15" x14ac:dyDescent="0.25">
      <c r="D429" s="89"/>
      <c r="E429" s="3"/>
      <c r="H429" s="3"/>
      <c r="P429" s="77"/>
      <c r="Q429" s="77"/>
      <c r="R429" s="77"/>
      <c r="S429" s="4"/>
      <c r="T429" s="4"/>
      <c r="U429" s="4"/>
      <c r="V429" s="4"/>
    </row>
    <row r="430" spans="4:22" ht="15" x14ac:dyDescent="0.25">
      <c r="D430" s="89"/>
      <c r="E430" s="3"/>
      <c r="H430" s="3"/>
      <c r="P430" s="77"/>
      <c r="Q430" s="77"/>
      <c r="R430" s="77"/>
      <c r="S430" s="4"/>
      <c r="T430" s="4"/>
      <c r="U430" s="4"/>
      <c r="V430" s="4"/>
    </row>
    <row r="431" spans="4:22" ht="15" x14ac:dyDescent="0.25">
      <c r="D431" s="89"/>
      <c r="E431" s="3"/>
      <c r="H431" s="3"/>
      <c r="P431" s="77"/>
      <c r="Q431" s="77"/>
      <c r="R431" s="77"/>
      <c r="S431" s="4"/>
      <c r="T431" s="4"/>
      <c r="U431" s="4"/>
      <c r="V431" s="4"/>
    </row>
    <row r="432" spans="4:22" ht="15" x14ac:dyDescent="0.25">
      <c r="D432" s="89"/>
      <c r="E432" s="3"/>
      <c r="H432" s="3"/>
      <c r="P432" s="77"/>
      <c r="Q432" s="77"/>
      <c r="R432" s="77"/>
      <c r="S432" s="4"/>
      <c r="T432" s="4"/>
      <c r="U432" s="4"/>
      <c r="V432" s="4"/>
    </row>
    <row r="433" spans="4:22" ht="15" x14ac:dyDescent="0.25">
      <c r="D433" s="89"/>
      <c r="E433" s="3"/>
      <c r="H433" s="3"/>
      <c r="P433" s="77"/>
      <c r="Q433" s="77"/>
      <c r="R433" s="77"/>
      <c r="S433" s="4"/>
      <c r="T433" s="4"/>
      <c r="U433" s="4"/>
      <c r="V433" s="4"/>
    </row>
    <row r="434" spans="4:22" ht="15" x14ac:dyDescent="0.25">
      <c r="D434" s="89"/>
      <c r="E434" s="3"/>
      <c r="H434" s="3"/>
      <c r="P434" s="77"/>
      <c r="Q434" s="77"/>
      <c r="R434" s="77"/>
      <c r="S434" s="4"/>
      <c r="T434" s="4"/>
      <c r="U434" s="4"/>
      <c r="V434" s="4"/>
    </row>
    <row r="435" spans="4:22" ht="15" x14ac:dyDescent="0.25">
      <c r="D435" s="89"/>
      <c r="E435" s="3"/>
      <c r="H435" s="3"/>
      <c r="P435" s="77"/>
      <c r="Q435" s="77"/>
      <c r="R435" s="77"/>
      <c r="S435" s="4"/>
      <c r="T435" s="4"/>
      <c r="U435" s="4"/>
      <c r="V435" s="4"/>
    </row>
    <row r="436" spans="4:22" ht="15" x14ac:dyDescent="0.25">
      <c r="D436" s="89"/>
      <c r="E436" s="3"/>
      <c r="H436" s="3"/>
      <c r="P436" s="77"/>
      <c r="Q436" s="77"/>
      <c r="R436" s="77"/>
      <c r="S436" s="4"/>
      <c r="T436" s="4"/>
      <c r="U436" s="4"/>
      <c r="V436" s="4"/>
    </row>
    <row r="437" spans="4:22" ht="15" x14ac:dyDescent="0.25">
      <c r="D437" s="89"/>
      <c r="E437" s="3"/>
      <c r="H437" s="3"/>
      <c r="P437" s="77"/>
      <c r="Q437" s="77"/>
      <c r="R437" s="77"/>
      <c r="S437" s="4"/>
      <c r="T437" s="4"/>
      <c r="U437" s="4"/>
      <c r="V437" s="4"/>
    </row>
    <row r="438" spans="4:22" ht="15" x14ac:dyDescent="0.25">
      <c r="D438" s="89"/>
      <c r="E438" s="3"/>
      <c r="H438" s="3"/>
      <c r="P438" s="77"/>
      <c r="Q438" s="77"/>
      <c r="R438" s="77"/>
      <c r="S438" s="4"/>
      <c r="T438" s="4"/>
      <c r="U438" s="4"/>
      <c r="V438" s="4"/>
    </row>
    <row r="439" spans="4:22" ht="15" x14ac:dyDescent="0.25">
      <c r="D439" s="89"/>
      <c r="E439" s="3"/>
      <c r="H439" s="3"/>
      <c r="P439" s="77"/>
      <c r="Q439" s="77"/>
      <c r="R439" s="77"/>
      <c r="S439" s="4"/>
      <c r="T439" s="4"/>
      <c r="U439" s="4"/>
      <c r="V439" s="4"/>
    </row>
    <row r="440" spans="4:22" ht="15" x14ac:dyDescent="0.25">
      <c r="D440" s="89"/>
      <c r="E440" s="3"/>
      <c r="H440" s="3"/>
      <c r="P440" s="77"/>
      <c r="Q440" s="77"/>
      <c r="R440" s="77"/>
      <c r="S440" s="4"/>
      <c r="T440" s="4"/>
      <c r="U440" s="4"/>
      <c r="V440" s="4"/>
    </row>
    <row r="441" spans="4:22" ht="15" x14ac:dyDescent="0.25">
      <c r="D441" s="89"/>
      <c r="E441" s="3"/>
      <c r="H441" s="3"/>
      <c r="P441" s="77"/>
      <c r="Q441" s="77"/>
      <c r="R441" s="77"/>
      <c r="S441" s="4"/>
      <c r="T441" s="4"/>
      <c r="U441" s="4"/>
      <c r="V441" s="4"/>
    </row>
    <row r="442" spans="4:22" ht="15" x14ac:dyDescent="0.25">
      <c r="D442" s="89"/>
      <c r="E442" s="3"/>
      <c r="H442" s="3"/>
      <c r="P442" s="77"/>
      <c r="Q442" s="77"/>
      <c r="R442" s="77"/>
      <c r="S442" s="4"/>
      <c r="T442" s="4"/>
      <c r="U442" s="4"/>
      <c r="V442" s="4"/>
    </row>
    <row r="443" spans="4:22" ht="15" x14ac:dyDescent="0.25">
      <c r="D443" s="89"/>
      <c r="E443" s="3"/>
      <c r="H443" s="3"/>
      <c r="P443" s="77"/>
      <c r="Q443" s="77"/>
      <c r="R443" s="77"/>
      <c r="S443" s="4"/>
      <c r="T443" s="4"/>
      <c r="U443" s="4"/>
      <c r="V443" s="4"/>
    </row>
    <row r="444" spans="4:22" ht="15" x14ac:dyDescent="0.25">
      <c r="D444" s="89"/>
      <c r="E444" s="3"/>
      <c r="H444" s="3"/>
      <c r="P444" s="77"/>
      <c r="Q444" s="77"/>
      <c r="R444" s="77"/>
      <c r="S444" s="4"/>
      <c r="T444" s="4"/>
      <c r="U444" s="4"/>
      <c r="V444" s="4"/>
    </row>
    <row r="445" spans="4:22" ht="15" x14ac:dyDescent="0.25">
      <c r="D445" s="89"/>
      <c r="E445" s="3"/>
      <c r="H445" s="3"/>
      <c r="P445" s="77"/>
      <c r="Q445" s="77"/>
      <c r="R445" s="77"/>
      <c r="S445" s="4"/>
      <c r="T445" s="4"/>
      <c r="U445" s="4"/>
      <c r="V445" s="4"/>
    </row>
    <row r="446" spans="4:22" ht="15" x14ac:dyDescent="0.25">
      <c r="D446" s="89"/>
      <c r="E446" s="3"/>
      <c r="H446" s="3"/>
      <c r="P446" s="77"/>
      <c r="Q446" s="77"/>
      <c r="R446" s="77"/>
      <c r="S446" s="4"/>
      <c r="T446" s="4"/>
      <c r="U446" s="4"/>
      <c r="V446" s="4"/>
    </row>
    <row r="447" spans="4:22" ht="15" x14ac:dyDescent="0.25">
      <c r="D447" s="89"/>
      <c r="E447" s="3"/>
      <c r="H447" s="3"/>
      <c r="P447" s="77"/>
      <c r="Q447" s="77"/>
      <c r="R447" s="77"/>
      <c r="S447" s="4"/>
      <c r="T447" s="4"/>
      <c r="U447" s="4"/>
      <c r="V447" s="4"/>
    </row>
    <row r="448" spans="4:22" ht="15" x14ac:dyDescent="0.25">
      <c r="D448" s="89"/>
      <c r="E448" s="3"/>
      <c r="H448" s="3"/>
      <c r="P448" s="77"/>
      <c r="Q448" s="77"/>
      <c r="R448" s="77"/>
      <c r="S448" s="4"/>
      <c r="T448" s="4"/>
      <c r="U448" s="4"/>
      <c r="V448" s="4"/>
    </row>
    <row r="449" spans="4:22" ht="15" x14ac:dyDescent="0.25">
      <c r="D449" s="89"/>
      <c r="E449" s="3"/>
      <c r="H449" s="3"/>
      <c r="P449" s="77"/>
      <c r="Q449" s="77"/>
      <c r="R449" s="77"/>
      <c r="S449" s="4"/>
      <c r="T449" s="4"/>
      <c r="U449" s="4"/>
      <c r="V449" s="4"/>
    </row>
    <row r="450" spans="4:22" ht="15" x14ac:dyDescent="0.25">
      <c r="D450" s="89"/>
      <c r="E450" s="3"/>
      <c r="H450" s="3"/>
      <c r="P450" s="77"/>
      <c r="Q450" s="77"/>
      <c r="R450" s="77"/>
      <c r="S450" s="4"/>
      <c r="T450" s="4"/>
      <c r="U450" s="4"/>
      <c r="V450" s="4"/>
    </row>
    <row r="451" spans="4:22" ht="15" x14ac:dyDescent="0.25">
      <c r="D451" s="89"/>
      <c r="E451" s="3"/>
      <c r="H451" s="3"/>
      <c r="P451" s="77"/>
      <c r="Q451" s="77"/>
      <c r="R451" s="77"/>
      <c r="S451" s="4"/>
      <c r="T451" s="4"/>
      <c r="U451" s="4"/>
      <c r="V451" s="4"/>
    </row>
    <row r="452" spans="4:22" ht="15" x14ac:dyDescent="0.25">
      <c r="D452" s="89"/>
      <c r="E452" s="3"/>
      <c r="H452" s="3"/>
      <c r="P452" s="77"/>
      <c r="Q452" s="77"/>
      <c r="R452" s="77"/>
      <c r="S452" s="4"/>
      <c r="T452" s="4"/>
      <c r="U452" s="4"/>
      <c r="V452" s="4"/>
    </row>
    <row r="453" spans="4:22" ht="15" x14ac:dyDescent="0.25">
      <c r="D453" s="89"/>
      <c r="E453" s="3"/>
      <c r="H453" s="3"/>
      <c r="P453" s="77"/>
      <c r="Q453" s="77"/>
      <c r="R453" s="77"/>
      <c r="S453" s="4"/>
      <c r="T453" s="4"/>
      <c r="U453" s="4"/>
      <c r="V453" s="4"/>
    </row>
    <row r="454" spans="4:22" ht="15" x14ac:dyDescent="0.25">
      <c r="D454" s="89"/>
      <c r="E454" s="3"/>
      <c r="H454" s="3"/>
      <c r="P454" s="77"/>
      <c r="Q454" s="77"/>
      <c r="R454" s="77"/>
      <c r="S454" s="4"/>
      <c r="T454" s="4"/>
      <c r="U454" s="4"/>
      <c r="V454" s="4"/>
    </row>
    <row r="455" spans="4:22" ht="15" x14ac:dyDescent="0.25">
      <c r="D455" s="89"/>
      <c r="E455" s="3"/>
      <c r="H455" s="3"/>
      <c r="P455" s="77"/>
      <c r="Q455" s="77"/>
      <c r="R455" s="77"/>
      <c r="S455" s="4"/>
      <c r="T455" s="4"/>
      <c r="U455" s="4"/>
      <c r="V455" s="4"/>
    </row>
    <row r="456" spans="4:22" ht="15" x14ac:dyDescent="0.25">
      <c r="D456" s="89"/>
      <c r="E456" s="3"/>
      <c r="H456" s="3"/>
      <c r="P456" s="77"/>
      <c r="Q456" s="77"/>
      <c r="R456" s="77"/>
      <c r="S456" s="4"/>
      <c r="T456" s="4"/>
      <c r="U456" s="4"/>
      <c r="V456" s="4"/>
    </row>
    <row r="457" spans="4:22" ht="15" x14ac:dyDescent="0.25">
      <c r="D457" s="89"/>
      <c r="E457" s="3"/>
      <c r="H457" s="3"/>
      <c r="P457" s="77"/>
      <c r="Q457" s="77"/>
      <c r="R457" s="77"/>
      <c r="S457" s="4"/>
      <c r="T457" s="4"/>
      <c r="U457" s="4"/>
      <c r="V457" s="4"/>
    </row>
    <row r="458" spans="4:22" ht="15" x14ac:dyDescent="0.25">
      <c r="D458" s="89"/>
      <c r="E458" s="3"/>
      <c r="H458" s="3"/>
      <c r="P458" s="77"/>
      <c r="Q458" s="77"/>
      <c r="R458" s="77"/>
      <c r="S458" s="4"/>
      <c r="T458" s="4"/>
      <c r="U458" s="4"/>
      <c r="V458" s="4"/>
    </row>
    <row r="459" spans="4:22" ht="15" x14ac:dyDescent="0.25">
      <c r="D459" s="89"/>
      <c r="E459" s="3"/>
      <c r="H459" s="3"/>
      <c r="P459" s="77"/>
      <c r="Q459" s="77"/>
      <c r="R459" s="77"/>
      <c r="S459" s="4"/>
      <c r="T459" s="4"/>
      <c r="U459" s="4"/>
      <c r="V459" s="4"/>
    </row>
    <row r="460" spans="4:22" ht="15" x14ac:dyDescent="0.25">
      <c r="D460" s="89"/>
      <c r="E460" s="3"/>
      <c r="H460" s="3"/>
      <c r="P460" s="77"/>
      <c r="Q460" s="77"/>
      <c r="R460" s="77"/>
      <c r="S460" s="4"/>
      <c r="T460" s="4"/>
      <c r="U460" s="4"/>
      <c r="V460" s="4"/>
    </row>
    <row r="461" spans="4:22" ht="15" x14ac:dyDescent="0.25">
      <c r="D461" s="89"/>
      <c r="E461" s="3"/>
      <c r="H461" s="3"/>
      <c r="P461" s="77"/>
      <c r="Q461" s="77"/>
      <c r="R461" s="77"/>
      <c r="S461" s="4"/>
      <c r="T461" s="4"/>
      <c r="U461" s="4"/>
      <c r="V461" s="4"/>
    </row>
    <row r="462" spans="4:22" ht="15" x14ac:dyDescent="0.25">
      <c r="D462" s="89"/>
      <c r="E462" s="3"/>
      <c r="H462" s="3"/>
      <c r="P462" s="77"/>
      <c r="Q462" s="77"/>
      <c r="R462" s="77"/>
      <c r="S462" s="4"/>
      <c r="T462" s="4"/>
      <c r="U462" s="4"/>
      <c r="V462" s="4"/>
    </row>
    <row r="463" spans="4:22" ht="15" x14ac:dyDescent="0.25">
      <c r="D463" s="89"/>
      <c r="E463" s="3"/>
      <c r="H463" s="3"/>
      <c r="P463" s="77"/>
      <c r="Q463" s="77"/>
      <c r="R463" s="77"/>
      <c r="S463" s="4"/>
      <c r="T463" s="4"/>
      <c r="U463" s="4"/>
      <c r="V463" s="4"/>
    </row>
    <row r="464" spans="4:22" ht="15" x14ac:dyDescent="0.25">
      <c r="D464" s="89"/>
      <c r="E464" s="3"/>
      <c r="H464" s="3"/>
      <c r="P464" s="77"/>
      <c r="Q464" s="77"/>
      <c r="R464" s="77"/>
      <c r="S464" s="4"/>
      <c r="T464" s="4"/>
      <c r="U464" s="4"/>
      <c r="V464" s="4"/>
    </row>
    <row r="465" spans="4:22" ht="15" x14ac:dyDescent="0.25">
      <c r="D465" s="89"/>
      <c r="E465" s="3"/>
      <c r="H465" s="3"/>
      <c r="P465" s="77"/>
      <c r="Q465" s="77"/>
      <c r="R465" s="77"/>
      <c r="S465" s="4"/>
      <c r="T465" s="4"/>
      <c r="U465" s="4"/>
      <c r="V465" s="4"/>
    </row>
    <row r="466" spans="4:22" ht="15" x14ac:dyDescent="0.25">
      <c r="D466" s="89"/>
      <c r="E466" s="3"/>
      <c r="H466" s="3"/>
      <c r="P466" s="77"/>
      <c r="Q466" s="77"/>
      <c r="R466" s="77"/>
      <c r="S466" s="4"/>
      <c r="T466" s="4"/>
      <c r="U466" s="4"/>
      <c r="V466" s="4"/>
    </row>
    <row r="467" spans="4:22" ht="15" x14ac:dyDescent="0.25">
      <c r="D467" s="89"/>
      <c r="E467" s="3"/>
      <c r="H467" s="3"/>
      <c r="P467" s="77"/>
      <c r="Q467" s="77"/>
      <c r="R467" s="77"/>
      <c r="S467" s="4"/>
      <c r="T467" s="4"/>
      <c r="U467" s="4"/>
      <c r="V467" s="4"/>
    </row>
    <row r="468" spans="4:22" ht="15" x14ac:dyDescent="0.25">
      <c r="D468" s="89"/>
      <c r="E468" s="3"/>
      <c r="H468" s="3"/>
      <c r="P468" s="77"/>
      <c r="Q468" s="77"/>
      <c r="R468" s="77"/>
      <c r="S468" s="4"/>
      <c r="T468" s="4"/>
      <c r="U468" s="4"/>
      <c r="V468" s="4"/>
    </row>
    <row r="469" spans="4:22" ht="15" x14ac:dyDescent="0.25">
      <c r="D469" s="89"/>
      <c r="E469" s="3"/>
      <c r="H469" s="3"/>
      <c r="P469" s="77"/>
      <c r="Q469" s="77"/>
      <c r="R469" s="77"/>
      <c r="S469" s="4"/>
      <c r="T469" s="4"/>
      <c r="U469" s="4"/>
      <c r="V469" s="4"/>
    </row>
    <row r="470" spans="4:22" ht="15" x14ac:dyDescent="0.25">
      <c r="D470" s="89"/>
      <c r="E470" s="3"/>
      <c r="H470" s="3"/>
      <c r="P470" s="77"/>
      <c r="Q470" s="77"/>
      <c r="R470" s="77"/>
      <c r="S470" s="4"/>
      <c r="T470" s="4"/>
      <c r="U470" s="4"/>
      <c r="V470" s="4"/>
    </row>
    <row r="471" spans="4:22" ht="15" x14ac:dyDescent="0.25">
      <c r="D471" s="89"/>
      <c r="E471" s="3"/>
      <c r="H471" s="3"/>
      <c r="P471" s="77"/>
      <c r="Q471" s="77"/>
      <c r="R471" s="77"/>
      <c r="S471" s="4"/>
      <c r="T471" s="4"/>
      <c r="U471" s="4"/>
      <c r="V471" s="4"/>
    </row>
    <row r="472" spans="4:22" ht="15" x14ac:dyDescent="0.25">
      <c r="D472" s="89"/>
      <c r="E472" s="3"/>
      <c r="H472" s="3"/>
      <c r="P472" s="77"/>
      <c r="Q472" s="77"/>
      <c r="R472" s="77"/>
      <c r="S472" s="4"/>
      <c r="T472" s="4"/>
      <c r="U472" s="4"/>
      <c r="V472" s="4"/>
    </row>
    <row r="473" spans="4:22" ht="15" x14ac:dyDescent="0.25">
      <c r="D473" s="89"/>
      <c r="E473" s="3"/>
      <c r="H473" s="3"/>
      <c r="P473" s="77"/>
      <c r="Q473" s="77"/>
      <c r="R473" s="77"/>
      <c r="S473" s="4"/>
      <c r="T473" s="4"/>
      <c r="U473" s="4"/>
      <c r="V473" s="4"/>
    </row>
    <row r="474" spans="4:22" ht="15" x14ac:dyDescent="0.25">
      <c r="D474" s="89"/>
      <c r="E474" s="3"/>
      <c r="H474" s="3"/>
      <c r="P474" s="77"/>
      <c r="Q474" s="77"/>
      <c r="R474" s="77"/>
      <c r="S474" s="4"/>
      <c r="T474" s="4"/>
      <c r="U474" s="4"/>
      <c r="V474" s="4"/>
    </row>
    <row r="475" spans="4:22" ht="15" x14ac:dyDescent="0.25">
      <c r="D475" s="89"/>
      <c r="E475" s="3"/>
      <c r="H475" s="3"/>
      <c r="P475" s="77"/>
      <c r="Q475" s="77"/>
      <c r="R475" s="77"/>
      <c r="S475" s="4"/>
      <c r="T475" s="4"/>
      <c r="U475" s="4"/>
      <c r="V475" s="4"/>
    </row>
    <row r="476" spans="4:22" ht="15" x14ac:dyDescent="0.25">
      <c r="D476" s="89"/>
      <c r="E476" s="3"/>
      <c r="H476" s="3"/>
      <c r="P476" s="77"/>
      <c r="Q476" s="77"/>
      <c r="R476" s="77"/>
      <c r="S476" s="4"/>
      <c r="T476" s="4"/>
      <c r="U476" s="4"/>
      <c r="V476" s="4"/>
    </row>
    <row r="477" spans="4:22" ht="15" x14ac:dyDescent="0.25">
      <c r="D477" s="89"/>
      <c r="E477" s="3"/>
      <c r="H477" s="3"/>
      <c r="P477" s="77"/>
      <c r="Q477" s="77"/>
      <c r="R477" s="77"/>
      <c r="S477" s="4"/>
      <c r="T477" s="4"/>
      <c r="U477" s="4"/>
      <c r="V477" s="4"/>
    </row>
    <row r="478" spans="4:22" ht="15" x14ac:dyDescent="0.25">
      <c r="D478" s="89"/>
      <c r="E478" s="3"/>
      <c r="H478" s="3"/>
      <c r="P478" s="77"/>
      <c r="Q478" s="77"/>
      <c r="R478" s="77"/>
      <c r="S478" s="4"/>
      <c r="T478" s="4"/>
      <c r="U478" s="4"/>
      <c r="V478" s="4"/>
    </row>
    <row r="479" spans="4:22" ht="15" x14ac:dyDescent="0.25">
      <c r="D479" s="89"/>
      <c r="E479" s="3"/>
      <c r="H479" s="3"/>
      <c r="P479" s="77"/>
      <c r="Q479" s="77"/>
      <c r="R479" s="77"/>
      <c r="S479" s="4"/>
      <c r="T479" s="4"/>
      <c r="U479" s="4"/>
      <c r="V479" s="4"/>
    </row>
    <row r="480" spans="4:22" ht="15" x14ac:dyDescent="0.25">
      <c r="D480" s="89"/>
      <c r="E480" s="3"/>
      <c r="H480" s="3"/>
      <c r="P480" s="77"/>
      <c r="Q480" s="77"/>
      <c r="R480" s="77"/>
      <c r="S480" s="4"/>
      <c r="T480" s="4"/>
      <c r="U480" s="4"/>
      <c r="V480" s="4"/>
    </row>
    <row r="481" spans="4:22" ht="15" x14ac:dyDescent="0.25">
      <c r="D481" s="89"/>
      <c r="E481" s="3"/>
      <c r="H481" s="3"/>
      <c r="P481" s="77"/>
      <c r="Q481" s="77"/>
      <c r="R481" s="77"/>
      <c r="S481" s="4"/>
      <c r="T481" s="4"/>
      <c r="U481" s="4"/>
      <c r="V481" s="4"/>
    </row>
    <row r="482" spans="4:22" ht="15" x14ac:dyDescent="0.25">
      <c r="D482" s="89"/>
      <c r="E482" s="3"/>
      <c r="H482" s="3"/>
      <c r="P482" s="77"/>
      <c r="Q482" s="77"/>
      <c r="R482" s="77"/>
      <c r="S482" s="4"/>
      <c r="T482" s="4"/>
      <c r="U482" s="4"/>
      <c r="V482" s="4"/>
    </row>
    <row r="483" spans="4:22" ht="15" x14ac:dyDescent="0.25">
      <c r="D483" s="89"/>
      <c r="E483" s="3"/>
      <c r="H483" s="3"/>
      <c r="P483" s="77"/>
      <c r="Q483" s="77"/>
      <c r="R483" s="77"/>
      <c r="S483" s="4"/>
      <c r="T483" s="4"/>
      <c r="U483" s="4"/>
      <c r="V483" s="4"/>
    </row>
    <row r="484" spans="4:22" ht="15" x14ac:dyDescent="0.25">
      <c r="D484" s="89"/>
      <c r="E484" s="3"/>
      <c r="H484" s="3"/>
      <c r="P484" s="77"/>
      <c r="Q484" s="77"/>
      <c r="R484" s="77"/>
      <c r="S484" s="4"/>
      <c r="T484" s="4"/>
      <c r="U484" s="4"/>
      <c r="V484" s="4"/>
    </row>
    <row r="485" spans="4:22" ht="15" x14ac:dyDescent="0.25">
      <c r="D485" s="89"/>
      <c r="E485" s="3"/>
      <c r="H485" s="3"/>
      <c r="P485" s="77"/>
      <c r="Q485" s="77"/>
      <c r="R485" s="77"/>
      <c r="S485" s="4"/>
      <c r="T485" s="4"/>
      <c r="U485" s="4"/>
      <c r="V485" s="4"/>
    </row>
    <row r="486" spans="4:22" ht="15" x14ac:dyDescent="0.25">
      <c r="D486" s="89"/>
      <c r="E486" s="3"/>
      <c r="H486" s="3"/>
      <c r="P486" s="77"/>
      <c r="Q486" s="77"/>
      <c r="R486" s="77"/>
      <c r="S486" s="4"/>
      <c r="T486" s="4"/>
      <c r="U486" s="4"/>
      <c r="V486" s="4"/>
    </row>
    <row r="487" spans="4:22" ht="15" x14ac:dyDescent="0.25">
      <c r="D487" s="89"/>
      <c r="E487" s="3"/>
      <c r="H487" s="3"/>
      <c r="P487" s="77"/>
      <c r="Q487" s="77"/>
      <c r="R487" s="77"/>
      <c r="S487" s="4"/>
      <c r="T487" s="4"/>
      <c r="U487" s="4"/>
      <c r="V487" s="4"/>
    </row>
    <row r="488" spans="4:22" ht="15" x14ac:dyDescent="0.25">
      <c r="D488" s="89"/>
      <c r="E488" s="3"/>
      <c r="H488" s="3"/>
      <c r="P488" s="77"/>
      <c r="Q488" s="77"/>
      <c r="R488" s="77"/>
      <c r="S488" s="4"/>
      <c r="T488" s="4"/>
      <c r="U488" s="4"/>
      <c r="V488" s="4"/>
    </row>
    <row r="489" spans="4:22" ht="15" x14ac:dyDescent="0.25">
      <c r="D489" s="89"/>
      <c r="E489" s="3"/>
      <c r="H489" s="3"/>
      <c r="P489" s="77"/>
      <c r="Q489" s="77"/>
      <c r="R489" s="77"/>
      <c r="S489" s="4"/>
      <c r="T489" s="4"/>
      <c r="U489" s="4"/>
      <c r="V489" s="4"/>
    </row>
    <row r="490" spans="4:22" ht="15" x14ac:dyDescent="0.25">
      <c r="D490" s="89"/>
      <c r="E490" s="3"/>
      <c r="H490" s="3"/>
      <c r="P490" s="77"/>
      <c r="Q490" s="77"/>
      <c r="R490" s="77"/>
      <c r="S490" s="4"/>
      <c r="T490" s="4"/>
      <c r="U490" s="4"/>
      <c r="V490" s="4"/>
    </row>
    <row r="491" spans="4:22" ht="15" x14ac:dyDescent="0.25">
      <c r="D491" s="89"/>
      <c r="E491" s="3"/>
      <c r="H491" s="3"/>
      <c r="P491" s="77"/>
      <c r="Q491" s="77"/>
      <c r="R491" s="77"/>
      <c r="S491" s="4"/>
      <c r="T491" s="4"/>
      <c r="U491" s="4"/>
      <c r="V491" s="4"/>
    </row>
    <row r="492" spans="4:22" ht="15" x14ac:dyDescent="0.25">
      <c r="D492" s="89"/>
      <c r="E492" s="3"/>
      <c r="H492" s="3"/>
      <c r="P492" s="77"/>
      <c r="Q492" s="77"/>
      <c r="R492" s="77"/>
      <c r="S492" s="4"/>
      <c r="T492" s="4"/>
      <c r="U492" s="4"/>
      <c r="V492" s="4"/>
    </row>
    <row r="493" spans="4:22" ht="15" x14ac:dyDescent="0.25">
      <c r="D493" s="89"/>
      <c r="E493" s="3"/>
      <c r="H493" s="3"/>
      <c r="P493" s="77"/>
      <c r="Q493" s="77"/>
      <c r="R493" s="77"/>
      <c r="S493" s="4"/>
      <c r="T493" s="4"/>
      <c r="U493" s="4"/>
      <c r="V493" s="4"/>
    </row>
    <row r="494" spans="4:22" ht="15" x14ac:dyDescent="0.25">
      <c r="D494" s="89"/>
      <c r="E494" s="3"/>
      <c r="H494" s="3"/>
      <c r="P494" s="77"/>
      <c r="Q494" s="77"/>
      <c r="R494" s="77"/>
      <c r="S494" s="4"/>
      <c r="T494" s="4"/>
      <c r="U494" s="4"/>
      <c r="V494" s="4"/>
    </row>
    <row r="495" spans="4:22" ht="15" x14ac:dyDescent="0.25">
      <c r="D495" s="89"/>
      <c r="E495" s="3"/>
      <c r="H495" s="3"/>
      <c r="P495" s="77"/>
      <c r="Q495" s="77"/>
      <c r="R495" s="77"/>
      <c r="S495" s="4"/>
      <c r="T495" s="4"/>
      <c r="U495" s="4"/>
      <c r="V495" s="4"/>
    </row>
    <row r="496" spans="4:22" ht="15" x14ac:dyDescent="0.25">
      <c r="D496" s="89"/>
      <c r="E496" s="3"/>
      <c r="H496" s="3"/>
      <c r="P496" s="77"/>
      <c r="Q496" s="77"/>
      <c r="R496" s="77"/>
      <c r="S496" s="4"/>
      <c r="T496" s="4"/>
      <c r="U496" s="4"/>
      <c r="V496" s="4"/>
    </row>
    <row r="497" spans="4:22" ht="15" x14ac:dyDescent="0.25">
      <c r="D497" s="89"/>
      <c r="E497" s="3"/>
      <c r="H497" s="3"/>
      <c r="P497" s="77"/>
      <c r="Q497" s="77"/>
      <c r="R497" s="77"/>
      <c r="S497" s="4"/>
      <c r="T497" s="4"/>
      <c r="U497" s="4"/>
      <c r="V497" s="4"/>
    </row>
    <row r="498" spans="4:22" ht="15" x14ac:dyDescent="0.25">
      <c r="D498" s="89"/>
      <c r="E498" s="3"/>
      <c r="H498" s="3"/>
      <c r="P498" s="77"/>
      <c r="Q498" s="77"/>
      <c r="R498" s="77"/>
      <c r="S498" s="4"/>
      <c r="T498" s="4"/>
      <c r="U498" s="4"/>
      <c r="V498" s="4"/>
    </row>
    <row r="499" spans="4:22" ht="15" x14ac:dyDescent="0.25">
      <c r="D499" s="89"/>
      <c r="E499" s="3"/>
      <c r="H499" s="3"/>
      <c r="P499" s="77"/>
      <c r="Q499" s="77"/>
      <c r="R499" s="77"/>
      <c r="S499" s="4"/>
      <c r="T499" s="4"/>
      <c r="U499" s="4"/>
      <c r="V499" s="4"/>
    </row>
    <row r="500" spans="4:22" ht="15" x14ac:dyDescent="0.25">
      <c r="D500" s="89"/>
      <c r="E500" s="3"/>
      <c r="H500" s="3"/>
      <c r="P500" s="77"/>
      <c r="Q500" s="77"/>
      <c r="R500" s="77"/>
      <c r="S500" s="4"/>
      <c r="T500" s="4"/>
      <c r="U500" s="4"/>
      <c r="V500" s="4"/>
    </row>
    <row r="501" spans="4:22" ht="15" x14ac:dyDescent="0.25">
      <c r="D501" s="89"/>
      <c r="E501" s="3"/>
      <c r="H501" s="3"/>
      <c r="P501" s="77"/>
      <c r="Q501" s="77"/>
      <c r="R501" s="77"/>
      <c r="S501" s="4"/>
      <c r="T501" s="4"/>
      <c r="U501" s="4"/>
      <c r="V501" s="4"/>
    </row>
    <row r="502" spans="4:22" ht="15" x14ac:dyDescent="0.25">
      <c r="D502" s="89"/>
      <c r="E502" s="3"/>
      <c r="H502" s="3"/>
      <c r="P502" s="77"/>
      <c r="Q502" s="77"/>
      <c r="R502" s="77"/>
      <c r="S502" s="4"/>
      <c r="T502" s="4"/>
      <c r="U502" s="4"/>
      <c r="V502" s="4"/>
    </row>
    <row r="503" spans="4:22" ht="15" x14ac:dyDescent="0.25">
      <c r="D503" s="89"/>
      <c r="E503" s="3"/>
      <c r="H503" s="3"/>
      <c r="P503" s="77"/>
      <c r="Q503" s="77"/>
      <c r="R503" s="77"/>
      <c r="S503" s="4"/>
      <c r="T503" s="4"/>
      <c r="U503" s="4"/>
      <c r="V503" s="4"/>
    </row>
    <row r="504" spans="4:22" ht="15" x14ac:dyDescent="0.25">
      <c r="D504" s="89"/>
      <c r="E504" s="3"/>
      <c r="H504" s="3"/>
      <c r="P504" s="77"/>
      <c r="Q504" s="77"/>
      <c r="R504" s="77"/>
      <c r="S504" s="4"/>
      <c r="T504" s="4"/>
      <c r="U504" s="4"/>
      <c r="V504" s="4"/>
    </row>
    <row r="505" spans="4:22" ht="15" x14ac:dyDescent="0.25">
      <c r="D505" s="89"/>
      <c r="E505" s="3"/>
      <c r="H505" s="3"/>
      <c r="P505" s="77"/>
      <c r="Q505" s="77"/>
      <c r="R505" s="77"/>
      <c r="S505" s="4"/>
      <c r="T505" s="4"/>
      <c r="U505" s="4"/>
      <c r="V505" s="4"/>
    </row>
    <row r="506" spans="4:22" ht="15" x14ac:dyDescent="0.25">
      <c r="D506" s="89"/>
      <c r="E506" s="3"/>
      <c r="H506" s="3"/>
      <c r="P506" s="77"/>
      <c r="Q506" s="77"/>
      <c r="R506" s="77"/>
      <c r="S506" s="4"/>
      <c r="T506" s="4"/>
      <c r="U506" s="4"/>
      <c r="V506" s="4"/>
    </row>
    <row r="507" spans="4:22" ht="15" x14ac:dyDescent="0.25">
      <c r="D507" s="89"/>
      <c r="E507" s="3"/>
      <c r="H507" s="3"/>
      <c r="P507" s="77"/>
      <c r="Q507" s="77"/>
      <c r="R507" s="77"/>
      <c r="S507" s="4"/>
      <c r="T507" s="4"/>
      <c r="U507" s="4"/>
      <c r="V507" s="4"/>
    </row>
    <row r="508" spans="4:22" ht="15" x14ac:dyDescent="0.25">
      <c r="D508" s="89"/>
      <c r="E508" s="3"/>
      <c r="H508" s="3"/>
      <c r="P508" s="77"/>
      <c r="Q508" s="77"/>
      <c r="R508" s="77"/>
      <c r="S508" s="4"/>
      <c r="T508" s="4"/>
      <c r="U508" s="4"/>
      <c r="V508" s="4"/>
    </row>
    <row r="509" spans="4:22" ht="15" x14ac:dyDescent="0.25">
      <c r="D509" s="89"/>
      <c r="E509" s="3"/>
      <c r="H509" s="3"/>
      <c r="P509" s="77"/>
      <c r="Q509" s="77"/>
      <c r="R509" s="77"/>
      <c r="S509" s="4"/>
      <c r="T509" s="4"/>
      <c r="U509" s="4"/>
      <c r="V509" s="4"/>
    </row>
    <row r="510" spans="4:22" ht="15" x14ac:dyDescent="0.25">
      <c r="D510" s="89"/>
      <c r="E510" s="3"/>
      <c r="H510" s="3"/>
      <c r="P510" s="77"/>
      <c r="Q510" s="77"/>
      <c r="R510" s="77"/>
      <c r="S510" s="4"/>
      <c r="T510" s="4"/>
      <c r="U510" s="4"/>
      <c r="V510" s="4"/>
    </row>
    <row r="511" spans="4:22" ht="15" x14ac:dyDescent="0.25">
      <c r="D511" s="89"/>
      <c r="E511" s="3"/>
      <c r="H511" s="3"/>
      <c r="P511" s="77"/>
      <c r="Q511" s="77"/>
      <c r="R511" s="77"/>
      <c r="S511" s="4"/>
      <c r="T511" s="4"/>
      <c r="U511" s="4"/>
      <c r="V511" s="4"/>
    </row>
    <row r="512" spans="4:22" ht="15" x14ac:dyDescent="0.25">
      <c r="D512" s="89"/>
      <c r="E512" s="3"/>
      <c r="H512" s="3"/>
      <c r="P512" s="77"/>
      <c r="Q512" s="77"/>
      <c r="R512" s="77"/>
      <c r="S512" s="4"/>
      <c r="T512" s="4"/>
      <c r="U512" s="4"/>
      <c r="V512" s="4"/>
    </row>
    <row r="513" spans="4:22" ht="15" x14ac:dyDescent="0.25">
      <c r="D513" s="89"/>
      <c r="E513" s="3"/>
      <c r="H513" s="3"/>
      <c r="P513" s="77"/>
      <c r="Q513" s="77"/>
      <c r="R513" s="77"/>
      <c r="S513" s="4"/>
      <c r="T513" s="4"/>
      <c r="U513" s="4"/>
      <c r="V513" s="4"/>
    </row>
    <row r="514" spans="4:22" ht="15" x14ac:dyDescent="0.25">
      <c r="D514" s="89"/>
      <c r="E514" s="3"/>
      <c r="H514" s="3"/>
      <c r="P514" s="77"/>
      <c r="Q514" s="77"/>
      <c r="R514" s="77"/>
      <c r="S514" s="4"/>
      <c r="T514" s="4"/>
      <c r="U514" s="4"/>
      <c r="V514" s="4"/>
    </row>
    <row r="515" spans="4:22" ht="15" x14ac:dyDescent="0.25">
      <c r="D515" s="89"/>
      <c r="E515" s="3"/>
      <c r="H515" s="3"/>
      <c r="P515" s="77"/>
      <c r="Q515" s="77"/>
      <c r="R515" s="77"/>
      <c r="S515" s="4"/>
      <c r="T515" s="4"/>
      <c r="U515" s="4"/>
      <c r="V515" s="4"/>
    </row>
    <row r="516" spans="4:22" ht="15" x14ac:dyDescent="0.25">
      <c r="D516" s="89"/>
      <c r="E516" s="3"/>
      <c r="H516" s="3"/>
      <c r="P516" s="77"/>
      <c r="Q516" s="77"/>
      <c r="R516" s="77"/>
      <c r="S516" s="4"/>
      <c r="T516" s="4"/>
      <c r="U516" s="4"/>
      <c r="V516" s="4"/>
    </row>
    <row r="517" spans="4:22" ht="15" x14ac:dyDescent="0.25">
      <c r="D517" s="89"/>
      <c r="E517" s="3"/>
      <c r="H517" s="3"/>
      <c r="P517" s="77"/>
      <c r="Q517" s="77"/>
      <c r="R517" s="77"/>
      <c r="S517" s="4"/>
      <c r="T517" s="4"/>
      <c r="U517" s="4"/>
      <c r="V517" s="4"/>
    </row>
    <row r="518" spans="4:22" ht="15" x14ac:dyDescent="0.25">
      <c r="D518" s="89"/>
      <c r="E518" s="3"/>
      <c r="H518" s="3"/>
      <c r="P518" s="77"/>
      <c r="Q518" s="77"/>
      <c r="R518" s="77"/>
      <c r="S518" s="4"/>
      <c r="T518" s="4"/>
      <c r="U518" s="4"/>
      <c r="V518" s="4"/>
    </row>
    <row r="519" spans="4:22" ht="15" x14ac:dyDescent="0.25">
      <c r="D519" s="89"/>
      <c r="E519" s="3"/>
      <c r="H519" s="3"/>
      <c r="P519" s="77"/>
      <c r="Q519" s="77"/>
      <c r="R519" s="77"/>
      <c r="S519" s="4"/>
      <c r="T519" s="4"/>
      <c r="U519" s="4"/>
      <c r="V519" s="4"/>
    </row>
    <row r="520" spans="4:22" ht="15" x14ac:dyDescent="0.25">
      <c r="D520" s="89"/>
      <c r="E520" s="3"/>
      <c r="H520" s="3"/>
      <c r="P520" s="77"/>
      <c r="Q520" s="77"/>
      <c r="R520" s="77"/>
      <c r="S520" s="4"/>
      <c r="T520" s="4"/>
      <c r="U520" s="4"/>
      <c r="V520" s="4"/>
    </row>
    <row r="521" spans="4:22" ht="15" x14ac:dyDescent="0.25">
      <c r="D521" s="89"/>
      <c r="E521" s="3"/>
      <c r="H521" s="3"/>
      <c r="P521" s="77"/>
      <c r="Q521" s="77"/>
      <c r="R521" s="77"/>
      <c r="S521" s="4"/>
      <c r="T521" s="4"/>
      <c r="U521" s="4"/>
      <c r="V521" s="4"/>
    </row>
    <row r="522" spans="4:22" ht="15" x14ac:dyDescent="0.25">
      <c r="D522" s="89"/>
      <c r="E522" s="3"/>
      <c r="H522" s="3"/>
      <c r="P522" s="77"/>
      <c r="Q522" s="77"/>
      <c r="R522" s="77"/>
      <c r="S522" s="4"/>
      <c r="T522" s="4"/>
      <c r="U522" s="4"/>
      <c r="V522" s="4"/>
    </row>
    <row r="523" spans="4:22" ht="15" x14ac:dyDescent="0.25">
      <c r="D523" s="89"/>
      <c r="E523" s="3"/>
      <c r="H523" s="3"/>
      <c r="P523" s="77"/>
      <c r="Q523" s="77"/>
      <c r="R523" s="77"/>
      <c r="S523" s="4"/>
      <c r="T523" s="4"/>
      <c r="U523" s="4"/>
      <c r="V523" s="4"/>
    </row>
    <row r="524" spans="4:22" ht="15" x14ac:dyDescent="0.25">
      <c r="D524" s="89"/>
      <c r="E524" s="3"/>
      <c r="H524" s="3"/>
      <c r="P524" s="77"/>
      <c r="Q524" s="77"/>
      <c r="R524" s="77"/>
      <c r="S524" s="4"/>
      <c r="T524" s="4"/>
      <c r="U524" s="4"/>
      <c r="V524" s="4"/>
    </row>
    <row r="525" spans="4:22" ht="15" x14ac:dyDescent="0.25">
      <c r="D525" s="89"/>
      <c r="E525" s="3"/>
      <c r="H525" s="3"/>
      <c r="P525" s="77"/>
      <c r="Q525" s="77"/>
      <c r="R525" s="77"/>
      <c r="S525" s="4"/>
      <c r="T525" s="4"/>
      <c r="U525" s="4"/>
      <c r="V525" s="4"/>
    </row>
    <row r="526" spans="4:22" ht="15" x14ac:dyDescent="0.25">
      <c r="D526" s="89"/>
      <c r="E526" s="3"/>
      <c r="H526" s="3"/>
      <c r="P526" s="77"/>
      <c r="Q526" s="77"/>
      <c r="R526" s="77"/>
      <c r="S526" s="4"/>
      <c r="T526" s="4"/>
      <c r="U526" s="4"/>
      <c r="V526" s="4"/>
    </row>
    <row r="527" spans="4:22" ht="15" x14ac:dyDescent="0.25">
      <c r="D527" s="89"/>
      <c r="E527" s="3"/>
      <c r="H527" s="3"/>
      <c r="P527" s="77"/>
      <c r="Q527" s="77"/>
      <c r="R527" s="77"/>
      <c r="S527" s="4"/>
      <c r="T527" s="4"/>
      <c r="U527" s="4"/>
      <c r="V527" s="4"/>
    </row>
    <row r="528" spans="4:22" ht="15" x14ac:dyDescent="0.25">
      <c r="D528" s="89"/>
      <c r="E528" s="3"/>
      <c r="H528" s="3"/>
      <c r="P528" s="77"/>
      <c r="Q528" s="77"/>
      <c r="R528" s="77"/>
      <c r="S528" s="4"/>
      <c r="T528" s="4"/>
      <c r="U528" s="4"/>
      <c r="V528" s="4"/>
    </row>
    <row r="529" spans="4:22" ht="15" x14ac:dyDescent="0.25">
      <c r="D529" s="89"/>
      <c r="E529" s="3"/>
      <c r="H529" s="3"/>
      <c r="P529" s="77"/>
      <c r="Q529" s="77"/>
      <c r="R529" s="77"/>
      <c r="S529" s="4"/>
      <c r="T529" s="4"/>
      <c r="U529" s="4"/>
      <c r="V529" s="4"/>
    </row>
    <row r="530" spans="4:22" ht="15" x14ac:dyDescent="0.25">
      <c r="D530" s="89"/>
      <c r="E530" s="3"/>
      <c r="H530" s="3"/>
      <c r="P530" s="77"/>
      <c r="Q530" s="77"/>
      <c r="R530" s="77"/>
      <c r="S530" s="4"/>
      <c r="T530" s="4"/>
      <c r="U530" s="4"/>
      <c r="V530" s="4"/>
    </row>
    <row r="531" spans="4:22" ht="15" x14ac:dyDescent="0.25">
      <c r="D531" s="89"/>
      <c r="E531" s="3"/>
      <c r="H531" s="3"/>
      <c r="P531" s="77"/>
      <c r="Q531" s="77"/>
      <c r="R531" s="77"/>
      <c r="S531" s="4"/>
      <c r="T531" s="4"/>
      <c r="U531" s="4"/>
      <c r="V531" s="4"/>
    </row>
    <row r="532" spans="4:22" ht="15" x14ac:dyDescent="0.25">
      <c r="D532" s="89"/>
      <c r="E532" s="3"/>
      <c r="H532" s="3"/>
      <c r="P532" s="77"/>
      <c r="Q532" s="77"/>
      <c r="R532" s="77"/>
      <c r="S532" s="4"/>
      <c r="T532" s="4"/>
      <c r="U532" s="4"/>
      <c r="V532" s="4"/>
    </row>
    <row r="533" spans="4:22" ht="15" x14ac:dyDescent="0.25">
      <c r="D533" s="89"/>
      <c r="E533" s="3"/>
      <c r="H533" s="3"/>
      <c r="P533" s="77"/>
      <c r="Q533" s="77"/>
      <c r="R533" s="77"/>
      <c r="S533" s="4"/>
      <c r="T533" s="4"/>
      <c r="U533" s="4"/>
      <c r="V533" s="4"/>
    </row>
    <row r="534" spans="4:22" ht="15" x14ac:dyDescent="0.25">
      <c r="D534" s="89"/>
      <c r="E534" s="3"/>
      <c r="H534" s="3"/>
      <c r="P534" s="77"/>
      <c r="Q534" s="77"/>
      <c r="R534" s="77"/>
      <c r="S534" s="4"/>
      <c r="T534" s="4"/>
      <c r="U534" s="4"/>
      <c r="V534" s="4"/>
    </row>
    <row r="535" spans="4:22" ht="15" x14ac:dyDescent="0.25">
      <c r="D535" s="89"/>
      <c r="E535" s="3"/>
      <c r="H535" s="3"/>
      <c r="P535" s="77"/>
      <c r="Q535" s="77"/>
      <c r="R535" s="77"/>
      <c r="S535" s="4"/>
      <c r="T535" s="4"/>
      <c r="U535" s="4"/>
      <c r="V535" s="4"/>
    </row>
    <row r="536" spans="4:22" ht="15" x14ac:dyDescent="0.25">
      <c r="D536" s="89"/>
      <c r="E536" s="3"/>
      <c r="H536" s="3"/>
      <c r="P536" s="77"/>
      <c r="Q536" s="77"/>
      <c r="R536" s="77"/>
      <c r="S536" s="4"/>
      <c r="T536" s="4"/>
      <c r="U536" s="4"/>
      <c r="V536" s="4"/>
    </row>
    <row r="537" spans="4:22" ht="15" x14ac:dyDescent="0.25">
      <c r="D537" s="89"/>
      <c r="E537" s="3"/>
      <c r="H537" s="3"/>
      <c r="P537" s="77"/>
      <c r="Q537" s="77"/>
      <c r="R537" s="77"/>
      <c r="S537" s="4"/>
      <c r="T537" s="4"/>
      <c r="U537" s="4"/>
      <c r="V537" s="4"/>
    </row>
    <row r="538" spans="4:22" ht="15" x14ac:dyDescent="0.25">
      <c r="D538" s="89"/>
      <c r="E538" s="3"/>
      <c r="H538" s="3"/>
      <c r="P538" s="77"/>
      <c r="Q538" s="77"/>
      <c r="R538" s="77"/>
      <c r="S538" s="4"/>
      <c r="T538" s="4"/>
      <c r="U538" s="4"/>
      <c r="V538" s="4"/>
    </row>
    <row r="539" spans="4:22" ht="15" x14ac:dyDescent="0.25">
      <c r="D539" s="89"/>
      <c r="E539" s="3"/>
      <c r="H539" s="3"/>
      <c r="P539" s="77"/>
      <c r="Q539" s="77"/>
      <c r="R539" s="77"/>
      <c r="S539" s="4"/>
      <c r="T539" s="4"/>
      <c r="U539" s="4"/>
      <c r="V539" s="4"/>
    </row>
    <row r="540" spans="4:22" ht="15" x14ac:dyDescent="0.25">
      <c r="D540" s="89"/>
      <c r="E540" s="3"/>
      <c r="H540" s="3"/>
      <c r="P540" s="77"/>
      <c r="Q540" s="77"/>
      <c r="R540" s="77"/>
      <c r="S540" s="4"/>
      <c r="T540" s="4"/>
      <c r="U540" s="4"/>
      <c r="V540" s="4"/>
    </row>
    <row r="541" spans="4:22" ht="15" x14ac:dyDescent="0.25">
      <c r="D541" s="89"/>
      <c r="E541" s="3"/>
      <c r="H541" s="3"/>
      <c r="P541" s="77"/>
      <c r="Q541" s="77"/>
      <c r="R541" s="77"/>
      <c r="S541" s="4"/>
      <c r="T541" s="4"/>
      <c r="U541" s="4"/>
      <c r="V541" s="4"/>
    </row>
    <row r="542" spans="4:22" ht="15" x14ac:dyDescent="0.25">
      <c r="D542" s="89"/>
      <c r="E542" s="3"/>
      <c r="H542" s="3"/>
      <c r="P542" s="77"/>
      <c r="Q542" s="77"/>
      <c r="R542" s="77"/>
      <c r="S542" s="4"/>
      <c r="T542" s="4"/>
      <c r="U542" s="4"/>
      <c r="V542" s="4"/>
    </row>
    <row r="543" spans="4:22" ht="15" x14ac:dyDescent="0.25">
      <c r="D543" s="89"/>
      <c r="E543" s="3"/>
      <c r="H543" s="3"/>
      <c r="P543" s="77"/>
      <c r="Q543" s="77"/>
      <c r="R543" s="77"/>
      <c r="S543" s="4"/>
      <c r="T543" s="4"/>
      <c r="U543" s="4"/>
      <c r="V543" s="4"/>
    </row>
    <row r="544" spans="4:22" ht="15" x14ac:dyDescent="0.25">
      <c r="D544" s="89"/>
      <c r="E544" s="3"/>
      <c r="H544" s="3"/>
      <c r="P544" s="77"/>
      <c r="Q544" s="77"/>
      <c r="R544" s="77"/>
      <c r="S544" s="4"/>
      <c r="T544" s="4"/>
      <c r="U544" s="4"/>
      <c r="V544" s="4"/>
    </row>
    <row r="545" spans="4:22" ht="15" x14ac:dyDescent="0.25">
      <c r="D545" s="89"/>
      <c r="E545" s="3"/>
      <c r="H545" s="3"/>
      <c r="P545" s="77"/>
      <c r="Q545" s="77"/>
      <c r="R545" s="77"/>
      <c r="S545" s="4"/>
      <c r="T545" s="4"/>
      <c r="U545" s="4"/>
      <c r="V545" s="4"/>
    </row>
    <row r="546" spans="4:22" ht="15" x14ac:dyDescent="0.25">
      <c r="D546" s="89"/>
      <c r="E546" s="3"/>
      <c r="H546" s="3"/>
      <c r="P546" s="77"/>
      <c r="Q546" s="77"/>
      <c r="R546" s="77"/>
      <c r="S546" s="4"/>
      <c r="T546" s="4"/>
      <c r="U546" s="4"/>
      <c r="V546" s="4"/>
    </row>
    <row r="547" spans="4:22" ht="15" x14ac:dyDescent="0.25">
      <c r="D547" s="89"/>
      <c r="E547" s="3"/>
      <c r="H547" s="3"/>
      <c r="P547" s="77"/>
      <c r="Q547" s="77"/>
      <c r="R547" s="77"/>
      <c r="S547" s="4"/>
      <c r="T547" s="4"/>
      <c r="U547" s="4"/>
      <c r="V547" s="4"/>
    </row>
    <row r="548" spans="4:22" ht="15" x14ac:dyDescent="0.25">
      <c r="D548" s="89"/>
      <c r="E548" s="3"/>
      <c r="H548" s="3"/>
      <c r="P548" s="77"/>
      <c r="Q548" s="77"/>
      <c r="R548" s="77"/>
      <c r="S548" s="4"/>
      <c r="T548" s="4"/>
      <c r="U548" s="4"/>
      <c r="V548" s="4"/>
    </row>
    <row r="549" spans="4:22" ht="15" x14ac:dyDescent="0.25">
      <c r="D549" s="89"/>
      <c r="E549" s="3"/>
      <c r="H549" s="3"/>
      <c r="P549" s="77"/>
      <c r="Q549" s="77"/>
      <c r="R549" s="77"/>
      <c r="S549" s="4"/>
      <c r="T549" s="4"/>
      <c r="U549" s="4"/>
      <c r="V549" s="4"/>
    </row>
    <row r="550" spans="4:22" ht="15" x14ac:dyDescent="0.25">
      <c r="D550" s="89"/>
      <c r="E550" s="3"/>
      <c r="H550" s="3"/>
      <c r="P550" s="77"/>
      <c r="Q550" s="77"/>
      <c r="R550" s="77"/>
      <c r="S550" s="4"/>
      <c r="T550" s="4"/>
      <c r="U550" s="4"/>
      <c r="V550" s="4"/>
    </row>
    <row r="551" spans="4:22" ht="15" x14ac:dyDescent="0.25">
      <c r="D551" s="89"/>
      <c r="E551" s="3"/>
      <c r="H551" s="3"/>
      <c r="P551" s="77"/>
      <c r="Q551" s="77"/>
      <c r="R551" s="77"/>
      <c r="S551" s="4"/>
      <c r="T551" s="4"/>
      <c r="U551" s="4"/>
      <c r="V551" s="4"/>
    </row>
    <row r="552" spans="4:22" ht="15" x14ac:dyDescent="0.25">
      <c r="D552" s="89"/>
      <c r="E552" s="3"/>
      <c r="H552" s="3"/>
      <c r="P552" s="77"/>
      <c r="Q552" s="77"/>
      <c r="R552" s="77"/>
      <c r="S552" s="4"/>
      <c r="T552" s="4"/>
      <c r="U552" s="4"/>
      <c r="V552" s="4"/>
    </row>
    <row r="553" spans="4:22" ht="15" x14ac:dyDescent="0.25">
      <c r="D553" s="89"/>
      <c r="E553" s="3"/>
      <c r="H553" s="3"/>
      <c r="P553" s="77"/>
      <c r="Q553" s="77"/>
      <c r="R553" s="77"/>
      <c r="S553" s="4"/>
      <c r="T553" s="4"/>
      <c r="U553" s="4"/>
      <c r="V553" s="4"/>
    </row>
    <row r="554" spans="4:22" ht="15" x14ac:dyDescent="0.25">
      <c r="D554" s="89"/>
      <c r="E554" s="3"/>
      <c r="H554" s="3"/>
      <c r="P554" s="77"/>
      <c r="Q554" s="77"/>
      <c r="R554" s="77"/>
      <c r="S554" s="4"/>
      <c r="T554" s="4"/>
      <c r="U554" s="4"/>
      <c r="V554" s="4"/>
    </row>
    <row r="555" spans="4:22" ht="15" x14ac:dyDescent="0.25">
      <c r="D555" s="89"/>
      <c r="E555" s="3"/>
      <c r="H555" s="3"/>
      <c r="P555" s="77"/>
      <c r="Q555" s="77"/>
      <c r="R555" s="77"/>
      <c r="S555" s="4"/>
      <c r="T555" s="4"/>
      <c r="U555" s="4"/>
      <c r="V555" s="4"/>
    </row>
    <row r="556" spans="4:22" ht="15" x14ac:dyDescent="0.25">
      <c r="D556" s="89"/>
      <c r="E556" s="3"/>
      <c r="H556" s="3"/>
      <c r="P556" s="77"/>
      <c r="Q556" s="77"/>
      <c r="R556" s="77"/>
      <c r="S556" s="4"/>
      <c r="T556" s="4"/>
      <c r="U556" s="4"/>
      <c r="V556" s="4"/>
    </row>
    <row r="557" spans="4:22" ht="15" x14ac:dyDescent="0.25">
      <c r="D557" s="89"/>
      <c r="E557" s="3"/>
      <c r="H557" s="3"/>
      <c r="P557" s="77"/>
      <c r="Q557" s="77"/>
      <c r="R557" s="77"/>
      <c r="S557" s="4"/>
      <c r="T557" s="4"/>
      <c r="U557" s="4"/>
      <c r="V557" s="4"/>
    </row>
    <row r="558" spans="4:22" ht="15" x14ac:dyDescent="0.25">
      <c r="D558" s="89"/>
      <c r="E558" s="3"/>
      <c r="H558" s="3"/>
      <c r="P558" s="77"/>
      <c r="Q558" s="77"/>
      <c r="R558" s="77"/>
      <c r="S558" s="4"/>
      <c r="T558" s="4"/>
      <c r="U558" s="4"/>
      <c r="V558" s="4"/>
    </row>
    <row r="559" spans="4:22" ht="15" x14ac:dyDescent="0.25">
      <c r="D559" s="89"/>
      <c r="E559" s="3"/>
      <c r="H559" s="3"/>
      <c r="P559" s="77"/>
      <c r="Q559" s="77"/>
      <c r="R559" s="77"/>
      <c r="S559" s="4"/>
      <c r="T559" s="4"/>
      <c r="U559" s="4"/>
      <c r="V559" s="4"/>
    </row>
    <row r="560" spans="4:22" ht="15" x14ac:dyDescent="0.25">
      <c r="D560" s="89"/>
      <c r="E560" s="3"/>
      <c r="H560" s="3"/>
      <c r="P560" s="77"/>
      <c r="Q560" s="77"/>
      <c r="R560" s="77"/>
      <c r="S560" s="4"/>
      <c r="T560" s="4"/>
      <c r="U560" s="4"/>
      <c r="V560" s="4"/>
    </row>
    <row r="561" spans="4:22" ht="15" x14ac:dyDescent="0.25">
      <c r="D561" s="89"/>
      <c r="E561" s="3"/>
      <c r="H561" s="3"/>
      <c r="P561" s="77"/>
      <c r="Q561" s="77"/>
      <c r="R561" s="77"/>
      <c r="S561" s="4"/>
      <c r="T561" s="4"/>
      <c r="U561" s="4"/>
      <c r="V561" s="4"/>
    </row>
    <row r="562" spans="4:22" ht="15" x14ac:dyDescent="0.25">
      <c r="D562" s="89"/>
      <c r="E562" s="3"/>
      <c r="H562" s="3"/>
      <c r="P562" s="77"/>
      <c r="Q562" s="77"/>
      <c r="R562" s="77"/>
      <c r="S562" s="4"/>
      <c r="T562" s="4"/>
      <c r="U562" s="4"/>
      <c r="V562" s="4"/>
    </row>
    <row r="563" spans="4:22" ht="15" x14ac:dyDescent="0.25">
      <c r="D563" s="89"/>
      <c r="E563" s="3"/>
      <c r="H563" s="3"/>
      <c r="P563" s="77"/>
      <c r="Q563" s="77"/>
      <c r="R563" s="77"/>
      <c r="S563" s="4"/>
      <c r="T563" s="4"/>
      <c r="U563" s="4"/>
      <c r="V563" s="4"/>
    </row>
    <row r="564" spans="4:22" ht="15" x14ac:dyDescent="0.25">
      <c r="D564" s="89"/>
      <c r="E564" s="3"/>
      <c r="H564" s="3"/>
      <c r="P564" s="77"/>
      <c r="Q564" s="77"/>
      <c r="R564" s="77"/>
      <c r="S564" s="4"/>
      <c r="T564" s="4"/>
      <c r="U564" s="4"/>
      <c r="V564" s="4"/>
    </row>
    <row r="565" spans="4:22" ht="15" x14ac:dyDescent="0.25">
      <c r="D565" s="89"/>
      <c r="E565" s="3"/>
      <c r="H565" s="3"/>
      <c r="P565" s="77"/>
      <c r="Q565" s="77"/>
      <c r="R565" s="77"/>
      <c r="S565" s="4"/>
      <c r="T565" s="4"/>
      <c r="U565" s="4"/>
      <c r="V565" s="4"/>
    </row>
    <row r="566" spans="4:22" ht="15" x14ac:dyDescent="0.25">
      <c r="D566" s="89"/>
      <c r="E566" s="3"/>
      <c r="H566" s="3"/>
      <c r="P566" s="77"/>
      <c r="Q566" s="77"/>
      <c r="R566" s="77"/>
      <c r="S566" s="4"/>
      <c r="T566" s="4"/>
      <c r="U566" s="4"/>
      <c r="V566" s="4"/>
    </row>
    <row r="567" spans="4:22" ht="15" x14ac:dyDescent="0.25">
      <c r="D567" s="89"/>
      <c r="E567" s="3"/>
      <c r="H567" s="3"/>
      <c r="P567" s="77"/>
      <c r="Q567" s="77"/>
      <c r="R567" s="77"/>
      <c r="S567" s="4"/>
      <c r="T567" s="4"/>
      <c r="U567" s="4"/>
      <c r="V567" s="4"/>
    </row>
    <row r="568" spans="4:22" ht="15" x14ac:dyDescent="0.25">
      <c r="D568" s="89"/>
      <c r="E568" s="3"/>
      <c r="H568" s="3"/>
      <c r="P568" s="77"/>
      <c r="Q568" s="77"/>
      <c r="R568" s="77"/>
      <c r="S568" s="4"/>
      <c r="T568" s="4"/>
      <c r="U568" s="4"/>
      <c r="V568" s="4"/>
    </row>
    <row r="569" spans="4:22" ht="15" x14ac:dyDescent="0.25">
      <c r="D569" s="89"/>
      <c r="E569" s="3"/>
      <c r="H569" s="3"/>
      <c r="P569" s="77"/>
      <c r="Q569" s="77"/>
      <c r="R569" s="77"/>
      <c r="S569" s="4"/>
      <c r="T569" s="4"/>
      <c r="U569" s="4"/>
      <c r="V569" s="4"/>
    </row>
    <row r="570" spans="4:22" ht="15" x14ac:dyDescent="0.25">
      <c r="D570" s="89"/>
      <c r="E570" s="3"/>
      <c r="H570" s="3"/>
      <c r="P570" s="77"/>
      <c r="Q570" s="77"/>
      <c r="R570" s="77"/>
      <c r="S570" s="4"/>
      <c r="T570" s="4"/>
      <c r="U570" s="4"/>
      <c r="V570" s="4"/>
    </row>
    <row r="571" spans="4:22" ht="15" x14ac:dyDescent="0.25">
      <c r="D571" s="89"/>
      <c r="E571" s="3"/>
      <c r="H571" s="3"/>
      <c r="P571" s="77"/>
      <c r="Q571" s="77"/>
      <c r="R571" s="77"/>
      <c r="S571" s="4"/>
      <c r="T571" s="4"/>
      <c r="U571" s="4"/>
      <c r="V571" s="4"/>
    </row>
    <row r="572" spans="4:22" ht="15" x14ac:dyDescent="0.25">
      <c r="D572" s="89"/>
      <c r="E572" s="3"/>
      <c r="H572" s="3"/>
      <c r="P572" s="77"/>
      <c r="Q572" s="77"/>
      <c r="R572" s="77"/>
      <c r="S572" s="4"/>
      <c r="T572" s="4"/>
      <c r="U572" s="4"/>
      <c r="V572" s="4"/>
    </row>
    <row r="573" spans="4:22" ht="15" x14ac:dyDescent="0.25">
      <c r="D573" s="89"/>
      <c r="E573" s="3"/>
      <c r="H573" s="3"/>
      <c r="P573" s="77"/>
      <c r="Q573" s="77"/>
      <c r="R573" s="77"/>
      <c r="S573" s="4"/>
      <c r="T573" s="4"/>
      <c r="U573" s="4"/>
      <c r="V573" s="4"/>
    </row>
    <row r="574" spans="4:22" ht="15" x14ac:dyDescent="0.25">
      <c r="D574" s="89"/>
      <c r="E574" s="3"/>
      <c r="H574" s="3"/>
      <c r="P574" s="77"/>
      <c r="Q574" s="77"/>
      <c r="R574" s="77"/>
      <c r="S574" s="4"/>
      <c r="T574" s="4"/>
      <c r="U574" s="4"/>
      <c r="V574" s="4"/>
    </row>
    <row r="575" spans="4:22" ht="15" x14ac:dyDescent="0.25">
      <c r="D575" s="89"/>
      <c r="E575" s="3"/>
      <c r="H575" s="3"/>
      <c r="P575" s="77"/>
      <c r="Q575" s="77"/>
      <c r="R575" s="77"/>
      <c r="S575" s="4"/>
      <c r="T575" s="4"/>
      <c r="U575" s="4"/>
      <c r="V575" s="4"/>
    </row>
    <row r="576" spans="4:22" ht="15" x14ac:dyDescent="0.25">
      <c r="D576" s="89"/>
      <c r="E576" s="3"/>
      <c r="H576" s="3"/>
      <c r="P576" s="77"/>
      <c r="Q576" s="77"/>
      <c r="R576" s="77"/>
      <c r="S576" s="4"/>
      <c r="T576" s="4"/>
      <c r="U576" s="4"/>
      <c r="V576" s="4"/>
    </row>
    <row r="577" spans="4:22" ht="15" x14ac:dyDescent="0.25">
      <c r="D577" s="89"/>
      <c r="E577" s="3"/>
      <c r="H577" s="3"/>
      <c r="P577" s="77"/>
      <c r="Q577" s="77"/>
      <c r="R577" s="77"/>
      <c r="S577" s="4"/>
      <c r="T577" s="4"/>
      <c r="U577" s="4"/>
      <c r="V577" s="4"/>
    </row>
    <row r="578" spans="4:22" ht="15" x14ac:dyDescent="0.25">
      <c r="D578" s="89"/>
      <c r="E578" s="3"/>
      <c r="H578" s="3"/>
      <c r="P578" s="77"/>
      <c r="Q578" s="77"/>
      <c r="R578" s="77"/>
      <c r="S578" s="4"/>
      <c r="T578" s="4"/>
      <c r="U578" s="4"/>
      <c r="V578" s="4"/>
    </row>
    <row r="579" spans="4:22" ht="15" x14ac:dyDescent="0.25">
      <c r="D579" s="89"/>
      <c r="E579" s="3"/>
      <c r="H579" s="3"/>
      <c r="P579" s="77"/>
      <c r="Q579" s="77"/>
      <c r="R579" s="77"/>
      <c r="S579" s="4"/>
      <c r="T579" s="4"/>
      <c r="U579" s="4"/>
      <c r="V579" s="4"/>
    </row>
    <row r="580" spans="4:22" ht="15" x14ac:dyDescent="0.25">
      <c r="D580" s="89"/>
      <c r="E580" s="3"/>
      <c r="H580" s="3"/>
      <c r="P580" s="77"/>
      <c r="Q580" s="77"/>
      <c r="R580" s="77"/>
      <c r="S580" s="4"/>
      <c r="T580" s="4"/>
      <c r="U580" s="4"/>
      <c r="V580" s="4"/>
    </row>
    <row r="581" spans="4:22" ht="15" x14ac:dyDescent="0.25">
      <c r="D581" s="89"/>
      <c r="E581" s="3"/>
      <c r="H581" s="3"/>
      <c r="P581" s="77"/>
      <c r="Q581" s="77"/>
      <c r="R581" s="77"/>
      <c r="S581" s="4"/>
      <c r="T581" s="4"/>
      <c r="U581" s="4"/>
      <c r="V581" s="4"/>
    </row>
    <row r="582" spans="4:22" ht="15" x14ac:dyDescent="0.25">
      <c r="D582" s="89"/>
      <c r="E582" s="3"/>
      <c r="H582" s="3"/>
      <c r="P582" s="77"/>
      <c r="Q582" s="77"/>
      <c r="R582" s="77"/>
      <c r="S582" s="4"/>
      <c r="T582" s="4"/>
      <c r="U582" s="4"/>
      <c r="V582" s="4"/>
    </row>
    <row r="583" spans="4:22" ht="15" x14ac:dyDescent="0.25">
      <c r="D583" s="89"/>
      <c r="E583" s="3"/>
      <c r="H583" s="3"/>
      <c r="P583" s="77"/>
      <c r="Q583" s="77"/>
      <c r="R583" s="77"/>
      <c r="S583" s="4"/>
      <c r="T583" s="4"/>
      <c r="U583" s="4"/>
      <c r="V583" s="4"/>
    </row>
    <row r="584" spans="4:22" ht="15" x14ac:dyDescent="0.25">
      <c r="D584" s="89"/>
      <c r="E584" s="3"/>
      <c r="H584" s="3"/>
      <c r="P584" s="77"/>
      <c r="Q584" s="77"/>
      <c r="R584" s="77"/>
      <c r="S584" s="4"/>
      <c r="T584" s="4"/>
      <c r="U584" s="4"/>
      <c r="V584" s="4"/>
    </row>
    <row r="585" spans="4:22" ht="15" x14ac:dyDescent="0.25">
      <c r="D585" s="89"/>
      <c r="E585" s="3"/>
      <c r="H585" s="3"/>
      <c r="P585" s="77"/>
      <c r="Q585" s="77"/>
      <c r="R585" s="77"/>
      <c r="S585" s="4"/>
      <c r="T585" s="4"/>
      <c r="U585" s="4"/>
      <c r="V585" s="4"/>
    </row>
    <row r="586" spans="4:22" ht="15" x14ac:dyDescent="0.25">
      <c r="D586" s="89"/>
      <c r="E586" s="3"/>
      <c r="H586" s="3"/>
      <c r="P586" s="77"/>
      <c r="Q586" s="77"/>
      <c r="R586" s="77"/>
      <c r="S586" s="4"/>
      <c r="T586" s="4"/>
      <c r="U586" s="4"/>
      <c r="V586" s="4"/>
    </row>
    <row r="587" spans="4:22" ht="15" x14ac:dyDescent="0.25">
      <c r="D587" s="89"/>
      <c r="E587" s="3"/>
      <c r="H587" s="3"/>
      <c r="P587" s="77"/>
      <c r="Q587" s="77"/>
      <c r="R587" s="77"/>
      <c r="S587" s="4"/>
      <c r="T587" s="4"/>
      <c r="U587" s="4"/>
      <c r="V587" s="4"/>
    </row>
    <row r="588" spans="4:22" ht="15" x14ac:dyDescent="0.25">
      <c r="D588" s="89"/>
      <c r="E588" s="3"/>
      <c r="H588" s="3"/>
      <c r="P588" s="77"/>
      <c r="Q588" s="77"/>
      <c r="R588" s="77"/>
      <c r="S588" s="4"/>
      <c r="T588" s="4"/>
      <c r="U588" s="4"/>
      <c r="V588" s="4"/>
    </row>
    <row r="589" spans="4:22" ht="15" x14ac:dyDescent="0.25">
      <c r="D589" s="89"/>
      <c r="E589" s="3"/>
      <c r="H589" s="3"/>
      <c r="P589" s="77"/>
      <c r="Q589" s="77"/>
      <c r="R589" s="77"/>
      <c r="S589" s="4"/>
      <c r="T589" s="4"/>
      <c r="U589" s="4"/>
      <c r="V589" s="4"/>
    </row>
    <row r="590" spans="4:22" ht="15" x14ac:dyDescent="0.25">
      <c r="D590" s="89"/>
      <c r="E590" s="3"/>
      <c r="H590" s="3"/>
      <c r="P590" s="77"/>
      <c r="Q590" s="77"/>
      <c r="R590" s="77"/>
      <c r="S590" s="4"/>
      <c r="T590" s="4"/>
      <c r="U590" s="4"/>
      <c r="V590" s="4"/>
    </row>
    <row r="591" spans="4:22" ht="15" x14ac:dyDescent="0.25">
      <c r="D591" s="89"/>
      <c r="E591" s="3"/>
      <c r="H591" s="3"/>
      <c r="P591" s="77"/>
      <c r="Q591" s="77"/>
      <c r="R591" s="77"/>
      <c r="S591" s="4"/>
      <c r="T591" s="4"/>
      <c r="U591" s="4"/>
      <c r="V591" s="4"/>
    </row>
    <row r="592" spans="4:22" ht="15" x14ac:dyDescent="0.25">
      <c r="D592" s="89"/>
      <c r="E592" s="3"/>
      <c r="H592" s="3"/>
      <c r="P592" s="77"/>
      <c r="Q592" s="77"/>
      <c r="R592" s="77"/>
      <c r="S592" s="4"/>
      <c r="T592" s="4"/>
      <c r="U592" s="4"/>
      <c r="V592" s="4"/>
    </row>
    <row r="593" spans="4:22" ht="15" x14ac:dyDescent="0.25">
      <c r="D593" s="89"/>
      <c r="E593" s="3"/>
      <c r="H593" s="3"/>
      <c r="P593" s="77"/>
      <c r="Q593" s="77"/>
      <c r="R593" s="77"/>
      <c r="S593" s="4"/>
      <c r="T593" s="4"/>
      <c r="U593" s="4"/>
      <c r="V593" s="4"/>
    </row>
    <row r="594" spans="4:22" ht="15" x14ac:dyDescent="0.25">
      <c r="D594" s="89"/>
      <c r="E594" s="3"/>
      <c r="H594" s="3"/>
      <c r="P594" s="77"/>
      <c r="Q594" s="77"/>
      <c r="R594" s="77"/>
      <c r="S594" s="4"/>
      <c r="T594" s="4"/>
      <c r="U594" s="4"/>
      <c r="V594" s="4"/>
    </row>
    <row r="595" spans="4:22" ht="15" x14ac:dyDescent="0.25">
      <c r="D595" s="89"/>
      <c r="E595" s="3"/>
      <c r="H595" s="3"/>
      <c r="P595" s="77"/>
      <c r="Q595" s="77"/>
      <c r="R595" s="77"/>
      <c r="S595" s="4"/>
      <c r="T595" s="4"/>
      <c r="U595" s="4"/>
      <c r="V595" s="4"/>
    </row>
    <row r="596" spans="4:22" ht="15" x14ac:dyDescent="0.25">
      <c r="D596" s="89"/>
      <c r="E596" s="3"/>
      <c r="H596" s="3"/>
      <c r="P596" s="77"/>
      <c r="Q596" s="77"/>
      <c r="R596" s="77"/>
      <c r="S596" s="4"/>
      <c r="T596" s="4"/>
      <c r="U596" s="4"/>
      <c r="V596" s="4"/>
    </row>
    <row r="597" spans="4:22" ht="15" x14ac:dyDescent="0.25">
      <c r="D597" s="89"/>
      <c r="E597" s="3"/>
      <c r="H597" s="3"/>
      <c r="P597" s="77"/>
      <c r="Q597" s="77"/>
      <c r="R597" s="77"/>
      <c r="S597" s="4"/>
      <c r="T597" s="4"/>
      <c r="U597" s="4"/>
      <c r="V597" s="4"/>
    </row>
    <row r="598" spans="4:22" ht="15" x14ac:dyDescent="0.25">
      <c r="D598" s="89"/>
      <c r="E598" s="3"/>
      <c r="H598" s="3"/>
      <c r="P598" s="77"/>
      <c r="Q598" s="77"/>
      <c r="R598" s="77"/>
      <c r="S598" s="4"/>
      <c r="T598" s="4"/>
      <c r="U598" s="4"/>
      <c r="V598" s="4"/>
    </row>
    <row r="599" spans="4:22" ht="15" x14ac:dyDescent="0.25">
      <c r="D599" s="89"/>
      <c r="E599" s="3"/>
      <c r="H599" s="3"/>
      <c r="P599" s="77"/>
      <c r="Q599" s="77"/>
      <c r="R599" s="77"/>
      <c r="S599" s="4"/>
      <c r="T599" s="4"/>
      <c r="U599" s="4"/>
      <c r="V599" s="4"/>
    </row>
    <row r="600" spans="4:22" ht="15" x14ac:dyDescent="0.25">
      <c r="D600" s="89"/>
      <c r="E600" s="3"/>
      <c r="H600" s="3"/>
      <c r="P600" s="77"/>
      <c r="Q600" s="77"/>
      <c r="R600" s="77"/>
      <c r="S600" s="4"/>
      <c r="T600" s="4"/>
      <c r="U600" s="4"/>
      <c r="V600" s="4"/>
    </row>
    <row r="601" spans="4:22" ht="15" x14ac:dyDescent="0.25">
      <c r="D601" s="89"/>
      <c r="E601" s="3"/>
      <c r="H601" s="3"/>
      <c r="P601" s="77"/>
      <c r="Q601" s="77"/>
      <c r="R601" s="77"/>
      <c r="S601" s="4"/>
      <c r="T601" s="4"/>
      <c r="U601" s="4"/>
      <c r="V601" s="4"/>
    </row>
    <row r="602" spans="4:22" ht="15" x14ac:dyDescent="0.25">
      <c r="D602" s="89"/>
      <c r="E602" s="3"/>
      <c r="H602" s="3"/>
      <c r="P602" s="77"/>
      <c r="Q602" s="77"/>
      <c r="R602" s="77"/>
      <c r="S602" s="4"/>
      <c r="T602" s="4"/>
      <c r="U602" s="4"/>
      <c r="V602" s="4"/>
    </row>
    <row r="603" spans="4:22" ht="15" x14ac:dyDescent="0.25">
      <c r="D603" s="89"/>
      <c r="E603" s="3"/>
      <c r="H603" s="3"/>
      <c r="P603" s="77"/>
      <c r="Q603" s="77"/>
      <c r="R603" s="77"/>
      <c r="S603" s="4"/>
      <c r="T603" s="4"/>
      <c r="U603" s="4"/>
      <c r="V603" s="4"/>
    </row>
    <row r="604" spans="4:22" ht="15" x14ac:dyDescent="0.25">
      <c r="D604" s="89"/>
      <c r="E604" s="3"/>
      <c r="H604" s="3"/>
      <c r="P604" s="77"/>
      <c r="Q604" s="77"/>
      <c r="R604" s="77"/>
      <c r="S604" s="4"/>
      <c r="T604" s="4"/>
      <c r="U604" s="4"/>
      <c r="V604" s="4"/>
    </row>
    <row r="605" spans="4:22" ht="15" x14ac:dyDescent="0.25">
      <c r="D605" s="89"/>
      <c r="E605" s="3"/>
      <c r="H605" s="3"/>
      <c r="P605" s="77"/>
      <c r="Q605" s="77"/>
      <c r="R605" s="77"/>
      <c r="S605" s="4"/>
      <c r="T605" s="4"/>
      <c r="U605" s="4"/>
      <c r="V605" s="4"/>
    </row>
    <row r="606" spans="4:22" ht="15" x14ac:dyDescent="0.25">
      <c r="D606" s="89"/>
      <c r="E606" s="3"/>
      <c r="H606" s="3"/>
      <c r="P606" s="77"/>
      <c r="Q606" s="77"/>
      <c r="R606" s="77"/>
      <c r="S606" s="4"/>
      <c r="T606" s="4"/>
      <c r="U606" s="4"/>
      <c r="V606" s="4"/>
    </row>
    <row r="607" spans="4:22" ht="15" x14ac:dyDescent="0.25">
      <c r="D607" s="89"/>
      <c r="E607" s="3"/>
      <c r="H607" s="3"/>
      <c r="P607" s="77"/>
      <c r="Q607" s="77"/>
      <c r="R607" s="77"/>
      <c r="S607" s="4"/>
      <c r="T607" s="4"/>
      <c r="U607" s="4"/>
      <c r="V607" s="4"/>
    </row>
    <row r="608" spans="4:22" ht="15" x14ac:dyDescent="0.25">
      <c r="D608" s="89"/>
      <c r="E608" s="3"/>
      <c r="H608" s="3"/>
      <c r="P608" s="77"/>
      <c r="Q608" s="77"/>
      <c r="R608" s="77"/>
      <c r="S608" s="4"/>
      <c r="T608" s="4"/>
      <c r="U608" s="4"/>
      <c r="V608" s="4"/>
    </row>
    <row r="609" spans="4:22" ht="15" x14ac:dyDescent="0.25">
      <c r="D609" s="89"/>
      <c r="E609" s="3"/>
      <c r="H609" s="3"/>
      <c r="P609" s="77"/>
      <c r="Q609" s="77"/>
      <c r="R609" s="77"/>
      <c r="S609" s="4"/>
      <c r="T609" s="4"/>
      <c r="U609" s="4"/>
      <c r="V609" s="4"/>
    </row>
    <row r="610" spans="4:22" ht="15" x14ac:dyDescent="0.25">
      <c r="D610" s="89"/>
      <c r="E610" s="3"/>
      <c r="H610" s="3"/>
      <c r="P610" s="77"/>
      <c r="Q610" s="77"/>
      <c r="R610" s="77"/>
      <c r="S610" s="4"/>
      <c r="T610" s="4"/>
      <c r="U610" s="4"/>
      <c r="V610" s="4"/>
    </row>
    <row r="611" spans="4:22" ht="15" x14ac:dyDescent="0.25">
      <c r="D611" s="89"/>
      <c r="E611" s="3"/>
      <c r="H611" s="3"/>
      <c r="P611" s="77"/>
      <c r="Q611" s="77"/>
      <c r="R611" s="77"/>
      <c r="S611" s="4"/>
      <c r="T611" s="4"/>
      <c r="U611" s="4"/>
      <c r="V611" s="4"/>
    </row>
    <row r="612" spans="4:22" ht="15" x14ac:dyDescent="0.25">
      <c r="D612" s="89"/>
      <c r="E612" s="3"/>
      <c r="H612" s="3"/>
      <c r="P612" s="77"/>
      <c r="Q612" s="77"/>
      <c r="R612" s="77"/>
      <c r="S612" s="4"/>
      <c r="T612" s="4"/>
      <c r="U612" s="4"/>
      <c r="V612" s="4"/>
    </row>
    <row r="613" spans="4:22" ht="15" x14ac:dyDescent="0.25">
      <c r="D613" s="89"/>
      <c r="E613" s="3"/>
      <c r="H613" s="3"/>
      <c r="P613" s="77"/>
      <c r="Q613" s="77"/>
      <c r="R613" s="77"/>
      <c r="S613" s="4"/>
      <c r="T613" s="4"/>
      <c r="U613" s="4"/>
      <c r="V613" s="4"/>
    </row>
    <row r="614" spans="4:22" ht="15" x14ac:dyDescent="0.25">
      <c r="D614" s="89"/>
      <c r="E614" s="3"/>
      <c r="H614" s="3"/>
      <c r="P614" s="77"/>
      <c r="Q614" s="77"/>
      <c r="R614" s="77"/>
      <c r="S614" s="4"/>
      <c r="T614" s="4"/>
      <c r="U614" s="4"/>
      <c r="V614" s="4"/>
    </row>
    <row r="615" spans="4:22" ht="15" x14ac:dyDescent="0.25">
      <c r="D615" s="89"/>
      <c r="E615" s="3"/>
      <c r="H615" s="3"/>
      <c r="P615" s="77"/>
      <c r="Q615" s="77"/>
      <c r="R615" s="77"/>
      <c r="S615" s="4"/>
      <c r="T615" s="4"/>
      <c r="U615" s="4"/>
      <c r="V615" s="4"/>
    </row>
    <row r="616" spans="4:22" ht="15" x14ac:dyDescent="0.25">
      <c r="D616" s="89"/>
      <c r="E616" s="3"/>
      <c r="H616" s="3"/>
      <c r="P616" s="77"/>
      <c r="Q616" s="77"/>
      <c r="R616" s="77"/>
      <c r="S616" s="4"/>
      <c r="T616" s="4"/>
      <c r="U616" s="4"/>
      <c r="V616" s="4"/>
    </row>
    <row r="617" spans="4:22" ht="15" x14ac:dyDescent="0.25">
      <c r="D617" s="89"/>
      <c r="E617" s="3"/>
      <c r="H617" s="3"/>
      <c r="P617" s="77"/>
      <c r="Q617" s="77"/>
      <c r="R617" s="77"/>
      <c r="S617" s="4"/>
      <c r="T617" s="4"/>
      <c r="U617" s="4"/>
      <c r="V617" s="4"/>
    </row>
    <row r="618" spans="4:22" ht="15" x14ac:dyDescent="0.25">
      <c r="D618" s="89"/>
      <c r="E618" s="3"/>
      <c r="H618" s="3"/>
      <c r="P618" s="77"/>
      <c r="Q618" s="77"/>
      <c r="R618" s="77"/>
      <c r="S618" s="4"/>
      <c r="T618" s="4"/>
      <c r="U618" s="4"/>
      <c r="V618" s="4"/>
    </row>
    <row r="619" spans="4:22" ht="15" x14ac:dyDescent="0.25">
      <c r="D619" s="89"/>
      <c r="E619" s="3"/>
      <c r="H619" s="3"/>
      <c r="P619" s="77"/>
      <c r="Q619" s="77"/>
      <c r="R619" s="77"/>
      <c r="S619" s="4"/>
      <c r="T619" s="4"/>
      <c r="U619" s="4"/>
      <c r="V619" s="4"/>
    </row>
    <row r="620" spans="4:22" ht="15" x14ac:dyDescent="0.25">
      <c r="D620" s="89"/>
      <c r="E620" s="3"/>
      <c r="H620" s="3"/>
      <c r="P620" s="77"/>
      <c r="Q620" s="77"/>
      <c r="R620" s="77"/>
      <c r="S620" s="4"/>
      <c r="T620" s="4"/>
      <c r="U620" s="4"/>
      <c r="V620" s="4"/>
    </row>
    <row r="621" spans="4:22" ht="15" x14ac:dyDescent="0.25">
      <c r="D621" s="89"/>
      <c r="E621" s="3"/>
      <c r="H621" s="3"/>
      <c r="P621" s="77"/>
      <c r="Q621" s="77"/>
      <c r="R621" s="77"/>
      <c r="S621" s="4"/>
      <c r="T621" s="4"/>
      <c r="U621" s="4"/>
      <c r="V621" s="4"/>
    </row>
    <row r="622" spans="4:22" ht="15" x14ac:dyDescent="0.25">
      <c r="D622" s="89"/>
      <c r="E622" s="3"/>
      <c r="H622" s="3"/>
      <c r="P622" s="77"/>
      <c r="Q622" s="77"/>
      <c r="R622" s="77"/>
      <c r="S622" s="4"/>
      <c r="T622" s="4"/>
      <c r="U622" s="4"/>
      <c r="V622" s="4"/>
    </row>
    <row r="623" spans="4:22" ht="15" x14ac:dyDescent="0.25">
      <c r="D623" s="89"/>
      <c r="E623" s="3"/>
      <c r="H623" s="3"/>
      <c r="P623" s="77"/>
      <c r="Q623" s="77"/>
      <c r="R623" s="77"/>
      <c r="S623" s="4"/>
      <c r="T623" s="4"/>
      <c r="U623" s="4"/>
      <c r="V623" s="4"/>
    </row>
    <row r="624" spans="4:22" ht="15" x14ac:dyDescent="0.25">
      <c r="D624" s="89"/>
      <c r="E624" s="3"/>
      <c r="H624" s="3"/>
      <c r="P624" s="77"/>
      <c r="Q624" s="77"/>
      <c r="R624" s="77"/>
      <c r="S624" s="4"/>
      <c r="T624" s="4"/>
      <c r="U624" s="4"/>
      <c r="V624" s="4"/>
    </row>
    <row r="625" spans="4:22" ht="15" x14ac:dyDescent="0.25">
      <c r="D625" s="89"/>
      <c r="E625" s="3"/>
      <c r="H625" s="3"/>
      <c r="P625" s="77"/>
      <c r="Q625" s="77"/>
      <c r="R625" s="77"/>
      <c r="S625" s="4"/>
      <c r="T625" s="4"/>
      <c r="U625" s="4"/>
      <c r="V625" s="4"/>
    </row>
    <row r="626" spans="4:22" ht="15" x14ac:dyDescent="0.25">
      <c r="D626" s="89"/>
      <c r="E626" s="3"/>
      <c r="H626" s="3"/>
      <c r="P626" s="77"/>
      <c r="Q626" s="77"/>
      <c r="R626" s="77"/>
      <c r="S626" s="4"/>
      <c r="T626" s="4"/>
      <c r="U626" s="4"/>
      <c r="V626" s="4"/>
    </row>
    <row r="627" spans="4:22" ht="15" x14ac:dyDescent="0.25">
      <c r="D627" s="89"/>
      <c r="E627" s="3"/>
      <c r="H627" s="3"/>
      <c r="P627" s="77"/>
      <c r="Q627" s="77"/>
      <c r="R627" s="77"/>
      <c r="S627" s="4"/>
      <c r="T627" s="4"/>
      <c r="U627" s="4"/>
      <c r="V627" s="4"/>
    </row>
    <row r="628" spans="4:22" ht="15" x14ac:dyDescent="0.25">
      <c r="D628" s="89"/>
      <c r="E628" s="3"/>
      <c r="H628" s="3"/>
      <c r="P628" s="77"/>
      <c r="Q628" s="77"/>
      <c r="R628" s="77"/>
      <c r="S628" s="4"/>
      <c r="T628" s="4"/>
      <c r="U628" s="4"/>
      <c r="V628" s="4"/>
    </row>
    <row r="629" spans="4:22" ht="15" x14ac:dyDescent="0.25">
      <c r="D629" s="89"/>
      <c r="E629" s="3"/>
      <c r="H629" s="3"/>
      <c r="P629" s="77"/>
      <c r="Q629" s="77"/>
      <c r="R629" s="77"/>
      <c r="S629" s="4"/>
      <c r="T629" s="4"/>
      <c r="U629" s="4"/>
      <c r="V629" s="4"/>
    </row>
    <row r="630" spans="4:22" ht="15" x14ac:dyDescent="0.25">
      <c r="D630" s="89"/>
      <c r="E630" s="3"/>
      <c r="H630" s="3"/>
      <c r="P630" s="77"/>
      <c r="Q630" s="77"/>
      <c r="R630" s="77"/>
      <c r="S630" s="4"/>
      <c r="T630" s="4"/>
      <c r="U630" s="4"/>
      <c r="V630" s="4"/>
    </row>
    <row r="631" spans="4:22" ht="15" x14ac:dyDescent="0.25">
      <c r="D631" s="89"/>
      <c r="E631" s="3"/>
      <c r="H631" s="3"/>
      <c r="P631" s="77"/>
      <c r="Q631" s="77"/>
      <c r="R631" s="77"/>
      <c r="S631" s="4"/>
      <c r="T631" s="4"/>
      <c r="U631" s="4"/>
      <c r="V631" s="4"/>
    </row>
    <row r="632" spans="4:22" ht="15" x14ac:dyDescent="0.25">
      <c r="D632" s="89"/>
      <c r="E632" s="3"/>
      <c r="H632" s="3"/>
      <c r="P632" s="77"/>
      <c r="Q632" s="77"/>
      <c r="R632" s="77"/>
      <c r="S632" s="4"/>
      <c r="T632" s="4"/>
      <c r="U632" s="4"/>
      <c r="V632" s="4"/>
    </row>
    <row r="633" spans="4:22" ht="15" x14ac:dyDescent="0.25">
      <c r="D633" s="89"/>
      <c r="E633" s="3"/>
      <c r="H633" s="3"/>
      <c r="P633" s="77"/>
      <c r="Q633" s="77"/>
      <c r="R633" s="77"/>
      <c r="S633" s="4"/>
      <c r="T633" s="4"/>
      <c r="U633" s="4"/>
      <c r="V633" s="4"/>
    </row>
    <row r="634" spans="4:22" ht="15" x14ac:dyDescent="0.25">
      <c r="D634" s="89"/>
      <c r="E634" s="3"/>
      <c r="H634" s="3"/>
      <c r="P634" s="77"/>
      <c r="Q634" s="77"/>
      <c r="R634" s="77"/>
      <c r="S634" s="4"/>
      <c r="T634" s="4"/>
      <c r="U634" s="4"/>
      <c r="V634" s="4"/>
    </row>
    <row r="635" spans="4:22" ht="15" x14ac:dyDescent="0.25">
      <c r="D635" s="89"/>
      <c r="E635" s="3"/>
      <c r="H635" s="3"/>
      <c r="P635" s="77"/>
      <c r="Q635" s="77"/>
      <c r="R635" s="77"/>
      <c r="S635" s="4"/>
      <c r="T635" s="4"/>
      <c r="U635" s="4"/>
      <c r="V635" s="4"/>
    </row>
    <row r="636" spans="4:22" ht="15" x14ac:dyDescent="0.25">
      <c r="D636" s="89"/>
      <c r="E636" s="3"/>
      <c r="H636" s="3"/>
      <c r="P636" s="77"/>
      <c r="Q636" s="77"/>
      <c r="R636" s="77"/>
      <c r="S636" s="4"/>
      <c r="T636" s="4"/>
      <c r="U636" s="4"/>
      <c r="V636" s="4"/>
    </row>
    <row r="637" spans="4:22" ht="15" x14ac:dyDescent="0.25">
      <c r="D637" s="89"/>
      <c r="E637" s="3"/>
      <c r="H637" s="3"/>
      <c r="P637" s="77"/>
      <c r="Q637" s="77"/>
      <c r="R637" s="77"/>
      <c r="S637" s="4"/>
      <c r="T637" s="4"/>
      <c r="U637" s="4"/>
      <c r="V637" s="4"/>
    </row>
    <row r="638" spans="4:22" ht="15" x14ac:dyDescent="0.25">
      <c r="D638" s="89"/>
      <c r="E638" s="3"/>
      <c r="H638" s="3"/>
      <c r="P638" s="77"/>
      <c r="Q638" s="77"/>
      <c r="R638" s="77"/>
      <c r="S638" s="4"/>
      <c r="T638" s="4"/>
      <c r="U638" s="4"/>
      <c r="V638" s="4"/>
    </row>
    <row r="639" spans="4:22" ht="15" x14ac:dyDescent="0.25">
      <c r="D639" s="89"/>
      <c r="E639" s="3"/>
      <c r="H639" s="3"/>
      <c r="P639" s="77"/>
      <c r="Q639" s="77"/>
      <c r="R639" s="77"/>
      <c r="S639" s="4"/>
      <c r="T639" s="4"/>
      <c r="U639" s="4"/>
      <c r="V639" s="4"/>
    </row>
    <row r="640" spans="4:22" ht="15" x14ac:dyDescent="0.25">
      <c r="D640" s="89"/>
      <c r="E640" s="3"/>
      <c r="H640" s="3"/>
      <c r="P640" s="77"/>
      <c r="Q640" s="77"/>
      <c r="R640" s="77"/>
      <c r="S640" s="4"/>
      <c r="T640" s="4"/>
      <c r="U640" s="4"/>
      <c r="V640" s="4"/>
    </row>
    <row r="641" spans="4:22" ht="15" x14ac:dyDescent="0.25">
      <c r="D641" s="89"/>
      <c r="E641" s="3"/>
      <c r="H641" s="3"/>
      <c r="P641" s="77"/>
      <c r="Q641" s="77"/>
      <c r="R641" s="77"/>
      <c r="S641" s="4"/>
      <c r="T641" s="4"/>
      <c r="U641" s="4"/>
      <c r="V641" s="4"/>
    </row>
    <row r="642" spans="4:22" ht="15" x14ac:dyDescent="0.25">
      <c r="D642" s="89"/>
      <c r="E642" s="3"/>
      <c r="H642" s="3"/>
      <c r="P642" s="77"/>
      <c r="Q642" s="77"/>
      <c r="R642" s="77"/>
      <c r="S642" s="4"/>
      <c r="T642" s="4"/>
      <c r="U642" s="4"/>
      <c r="V642" s="4"/>
    </row>
    <row r="643" spans="4:22" ht="15" x14ac:dyDescent="0.25">
      <c r="D643" s="89"/>
      <c r="E643" s="3"/>
      <c r="H643" s="3"/>
      <c r="P643" s="77"/>
      <c r="Q643" s="77"/>
      <c r="R643" s="77"/>
      <c r="S643" s="4"/>
      <c r="T643" s="4"/>
      <c r="U643" s="4"/>
      <c r="V643" s="4"/>
    </row>
    <row r="644" spans="4:22" ht="15" x14ac:dyDescent="0.25">
      <c r="D644" s="89"/>
      <c r="E644" s="3"/>
      <c r="H644" s="3"/>
      <c r="P644" s="77"/>
      <c r="Q644" s="77"/>
      <c r="R644" s="77"/>
      <c r="S644" s="4"/>
      <c r="T644" s="4"/>
      <c r="U644" s="4"/>
      <c r="V644" s="4"/>
    </row>
    <row r="645" spans="4:22" ht="15" x14ac:dyDescent="0.25">
      <c r="D645" s="89"/>
      <c r="E645" s="3"/>
      <c r="H645" s="3"/>
      <c r="P645" s="77"/>
      <c r="Q645" s="77"/>
      <c r="R645" s="77"/>
      <c r="S645" s="4"/>
      <c r="T645" s="4"/>
      <c r="U645" s="4"/>
      <c r="V645" s="4"/>
    </row>
    <row r="646" spans="4:22" ht="15" x14ac:dyDescent="0.25">
      <c r="D646" s="89"/>
      <c r="E646" s="3"/>
      <c r="H646" s="3"/>
      <c r="P646" s="77"/>
      <c r="Q646" s="77"/>
      <c r="R646" s="77"/>
      <c r="S646" s="4"/>
      <c r="T646" s="4"/>
      <c r="U646" s="4"/>
      <c r="V646" s="4"/>
    </row>
    <row r="647" spans="4:22" ht="15" x14ac:dyDescent="0.25">
      <c r="D647" s="89"/>
      <c r="E647" s="3"/>
      <c r="H647" s="3"/>
      <c r="P647" s="77"/>
      <c r="Q647" s="77"/>
      <c r="R647" s="77"/>
      <c r="S647" s="4"/>
      <c r="T647" s="4"/>
      <c r="U647" s="4"/>
      <c r="V647" s="4"/>
    </row>
    <row r="648" spans="4:22" ht="15" x14ac:dyDescent="0.25">
      <c r="D648" s="89"/>
      <c r="E648" s="3"/>
      <c r="H648" s="3"/>
      <c r="P648" s="77"/>
      <c r="Q648" s="77"/>
      <c r="R648" s="77"/>
      <c r="S648" s="4"/>
      <c r="T648" s="4"/>
      <c r="U648" s="4"/>
      <c r="V648" s="4"/>
    </row>
    <row r="649" spans="4:22" ht="15" x14ac:dyDescent="0.25">
      <c r="D649" s="89"/>
      <c r="E649" s="3"/>
      <c r="H649" s="3"/>
      <c r="P649" s="77"/>
      <c r="Q649" s="77"/>
      <c r="R649" s="77"/>
      <c r="S649" s="4"/>
      <c r="T649" s="4"/>
      <c r="U649" s="4"/>
      <c r="V649" s="4"/>
    </row>
    <row r="650" spans="4:22" ht="15" x14ac:dyDescent="0.25">
      <c r="D650" s="89"/>
      <c r="E650" s="3"/>
      <c r="H650" s="3"/>
      <c r="P650" s="77"/>
      <c r="Q650" s="77"/>
      <c r="R650" s="77"/>
      <c r="S650" s="4"/>
      <c r="T650" s="4"/>
      <c r="U650" s="4"/>
      <c r="V650" s="4"/>
    </row>
    <row r="651" spans="4:22" ht="15" x14ac:dyDescent="0.25">
      <c r="D651" s="89"/>
      <c r="E651" s="3"/>
      <c r="H651" s="3"/>
      <c r="P651" s="77"/>
      <c r="Q651" s="77"/>
      <c r="R651" s="77"/>
      <c r="S651" s="4"/>
      <c r="T651" s="4"/>
      <c r="U651" s="4"/>
      <c r="V651" s="4"/>
    </row>
    <row r="652" spans="4:22" ht="15" x14ac:dyDescent="0.25">
      <c r="D652" s="89"/>
      <c r="E652" s="3"/>
      <c r="H652" s="3"/>
      <c r="P652" s="77"/>
      <c r="Q652" s="77"/>
      <c r="R652" s="77"/>
      <c r="S652" s="4"/>
      <c r="T652" s="4"/>
      <c r="U652" s="4"/>
      <c r="V652" s="4"/>
    </row>
    <row r="653" spans="4:22" ht="15" x14ac:dyDescent="0.25">
      <c r="D653" s="89"/>
      <c r="E653" s="3"/>
      <c r="H653" s="3"/>
      <c r="P653" s="77"/>
      <c r="Q653" s="77"/>
      <c r="R653" s="77"/>
      <c r="S653" s="4"/>
      <c r="T653" s="4"/>
      <c r="U653" s="4"/>
      <c r="V653" s="4"/>
    </row>
    <row r="654" spans="4:22" ht="15" x14ac:dyDescent="0.25">
      <c r="D654" s="89"/>
      <c r="E654" s="3"/>
      <c r="H654" s="3"/>
      <c r="P654" s="77"/>
      <c r="Q654" s="77"/>
      <c r="R654" s="77"/>
      <c r="S654" s="4"/>
      <c r="T654" s="4"/>
      <c r="U654" s="4"/>
      <c r="V654" s="4"/>
    </row>
    <row r="655" spans="4:22" ht="15" x14ac:dyDescent="0.25">
      <c r="D655" s="89"/>
      <c r="E655" s="3"/>
      <c r="H655" s="3"/>
      <c r="P655" s="77"/>
      <c r="Q655" s="77"/>
      <c r="R655" s="77"/>
      <c r="S655" s="4"/>
      <c r="T655" s="4"/>
      <c r="U655" s="4"/>
      <c r="V655" s="4"/>
    </row>
    <row r="656" spans="4:22" ht="15" x14ac:dyDescent="0.25">
      <c r="D656" s="89"/>
      <c r="E656" s="3"/>
      <c r="H656" s="3"/>
      <c r="P656" s="77"/>
      <c r="Q656" s="77"/>
      <c r="R656" s="77"/>
      <c r="S656" s="4"/>
      <c r="T656" s="4"/>
      <c r="U656" s="4"/>
      <c r="V656" s="4"/>
    </row>
    <row r="657" spans="4:22" ht="15" x14ac:dyDescent="0.25">
      <c r="D657" s="89"/>
      <c r="E657" s="3"/>
      <c r="H657" s="3"/>
      <c r="P657" s="77"/>
      <c r="Q657" s="77"/>
      <c r="R657" s="77"/>
      <c r="S657" s="4"/>
      <c r="T657" s="4"/>
      <c r="U657" s="4"/>
      <c r="V657" s="4"/>
    </row>
    <row r="658" spans="4:22" ht="15" x14ac:dyDescent="0.25">
      <c r="D658" s="89"/>
      <c r="E658" s="3"/>
      <c r="H658" s="3"/>
      <c r="P658" s="77"/>
      <c r="Q658" s="77"/>
      <c r="R658" s="77"/>
      <c r="S658" s="4"/>
      <c r="T658" s="4"/>
      <c r="U658" s="4"/>
      <c r="V658" s="4"/>
    </row>
    <row r="659" spans="4:22" ht="15" x14ac:dyDescent="0.25">
      <c r="D659" s="89"/>
      <c r="E659" s="3"/>
      <c r="H659" s="3"/>
      <c r="P659" s="77"/>
      <c r="Q659" s="77"/>
      <c r="R659" s="77"/>
      <c r="S659" s="4"/>
      <c r="T659" s="4"/>
      <c r="U659" s="4"/>
      <c r="V659" s="4"/>
    </row>
    <row r="660" spans="4:22" ht="15" x14ac:dyDescent="0.25">
      <c r="D660" s="89"/>
      <c r="E660" s="3"/>
      <c r="H660" s="3"/>
      <c r="P660" s="77"/>
      <c r="Q660" s="77"/>
      <c r="R660" s="77"/>
      <c r="S660" s="4"/>
      <c r="T660" s="4"/>
      <c r="U660" s="4"/>
      <c r="V660" s="4"/>
    </row>
    <row r="661" spans="4:22" ht="15" x14ac:dyDescent="0.25">
      <c r="D661" s="89"/>
      <c r="E661" s="3"/>
      <c r="H661" s="3"/>
      <c r="P661" s="77"/>
      <c r="Q661" s="77"/>
      <c r="R661" s="77"/>
      <c r="S661" s="4"/>
      <c r="T661" s="4"/>
      <c r="U661" s="4"/>
      <c r="V661" s="4"/>
    </row>
    <row r="662" spans="4:22" ht="15" x14ac:dyDescent="0.25">
      <c r="D662" s="89"/>
      <c r="E662" s="3"/>
      <c r="H662" s="3"/>
      <c r="P662" s="77"/>
      <c r="Q662" s="77"/>
      <c r="R662" s="77"/>
      <c r="S662" s="4"/>
      <c r="T662" s="4"/>
      <c r="U662" s="4"/>
      <c r="V662" s="4"/>
    </row>
    <row r="663" spans="4:22" ht="15" x14ac:dyDescent="0.25">
      <c r="D663" s="89"/>
      <c r="E663" s="3"/>
      <c r="H663" s="3"/>
      <c r="P663" s="77"/>
      <c r="Q663" s="77"/>
      <c r="R663" s="77"/>
      <c r="S663" s="4"/>
      <c r="T663" s="4"/>
      <c r="U663" s="4"/>
      <c r="V663" s="4"/>
    </row>
    <row r="664" spans="4:22" ht="15" x14ac:dyDescent="0.25">
      <c r="D664" s="89"/>
      <c r="E664" s="3"/>
      <c r="H664" s="3"/>
      <c r="P664" s="77"/>
      <c r="Q664" s="77"/>
      <c r="R664" s="77"/>
      <c r="S664" s="4"/>
      <c r="T664" s="4"/>
      <c r="U664" s="4"/>
      <c r="V664" s="4"/>
    </row>
    <row r="665" spans="4:22" ht="15" x14ac:dyDescent="0.25">
      <c r="D665" s="89"/>
      <c r="E665" s="3"/>
      <c r="H665" s="3"/>
      <c r="P665" s="77"/>
      <c r="Q665" s="77"/>
      <c r="R665" s="77"/>
      <c r="S665" s="4"/>
      <c r="T665" s="4"/>
      <c r="U665" s="4"/>
      <c r="V665" s="4"/>
    </row>
    <row r="666" spans="4:22" ht="15" x14ac:dyDescent="0.25">
      <c r="D666" s="89"/>
      <c r="E666" s="3"/>
      <c r="H666" s="3"/>
      <c r="P666" s="77"/>
      <c r="Q666" s="77"/>
      <c r="R666" s="77"/>
      <c r="S666" s="4"/>
      <c r="T666" s="4"/>
      <c r="U666" s="4"/>
      <c r="V666" s="4"/>
    </row>
    <row r="667" spans="4:22" ht="15" x14ac:dyDescent="0.25">
      <c r="D667" s="89"/>
      <c r="E667" s="3"/>
      <c r="H667" s="3"/>
      <c r="P667" s="77"/>
      <c r="Q667" s="77"/>
      <c r="R667" s="77"/>
      <c r="S667" s="4"/>
      <c r="T667" s="4"/>
      <c r="U667" s="4"/>
      <c r="V667" s="4"/>
    </row>
    <row r="668" spans="4:22" ht="15" x14ac:dyDescent="0.25">
      <c r="D668" s="89"/>
      <c r="E668" s="3"/>
      <c r="H668" s="3"/>
      <c r="P668" s="77"/>
      <c r="Q668" s="77"/>
      <c r="R668" s="77"/>
      <c r="S668" s="4"/>
      <c r="T668" s="4"/>
      <c r="U668" s="4"/>
      <c r="V668" s="4"/>
    </row>
    <row r="669" spans="4:22" ht="15" x14ac:dyDescent="0.25">
      <c r="D669" s="89"/>
      <c r="E669" s="3"/>
      <c r="H669" s="3"/>
      <c r="P669" s="77"/>
      <c r="Q669" s="77"/>
      <c r="R669" s="77"/>
      <c r="S669" s="4"/>
      <c r="T669" s="4"/>
      <c r="U669" s="4"/>
      <c r="V669" s="4"/>
    </row>
    <row r="670" spans="4:22" ht="15" x14ac:dyDescent="0.25">
      <c r="D670" s="89"/>
      <c r="E670" s="3"/>
      <c r="H670" s="3"/>
      <c r="P670" s="77"/>
      <c r="Q670" s="77"/>
      <c r="R670" s="77"/>
      <c r="S670" s="4"/>
      <c r="T670" s="4"/>
      <c r="U670" s="4"/>
      <c r="V670" s="4"/>
    </row>
    <row r="671" spans="4:22" ht="15" x14ac:dyDescent="0.25">
      <c r="D671" s="89"/>
      <c r="E671" s="3"/>
      <c r="H671" s="3"/>
      <c r="P671" s="77"/>
      <c r="Q671" s="77"/>
      <c r="R671" s="77"/>
      <c r="S671" s="4"/>
      <c r="T671" s="4"/>
      <c r="U671" s="4"/>
      <c r="V671" s="4"/>
    </row>
    <row r="672" spans="4:22" ht="15" x14ac:dyDescent="0.25">
      <c r="D672" s="89"/>
      <c r="E672" s="3"/>
      <c r="H672" s="3"/>
      <c r="P672" s="77"/>
      <c r="Q672" s="77"/>
      <c r="R672" s="77"/>
      <c r="S672" s="4"/>
      <c r="T672" s="4"/>
      <c r="U672" s="4"/>
      <c r="V672" s="4"/>
    </row>
    <row r="673" spans="4:22" ht="15" x14ac:dyDescent="0.25">
      <c r="D673" s="89"/>
      <c r="E673" s="3"/>
      <c r="H673" s="3"/>
      <c r="P673" s="77"/>
      <c r="Q673" s="77"/>
      <c r="R673" s="77"/>
      <c r="S673" s="4"/>
      <c r="T673" s="4"/>
      <c r="U673" s="4"/>
      <c r="V673" s="4"/>
    </row>
    <row r="674" spans="4:22" ht="15" x14ac:dyDescent="0.25">
      <c r="D674" s="89"/>
      <c r="E674" s="3"/>
      <c r="H674" s="3"/>
      <c r="P674" s="77"/>
      <c r="Q674" s="77"/>
      <c r="R674" s="77"/>
      <c r="S674" s="4"/>
      <c r="T674" s="4"/>
      <c r="U674" s="4"/>
      <c r="V674" s="4"/>
    </row>
    <row r="675" spans="4:22" ht="15" x14ac:dyDescent="0.25">
      <c r="D675" s="89"/>
      <c r="E675" s="3"/>
      <c r="H675" s="3"/>
      <c r="P675" s="77"/>
      <c r="Q675" s="77"/>
      <c r="R675" s="77"/>
      <c r="S675" s="4"/>
      <c r="T675" s="4"/>
      <c r="U675" s="4"/>
      <c r="V675" s="4"/>
    </row>
    <row r="676" spans="4:22" ht="15" x14ac:dyDescent="0.25">
      <c r="D676" s="89"/>
      <c r="E676" s="3"/>
      <c r="H676" s="3"/>
      <c r="P676" s="77"/>
      <c r="Q676" s="77"/>
      <c r="R676" s="77"/>
      <c r="S676" s="4"/>
      <c r="T676" s="4"/>
      <c r="U676" s="4"/>
      <c r="V676" s="4"/>
    </row>
    <row r="677" spans="4:22" ht="15" x14ac:dyDescent="0.25">
      <c r="D677" s="89"/>
      <c r="E677" s="3"/>
      <c r="H677" s="3"/>
      <c r="P677" s="77"/>
      <c r="Q677" s="77"/>
      <c r="R677" s="77"/>
      <c r="S677" s="4"/>
      <c r="T677" s="4"/>
      <c r="U677" s="4"/>
      <c r="V677" s="4"/>
    </row>
    <row r="678" spans="4:22" ht="15" x14ac:dyDescent="0.25">
      <c r="D678" s="89"/>
      <c r="E678" s="3"/>
      <c r="H678" s="3"/>
      <c r="P678" s="77"/>
      <c r="Q678" s="77"/>
      <c r="R678" s="77"/>
      <c r="S678" s="4"/>
      <c r="T678" s="4"/>
      <c r="U678" s="4"/>
      <c r="V678" s="4"/>
    </row>
    <row r="679" spans="4:22" ht="15" x14ac:dyDescent="0.25">
      <c r="D679" s="89"/>
      <c r="E679" s="3"/>
      <c r="H679" s="3"/>
      <c r="P679" s="77"/>
      <c r="Q679" s="77"/>
      <c r="R679" s="77"/>
      <c r="S679" s="4"/>
      <c r="T679" s="4"/>
      <c r="U679" s="4"/>
      <c r="V679" s="4"/>
    </row>
    <row r="680" spans="4:22" ht="15" x14ac:dyDescent="0.25">
      <c r="D680" s="89"/>
      <c r="E680" s="3"/>
      <c r="H680" s="3"/>
      <c r="P680" s="77"/>
      <c r="Q680" s="77"/>
      <c r="R680" s="77"/>
      <c r="S680" s="4"/>
      <c r="T680" s="4"/>
      <c r="U680" s="4"/>
      <c r="V680" s="4"/>
    </row>
    <row r="681" spans="4:22" ht="15" x14ac:dyDescent="0.25">
      <c r="D681" s="89"/>
      <c r="E681" s="3"/>
      <c r="H681" s="3"/>
      <c r="P681" s="77"/>
      <c r="Q681" s="77"/>
      <c r="R681" s="77"/>
      <c r="S681" s="4"/>
      <c r="T681" s="4"/>
      <c r="U681" s="4"/>
      <c r="V681" s="4"/>
    </row>
    <row r="682" spans="4:22" ht="15" x14ac:dyDescent="0.25">
      <c r="D682" s="89"/>
      <c r="E682" s="3"/>
      <c r="H682" s="3"/>
      <c r="P682" s="77"/>
      <c r="Q682" s="77"/>
      <c r="R682" s="77"/>
      <c r="S682" s="4"/>
      <c r="T682" s="4"/>
      <c r="U682" s="4"/>
      <c r="V682" s="4"/>
    </row>
    <row r="683" spans="4:22" ht="15" x14ac:dyDescent="0.25">
      <c r="D683" s="89"/>
      <c r="E683" s="3"/>
      <c r="H683" s="3"/>
      <c r="P683" s="77"/>
      <c r="Q683" s="77"/>
      <c r="R683" s="77"/>
      <c r="S683" s="4"/>
      <c r="T683" s="4"/>
      <c r="U683" s="4"/>
      <c r="V683" s="4"/>
    </row>
    <row r="684" spans="4:22" ht="15" x14ac:dyDescent="0.25">
      <c r="D684" s="89"/>
      <c r="E684" s="3"/>
      <c r="H684" s="3"/>
      <c r="P684" s="77"/>
      <c r="Q684" s="77"/>
      <c r="R684" s="77"/>
      <c r="S684" s="4"/>
      <c r="T684" s="4"/>
      <c r="U684" s="4"/>
      <c r="V684" s="4"/>
    </row>
    <row r="685" spans="4:22" ht="15" x14ac:dyDescent="0.25">
      <c r="D685" s="89"/>
      <c r="E685" s="3"/>
      <c r="H685" s="3"/>
      <c r="P685" s="77"/>
      <c r="Q685" s="77"/>
      <c r="R685" s="77"/>
      <c r="S685" s="4"/>
      <c r="T685" s="4"/>
      <c r="U685" s="4"/>
      <c r="V685" s="4"/>
    </row>
    <row r="686" spans="4:22" ht="15" x14ac:dyDescent="0.25">
      <c r="D686" s="89"/>
      <c r="E686" s="3"/>
      <c r="H686" s="3"/>
      <c r="P686" s="77"/>
      <c r="Q686" s="77"/>
      <c r="R686" s="77"/>
      <c r="S686" s="4"/>
      <c r="T686" s="4"/>
      <c r="U686" s="4"/>
      <c r="V686" s="4"/>
    </row>
    <row r="687" spans="4:22" ht="15" x14ac:dyDescent="0.25">
      <c r="D687" s="89"/>
      <c r="E687" s="3"/>
      <c r="H687" s="3"/>
      <c r="P687" s="77"/>
      <c r="Q687" s="77"/>
      <c r="R687" s="77"/>
      <c r="S687" s="4"/>
      <c r="T687" s="4"/>
      <c r="U687" s="4"/>
      <c r="V687" s="4"/>
    </row>
    <row r="688" spans="4:22" ht="15" x14ac:dyDescent="0.25">
      <c r="D688" s="89"/>
      <c r="E688" s="3"/>
      <c r="H688" s="3"/>
      <c r="P688" s="77"/>
      <c r="Q688" s="77"/>
      <c r="R688" s="77"/>
      <c r="S688" s="4"/>
      <c r="T688" s="4"/>
      <c r="U688" s="4"/>
      <c r="V688" s="4"/>
    </row>
    <row r="689" spans="4:22" ht="15" x14ac:dyDescent="0.25">
      <c r="D689" s="89"/>
      <c r="E689" s="3"/>
      <c r="H689" s="3"/>
      <c r="P689" s="77"/>
      <c r="Q689" s="77"/>
      <c r="R689" s="77"/>
      <c r="S689" s="4"/>
      <c r="T689" s="4"/>
      <c r="U689" s="4"/>
      <c r="V689" s="4"/>
    </row>
    <row r="690" spans="4:22" ht="15" x14ac:dyDescent="0.25">
      <c r="D690" s="89"/>
      <c r="E690" s="3"/>
      <c r="H690" s="3"/>
      <c r="P690" s="77"/>
      <c r="Q690" s="77"/>
      <c r="R690" s="77"/>
      <c r="S690" s="4"/>
      <c r="T690" s="4"/>
      <c r="U690" s="4"/>
      <c r="V690" s="4"/>
    </row>
    <row r="691" spans="4:22" ht="15" x14ac:dyDescent="0.25">
      <c r="D691" s="89"/>
      <c r="E691" s="3"/>
      <c r="H691" s="3"/>
      <c r="P691" s="77"/>
      <c r="Q691" s="77"/>
      <c r="R691" s="77"/>
      <c r="S691" s="4"/>
      <c r="T691" s="4"/>
      <c r="U691" s="4"/>
      <c r="V691" s="4"/>
    </row>
    <row r="692" spans="4:22" ht="15" x14ac:dyDescent="0.25">
      <c r="D692" s="89"/>
      <c r="E692" s="3"/>
      <c r="H692" s="3"/>
      <c r="P692" s="77"/>
      <c r="Q692" s="77"/>
      <c r="R692" s="77"/>
      <c r="S692" s="4"/>
      <c r="T692" s="4"/>
      <c r="U692" s="4"/>
      <c r="V692" s="4"/>
    </row>
    <row r="693" spans="4:22" ht="15" x14ac:dyDescent="0.25">
      <c r="D693" s="89"/>
      <c r="E693" s="3"/>
      <c r="H693" s="3"/>
      <c r="P693" s="77"/>
      <c r="Q693" s="77"/>
      <c r="R693" s="77"/>
      <c r="S693" s="4"/>
      <c r="T693" s="4"/>
      <c r="U693" s="4"/>
      <c r="V693" s="4"/>
    </row>
    <row r="694" spans="4:22" ht="15" x14ac:dyDescent="0.25">
      <c r="D694" s="89"/>
      <c r="E694" s="3"/>
      <c r="H694" s="3"/>
      <c r="P694" s="77"/>
      <c r="Q694" s="77"/>
      <c r="R694" s="77"/>
      <c r="S694" s="4"/>
      <c r="T694" s="4"/>
      <c r="U694" s="4"/>
      <c r="V694" s="4"/>
    </row>
    <row r="695" spans="4:22" ht="15" x14ac:dyDescent="0.25">
      <c r="D695" s="89"/>
      <c r="E695" s="3"/>
      <c r="H695" s="3"/>
      <c r="P695" s="77"/>
      <c r="Q695" s="77"/>
      <c r="R695" s="77"/>
      <c r="S695" s="4"/>
      <c r="T695" s="4"/>
      <c r="U695" s="4"/>
      <c r="V695" s="4"/>
    </row>
    <row r="696" spans="4:22" ht="15" x14ac:dyDescent="0.25">
      <c r="D696" s="89"/>
      <c r="E696" s="3"/>
      <c r="H696" s="3"/>
      <c r="P696" s="77"/>
      <c r="Q696" s="77"/>
      <c r="R696" s="77"/>
      <c r="S696" s="4"/>
      <c r="T696" s="4"/>
      <c r="U696" s="4"/>
      <c r="V696" s="4"/>
    </row>
    <row r="697" spans="4:22" ht="15" x14ac:dyDescent="0.25">
      <c r="D697" s="89"/>
      <c r="E697" s="3"/>
      <c r="H697" s="3"/>
      <c r="P697" s="77"/>
      <c r="Q697" s="77"/>
      <c r="R697" s="77"/>
      <c r="S697" s="4"/>
      <c r="T697" s="4"/>
      <c r="U697" s="4"/>
      <c r="V697" s="4"/>
    </row>
    <row r="698" spans="4:22" ht="15" x14ac:dyDescent="0.25">
      <c r="D698" s="89"/>
      <c r="E698" s="3"/>
      <c r="H698" s="3"/>
      <c r="P698" s="77"/>
      <c r="Q698" s="77"/>
      <c r="R698" s="77"/>
      <c r="S698" s="4"/>
      <c r="T698" s="4"/>
      <c r="U698" s="4"/>
      <c r="V698" s="4"/>
    </row>
    <row r="699" spans="4:22" ht="15" x14ac:dyDescent="0.25">
      <c r="D699" s="89"/>
      <c r="E699" s="3"/>
      <c r="H699" s="3"/>
      <c r="P699" s="77"/>
      <c r="Q699" s="77"/>
      <c r="R699" s="77"/>
      <c r="S699" s="4"/>
      <c r="T699" s="4"/>
      <c r="U699" s="4"/>
      <c r="V699" s="4"/>
    </row>
    <row r="700" spans="4:22" ht="15" x14ac:dyDescent="0.25">
      <c r="D700" s="89"/>
      <c r="E700" s="3"/>
      <c r="H700" s="3"/>
      <c r="P700" s="77"/>
      <c r="Q700" s="77"/>
      <c r="R700" s="77"/>
      <c r="S700" s="4"/>
      <c r="T700" s="4"/>
      <c r="U700" s="4"/>
      <c r="V700" s="4"/>
    </row>
    <row r="701" spans="4:22" ht="15" x14ac:dyDescent="0.25">
      <c r="D701" s="89"/>
      <c r="E701" s="3"/>
      <c r="H701" s="3"/>
      <c r="P701" s="77"/>
      <c r="Q701" s="77"/>
      <c r="R701" s="77"/>
      <c r="S701" s="4"/>
      <c r="T701" s="4"/>
      <c r="U701" s="4"/>
      <c r="V701" s="4"/>
    </row>
    <row r="702" spans="4:22" ht="15" x14ac:dyDescent="0.25">
      <c r="D702" s="89"/>
      <c r="E702" s="3"/>
      <c r="H702" s="3"/>
      <c r="P702" s="77"/>
      <c r="Q702" s="77"/>
      <c r="R702" s="77"/>
      <c r="S702" s="4"/>
      <c r="T702" s="4"/>
      <c r="U702" s="4"/>
      <c r="V702" s="4"/>
    </row>
    <row r="703" spans="4:22" ht="15" x14ac:dyDescent="0.25">
      <c r="D703" s="89"/>
      <c r="E703" s="3"/>
      <c r="H703" s="3"/>
      <c r="P703" s="77"/>
      <c r="Q703" s="77"/>
      <c r="R703" s="77"/>
      <c r="S703" s="4"/>
      <c r="T703" s="4"/>
      <c r="U703" s="4"/>
      <c r="V703" s="4"/>
    </row>
    <row r="704" spans="4:22" ht="15" x14ac:dyDescent="0.25">
      <c r="D704" s="89"/>
      <c r="E704" s="3"/>
      <c r="H704" s="3"/>
      <c r="P704" s="77"/>
      <c r="Q704" s="77"/>
      <c r="R704" s="77"/>
      <c r="S704" s="4"/>
      <c r="T704" s="4"/>
      <c r="U704" s="4"/>
      <c r="V704" s="4"/>
    </row>
    <row r="705" spans="4:22" ht="15" x14ac:dyDescent="0.25">
      <c r="D705" s="89"/>
      <c r="E705" s="3"/>
      <c r="H705" s="3"/>
      <c r="P705" s="77"/>
      <c r="Q705" s="77"/>
      <c r="R705" s="77"/>
      <c r="S705" s="4"/>
      <c r="T705" s="4"/>
      <c r="U705" s="4"/>
      <c r="V705" s="4"/>
    </row>
    <row r="706" spans="4:22" ht="15" x14ac:dyDescent="0.25">
      <c r="D706" s="89"/>
      <c r="E706" s="3"/>
      <c r="H706" s="3"/>
      <c r="P706" s="77"/>
      <c r="Q706" s="77"/>
      <c r="R706" s="77"/>
      <c r="S706" s="4"/>
      <c r="T706" s="4"/>
      <c r="U706" s="4"/>
      <c r="V706" s="4"/>
    </row>
    <row r="707" spans="4:22" ht="15" x14ac:dyDescent="0.25">
      <c r="D707" s="89"/>
      <c r="E707" s="3"/>
      <c r="H707" s="3"/>
      <c r="P707" s="77"/>
      <c r="Q707" s="77"/>
      <c r="R707" s="77"/>
      <c r="S707" s="4"/>
      <c r="T707" s="4"/>
      <c r="U707" s="4"/>
      <c r="V707" s="4"/>
    </row>
    <row r="708" spans="4:22" ht="15" x14ac:dyDescent="0.25">
      <c r="D708" s="89"/>
      <c r="E708" s="3"/>
      <c r="H708" s="3"/>
      <c r="P708" s="77"/>
      <c r="Q708" s="77"/>
      <c r="R708" s="77"/>
      <c r="S708" s="4"/>
      <c r="T708" s="4"/>
      <c r="U708" s="4"/>
      <c r="V708" s="4"/>
    </row>
    <row r="709" spans="4:22" ht="15" x14ac:dyDescent="0.25">
      <c r="D709" s="89"/>
      <c r="E709" s="3"/>
      <c r="H709" s="3"/>
      <c r="P709" s="77"/>
      <c r="Q709" s="77"/>
      <c r="R709" s="77"/>
      <c r="S709" s="4"/>
      <c r="T709" s="4"/>
      <c r="U709" s="4"/>
      <c r="V709" s="4"/>
    </row>
    <row r="710" spans="4:22" ht="15" x14ac:dyDescent="0.25">
      <c r="D710" s="89"/>
      <c r="E710" s="3"/>
      <c r="H710" s="3"/>
      <c r="P710" s="77"/>
      <c r="Q710" s="77"/>
      <c r="R710" s="77"/>
      <c r="S710" s="4"/>
      <c r="T710" s="4"/>
      <c r="U710" s="4"/>
      <c r="V710" s="4"/>
    </row>
    <row r="711" spans="4:22" ht="15" x14ac:dyDescent="0.25">
      <c r="D711" s="89"/>
      <c r="E711" s="3"/>
      <c r="H711" s="3"/>
      <c r="P711" s="77"/>
      <c r="Q711" s="77"/>
      <c r="R711" s="77"/>
      <c r="S711" s="4"/>
      <c r="T711" s="4"/>
      <c r="U711" s="4"/>
      <c r="V711" s="4"/>
    </row>
    <row r="712" spans="4:22" ht="15" x14ac:dyDescent="0.25">
      <c r="D712" s="89"/>
      <c r="E712" s="3"/>
      <c r="H712" s="3"/>
      <c r="P712" s="77"/>
      <c r="Q712" s="77"/>
      <c r="R712" s="77"/>
      <c r="S712" s="4"/>
      <c r="T712" s="4"/>
      <c r="U712" s="4"/>
      <c r="V712" s="4"/>
    </row>
    <row r="713" spans="4:22" ht="15" x14ac:dyDescent="0.25">
      <c r="D713" s="89"/>
      <c r="E713" s="3"/>
      <c r="H713" s="3"/>
      <c r="P713" s="77"/>
      <c r="Q713" s="77"/>
      <c r="R713" s="77"/>
      <c r="S713" s="4"/>
      <c r="T713" s="4"/>
      <c r="U713" s="4"/>
      <c r="V713" s="4"/>
    </row>
    <row r="714" spans="4:22" ht="15" x14ac:dyDescent="0.25">
      <c r="D714" s="89"/>
      <c r="E714" s="3"/>
      <c r="H714" s="3"/>
      <c r="P714" s="77"/>
      <c r="Q714" s="77"/>
      <c r="R714" s="77"/>
      <c r="S714" s="4"/>
      <c r="T714" s="4"/>
      <c r="U714" s="4"/>
      <c r="V714" s="4"/>
    </row>
    <row r="715" spans="4:22" ht="15" x14ac:dyDescent="0.25">
      <c r="D715" s="89"/>
      <c r="E715" s="3"/>
      <c r="H715" s="3"/>
      <c r="P715" s="77"/>
      <c r="Q715" s="77"/>
      <c r="R715" s="77"/>
      <c r="S715" s="4"/>
      <c r="T715" s="4"/>
      <c r="U715" s="4"/>
      <c r="V715" s="4"/>
    </row>
    <row r="716" spans="4:22" ht="15" x14ac:dyDescent="0.25">
      <c r="D716" s="89"/>
      <c r="E716" s="3"/>
      <c r="H716" s="3"/>
      <c r="P716" s="77"/>
      <c r="Q716" s="77"/>
      <c r="R716" s="77"/>
      <c r="S716" s="4"/>
      <c r="T716" s="4"/>
      <c r="U716" s="4"/>
      <c r="V716" s="4"/>
    </row>
    <row r="717" spans="4:22" ht="15" x14ac:dyDescent="0.25">
      <c r="D717" s="89"/>
      <c r="E717" s="3"/>
      <c r="H717" s="3"/>
      <c r="P717" s="77"/>
      <c r="Q717" s="77"/>
      <c r="R717" s="77"/>
      <c r="S717" s="4"/>
      <c r="T717" s="4"/>
      <c r="U717" s="4"/>
      <c r="V717" s="4"/>
    </row>
    <row r="718" spans="4:22" ht="15" x14ac:dyDescent="0.25">
      <c r="D718" s="89"/>
      <c r="E718" s="3"/>
      <c r="H718" s="3"/>
      <c r="P718" s="77"/>
      <c r="Q718" s="77"/>
      <c r="R718" s="77"/>
      <c r="S718" s="4"/>
      <c r="T718" s="4"/>
      <c r="U718" s="4"/>
      <c r="V718" s="4"/>
    </row>
    <row r="719" spans="4:22" ht="15" x14ac:dyDescent="0.25">
      <c r="D719" s="89"/>
      <c r="E719" s="3"/>
      <c r="H719" s="3"/>
      <c r="P719" s="77"/>
      <c r="Q719" s="77"/>
      <c r="R719" s="77"/>
      <c r="S719" s="4"/>
      <c r="T719" s="4"/>
      <c r="U719" s="4"/>
      <c r="V719" s="4"/>
    </row>
    <row r="720" spans="4:22" ht="15" x14ac:dyDescent="0.25">
      <c r="D720" s="89"/>
      <c r="E720" s="3"/>
      <c r="H720" s="3"/>
      <c r="P720" s="77"/>
      <c r="Q720" s="77"/>
      <c r="R720" s="77"/>
      <c r="S720" s="4"/>
      <c r="T720" s="4"/>
      <c r="U720" s="4"/>
      <c r="V720" s="4"/>
    </row>
    <row r="721" spans="4:22" ht="15" x14ac:dyDescent="0.25">
      <c r="D721" s="89"/>
      <c r="E721" s="3"/>
      <c r="H721" s="3"/>
      <c r="P721" s="77"/>
      <c r="Q721" s="77"/>
      <c r="R721" s="77"/>
      <c r="S721" s="4"/>
      <c r="T721" s="4"/>
      <c r="U721" s="4"/>
      <c r="V721" s="4"/>
    </row>
    <row r="722" spans="4:22" ht="15" x14ac:dyDescent="0.25">
      <c r="D722" s="89"/>
      <c r="E722" s="3"/>
      <c r="H722" s="3"/>
      <c r="P722" s="77"/>
      <c r="Q722" s="77"/>
      <c r="R722" s="77"/>
      <c r="S722" s="4"/>
      <c r="T722" s="4"/>
      <c r="U722" s="4"/>
      <c r="V722" s="4"/>
    </row>
    <row r="723" spans="4:22" ht="15" x14ac:dyDescent="0.25">
      <c r="D723" s="89"/>
      <c r="E723" s="3"/>
      <c r="H723" s="3"/>
      <c r="P723" s="77"/>
      <c r="Q723" s="77"/>
      <c r="R723" s="77"/>
      <c r="S723" s="4"/>
      <c r="T723" s="4"/>
      <c r="U723" s="4"/>
      <c r="V723" s="4"/>
    </row>
    <row r="724" spans="4:22" ht="15" x14ac:dyDescent="0.25">
      <c r="D724" s="89"/>
      <c r="E724" s="3"/>
      <c r="H724" s="3"/>
      <c r="P724" s="77"/>
      <c r="Q724" s="77"/>
      <c r="R724" s="77"/>
      <c r="S724" s="4"/>
      <c r="T724" s="4"/>
      <c r="U724" s="4"/>
      <c r="V724" s="4"/>
    </row>
    <row r="725" spans="4:22" ht="15" x14ac:dyDescent="0.25">
      <c r="D725" s="89"/>
      <c r="E725" s="3"/>
      <c r="H725" s="3"/>
      <c r="P725" s="77"/>
      <c r="Q725" s="77"/>
      <c r="R725" s="77"/>
      <c r="S725" s="4"/>
      <c r="T725" s="4"/>
      <c r="U725" s="4"/>
      <c r="V725" s="4"/>
    </row>
    <row r="726" spans="4:22" ht="15" x14ac:dyDescent="0.25">
      <c r="D726" s="89"/>
      <c r="E726" s="3"/>
      <c r="H726" s="3"/>
      <c r="P726" s="77"/>
      <c r="Q726" s="77"/>
      <c r="R726" s="77"/>
      <c r="S726" s="4"/>
      <c r="T726" s="4"/>
      <c r="U726" s="4"/>
      <c r="V726" s="4"/>
    </row>
    <row r="727" spans="4:22" ht="15" x14ac:dyDescent="0.25">
      <c r="D727" s="89"/>
      <c r="E727" s="3"/>
      <c r="H727" s="3"/>
      <c r="P727" s="77"/>
      <c r="Q727" s="77"/>
      <c r="R727" s="77"/>
      <c r="S727" s="4"/>
      <c r="T727" s="4"/>
      <c r="U727" s="4"/>
      <c r="V727" s="4"/>
    </row>
    <row r="728" spans="4:22" ht="15" x14ac:dyDescent="0.25">
      <c r="D728" s="89"/>
      <c r="E728" s="3"/>
      <c r="H728" s="3"/>
      <c r="P728" s="77"/>
      <c r="Q728" s="77"/>
      <c r="R728" s="77"/>
      <c r="S728" s="4"/>
      <c r="T728" s="4"/>
      <c r="U728" s="4"/>
      <c r="V728" s="4"/>
    </row>
    <row r="729" spans="4:22" ht="15" x14ac:dyDescent="0.25">
      <c r="D729" s="89"/>
      <c r="E729" s="3"/>
      <c r="H729" s="3"/>
      <c r="P729" s="77"/>
      <c r="Q729" s="77"/>
      <c r="R729" s="77"/>
      <c r="S729" s="4"/>
      <c r="T729" s="4"/>
      <c r="U729" s="4"/>
      <c r="V729" s="4"/>
    </row>
    <row r="730" spans="4:22" ht="15" x14ac:dyDescent="0.25">
      <c r="D730" s="89"/>
      <c r="E730" s="3"/>
      <c r="H730" s="3"/>
      <c r="P730" s="77"/>
      <c r="Q730" s="77"/>
      <c r="R730" s="77"/>
      <c r="S730" s="4"/>
      <c r="T730" s="4"/>
      <c r="U730" s="4"/>
      <c r="V730" s="4"/>
    </row>
    <row r="731" spans="4:22" ht="15" x14ac:dyDescent="0.25">
      <c r="D731" s="89"/>
      <c r="E731" s="3"/>
      <c r="H731" s="3"/>
      <c r="P731" s="77"/>
      <c r="Q731" s="77"/>
      <c r="R731" s="77"/>
      <c r="S731" s="4"/>
      <c r="T731" s="4"/>
      <c r="U731" s="4"/>
      <c r="V731" s="4"/>
    </row>
    <row r="732" spans="4:22" ht="15" x14ac:dyDescent="0.25">
      <c r="D732" s="89"/>
      <c r="E732" s="3"/>
      <c r="H732" s="3"/>
      <c r="P732" s="77"/>
      <c r="Q732" s="77"/>
      <c r="R732" s="77"/>
      <c r="S732" s="4"/>
      <c r="T732" s="4"/>
      <c r="U732" s="4"/>
      <c r="V732" s="4"/>
    </row>
    <row r="733" spans="4:22" ht="15" x14ac:dyDescent="0.25">
      <c r="D733" s="89"/>
      <c r="E733" s="3"/>
      <c r="H733" s="3"/>
      <c r="P733" s="77"/>
      <c r="Q733" s="77"/>
      <c r="R733" s="77"/>
      <c r="S733" s="4"/>
      <c r="T733" s="4"/>
      <c r="U733" s="4"/>
      <c r="V733" s="4"/>
    </row>
    <row r="734" spans="4:22" ht="15" x14ac:dyDescent="0.25">
      <c r="D734" s="89"/>
      <c r="E734" s="3"/>
      <c r="H734" s="3"/>
      <c r="P734" s="77"/>
      <c r="Q734" s="77"/>
      <c r="R734" s="77"/>
      <c r="S734" s="4"/>
      <c r="T734" s="4"/>
      <c r="U734" s="4"/>
      <c r="V734" s="4"/>
    </row>
    <row r="735" spans="4:22" ht="15" x14ac:dyDescent="0.25">
      <c r="D735" s="89"/>
      <c r="E735" s="3"/>
      <c r="H735" s="3"/>
      <c r="P735" s="77"/>
      <c r="Q735" s="77"/>
      <c r="R735" s="77"/>
      <c r="S735" s="4"/>
      <c r="T735" s="4"/>
      <c r="U735" s="4"/>
      <c r="V735" s="4"/>
    </row>
    <row r="736" spans="4:22" ht="15" x14ac:dyDescent="0.25">
      <c r="D736" s="89"/>
      <c r="E736" s="3"/>
      <c r="H736" s="3"/>
      <c r="P736" s="77"/>
      <c r="Q736" s="77"/>
      <c r="R736" s="77"/>
      <c r="S736" s="4"/>
      <c r="T736" s="4"/>
      <c r="U736" s="4"/>
      <c r="V736" s="4"/>
    </row>
    <row r="737" spans="4:22" ht="15" x14ac:dyDescent="0.25">
      <c r="D737" s="89"/>
      <c r="E737" s="3"/>
      <c r="H737" s="3"/>
      <c r="P737" s="77"/>
      <c r="Q737" s="77"/>
      <c r="R737" s="77"/>
      <c r="S737" s="4"/>
      <c r="T737" s="4"/>
      <c r="U737" s="4"/>
      <c r="V737" s="4"/>
    </row>
    <row r="738" spans="4:22" ht="15" x14ac:dyDescent="0.25">
      <c r="D738" s="89"/>
      <c r="E738" s="3"/>
      <c r="H738" s="3"/>
      <c r="P738" s="77"/>
      <c r="Q738" s="77"/>
      <c r="R738" s="77"/>
      <c r="S738" s="4"/>
      <c r="T738" s="4"/>
      <c r="U738" s="4"/>
      <c r="V738" s="4"/>
    </row>
    <row r="739" spans="4:22" ht="15" x14ac:dyDescent="0.25">
      <c r="D739" s="89"/>
      <c r="E739" s="3"/>
      <c r="H739" s="3"/>
      <c r="P739" s="77"/>
      <c r="Q739" s="77"/>
      <c r="R739" s="77"/>
      <c r="S739" s="4"/>
      <c r="T739" s="4"/>
      <c r="U739" s="4"/>
      <c r="V739" s="4"/>
    </row>
    <row r="740" spans="4:22" ht="15" x14ac:dyDescent="0.25">
      <c r="D740" s="89"/>
      <c r="E740" s="3"/>
      <c r="H740" s="3"/>
      <c r="P740" s="77"/>
      <c r="Q740" s="77"/>
      <c r="R740" s="77"/>
      <c r="S740" s="4"/>
      <c r="T740" s="4"/>
      <c r="U740" s="4"/>
      <c r="V740" s="4"/>
    </row>
    <row r="741" spans="4:22" ht="15" x14ac:dyDescent="0.25">
      <c r="D741" s="89"/>
      <c r="E741" s="3"/>
      <c r="H741" s="3"/>
      <c r="P741" s="77"/>
      <c r="Q741" s="77"/>
      <c r="R741" s="77"/>
      <c r="S741" s="4"/>
      <c r="T741" s="4"/>
      <c r="U741" s="4"/>
      <c r="V741" s="4"/>
    </row>
    <row r="742" spans="4:22" ht="15" x14ac:dyDescent="0.25">
      <c r="D742" s="89"/>
      <c r="E742" s="3"/>
      <c r="H742" s="3"/>
      <c r="P742" s="77"/>
      <c r="Q742" s="77"/>
      <c r="R742" s="77"/>
      <c r="S742" s="4"/>
      <c r="T742" s="4"/>
      <c r="U742" s="4"/>
      <c r="V742" s="4"/>
    </row>
    <row r="743" spans="4:22" ht="15" x14ac:dyDescent="0.25">
      <c r="D743" s="89"/>
      <c r="E743" s="3"/>
      <c r="H743" s="3"/>
      <c r="P743" s="77"/>
      <c r="Q743" s="77"/>
      <c r="R743" s="77"/>
      <c r="S743" s="4"/>
      <c r="T743" s="4"/>
      <c r="U743" s="4"/>
      <c r="V743" s="4"/>
    </row>
    <row r="744" spans="4:22" ht="15" x14ac:dyDescent="0.25">
      <c r="D744" s="89"/>
      <c r="E744" s="3"/>
      <c r="H744" s="3"/>
      <c r="P744" s="77"/>
      <c r="Q744" s="77"/>
      <c r="R744" s="77"/>
      <c r="S744" s="4"/>
      <c r="T744" s="4"/>
      <c r="U744" s="4"/>
      <c r="V744" s="4"/>
    </row>
    <row r="745" spans="4:22" ht="15" x14ac:dyDescent="0.25">
      <c r="D745" s="89"/>
      <c r="E745" s="3"/>
      <c r="H745" s="3"/>
      <c r="P745" s="77"/>
      <c r="Q745" s="77"/>
      <c r="R745" s="77"/>
      <c r="S745" s="4"/>
      <c r="T745" s="4"/>
      <c r="U745" s="4"/>
      <c r="V745" s="4"/>
    </row>
    <row r="746" spans="4:22" ht="15" x14ac:dyDescent="0.25">
      <c r="D746" s="89"/>
      <c r="E746" s="3"/>
      <c r="H746" s="3"/>
      <c r="P746" s="77"/>
      <c r="Q746" s="77"/>
      <c r="R746" s="77"/>
      <c r="S746" s="4"/>
      <c r="T746" s="4"/>
      <c r="U746" s="4"/>
      <c r="V746" s="4"/>
    </row>
    <row r="747" spans="4:22" ht="15" x14ac:dyDescent="0.25">
      <c r="D747" s="89"/>
      <c r="E747" s="3"/>
      <c r="H747" s="3"/>
      <c r="P747" s="77"/>
      <c r="Q747" s="77"/>
      <c r="R747" s="77"/>
      <c r="S747" s="4"/>
      <c r="T747" s="4"/>
      <c r="U747" s="4"/>
      <c r="V747" s="4"/>
    </row>
    <row r="748" spans="4:22" ht="15" x14ac:dyDescent="0.25">
      <c r="D748" s="89"/>
      <c r="E748" s="3"/>
      <c r="H748" s="3"/>
      <c r="P748" s="77"/>
      <c r="Q748" s="77"/>
      <c r="R748" s="77"/>
      <c r="S748" s="4"/>
      <c r="T748" s="4"/>
      <c r="U748" s="4"/>
      <c r="V748" s="4"/>
    </row>
    <row r="749" spans="4:22" ht="15" x14ac:dyDescent="0.25">
      <c r="D749" s="89"/>
      <c r="E749" s="3"/>
      <c r="H749" s="3"/>
      <c r="P749" s="77"/>
      <c r="Q749" s="77"/>
      <c r="R749" s="77"/>
      <c r="S749" s="4"/>
      <c r="T749" s="4"/>
      <c r="U749" s="4"/>
      <c r="V749" s="4"/>
    </row>
    <row r="750" spans="4:22" ht="15" x14ac:dyDescent="0.25">
      <c r="D750" s="89"/>
      <c r="E750" s="3"/>
      <c r="H750" s="3"/>
      <c r="P750" s="77"/>
      <c r="Q750" s="77"/>
      <c r="R750" s="77"/>
      <c r="S750" s="4"/>
      <c r="T750" s="4"/>
      <c r="U750" s="4"/>
      <c r="V750" s="4"/>
    </row>
    <row r="751" spans="4:22" ht="15" x14ac:dyDescent="0.25">
      <c r="D751" s="89"/>
      <c r="E751" s="3"/>
      <c r="H751" s="3"/>
      <c r="P751" s="77"/>
      <c r="Q751" s="77"/>
      <c r="R751" s="77"/>
      <c r="S751" s="4"/>
      <c r="T751" s="4"/>
      <c r="U751" s="4"/>
      <c r="V751" s="4"/>
    </row>
    <row r="752" spans="4:22" ht="15" x14ac:dyDescent="0.25">
      <c r="D752" s="89"/>
      <c r="E752" s="3"/>
      <c r="H752" s="3"/>
      <c r="P752" s="77"/>
      <c r="Q752" s="77"/>
      <c r="R752" s="77"/>
      <c r="S752" s="4"/>
      <c r="T752" s="4"/>
      <c r="U752" s="4"/>
      <c r="V752" s="4"/>
    </row>
    <row r="753" spans="4:22" ht="15" x14ac:dyDescent="0.25">
      <c r="D753" s="89"/>
      <c r="E753" s="3"/>
      <c r="H753" s="3"/>
      <c r="P753" s="77"/>
      <c r="Q753" s="77"/>
      <c r="R753" s="77"/>
      <c r="S753" s="4"/>
      <c r="T753" s="4"/>
      <c r="U753" s="4"/>
      <c r="V753" s="4"/>
    </row>
    <row r="754" spans="4:22" ht="15" x14ac:dyDescent="0.25">
      <c r="D754" s="89"/>
      <c r="E754" s="3"/>
      <c r="H754" s="3"/>
      <c r="P754" s="77"/>
      <c r="Q754" s="77"/>
      <c r="R754" s="77"/>
      <c r="S754" s="4"/>
      <c r="T754" s="4"/>
      <c r="U754" s="4"/>
      <c r="V754" s="4"/>
    </row>
    <row r="755" spans="4:22" ht="15" x14ac:dyDescent="0.25">
      <c r="D755" s="89"/>
      <c r="E755" s="3"/>
      <c r="H755" s="3"/>
      <c r="P755" s="77"/>
      <c r="Q755" s="77"/>
      <c r="R755" s="77"/>
      <c r="S755" s="4"/>
      <c r="T755" s="4"/>
      <c r="U755" s="4"/>
      <c r="V755" s="4"/>
    </row>
    <row r="756" spans="4:22" ht="15" x14ac:dyDescent="0.25">
      <c r="D756" s="89"/>
      <c r="E756" s="3"/>
      <c r="H756" s="3"/>
      <c r="P756" s="77"/>
      <c r="Q756" s="77"/>
      <c r="R756" s="77"/>
      <c r="S756" s="4"/>
      <c r="T756" s="4"/>
      <c r="U756" s="4"/>
      <c r="V756" s="4"/>
    </row>
    <row r="757" spans="4:22" ht="15" x14ac:dyDescent="0.25">
      <c r="D757" s="89"/>
      <c r="E757" s="3"/>
      <c r="H757" s="3"/>
      <c r="P757" s="77"/>
      <c r="Q757" s="77"/>
      <c r="R757" s="77"/>
      <c r="S757" s="4"/>
      <c r="T757" s="4"/>
      <c r="U757" s="4"/>
      <c r="V757" s="4"/>
    </row>
    <row r="758" spans="4:22" ht="15" x14ac:dyDescent="0.25">
      <c r="D758" s="89"/>
      <c r="E758" s="3"/>
      <c r="H758" s="3"/>
      <c r="P758" s="77"/>
      <c r="Q758" s="77"/>
      <c r="R758" s="77"/>
      <c r="S758" s="4"/>
      <c r="T758" s="4"/>
      <c r="U758" s="4"/>
      <c r="V758" s="4"/>
    </row>
    <row r="759" spans="4:22" ht="15" x14ac:dyDescent="0.25">
      <c r="D759" s="89"/>
      <c r="E759" s="3"/>
      <c r="H759" s="3"/>
      <c r="P759" s="77"/>
      <c r="Q759" s="77"/>
      <c r="R759" s="77"/>
      <c r="S759" s="4"/>
      <c r="T759" s="4"/>
      <c r="U759" s="4"/>
      <c r="V759" s="4"/>
    </row>
    <row r="760" spans="4:22" ht="15" x14ac:dyDescent="0.25">
      <c r="D760" s="89"/>
      <c r="E760" s="3"/>
      <c r="H760" s="3"/>
      <c r="P760" s="77"/>
      <c r="Q760" s="77"/>
      <c r="R760" s="77"/>
      <c r="S760" s="4"/>
      <c r="T760" s="4"/>
      <c r="U760" s="4"/>
      <c r="V760" s="4"/>
    </row>
    <row r="761" spans="4:22" ht="15" x14ac:dyDescent="0.25">
      <c r="D761" s="89"/>
      <c r="E761" s="3"/>
      <c r="H761" s="3"/>
      <c r="P761" s="77"/>
      <c r="Q761" s="77"/>
      <c r="R761" s="77"/>
      <c r="S761" s="4"/>
      <c r="T761" s="4"/>
      <c r="U761" s="4"/>
      <c r="V761" s="4"/>
    </row>
    <row r="762" spans="4:22" ht="15" x14ac:dyDescent="0.25">
      <c r="D762" s="89"/>
      <c r="E762" s="3"/>
      <c r="H762" s="3"/>
      <c r="P762" s="77"/>
      <c r="Q762" s="77"/>
      <c r="R762" s="77"/>
      <c r="S762" s="4"/>
      <c r="T762" s="4"/>
      <c r="U762" s="4"/>
      <c r="V762" s="4"/>
    </row>
    <row r="763" spans="4:22" ht="15" x14ac:dyDescent="0.25">
      <c r="D763" s="89"/>
      <c r="E763" s="3"/>
      <c r="H763" s="3"/>
      <c r="P763" s="77"/>
      <c r="Q763" s="77"/>
      <c r="R763" s="77"/>
      <c r="S763" s="4"/>
      <c r="T763" s="4"/>
      <c r="U763" s="4"/>
      <c r="V763" s="4"/>
    </row>
    <row r="764" spans="4:22" ht="15" x14ac:dyDescent="0.25">
      <c r="D764" s="89"/>
      <c r="E764" s="3"/>
      <c r="H764" s="3"/>
      <c r="P764" s="77"/>
      <c r="Q764" s="77"/>
      <c r="R764" s="77"/>
      <c r="S764" s="4"/>
      <c r="T764" s="4"/>
      <c r="U764" s="4"/>
      <c r="V764" s="4"/>
    </row>
    <row r="765" spans="4:22" ht="15" x14ac:dyDescent="0.25">
      <c r="D765" s="89"/>
      <c r="E765" s="3"/>
      <c r="H765" s="3"/>
      <c r="P765" s="77"/>
      <c r="Q765" s="77"/>
      <c r="R765" s="77"/>
      <c r="S765" s="4"/>
      <c r="T765" s="4"/>
      <c r="U765" s="4"/>
      <c r="V765" s="4"/>
    </row>
    <row r="766" spans="4:22" ht="15" x14ac:dyDescent="0.25">
      <c r="D766" s="89"/>
      <c r="E766" s="3"/>
      <c r="H766" s="3"/>
      <c r="P766" s="77"/>
      <c r="Q766" s="77"/>
      <c r="R766" s="77"/>
      <c r="S766" s="4"/>
      <c r="T766" s="4"/>
      <c r="U766" s="4"/>
      <c r="V766" s="4"/>
    </row>
    <row r="767" spans="4:22" ht="15" x14ac:dyDescent="0.25">
      <c r="D767" s="89"/>
      <c r="E767" s="3"/>
      <c r="H767" s="3"/>
      <c r="P767" s="77"/>
      <c r="Q767" s="77"/>
      <c r="R767" s="77"/>
      <c r="S767" s="4"/>
      <c r="T767" s="4"/>
      <c r="U767" s="4"/>
      <c r="V767" s="4"/>
    </row>
    <row r="768" spans="4:22" ht="15" x14ac:dyDescent="0.25">
      <c r="D768" s="89"/>
      <c r="E768" s="3"/>
      <c r="H768" s="3"/>
      <c r="P768" s="77"/>
      <c r="Q768" s="77"/>
      <c r="R768" s="77"/>
      <c r="S768" s="4"/>
      <c r="T768" s="4"/>
      <c r="U768" s="4"/>
      <c r="V768" s="4"/>
    </row>
    <row r="769" spans="4:22" ht="15" x14ac:dyDescent="0.25">
      <c r="D769" s="89"/>
      <c r="E769" s="3"/>
      <c r="H769" s="3"/>
      <c r="P769" s="77"/>
      <c r="Q769" s="77"/>
      <c r="R769" s="77"/>
      <c r="S769" s="4"/>
      <c r="T769" s="4"/>
      <c r="U769" s="4"/>
      <c r="V769" s="4"/>
    </row>
    <row r="770" spans="4:22" ht="15" x14ac:dyDescent="0.25">
      <c r="D770" s="89"/>
      <c r="E770" s="3"/>
      <c r="H770" s="3"/>
      <c r="P770" s="77"/>
      <c r="Q770" s="77"/>
      <c r="R770" s="77"/>
      <c r="S770" s="4"/>
      <c r="T770" s="4"/>
      <c r="U770" s="4"/>
      <c r="V770" s="4"/>
    </row>
    <row r="771" spans="4:22" ht="15" x14ac:dyDescent="0.25">
      <c r="D771" s="89"/>
      <c r="E771" s="3"/>
      <c r="H771" s="3"/>
      <c r="P771" s="77"/>
      <c r="Q771" s="77"/>
      <c r="R771" s="77"/>
      <c r="S771" s="4"/>
      <c r="T771" s="4"/>
      <c r="U771" s="4"/>
      <c r="V771" s="4"/>
    </row>
    <row r="772" spans="4:22" ht="15" x14ac:dyDescent="0.25">
      <c r="D772" s="89"/>
      <c r="E772" s="3"/>
      <c r="H772" s="3"/>
      <c r="P772" s="77"/>
      <c r="Q772" s="77"/>
      <c r="R772" s="77"/>
      <c r="S772" s="4"/>
      <c r="T772" s="4"/>
      <c r="U772" s="4"/>
      <c r="V772" s="4"/>
    </row>
    <row r="773" spans="4:22" ht="15" x14ac:dyDescent="0.25">
      <c r="D773" s="89"/>
      <c r="E773" s="3"/>
      <c r="H773" s="3"/>
      <c r="P773" s="77"/>
      <c r="Q773" s="77"/>
      <c r="R773" s="77"/>
      <c r="S773" s="4"/>
      <c r="T773" s="4"/>
      <c r="U773" s="4"/>
      <c r="V773" s="4"/>
    </row>
    <row r="774" spans="4:22" ht="15" x14ac:dyDescent="0.25">
      <c r="D774" s="89"/>
      <c r="E774" s="3"/>
      <c r="H774" s="3"/>
      <c r="P774" s="77"/>
      <c r="Q774" s="77"/>
      <c r="R774" s="77"/>
      <c r="S774" s="4"/>
      <c r="T774" s="4"/>
      <c r="U774" s="4"/>
      <c r="V774" s="4"/>
    </row>
    <row r="775" spans="4:22" ht="15" x14ac:dyDescent="0.25">
      <c r="D775" s="89"/>
      <c r="E775" s="3"/>
      <c r="H775" s="3"/>
      <c r="P775" s="77"/>
      <c r="Q775" s="77"/>
      <c r="R775" s="77"/>
      <c r="S775" s="4"/>
      <c r="T775" s="4"/>
      <c r="U775" s="4"/>
      <c r="V775" s="4"/>
    </row>
    <row r="776" spans="4:22" ht="15" x14ac:dyDescent="0.25">
      <c r="D776" s="89"/>
      <c r="E776" s="3"/>
      <c r="H776" s="3"/>
      <c r="P776" s="77"/>
      <c r="Q776" s="77"/>
      <c r="R776" s="77"/>
      <c r="S776" s="4"/>
      <c r="T776" s="4"/>
      <c r="U776" s="4"/>
      <c r="V776" s="4"/>
    </row>
    <row r="777" spans="4:22" ht="15" x14ac:dyDescent="0.25">
      <c r="D777" s="89"/>
      <c r="E777" s="3"/>
      <c r="H777" s="3"/>
      <c r="P777" s="77"/>
      <c r="Q777" s="77"/>
      <c r="R777" s="77"/>
      <c r="S777" s="4"/>
      <c r="T777" s="4"/>
      <c r="U777" s="4"/>
      <c r="V777" s="4"/>
    </row>
    <row r="778" spans="4:22" ht="15" x14ac:dyDescent="0.25">
      <c r="D778" s="89"/>
      <c r="E778" s="3"/>
      <c r="H778" s="3"/>
      <c r="P778" s="77"/>
      <c r="Q778" s="77"/>
      <c r="R778" s="77"/>
      <c r="S778" s="4"/>
      <c r="T778" s="4"/>
      <c r="U778" s="4"/>
      <c r="V778" s="4"/>
    </row>
    <row r="779" spans="4:22" ht="15" x14ac:dyDescent="0.25">
      <c r="D779" s="89"/>
      <c r="E779" s="3"/>
      <c r="H779" s="3"/>
      <c r="P779" s="77"/>
      <c r="Q779" s="77"/>
      <c r="R779" s="77"/>
      <c r="S779" s="4"/>
      <c r="T779" s="4"/>
      <c r="U779" s="4"/>
      <c r="V779" s="4"/>
    </row>
    <row r="780" spans="4:22" ht="15" x14ac:dyDescent="0.25">
      <c r="D780" s="89"/>
      <c r="E780" s="3"/>
      <c r="H780" s="3"/>
      <c r="P780" s="77"/>
      <c r="Q780" s="77"/>
      <c r="R780" s="77"/>
      <c r="S780" s="4"/>
      <c r="T780" s="4"/>
      <c r="U780" s="4"/>
      <c r="V780" s="4"/>
    </row>
    <row r="781" spans="4:22" ht="15" x14ac:dyDescent="0.25">
      <c r="D781" s="89"/>
      <c r="E781" s="3"/>
      <c r="H781" s="3"/>
      <c r="P781" s="77"/>
      <c r="Q781" s="77"/>
      <c r="R781" s="77"/>
      <c r="S781" s="4"/>
      <c r="T781" s="4"/>
      <c r="U781" s="4"/>
      <c r="V781" s="4"/>
    </row>
    <row r="782" spans="4:22" ht="15" x14ac:dyDescent="0.25">
      <c r="D782" s="89"/>
      <c r="E782" s="3"/>
      <c r="H782" s="3"/>
      <c r="P782" s="77"/>
      <c r="Q782" s="77"/>
      <c r="R782" s="77"/>
      <c r="S782" s="4"/>
      <c r="T782" s="4"/>
      <c r="U782" s="4"/>
      <c r="V782" s="4"/>
    </row>
    <row r="783" spans="4:22" ht="15" x14ac:dyDescent="0.25">
      <c r="D783" s="89"/>
      <c r="E783" s="3"/>
      <c r="H783" s="3"/>
      <c r="P783" s="77"/>
      <c r="Q783" s="77"/>
      <c r="R783" s="77"/>
      <c r="S783" s="4"/>
      <c r="T783" s="4"/>
      <c r="U783" s="4"/>
      <c r="V783" s="4"/>
    </row>
    <row r="784" spans="4:22" ht="15" x14ac:dyDescent="0.25">
      <c r="D784" s="89"/>
      <c r="E784" s="3"/>
      <c r="H784" s="3"/>
      <c r="P784" s="77"/>
      <c r="Q784" s="77"/>
      <c r="R784" s="77"/>
      <c r="S784" s="4"/>
      <c r="T784" s="4"/>
      <c r="U784" s="4"/>
      <c r="V784" s="4"/>
    </row>
    <row r="785" spans="4:22" ht="15" x14ac:dyDescent="0.25">
      <c r="D785" s="89"/>
      <c r="E785" s="3"/>
      <c r="H785" s="3"/>
      <c r="P785" s="77"/>
      <c r="Q785" s="77"/>
      <c r="R785" s="77"/>
      <c r="S785" s="4"/>
      <c r="T785" s="4"/>
      <c r="U785" s="4"/>
      <c r="V785" s="4"/>
    </row>
    <row r="786" spans="4:22" ht="15" x14ac:dyDescent="0.25">
      <c r="D786" s="89"/>
      <c r="E786" s="3"/>
      <c r="H786" s="3"/>
      <c r="P786" s="77"/>
      <c r="Q786" s="77"/>
      <c r="R786" s="77"/>
      <c r="S786" s="4"/>
      <c r="T786" s="4"/>
      <c r="U786" s="4"/>
      <c r="V786" s="4"/>
    </row>
    <row r="787" spans="4:22" ht="15" x14ac:dyDescent="0.25">
      <c r="D787" s="89"/>
      <c r="E787" s="3"/>
      <c r="H787" s="3"/>
      <c r="P787" s="77"/>
      <c r="Q787" s="77"/>
      <c r="R787" s="77"/>
      <c r="S787" s="4"/>
      <c r="T787" s="4"/>
      <c r="U787" s="4"/>
      <c r="V787" s="4"/>
    </row>
    <row r="788" spans="4:22" ht="15" x14ac:dyDescent="0.25">
      <c r="D788" s="89"/>
      <c r="E788" s="3"/>
      <c r="H788" s="3"/>
      <c r="P788" s="77"/>
      <c r="Q788" s="77"/>
      <c r="R788" s="77"/>
      <c r="S788" s="4"/>
      <c r="T788" s="4"/>
      <c r="U788" s="4"/>
      <c r="V788" s="4"/>
    </row>
    <row r="789" spans="4:22" ht="15" x14ac:dyDescent="0.25">
      <c r="D789" s="89"/>
      <c r="E789" s="3"/>
      <c r="H789" s="3"/>
      <c r="P789" s="77"/>
      <c r="Q789" s="77"/>
      <c r="R789" s="77"/>
      <c r="S789" s="4"/>
      <c r="T789" s="4"/>
      <c r="U789" s="4"/>
      <c r="V789" s="4"/>
    </row>
    <row r="790" spans="4:22" ht="15" x14ac:dyDescent="0.25">
      <c r="D790" s="89"/>
      <c r="E790" s="3"/>
      <c r="H790" s="3"/>
      <c r="P790" s="77"/>
      <c r="Q790" s="77"/>
      <c r="R790" s="77"/>
      <c r="S790" s="4"/>
      <c r="T790" s="4"/>
      <c r="U790" s="4"/>
      <c r="V790" s="4"/>
    </row>
    <row r="791" spans="4:22" ht="15" x14ac:dyDescent="0.25">
      <c r="D791" s="89"/>
      <c r="E791" s="3"/>
      <c r="H791" s="3"/>
      <c r="P791" s="77"/>
      <c r="Q791" s="77"/>
      <c r="R791" s="77"/>
      <c r="S791" s="4"/>
      <c r="T791" s="4"/>
      <c r="U791" s="4"/>
      <c r="V791" s="4"/>
    </row>
    <row r="792" spans="4:22" ht="15" x14ac:dyDescent="0.25">
      <c r="D792" s="89"/>
      <c r="E792" s="3"/>
      <c r="H792" s="3"/>
      <c r="P792" s="77"/>
      <c r="Q792" s="77"/>
      <c r="R792" s="77"/>
      <c r="S792" s="4"/>
      <c r="T792" s="4"/>
      <c r="U792" s="4"/>
      <c r="V792" s="4"/>
    </row>
    <row r="793" spans="4:22" ht="15" x14ac:dyDescent="0.25">
      <c r="D793" s="89"/>
      <c r="E793" s="3"/>
      <c r="H793" s="3"/>
      <c r="P793" s="77"/>
      <c r="Q793" s="77"/>
      <c r="R793" s="77"/>
      <c r="S793" s="4"/>
      <c r="T793" s="4"/>
      <c r="U793" s="4"/>
      <c r="V793" s="4"/>
    </row>
    <row r="794" spans="4:22" ht="15" x14ac:dyDescent="0.25">
      <c r="D794" s="89"/>
      <c r="E794" s="3"/>
      <c r="H794" s="3"/>
      <c r="P794" s="77"/>
      <c r="Q794" s="77"/>
      <c r="R794" s="77"/>
      <c r="S794" s="4"/>
      <c r="T794" s="4"/>
      <c r="U794" s="4"/>
      <c r="V794" s="4"/>
    </row>
    <row r="795" spans="4:22" ht="15" x14ac:dyDescent="0.25">
      <c r="D795" s="89"/>
      <c r="E795" s="3"/>
      <c r="H795" s="3"/>
      <c r="P795" s="77"/>
      <c r="Q795" s="77"/>
      <c r="R795" s="77"/>
      <c r="S795" s="4"/>
      <c r="T795" s="4"/>
      <c r="U795" s="4"/>
      <c r="V795" s="4"/>
    </row>
    <row r="796" spans="4:22" ht="15" x14ac:dyDescent="0.25">
      <c r="D796" s="89"/>
      <c r="E796" s="3"/>
      <c r="H796" s="3"/>
      <c r="P796" s="77"/>
      <c r="Q796" s="77"/>
      <c r="R796" s="77"/>
      <c r="S796" s="4"/>
      <c r="T796" s="4"/>
      <c r="U796" s="4"/>
      <c r="V796" s="4"/>
    </row>
    <row r="797" spans="4:22" ht="15" x14ac:dyDescent="0.25">
      <c r="D797" s="89"/>
      <c r="E797" s="3"/>
      <c r="H797" s="3"/>
      <c r="P797" s="77"/>
      <c r="Q797" s="77"/>
      <c r="R797" s="77"/>
      <c r="S797" s="4"/>
      <c r="T797" s="4"/>
      <c r="U797" s="4"/>
      <c r="V797" s="4"/>
    </row>
    <row r="798" spans="4:22" ht="15" x14ac:dyDescent="0.25">
      <c r="D798" s="89"/>
      <c r="E798" s="3"/>
      <c r="H798" s="3"/>
      <c r="P798" s="77"/>
      <c r="Q798" s="77"/>
      <c r="R798" s="77"/>
      <c r="S798" s="4"/>
      <c r="T798" s="4"/>
      <c r="U798" s="4"/>
      <c r="V798" s="4"/>
    </row>
    <row r="799" spans="4:22" ht="15" x14ac:dyDescent="0.25">
      <c r="D799" s="89"/>
      <c r="E799" s="3"/>
      <c r="H799" s="3"/>
      <c r="P799" s="77"/>
      <c r="Q799" s="77"/>
      <c r="R799" s="77"/>
      <c r="S799" s="4"/>
      <c r="T799" s="4"/>
      <c r="U799" s="4"/>
      <c r="V799" s="4"/>
    </row>
    <row r="800" spans="4:22" ht="15" x14ac:dyDescent="0.25">
      <c r="D800" s="89"/>
      <c r="E800" s="3"/>
      <c r="H800" s="3"/>
      <c r="P800" s="77"/>
      <c r="Q800" s="77"/>
      <c r="R800" s="77"/>
      <c r="S800" s="4"/>
      <c r="T800" s="4"/>
      <c r="U800" s="4"/>
      <c r="V800" s="4"/>
    </row>
    <row r="801" spans="4:22" ht="15" x14ac:dyDescent="0.25">
      <c r="D801" s="89"/>
      <c r="E801" s="3"/>
      <c r="H801" s="3"/>
      <c r="P801" s="77"/>
      <c r="Q801" s="77"/>
      <c r="R801" s="77"/>
      <c r="S801" s="4"/>
      <c r="T801" s="4"/>
      <c r="U801" s="4"/>
      <c r="V801" s="4"/>
    </row>
    <row r="802" spans="4:22" ht="15" x14ac:dyDescent="0.25">
      <c r="D802" s="89"/>
      <c r="E802" s="3"/>
      <c r="H802" s="3"/>
      <c r="P802" s="77"/>
      <c r="Q802" s="77"/>
      <c r="R802" s="77"/>
      <c r="S802" s="4"/>
      <c r="T802" s="4"/>
      <c r="U802" s="4"/>
      <c r="V802" s="4"/>
    </row>
    <row r="803" spans="4:22" ht="15" x14ac:dyDescent="0.25">
      <c r="D803" s="89"/>
      <c r="E803" s="3"/>
      <c r="H803" s="3"/>
      <c r="P803" s="77"/>
      <c r="Q803" s="77"/>
      <c r="R803" s="77"/>
      <c r="S803" s="4"/>
      <c r="T803" s="4"/>
      <c r="U803" s="4"/>
      <c r="V803" s="4"/>
    </row>
    <row r="804" spans="4:22" ht="15" x14ac:dyDescent="0.25">
      <c r="D804" s="89"/>
      <c r="E804" s="3"/>
      <c r="H804" s="3"/>
      <c r="P804" s="77"/>
      <c r="Q804" s="77"/>
      <c r="R804" s="77"/>
      <c r="S804" s="4"/>
      <c r="T804" s="4"/>
      <c r="U804" s="4"/>
      <c r="V804" s="4"/>
    </row>
    <row r="805" spans="4:22" ht="15" x14ac:dyDescent="0.25">
      <c r="D805" s="89"/>
      <c r="E805" s="3"/>
      <c r="H805" s="3"/>
      <c r="P805" s="77"/>
      <c r="Q805" s="77"/>
      <c r="R805" s="77"/>
      <c r="S805" s="4"/>
      <c r="T805" s="4"/>
      <c r="U805" s="4"/>
      <c r="V805" s="4"/>
    </row>
    <row r="806" spans="4:22" ht="15" x14ac:dyDescent="0.25">
      <c r="D806" s="89"/>
      <c r="E806" s="3"/>
      <c r="H806" s="3"/>
      <c r="P806" s="77"/>
      <c r="Q806" s="77"/>
      <c r="R806" s="77"/>
      <c r="S806" s="4"/>
      <c r="T806" s="4"/>
      <c r="U806" s="4"/>
      <c r="V806" s="4"/>
    </row>
    <row r="807" spans="4:22" ht="15" x14ac:dyDescent="0.25">
      <c r="D807" s="89"/>
      <c r="E807" s="3"/>
      <c r="H807" s="3"/>
      <c r="P807" s="77"/>
      <c r="Q807" s="77"/>
      <c r="R807" s="77"/>
      <c r="S807" s="4"/>
      <c r="T807" s="4"/>
      <c r="U807" s="4"/>
      <c r="V807" s="4"/>
    </row>
    <row r="808" spans="4:22" ht="15" x14ac:dyDescent="0.25">
      <c r="D808" s="89"/>
      <c r="E808" s="3"/>
      <c r="H808" s="3"/>
      <c r="P808" s="77"/>
      <c r="Q808" s="77"/>
      <c r="R808" s="77"/>
      <c r="S808" s="4"/>
      <c r="T808" s="4"/>
      <c r="U808" s="4"/>
      <c r="V808" s="4"/>
    </row>
    <row r="809" spans="4:22" ht="15" x14ac:dyDescent="0.25">
      <c r="D809" s="89"/>
      <c r="E809" s="3"/>
      <c r="H809" s="3"/>
      <c r="P809" s="77"/>
      <c r="Q809" s="77"/>
      <c r="R809" s="77"/>
      <c r="S809" s="4"/>
      <c r="T809" s="4"/>
      <c r="U809" s="4"/>
      <c r="V809" s="4"/>
    </row>
    <row r="810" spans="4:22" ht="15" x14ac:dyDescent="0.25">
      <c r="D810" s="89"/>
      <c r="E810" s="3"/>
      <c r="H810" s="3"/>
      <c r="P810" s="77"/>
      <c r="Q810" s="77"/>
      <c r="R810" s="77"/>
      <c r="S810" s="4"/>
      <c r="T810" s="4"/>
      <c r="U810" s="4"/>
      <c r="V810" s="4"/>
    </row>
    <row r="811" spans="4:22" ht="15" x14ac:dyDescent="0.25">
      <c r="D811" s="89"/>
      <c r="E811" s="3"/>
      <c r="H811" s="3"/>
      <c r="P811" s="77"/>
      <c r="Q811" s="77"/>
      <c r="R811" s="77"/>
      <c r="S811" s="4"/>
      <c r="T811" s="4"/>
      <c r="U811" s="4"/>
      <c r="V811" s="4"/>
    </row>
    <row r="812" spans="4:22" ht="15" x14ac:dyDescent="0.25">
      <c r="D812" s="89"/>
      <c r="E812" s="3"/>
      <c r="H812" s="3"/>
      <c r="P812" s="77"/>
      <c r="Q812" s="77"/>
      <c r="R812" s="77"/>
      <c r="S812" s="4"/>
      <c r="T812" s="4"/>
      <c r="U812" s="4"/>
      <c r="V812" s="4"/>
    </row>
    <row r="813" spans="4:22" ht="15" x14ac:dyDescent="0.25">
      <c r="D813" s="89"/>
      <c r="E813" s="3"/>
      <c r="H813" s="3"/>
      <c r="P813" s="77"/>
      <c r="Q813" s="77"/>
      <c r="R813" s="77"/>
      <c r="S813" s="4"/>
      <c r="T813" s="4"/>
      <c r="U813" s="4"/>
      <c r="V813" s="4"/>
    </row>
    <row r="814" spans="4:22" ht="15" x14ac:dyDescent="0.25">
      <c r="D814" s="89"/>
      <c r="E814" s="3"/>
      <c r="H814" s="3"/>
      <c r="P814" s="77"/>
      <c r="Q814" s="77"/>
      <c r="R814" s="77"/>
      <c r="S814" s="4"/>
      <c r="T814" s="4"/>
      <c r="U814" s="4"/>
      <c r="V814" s="4"/>
    </row>
    <row r="815" spans="4:22" ht="15" x14ac:dyDescent="0.25">
      <c r="D815" s="89"/>
      <c r="E815" s="3"/>
      <c r="H815" s="3"/>
      <c r="P815" s="77"/>
      <c r="Q815" s="77"/>
      <c r="R815" s="77"/>
      <c r="S815" s="4"/>
      <c r="T815" s="4"/>
      <c r="U815" s="4"/>
      <c r="V815" s="4"/>
    </row>
    <row r="816" spans="4:22" ht="15" x14ac:dyDescent="0.25">
      <c r="D816" s="89"/>
      <c r="E816" s="3"/>
      <c r="H816" s="3"/>
      <c r="P816" s="77"/>
      <c r="Q816" s="77"/>
      <c r="R816" s="77"/>
      <c r="S816" s="4"/>
      <c r="T816" s="4"/>
      <c r="U816" s="4"/>
      <c r="V816" s="4"/>
    </row>
    <row r="817" spans="4:22" ht="15" x14ac:dyDescent="0.25">
      <c r="D817" s="89"/>
      <c r="E817" s="3"/>
      <c r="H817" s="3"/>
      <c r="P817" s="77"/>
      <c r="Q817" s="77"/>
      <c r="R817" s="77"/>
      <c r="S817" s="4"/>
      <c r="T817" s="4"/>
      <c r="U817" s="4"/>
      <c r="V817" s="4"/>
    </row>
    <row r="818" spans="4:22" ht="15" x14ac:dyDescent="0.25">
      <c r="D818" s="89"/>
      <c r="E818" s="3"/>
      <c r="H818" s="3"/>
      <c r="P818" s="77"/>
      <c r="Q818" s="77"/>
      <c r="R818" s="77"/>
      <c r="S818" s="4"/>
      <c r="T818" s="4"/>
      <c r="U818" s="4"/>
      <c r="V818" s="4"/>
    </row>
    <row r="819" spans="4:22" ht="15" x14ac:dyDescent="0.25">
      <c r="D819" s="89"/>
      <c r="E819" s="3"/>
      <c r="H819" s="3"/>
      <c r="P819" s="77"/>
      <c r="Q819" s="77"/>
      <c r="R819" s="77"/>
      <c r="S819" s="4"/>
      <c r="T819" s="4"/>
      <c r="U819" s="4"/>
      <c r="V819" s="4"/>
    </row>
    <row r="820" spans="4:22" ht="15" x14ac:dyDescent="0.25">
      <c r="D820" s="89"/>
      <c r="E820" s="3"/>
      <c r="H820" s="3"/>
      <c r="P820" s="77"/>
      <c r="Q820" s="77"/>
      <c r="R820" s="77"/>
      <c r="S820" s="4"/>
      <c r="T820" s="4"/>
      <c r="U820" s="4"/>
      <c r="V820" s="4"/>
    </row>
    <row r="821" spans="4:22" ht="15" x14ac:dyDescent="0.25">
      <c r="D821" s="89"/>
      <c r="E821" s="3"/>
      <c r="H821" s="3"/>
      <c r="P821" s="77"/>
      <c r="Q821" s="77"/>
      <c r="R821" s="77"/>
      <c r="S821" s="4"/>
      <c r="T821" s="4"/>
      <c r="U821" s="4"/>
      <c r="V821" s="4"/>
    </row>
    <row r="822" spans="4:22" ht="15" x14ac:dyDescent="0.25">
      <c r="D822" s="89"/>
      <c r="E822" s="3"/>
      <c r="H822" s="3"/>
      <c r="P822" s="77"/>
      <c r="Q822" s="77"/>
      <c r="R822" s="77"/>
      <c r="S822" s="4"/>
      <c r="T822" s="4"/>
      <c r="U822" s="4"/>
      <c r="V822" s="4"/>
    </row>
    <row r="823" spans="4:22" ht="15" x14ac:dyDescent="0.25">
      <c r="D823" s="89"/>
      <c r="E823" s="3"/>
      <c r="H823" s="3"/>
      <c r="P823" s="77"/>
      <c r="Q823" s="77"/>
      <c r="R823" s="77"/>
      <c r="S823" s="4"/>
      <c r="T823" s="4"/>
      <c r="U823" s="4"/>
      <c r="V823" s="4"/>
    </row>
    <row r="824" spans="4:22" ht="15" x14ac:dyDescent="0.25">
      <c r="D824" s="89"/>
      <c r="E824" s="3"/>
      <c r="H824" s="3"/>
      <c r="P824" s="77"/>
      <c r="Q824" s="77"/>
      <c r="R824" s="77"/>
      <c r="S824" s="4"/>
      <c r="T824" s="4"/>
      <c r="U824" s="4"/>
      <c r="V824" s="4"/>
    </row>
    <row r="825" spans="4:22" ht="15" x14ac:dyDescent="0.25">
      <c r="D825" s="89"/>
      <c r="E825" s="3"/>
      <c r="H825" s="3"/>
      <c r="P825" s="77"/>
      <c r="Q825" s="77"/>
      <c r="R825" s="77"/>
      <c r="S825" s="4"/>
      <c r="T825" s="4"/>
      <c r="U825" s="4"/>
      <c r="V825" s="4"/>
    </row>
    <row r="826" spans="4:22" ht="15" x14ac:dyDescent="0.25">
      <c r="D826" s="89"/>
      <c r="E826" s="3"/>
      <c r="H826" s="3"/>
      <c r="P826" s="77"/>
      <c r="Q826" s="77"/>
      <c r="R826" s="77"/>
      <c r="S826" s="4"/>
      <c r="T826" s="4"/>
      <c r="U826" s="4"/>
      <c r="V826" s="4"/>
    </row>
    <row r="827" spans="4:22" ht="15" x14ac:dyDescent="0.25">
      <c r="D827" s="89"/>
      <c r="E827" s="3"/>
      <c r="H827" s="3"/>
      <c r="P827" s="77"/>
      <c r="Q827" s="77"/>
      <c r="R827" s="77"/>
      <c r="S827" s="4"/>
      <c r="T827" s="4"/>
      <c r="U827" s="4"/>
      <c r="V827" s="4"/>
    </row>
    <row r="828" spans="4:22" ht="15" x14ac:dyDescent="0.25">
      <c r="D828" s="89"/>
      <c r="E828" s="3"/>
      <c r="H828" s="3"/>
      <c r="P828" s="77"/>
      <c r="Q828" s="77"/>
      <c r="R828" s="77"/>
      <c r="S828" s="4"/>
      <c r="T828" s="4"/>
      <c r="U828" s="4"/>
      <c r="V828" s="4"/>
    </row>
    <row r="829" spans="4:22" ht="15" x14ac:dyDescent="0.25">
      <c r="D829" s="89"/>
      <c r="E829" s="3"/>
      <c r="H829" s="3"/>
      <c r="P829" s="77"/>
      <c r="Q829" s="77"/>
      <c r="R829" s="77"/>
      <c r="S829" s="4"/>
      <c r="T829" s="4"/>
      <c r="U829" s="4"/>
      <c r="V829" s="4"/>
    </row>
    <row r="830" spans="4:22" ht="15" x14ac:dyDescent="0.25">
      <c r="D830" s="89"/>
      <c r="E830" s="3"/>
      <c r="H830" s="3"/>
      <c r="P830" s="77"/>
      <c r="Q830" s="77"/>
      <c r="R830" s="77"/>
      <c r="S830" s="4"/>
      <c r="T830" s="4"/>
      <c r="U830" s="4"/>
      <c r="V830" s="4"/>
    </row>
    <row r="831" spans="4:22" ht="15" x14ac:dyDescent="0.25">
      <c r="D831" s="89"/>
      <c r="E831" s="3"/>
      <c r="H831" s="3"/>
      <c r="P831" s="77"/>
      <c r="Q831" s="77"/>
      <c r="R831" s="77"/>
      <c r="S831" s="4"/>
      <c r="T831" s="4"/>
      <c r="U831" s="4"/>
      <c r="V831" s="4"/>
    </row>
    <row r="832" spans="4:22" ht="15" x14ac:dyDescent="0.25">
      <c r="D832" s="89"/>
      <c r="E832" s="3"/>
      <c r="H832" s="3"/>
      <c r="P832" s="77"/>
      <c r="Q832" s="77"/>
      <c r="R832" s="77"/>
      <c r="S832" s="4"/>
      <c r="T832" s="4"/>
      <c r="U832" s="4"/>
      <c r="V832" s="4"/>
    </row>
    <row r="833" spans="4:22" ht="15" x14ac:dyDescent="0.25">
      <c r="D833" s="89"/>
      <c r="E833" s="3"/>
      <c r="H833" s="3"/>
      <c r="P833" s="77"/>
      <c r="Q833" s="77"/>
      <c r="R833" s="77"/>
      <c r="S833" s="4"/>
      <c r="T833" s="4"/>
      <c r="U833" s="4"/>
      <c r="V833" s="4"/>
    </row>
    <row r="834" spans="4:22" ht="15" x14ac:dyDescent="0.25">
      <c r="D834" s="89"/>
      <c r="E834" s="3"/>
      <c r="H834" s="3"/>
      <c r="P834" s="77"/>
      <c r="Q834" s="77"/>
      <c r="R834" s="77"/>
      <c r="S834" s="4"/>
      <c r="T834" s="4"/>
      <c r="U834" s="4"/>
      <c r="V834" s="4"/>
    </row>
    <row r="835" spans="4:22" ht="15" x14ac:dyDescent="0.25">
      <c r="D835" s="89"/>
      <c r="E835" s="3"/>
      <c r="H835" s="3"/>
      <c r="P835" s="77"/>
      <c r="Q835" s="77"/>
      <c r="R835" s="77"/>
      <c r="S835" s="4"/>
      <c r="T835" s="4"/>
      <c r="U835" s="4"/>
      <c r="V835" s="4"/>
    </row>
    <row r="836" spans="4:22" ht="15" x14ac:dyDescent="0.25">
      <c r="D836" s="89"/>
      <c r="E836" s="3"/>
      <c r="H836" s="3"/>
      <c r="P836" s="77"/>
      <c r="Q836" s="77"/>
      <c r="R836" s="77"/>
      <c r="S836" s="4"/>
      <c r="T836" s="4"/>
      <c r="U836" s="4"/>
      <c r="V836" s="4"/>
    </row>
    <row r="837" spans="4:22" ht="15" x14ac:dyDescent="0.25">
      <c r="D837" s="89"/>
      <c r="E837" s="3"/>
      <c r="H837" s="3"/>
      <c r="P837" s="77"/>
      <c r="Q837" s="77"/>
      <c r="R837" s="77"/>
      <c r="S837" s="4"/>
      <c r="T837" s="4"/>
      <c r="U837" s="4"/>
      <c r="V837" s="4"/>
    </row>
    <row r="838" spans="4:22" ht="15" x14ac:dyDescent="0.25">
      <c r="D838" s="89"/>
      <c r="E838" s="3"/>
      <c r="H838" s="3"/>
      <c r="P838" s="77"/>
      <c r="Q838" s="77"/>
      <c r="R838" s="77"/>
      <c r="S838" s="4"/>
      <c r="T838" s="4"/>
      <c r="U838" s="4"/>
      <c r="V838" s="4"/>
    </row>
    <row r="839" spans="4:22" ht="15" x14ac:dyDescent="0.25">
      <c r="D839" s="89"/>
      <c r="E839" s="3"/>
      <c r="H839" s="3"/>
      <c r="P839" s="77"/>
      <c r="Q839" s="77"/>
      <c r="R839" s="77"/>
      <c r="S839" s="4"/>
      <c r="T839" s="4"/>
      <c r="U839" s="4"/>
      <c r="V839" s="4"/>
    </row>
    <row r="840" spans="4:22" ht="15" x14ac:dyDescent="0.25">
      <c r="D840" s="89"/>
      <c r="E840" s="3"/>
      <c r="H840" s="3"/>
      <c r="P840" s="77"/>
      <c r="Q840" s="77"/>
      <c r="R840" s="77"/>
      <c r="S840" s="4"/>
      <c r="T840" s="4"/>
      <c r="U840" s="4"/>
      <c r="V840" s="4"/>
    </row>
    <row r="841" spans="4:22" ht="15" x14ac:dyDescent="0.25">
      <c r="D841" s="89"/>
      <c r="E841" s="3"/>
      <c r="H841" s="3"/>
      <c r="P841" s="77"/>
      <c r="Q841" s="77"/>
      <c r="R841" s="77"/>
      <c r="S841" s="4"/>
      <c r="T841" s="4"/>
      <c r="U841" s="4"/>
      <c r="V841" s="4"/>
    </row>
    <row r="842" spans="4:22" ht="15" x14ac:dyDescent="0.25">
      <c r="D842" s="89"/>
      <c r="E842" s="3"/>
      <c r="H842" s="3"/>
      <c r="P842" s="77"/>
      <c r="Q842" s="77"/>
      <c r="R842" s="77"/>
      <c r="S842" s="4"/>
      <c r="T842" s="4"/>
      <c r="U842" s="4"/>
      <c r="V842" s="4"/>
    </row>
    <row r="843" spans="4:22" ht="15" x14ac:dyDescent="0.25">
      <c r="D843" s="89"/>
      <c r="E843" s="3"/>
      <c r="H843" s="3"/>
      <c r="P843" s="77"/>
      <c r="Q843" s="77"/>
      <c r="R843" s="77"/>
      <c r="S843" s="4"/>
      <c r="T843" s="4"/>
      <c r="U843" s="4"/>
      <c r="V843" s="4"/>
    </row>
    <row r="844" spans="4:22" ht="15" x14ac:dyDescent="0.25">
      <c r="D844" s="89"/>
      <c r="E844" s="3"/>
      <c r="H844" s="3"/>
      <c r="P844" s="77"/>
      <c r="Q844" s="77"/>
      <c r="R844" s="77"/>
      <c r="S844" s="4"/>
      <c r="T844" s="4"/>
      <c r="U844" s="4"/>
      <c r="V844" s="4"/>
    </row>
    <row r="845" spans="4:22" ht="15" x14ac:dyDescent="0.25">
      <c r="D845" s="89"/>
      <c r="E845" s="3"/>
      <c r="H845" s="3"/>
      <c r="P845" s="77"/>
      <c r="Q845" s="77"/>
      <c r="R845" s="77"/>
      <c r="S845" s="4"/>
      <c r="T845" s="4"/>
      <c r="U845" s="4"/>
      <c r="V845" s="4"/>
    </row>
    <row r="846" spans="4:22" ht="15" x14ac:dyDescent="0.25">
      <c r="D846" s="89"/>
      <c r="E846" s="3"/>
      <c r="H846" s="3"/>
      <c r="P846" s="77"/>
      <c r="Q846" s="77"/>
      <c r="R846" s="77"/>
      <c r="S846" s="4"/>
      <c r="T846" s="4"/>
      <c r="U846" s="4"/>
      <c r="V846" s="4"/>
    </row>
    <row r="847" spans="4:22" ht="15" x14ac:dyDescent="0.25">
      <c r="D847" s="89"/>
      <c r="E847" s="3"/>
      <c r="H847" s="3"/>
      <c r="P847" s="77"/>
      <c r="Q847" s="77"/>
      <c r="R847" s="77"/>
      <c r="S847" s="4"/>
      <c r="T847" s="4"/>
      <c r="U847" s="4"/>
      <c r="V847" s="4"/>
    </row>
    <row r="848" spans="4:22" ht="15" x14ac:dyDescent="0.25">
      <c r="D848" s="89"/>
      <c r="E848" s="3"/>
      <c r="H848" s="3"/>
      <c r="P848" s="77"/>
      <c r="Q848" s="77"/>
      <c r="R848" s="77"/>
      <c r="S848" s="4"/>
      <c r="T848" s="4"/>
      <c r="U848" s="4"/>
      <c r="V848" s="4"/>
    </row>
    <row r="849" spans="4:22" ht="15" x14ac:dyDescent="0.25">
      <c r="D849" s="89"/>
      <c r="E849" s="3"/>
      <c r="H849" s="3"/>
      <c r="P849" s="77"/>
      <c r="Q849" s="77"/>
      <c r="R849" s="77"/>
      <c r="S849" s="4"/>
      <c r="T849" s="4"/>
      <c r="U849" s="4"/>
      <c r="V849" s="4"/>
    </row>
    <row r="850" spans="4:22" ht="15" x14ac:dyDescent="0.25">
      <c r="D850" s="89"/>
      <c r="E850" s="3"/>
      <c r="H850" s="3"/>
      <c r="P850" s="77"/>
      <c r="Q850" s="77"/>
      <c r="R850" s="77"/>
      <c r="S850" s="4"/>
      <c r="T850" s="4"/>
      <c r="U850" s="4"/>
      <c r="V850" s="4"/>
    </row>
    <row r="851" spans="4:22" ht="15" x14ac:dyDescent="0.25">
      <c r="D851" s="89"/>
      <c r="E851" s="3"/>
      <c r="H851" s="3"/>
      <c r="P851" s="77"/>
      <c r="Q851" s="77"/>
      <c r="R851" s="77"/>
      <c r="S851" s="4"/>
      <c r="T851" s="4"/>
      <c r="U851" s="4"/>
      <c r="V851" s="4"/>
    </row>
    <row r="852" spans="4:22" ht="15" x14ac:dyDescent="0.25">
      <c r="D852" s="89"/>
      <c r="E852" s="3"/>
      <c r="H852" s="3"/>
      <c r="P852" s="77"/>
      <c r="Q852" s="77"/>
      <c r="R852" s="77"/>
      <c r="S852" s="4"/>
      <c r="T852" s="4"/>
      <c r="U852" s="4"/>
      <c r="V852" s="4"/>
    </row>
    <row r="853" spans="4:22" ht="15" x14ac:dyDescent="0.25">
      <c r="D853" s="89"/>
      <c r="E853" s="3"/>
      <c r="H853" s="3"/>
      <c r="P853" s="77"/>
      <c r="Q853" s="77"/>
      <c r="R853" s="77"/>
      <c r="S853" s="4"/>
      <c r="T853" s="4"/>
      <c r="U853" s="4"/>
      <c r="V853" s="4"/>
    </row>
    <row r="854" spans="4:22" ht="15" x14ac:dyDescent="0.25">
      <c r="D854" s="89"/>
      <c r="E854" s="3"/>
      <c r="H854" s="3"/>
      <c r="P854" s="77"/>
      <c r="Q854" s="77"/>
      <c r="R854" s="77"/>
      <c r="S854" s="4"/>
      <c r="T854" s="4"/>
      <c r="U854" s="4"/>
      <c r="V854" s="4"/>
    </row>
    <row r="855" spans="4:22" ht="15" x14ac:dyDescent="0.25">
      <c r="D855" s="89"/>
      <c r="E855" s="3"/>
      <c r="H855" s="3"/>
      <c r="P855" s="77"/>
      <c r="Q855" s="77"/>
      <c r="R855" s="77"/>
      <c r="S855" s="4"/>
      <c r="T855" s="4"/>
      <c r="U855" s="4"/>
      <c r="V855" s="4"/>
    </row>
    <row r="856" spans="4:22" ht="15" x14ac:dyDescent="0.25">
      <c r="D856" s="89"/>
      <c r="E856" s="3"/>
      <c r="H856" s="3"/>
      <c r="P856" s="77"/>
      <c r="Q856" s="77"/>
      <c r="R856" s="77"/>
      <c r="S856" s="4"/>
      <c r="T856" s="4"/>
      <c r="U856" s="4"/>
      <c r="V856" s="4"/>
    </row>
    <row r="857" spans="4:22" ht="15" x14ac:dyDescent="0.25">
      <c r="D857" s="89"/>
      <c r="E857" s="3"/>
      <c r="H857" s="3"/>
      <c r="P857" s="77"/>
      <c r="Q857" s="77"/>
      <c r="R857" s="77"/>
      <c r="S857" s="4"/>
      <c r="T857" s="4"/>
      <c r="U857" s="4"/>
      <c r="V857" s="4"/>
    </row>
    <row r="858" spans="4:22" ht="15" x14ac:dyDescent="0.25">
      <c r="D858" s="89"/>
      <c r="E858" s="3"/>
      <c r="H858" s="3"/>
      <c r="P858" s="77"/>
      <c r="Q858" s="77"/>
      <c r="R858" s="77"/>
      <c r="S858" s="4"/>
      <c r="T858" s="4"/>
      <c r="U858" s="4"/>
      <c r="V858" s="4"/>
    </row>
    <row r="859" spans="4:22" ht="15" x14ac:dyDescent="0.25">
      <c r="D859" s="89"/>
      <c r="E859" s="3"/>
      <c r="H859" s="3"/>
      <c r="P859" s="77"/>
      <c r="Q859" s="77"/>
      <c r="R859" s="77"/>
      <c r="S859" s="4"/>
      <c r="T859" s="4"/>
      <c r="U859" s="4"/>
      <c r="V859" s="4"/>
    </row>
    <row r="860" spans="4:22" ht="15" x14ac:dyDescent="0.25">
      <c r="D860" s="89"/>
      <c r="E860" s="3"/>
      <c r="H860" s="3"/>
      <c r="P860" s="77"/>
      <c r="Q860" s="77"/>
      <c r="R860" s="77"/>
      <c r="S860" s="4"/>
      <c r="T860" s="4"/>
      <c r="U860" s="4"/>
      <c r="V860" s="4"/>
    </row>
    <row r="861" spans="4:22" ht="15" x14ac:dyDescent="0.25">
      <c r="D861" s="89"/>
      <c r="E861" s="3"/>
      <c r="H861" s="3"/>
      <c r="P861" s="77"/>
      <c r="Q861" s="77"/>
      <c r="R861" s="77"/>
      <c r="S861" s="4"/>
      <c r="T861" s="4"/>
      <c r="U861" s="4"/>
      <c r="V861" s="4"/>
    </row>
    <row r="862" spans="4:22" ht="15" x14ac:dyDescent="0.25">
      <c r="D862" s="89"/>
      <c r="E862" s="3"/>
      <c r="H862" s="3"/>
      <c r="P862" s="77"/>
      <c r="Q862" s="77"/>
      <c r="R862" s="77"/>
      <c r="S862" s="4"/>
      <c r="T862" s="4"/>
      <c r="U862" s="4"/>
      <c r="V862" s="4"/>
    </row>
    <row r="863" spans="4:22" ht="15" x14ac:dyDescent="0.25">
      <c r="D863" s="89"/>
      <c r="E863" s="3"/>
      <c r="H863" s="3"/>
      <c r="P863" s="77"/>
      <c r="Q863" s="77"/>
      <c r="R863" s="77"/>
      <c r="S863" s="4"/>
      <c r="T863" s="4"/>
      <c r="U863" s="4"/>
      <c r="V863" s="4"/>
    </row>
    <row r="864" spans="4:22" ht="15" x14ac:dyDescent="0.25">
      <c r="D864" s="89"/>
      <c r="E864" s="3"/>
      <c r="H864" s="3"/>
      <c r="P864" s="77"/>
      <c r="Q864" s="77"/>
      <c r="R864" s="77"/>
      <c r="S864" s="4"/>
      <c r="T864" s="4"/>
      <c r="U864" s="4"/>
      <c r="V864" s="4"/>
    </row>
    <row r="865" spans="4:22" ht="15" x14ac:dyDescent="0.25">
      <c r="D865" s="89"/>
      <c r="E865" s="3"/>
      <c r="H865" s="3"/>
      <c r="P865" s="77"/>
      <c r="Q865" s="77"/>
      <c r="R865" s="77"/>
      <c r="S865" s="4"/>
      <c r="T865" s="4"/>
      <c r="U865" s="4"/>
      <c r="V865" s="4"/>
    </row>
    <row r="866" spans="4:22" ht="15" x14ac:dyDescent="0.25">
      <c r="D866" s="89"/>
      <c r="E866" s="3"/>
      <c r="H866" s="3"/>
      <c r="P866" s="77"/>
      <c r="Q866" s="77"/>
      <c r="R866" s="77"/>
      <c r="S866" s="4"/>
      <c r="T866" s="4"/>
      <c r="U866" s="4"/>
      <c r="V866" s="4"/>
    </row>
    <row r="867" spans="4:22" ht="15" x14ac:dyDescent="0.25">
      <c r="D867" s="89"/>
      <c r="E867" s="3"/>
      <c r="H867" s="3"/>
      <c r="P867" s="77"/>
      <c r="Q867" s="77"/>
      <c r="R867" s="77"/>
      <c r="S867" s="4"/>
      <c r="T867" s="4"/>
      <c r="U867" s="4"/>
      <c r="V867" s="4"/>
    </row>
    <row r="868" spans="4:22" ht="15" x14ac:dyDescent="0.25">
      <c r="D868" s="89"/>
      <c r="E868" s="3"/>
      <c r="H868" s="3"/>
      <c r="P868" s="77"/>
      <c r="Q868" s="77"/>
      <c r="R868" s="77"/>
      <c r="S868" s="4"/>
      <c r="T868" s="4"/>
      <c r="U868" s="4"/>
      <c r="V868" s="4"/>
    </row>
    <row r="869" spans="4:22" ht="15" x14ac:dyDescent="0.25">
      <c r="D869" s="89"/>
      <c r="E869" s="3"/>
      <c r="H869" s="3"/>
      <c r="P869" s="77"/>
      <c r="Q869" s="77"/>
      <c r="R869" s="77"/>
      <c r="S869" s="4"/>
      <c r="T869" s="4"/>
      <c r="U869" s="4"/>
      <c r="V869" s="4"/>
    </row>
    <row r="870" spans="4:22" ht="15" x14ac:dyDescent="0.25">
      <c r="D870" s="89"/>
      <c r="E870" s="3"/>
      <c r="H870" s="3"/>
      <c r="P870" s="77"/>
      <c r="Q870" s="77"/>
      <c r="R870" s="77"/>
      <c r="S870" s="4"/>
      <c r="T870" s="4"/>
      <c r="U870" s="4"/>
      <c r="V870" s="4"/>
    </row>
    <row r="871" spans="4:22" ht="15" x14ac:dyDescent="0.25">
      <c r="D871" s="89"/>
      <c r="E871" s="3"/>
      <c r="H871" s="3"/>
      <c r="P871" s="77"/>
      <c r="Q871" s="77"/>
      <c r="R871" s="77"/>
      <c r="S871" s="4"/>
      <c r="T871" s="4"/>
      <c r="U871" s="4"/>
      <c r="V871" s="4"/>
    </row>
    <row r="872" spans="4:22" ht="15" x14ac:dyDescent="0.25">
      <c r="D872" s="89"/>
      <c r="E872" s="3"/>
      <c r="H872" s="3"/>
      <c r="P872" s="77"/>
      <c r="Q872" s="77"/>
      <c r="R872" s="77"/>
      <c r="S872" s="4"/>
      <c r="T872" s="4"/>
      <c r="U872" s="4"/>
      <c r="V872" s="4"/>
    </row>
    <row r="873" spans="4:22" ht="15" x14ac:dyDescent="0.25">
      <c r="D873" s="89"/>
      <c r="E873" s="3"/>
      <c r="H873" s="3"/>
      <c r="P873" s="77"/>
      <c r="Q873" s="77"/>
      <c r="R873" s="77"/>
      <c r="S873" s="4"/>
      <c r="T873" s="4"/>
      <c r="U873" s="4"/>
      <c r="V873" s="4"/>
    </row>
    <row r="874" spans="4:22" ht="15" x14ac:dyDescent="0.25">
      <c r="D874" s="89"/>
      <c r="E874" s="3"/>
      <c r="H874" s="3"/>
      <c r="P874" s="77"/>
      <c r="Q874" s="77"/>
      <c r="R874" s="77"/>
      <c r="S874" s="4"/>
      <c r="T874" s="4"/>
      <c r="U874" s="4"/>
      <c r="V874" s="4"/>
    </row>
    <row r="875" spans="4:22" ht="15" x14ac:dyDescent="0.25">
      <c r="D875" s="89"/>
      <c r="E875" s="3"/>
      <c r="H875" s="3"/>
      <c r="P875" s="77"/>
      <c r="Q875" s="77"/>
      <c r="R875" s="77"/>
      <c r="S875" s="4"/>
      <c r="T875" s="4"/>
      <c r="U875" s="4"/>
      <c r="V875" s="4"/>
    </row>
    <row r="876" spans="4:22" ht="15" x14ac:dyDescent="0.25">
      <c r="D876" s="89"/>
      <c r="E876" s="3"/>
      <c r="H876" s="3"/>
      <c r="P876" s="77"/>
      <c r="Q876" s="77"/>
      <c r="R876" s="77"/>
      <c r="S876" s="4"/>
      <c r="T876" s="4"/>
      <c r="U876" s="4"/>
      <c r="V876" s="4"/>
    </row>
    <row r="877" spans="4:22" ht="15" x14ac:dyDescent="0.25">
      <c r="D877" s="89"/>
      <c r="E877" s="3"/>
      <c r="H877" s="3"/>
      <c r="P877" s="77"/>
      <c r="Q877" s="77"/>
      <c r="R877" s="77"/>
      <c r="S877" s="4"/>
      <c r="T877" s="4"/>
      <c r="U877" s="4"/>
      <c r="V877" s="4"/>
    </row>
    <row r="878" spans="4:22" ht="15" x14ac:dyDescent="0.25">
      <c r="D878" s="89"/>
      <c r="E878" s="3"/>
      <c r="H878" s="3"/>
      <c r="P878" s="77"/>
      <c r="Q878" s="77"/>
      <c r="R878" s="77"/>
      <c r="S878" s="4"/>
      <c r="T878" s="4"/>
      <c r="U878" s="4"/>
      <c r="V878" s="4"/>
    </row>
    <row r="879" spans="4:22" ht="15" x14ac:dyDescent="0.25">
      <c r="D879" s="89"/>
      <c r="E879" s="3"/>
      <c r="H879" s="3"/>
      <c r="P879" s="77"/>
      <c r="Q879" s="77"/>
      <c r="R879" s="77"/>
      <c r="S879" s="4"/>
      <c r="T879" s="4"/>
      <c r="U879" s="4"/>
      <c r="V879" s="4"/>
    </row>
    <row r="880" spans="4:22" ht="15" x14ac:dyDescent="0.25">
      <c r="D880" s="89"/>
      <c r="E880" s="3"/>
      <c r="H880" s="3"/>
      <c r="P880" s="77"/>
      <c r="Q880" s="77"/>
      <c r="R880" s="77"/>
      <c r="S880" s="4"/>
      <c r="T880" s="4"/>
      <c r="U880" s="4"/>
      <c r="V880" s="4"/>
    </row>
    <row r="881" spans="4:22" ht="15" x14ac:dyDescent="0.25">
      <c r="D881" s="89"/>
      <c r="E881" s="3"/>
      <c r="H881" s="3"/>
      <c r="P881" s="77"/>
      <c r="Q881" s="77"/>
      <c r="R881" s="77"/>
      <c r="S881" s="4"/>
      <c r="T881" s="4"/>
      <c r="U881" s="4"/>
      <c r="V881" s="4"/>
    </row>
    <row r="882" spans="4:22" ht="15" x14ac:dyDescent="0.25">
      <c r="D882" s="89"/>
      <c r="E882" s="3"/>
      <c r="H882" s="3"/>
      <c r="P882" s="77"/>
      <c r="Q882" s="77"/>
      <c r="R882" s="77"/>
      <c r="S882" s="4"/>
      <c r="T882" s="4"/>
      <c r="U882" s="4"/>
      <c r="V882" s="4"/>
    </row>
    <row r="883" spans="4:22" ht="15" x14ac:dyDescent="0.25">
      <c r="D883" s="89"/>
      <c r="E883" s="3"/>
      <c r="H883" s="3"/>
      <c r="P883" s="77"/>
      <c r="Q883" s="77"/>
      <c r="R883" s="77"/>
      <c r="S883" s="4"/>
      <c r="T883" s="4"/>
      <c r="U883" s="4"/>
      <c r="V883" s="4"/>
    </row>
    <row r="884" spans="4:22" ht="15" x14ac:dyDescent="0.25">
      <c r="D884" s="89"/>
      <c r="E884" s="3"/>
      <c r="H884" s="3"/>
      <c r="P884" s="77"/>
      <c r="Q884" s="77"/>
      <c r="R884" s="77"/>
      <c r="S884" s="4"/>
      <c r="T884" s="4"/>
      <c r="U884" s="4"/>
      <c r="V884" s="4"/>
    </row>
    <row r="885" spans="4:22" ht="15" x14ac:dyDescent="0.25">
      <c r="D885" s="89"/>
      <c r="E885" s="3"/>
      <c r="H885" s="3"/>
      <c r="P885" s="77"/>
      <c r="Q885" s="77"/>
      <c r="R885" s="77"/>
      <c r="S885" s="4"/>
      <c r="T885" s="4"/>
      <c r="U885" s="4"/>
      <c r="V885" s="4"/>
    </row>
    <row r="886" spans="4:22" ht="15" x14ac:dyDescent="0.25">
      <c r="D886" s="89"/>
      <c r="E886" s="3"/>
      <c r="H886" s="3"/>
      <c r="P886" s="77"/>
      <c r="Q886" s="77"/>
      <c r="R886" s="77"/>
      <c r="S886" s="4"/>
      <c r="T886" s="4"/>
      <c r="U886" s="4"/>
      <c r="V886" s="4"/>
    </row>
    <row r="887" spans="4:22" ht="15" x14ac:dyDescent="0.25">
      <c r="D887" s="89"/>
      <c r="E887" s="3"/>
      <c r="H887" s="3"/>
      <c r="P887" s="77"/>
      <c r="Q887" s="77"/>
      <c r="R887" s="77"/>
      <c r="S887" s="4"/>
      <c r="T887" s="4"/>
      <c r="U887" s="4"/>
      <c r="V887" s="4"/>
    </row>
    <row r="888" spans="4:22" ht="15" x14ac:dyDescent="0.25">
      <c r="D888" s="89"/>
      <c r="E888" s="3"/>
      <c r="H888" s="3"/>
      <c r="P888" s="77"/>
      <c r="Q888" s="77"/>
      <c r="R888" s="77"/>
      <c r="S888" s="4"/>
      <c r="T888" s="4"/>
      <c r="U888" s="4"/>
      <c r="V888" s="4"/>
    </row>
    <row r="889" spans="4:22" ht="15" x14ac:dyDescent="0.25">
      <c r="D889" s="89"/>
      <c r="E889" s="3"/>
      <c r="H889" s="3"/>
      <c r="P889" s="77"/>
      <c r="Q889" s="77"/>
      <c r="R889" s="77"/>
      <c r="S889" s="4"/>
      <c r="T889" s="4"/>
      <c r="U889" s="4"/>
      <c r="V889" s="4"/>
    </row>
    <row r="890" spans="4:22" ht="15" x14ac:dyDescent="0.25">
      <c r="D890" s="89"/>
      <c r="E890" s="3"/>
      <c r="H890" s="3"/>
      <c r="P890" s="77"/>
      <c r="Q890" s="77"/>
      <c r="R890" s="77"/>
      <c r="S890" s="4"/>
      <c r="T890" s="4"/>
      <c r="U890" s="4"/>
      <c r="V890" s="4"/>
    </row>
    <row r="891" spans="4:22" ht="15" x14ac:dyDescent="0.25">
      <c r="D891" s="89"/>
      <c r="E891" s="3"/>
      <c r="H891" s="3"/>
      <c r="P891" s="77"/>
      <c r="Q891" s="77"/>
      <c r="R891" s="77"/>
      <c r="S891" s="4"/>
      <c r="T891" s="4"/>
      <c r="U891" s="4"/>
      <c r="V891" s="4"/>
    </row>
    <row r="892" spans="4:22" ht="15" x14ac:dyDescent="0.25">
      <c r="D892" s="89"/>
      <c r="E892" s="3"/>
      <c r="H892" s="3"/>
      <c r="P892" s="77"/>
      <c r="Q892" s="77"/>
      <c r="R892" s="77"/>
      <c r="S892" s="4"/>
      <c r="T892" s="4"/>
      <c r="U892" s="4"/>
      <c r="V892" s="4"/>
    </row>
    <row r="893" spans="4:22" ht="15" x14ac:dyDescent="0.25">
      <c r="D893" s="89"/>
      <c r="E893" s="3"/>
      <c r="H893" s="3"/>
      <c r="P893" s="77"/>
      <c r="Q893" s="77"/>
      <c r="R893" s="77"/>
      <c r="S893" s="4"/>
      <c r="T893" s="4"/>
      <c r="U893" s="4"/>
      <c r="V893" s="4"/>
    </row>
    <row r="894" spans="4:22" ht="15" x14ac:dyDescent="0.25">
      <c r="D894" s="89"/>
      <c r="E894" s="3"/>
      <c r="H894" s="3"/>
      <c r="P894" s="77"/>
      <c r="Q894" s="77"/>
      <c r="R894" s="77"/>
      <c r="S894" s="4"/>
      <c r="T894" s="4"/>
      <c r="U894" s="4"/>
      <c r="V894" s="4"/>
    </row>
    <row r="895" spans="4:22" ht="15" x14ac:dyDescent="0.25">
      <c r="D895" s="89"/>
      <c r="E895" s="3"/>
      <c r="H895" s="3"/>
      <c r="P895" s="77"/>
      <c r="Q895" s="77"/>
      <c r="R895" s="77"/>
      <c r="S895" s="4"/>
      <c r="T895" s="4"/>
      <c r="U895" s="4"/>
      <c r="V895" s="4"/>
    </row>
    <row r="896" spans="4:22" ht="15" x14ac:dyDescent="0.25">
      <c r="D896" s="89"/>
      <c r="E896" s="3"/>
      <c r="H896" s="3"/>
      <c r="P896" s="77"/>
      <c r="Q896" s="77"/>
      <c r="R896" s="77"/>
      <c r="S896" s="4"/>
      <c r="T896" s="4"/>
      <c r="U896" s="4"/>
      <c r="V896" s="4"/>
    </row>
    <row r="897" spans="4:22" ht="15" x14ac:dyDescent="0.25">
      <c r="D897" s="89"/>
      <c r="E897" s="3"/>
      <c r="H897" s="3"/>
      <c r="P897" s="77"/>
      <c r="Q897" s="77"/>
      <c r="R897" s="77"/>
      <c r="S897" s="4"/>
      <c r="T897" s="4"/>
      <c r="U897" s="4"/>
      <c r="V897" s="4"/>
    </row>
    <row r="898" spans="4:22" ht="15" x14ac:dyDescent="0.25">
      <c r="D898" s="89"/>
      <c r="E898" s="3"/>
      <c r="H898" s="3"/>
      <c r="P898" s="77"/>
      <c r="Q898" s="77"/>
      <c r="R898" s="77"/>
      <c r="S898" s="4"/>
      <c r="T898" s="4"/>
      <c r="U898" s="4"/>
      <c r="V898" s="4"/>
    </row>
    <row r="899" spans="4:22" ht="15" x14ac:dyDescent="0.25">
      <c r="D899" s="89"/>
      <c r="E899" s="3"/>
      <c r="H899" s="3"/>
      <c r="P899" s="77"/>
      <c r="Q899" s="77"/>
      <c r="R899" s="77"/>
      <c r="S899" s="4"/>
      <c r="T899" s="4"/>
      <c r="U899" s="4"/>
      <c r="V899" s="4"/>
    </row>
    <row r="900" spans="4:22" ht="15" x14ac:dyDescent="0.25">
      <c r="D900" s="89"/>
      <c r="E900" s="3"/>
      <c r="H900" s="3"/>
      <c r="P900" s="77"/>
      <c r="Q900" s="77"/>
      <c r="R900" s="77"/>
      <c r="S900" s="4"/>
      <c r="T900" s="4"/>
      <c r="U900" s="4"/>
      <c r="V900" s="4"/>
    </row>
    <row r="901" spans="4:22" ht="15" x14ac:dyDescent="0.25">
      <c r="D901" s="89"/>
      <c r="E901" s="3"/>
      <c r="H901" s="3"/>
      <c r="P901" s="77"/>
      <c r="Q901" s="77"/>
      <c r="R901" s="77"/>
      <c r="S901" s="4"/>
      <c r="T901" s="4"/>
      <c r="U901" s="4"/>
      <c r="V901" s="4"/>
    </row>
    <row r="902" spans="4:22" ht="15" x14ac:dyDescent="0.25">
      <c r="D902" s="89"/>
      <c r="E902" s="3"/>
      <c r="H902" s="3"/>
      <c r="P902" s="77"/>
      <c r="Q902" s="77"/>
      <c r="R902" s="77"/>
      <c r="S902" s="4"/>
      <c r="T902" s="4"/>
      <c r="U902" s="4"/>
      <c r="V902" s="4"/>
    </row>
    <row r="903" spans="4:22" ht="15" x14ac:dyDescent="0.25">
      <c r="D903" s="89"/>
      <c r="E903" s="3"/>
      <c r="H903" s="3"/>
      <c r="P903" s="77"/>
      <c r="Q903" s="77"/>
      <c r="R903" s="77"/>
      <c r="S903" s="4"/>
      <c r="T903" s="4"/>
      <c r="U903" s="4"/>
      <c r="V903" s="4"/>
    </row>
    <row r="904" spans="4:22" ht="15" x14ac:dyDescent="0.25">
      <c r="D904" s="89"/>
      <c r="E904" s="3"/>
      <c r="H904" s="3"/>
      <c r="P904" s="77"/>
      <c r="Q904" s="77"/>
      <c r="R904" s="77"/>
      <c r="S904" s="4"/>
      <c r="T904" s="4"/>
      <c r="U904" s="4"/>
      <c r="V904" s="4"/>
    </row>
    <row r="905" spans="4:22" ht="15" x14ac:dyDescent="0.25">
      <c r="D905" s="89"/>
      <c r="E905" s="3"/>
      <c r="H905" s="3"/>
      <c r="P905" s="77"/>
      <c r="Q905" s="77"/>
      <c r="R905" s="77"/>
      <c r="S905" s="4"/>
      <c r="T905" s="4"/>
      <c r="U905" s="4"/>
      <c r="V905" s="4"/>
    </row>
    <row r="906" spans="4:22" ht="15" x14ac:dyDescent="0.25">
      <c r="D906" s="89"/>
      <c r="E906" s="3"/>
      <c r="H906" s="3"/>
      <c r="P906" s="77"/>
      <c r="Q906" s="77"/>
      <c r="R906" s="77"/>
      <c r="S906" s="4"/>
      <c r="T906" s="4"/>
      <c r="U906" s="4"/>
      <c r="V906" s="4"/>
    </row>
    <row r="907" spans="4:22" ht="15" x14ac:dyDescent="0.25">
      <c r="D907" s="89"/>
      <c r="E907" s="3"/>
      <c r="H907" s="3"/>
      <c r="P907" s="77"/>
      <c r="Q907" s="77"/>
      <c r="R907" s="77"/>
      <c r="S907" s="4"/>
      <c r="T907" s="4"/>
      <c r="U907" s="4"/>
      <c r="V907" s="4"/>
    </row>
    <row r="908" spans="4:22" ht="15" x14ac:dyDescent="0.25">
      <c r="D908" s="89"/>
      <c r="E908" s="3"/>
      <c r="H908" s="3"/>
      <c r="P908" s="77"/>
      <c r="Q908" s="77"/>
      <c r="R908" s="77"/>
      <c r="S908" s="4"/>
      <c r="T908" s="4"/>
      <c r="U908" s="4"/>
      <c r="V908" s="4"/>
    </row>
    <row r="909" spans="4:22" ht="15" x14ac:dyDescent="0.25">
      <c r="D909" s="89"/>
      <c r="E909" s="3"/>
      <c r="H909" s="3"/>
      <c r="P909" s="77"/>
      <c r="Q909" s="77"/>
      <c r="R909" s="77"/>
      <c r="S909" s="4"/>
      <c r="T909" s="4"/>
      <c r="U909" s="4"/>
      <c r="V909" s="4"/>
    </row>
    <row r="910" spans="4:22" ht="15" x14ac:dyDescent="0.25">
      <c r="D910" s="89"/>
      <c r="E910" s="3"/>
      <c r="H910" s="3"/>
      <c r="P910" s="77"/>
      <c r="Q910" s="77"/>
      <c r="R910" s="77"/>
      <c r="S910" s="4"/>
      <c r="T910" s="4"/>
      <c r="U910" s="4"/>
      <c r="V910" s="4"/>
    </row>
    <row r="911" spans="4:22" ht="15" x14ac:dyDescent="0.25">
      <c r="D911" s="89"/>
      <c r="E911" s="3"/>
      <c r="H911" s="3"/>
      <c r="P911" s="77"/>
      <c r="Q911" s="77"/>
      <c r="R911" s="77"/>
      <c r="S911" s="4"/>
      <c r="T911" s="4"/>
      <c r="U911" s="4"/>
      <c r="V911" s="4"/>
    </row>
    <row r="912" spans="4:22" ht="15" x14ac:dyDescent="0.25">
      <c r="D912" s="89"/>
      <c r="E912" s="3"/>
      <c r="H912" s="3"/>
      <c r="P912" s="77"/>
      <c r="Q912" s="77"/>
      <c r="R912" s="77"/>
      <c r="S912" s="4"/>
      <c r="T912" s="4"/>
      <c r="U912" s="4"/>
      <c r="V912" s="4"/>
    </row>
    <row r="913" spans="4:22" ht="15" x14ac:dyDescent="0.25">
      <c r="D913" s="89"/>
      <c r="E913" s="3"/>
      <c r="H913" s="3"/>
      <c r="P913" s="77"/>
      <c r="Q913" s="77"/>
      <c r="R913" s="77"/>
      <c r="S913" s="4"/>
      <c r="T913" s="4"/>
      <c r="U913" s="4"/>
      <c r="V913" s="4"/>
    </row>
    <row r="914" spans="4:22" ht="15" x14ac:dyDescent="0.25">
      <c r="D914" s="89"/>
      <c r="E914" s="3"/>
      <c r="H914" s="3"/>
      <c r="P914" s="77"/>
      <c r="Q914" s="77"/>
      <c r="R914" s="77"/>
      <c r="S914" s="4"/>
      <c r="T914" s="4"/>
      <c r="U914" s="4"/>
      <c r="V914" s="4"/>
    </row>
    <row r="915" spans="4:22" ht="15" x14ac:dyDescent="0.25">
      <c r="D915" s="89"/>
      <c r="E915" s="3"/>
      <c r="H915" s="3"/>
      <c r="P915" s="77"/>
      <c r="Q915" s="77"/>
      <c r="R915" s="77"/>
      <c r="S915" s="4"/>
      <c r="T915" s="4"/>
      <c r="U915" s="4"/>
      <c r="V915" s="4"/>
    </row>
    <row r="916" spans="4:22" ht="15" x14ac:dyDescent="0.25">
      <c r="D916" s="89"/>
      <c r="E916" s="3"/>
      <c r="H916" s="3"/>
      <c r="P916" s="77"/>
      <c r="Q916" s="77"/>
      <c r="R916" s="77"/>
      <c r="S916" s="4"/>
      <c r="T916" s="4"/>
      <c r="U916" s="4"/>
      <c r="V916" s="4"/>
    </row>
    <row r="917" spans="4:22" ht="15" x14ac:dyDescent="0.25">
      <c r="D917" s="89"/>
      <c r="E917" s="3"/>
      <c r="H917" s="3"/>
      <c r="P917" s="77"/>
      <c r="Q917" s="77"/>
      <c r="R917" s="77"/>
      <c r="S917" s="4"/>
      <c r="T917" s="4"/>
      <c r="U917" s="4"/>
      <c r="V917" s="4"/>
    </row>
    <row r="918" spans="4:22" ht="15" x14ac:dyDescent="0.25">
      <c r="D918" s="89"/>
      <c r="E918" s="3"/>
      <c r="H918" s="3"/>
      <c r="P918" s="77"/>
      <c r="Q918" s="77"/>
      <c r="R918" s="77"/>
      <c r="S918" s="4"/>
      <c r="T918" s="4"/>
      <c r="U918" s="4"/>
      <c r="V918" s="4"/>
    </row>
    <row r="919" spans="4:22" ht="15" x14ac:dyDescent="0.25">
      <c r="D919" s="89"/>
      <c r="E919" s="3"/>
      <c r="H919" s="3"/>
      <c r="P919" s="77"/>
      <c r="Q919" s="77"/>
      <c r="R919" s="77"/>
      <c r="S919" s="4"/>
      <c r="T919" s="4"/>
      <c r="U919" s="4"/>
      <c r="V919" s="4"/>
    </row>
    <row r="920" spans="4:22" ht="15" x14ac:dyDescent="0.25">
      <c r="D920" s="89"/>
      <c r="E920" s="3"/>
      <c r="H920" s="3"/>
      <c r="P920" s="77"/>
      <c r="Q920" s="77"/>
      <c r="R920" s="77"/>
      <c r="S920" s="4"/>
      <c r="T920" s="4"/>
      <c r="U920" s="4"/>
      <c r="V920" s="4"/>
    </row>
    <row r="921" spans="4:22" ht="15" x14ac:dyDescent="0.25">
      <c r="D921" s="89"/>
      <c r="E921" s="3"/>
      <c r="H921" s="3"/>
      <c r="P921" s="77"/>
      <c r="Q921" s="77"/>
      <c r="R921" s="77"/>
      <c r="S921" s="4"/>
      <c r="T921" s="4"/>
      <c r="U921" s="4"/>
      <c r="V921" s="4"/>
    </row>
    <row r="922" spans="4:22" ht="15" x14ac:dyDescent="0.25">
      <c r="D922" s="89"/>
      <c r="E922" s="3"/>
      <c r="H922" s="3"/>
      <c r="P922" s="77"/>
      <c r="Q922" s="77"/>
      <c r="R922" s="77"/>
      <c r="S922" s="4"/>
      <c r="T922" s="4"/>
      <c r="U922" s="4"/>
      <c r="V922" s="4"/>
    </row>
    <row r="923" spans="4:22" ht="15" x14ac:dyDescent="0.25">
      <c r="D923" s="89"/>
      <c r="E923" s="3"/>
      <c r="H923" s="3"/>
      <c r="P923" s="77"/>
      <c r="Q923" s="77"/>
      <c r="R923" s="77"/>
      <c r="S923" s="4"/>
      <c r="T923" s="4"/>
      <c r="U923" s="4"/>
      <c r="V923" s="4"/>
    </row>
    <row r="924" spans="4:22" ht="15" x14ac:dyDescent="0.25">
      <c r="D924" s="89"/>
      <c r="E924" s="3"/>
      <c r="H924" s="3"/>
      <c r="P924" s="77"/>
      <c r="Q924" s="77"/>
      <c r="R924" s="77"/>
      <c r="S924" s="4"/>
      <c r="T924" s="4"/>
      <c r="U924" s="4"/>
      <c r="V924" s="4"/>
    </row>
    <row r="925" spans="4:22" ht="15" x14ac:dyDescent="0.25">
      <c r="D925" s="89"/>
      <c r="E925" s="3"/>
      <c r="H925" s="3"/>
      <c r="P925" s="77"/>
      <c r="Q925" s="77"/>
      <c r="R925" s="77"/>
      <c r="S925" s="4"/>
      <c r="T925" s="4"/>
      <c r="U925" s="4"/>
      <c r="V925" s="4"/>
    </row>
    <row r="926" spans="4:22" ht="15" x14ac:dyDescent="0.25">
      <c r="D926" s="89"/>
      <c r="E926" s="3"/>
      <c r="H926" s="3"/>
      <c r="P926" s="77"/>
      <c r="Q926" s="77"/>
      <c r="R926" s="77"/>
      <c r="S926" s="4"/>
      <c r="T926" s="4"/>
      <c r="U926" s="4"/>
      <c r="V926" s="4"/>
    </row>
    <row r="927" spans="4:22" ht="15" x14ac:dyDescent="0.25">
      <c r="D927" s="89"/>
      <c r="E927" s="3"/>
      <c r="H927" s="3"/>
      <c r="P927" s="77"/>
      <c r="Q927" s="77"/>
      <c r="R927" s="77"/>
      <c r="S927" s="4"/>
      <c r="T927" s="4"/>
      <c r="U927" s="4"/>
      <c r="V927" s="4"/>
    </row>
    <row r="928" spans="4:22" ht="15" x14ac:dyDescent="0.25">
      <c r="D928" s="89"/>
      <c r="E928" s="3"/>
      <c r="H928" s="3"/>
      <c r="P928" s="77"/>
      <c r="Q928" s="77"/>
      <c r="R928" s="77"/>
      <c r="S928" s="4"/>
      <c r="T928" s="4"/>
      <c r="U928" s="4"/>
      <c r="V928" s="4"/>
    </row>
    <row r="929" spans="4:22" ht="15" x14ac:dyDescent="0.25">
      <c r="D929" s="89"/>
      <c r="E929" s="3"/>
      <c r="H929" s="3"/>
      <c r="P929" s="77"/>
      <c r="Q929" s="77"/>
      <c r="R929" s="77"/>
      <c r="S929" s="4"/>
      <c r="T929" s="4"/>
      <c r="U929" s="4"/>
      <c r="V929" s="4"/>
    </row>
    <row r="930" spans="4:22" ht="15" x14ac:dyDescent="0.25">
      <c r="D930" s="89"/>
      <c r="E930" s="3"/>
      <c r="H930" s="3"/>
      <c r="P930" s="77"/>
      <c r="Q930" s="77"/>
      <c r="R930" s="77"/>
      <c r="S930" s="4"/>
      <c r="T930" s="4"/>
      <c r="U930" s="4"/>
      <c r="V930" s="4"/>
    </row>
    <row r="931" spans="4:22" ht="15" x14ac:dyDescent="0.25">
      <c r="D931" s="89"/>
      <c r="E931" s="3"/>
      <c r="H931" s="3"/>
      <c r="P931" s="77"/>
      <c r="Q931" s="77"/>
      <c r="R931" s="77"/>
      <c r="S931" s="4"/>
      <c r="T931" s="4"/>
      <c r="U931" s="4"/>
      <c r="V931" s="4"/>
    </row>
    <row r="932" spans="4:22" ht="15" x14ac:dyDescent="0.25">
      <c r="D932" s="89"/>
      <c r="E932" s="3"/>
      <c r="H932" s="3"/>
      <c r="P932" s="77"/>
      <c r="Q932" s="77"/>
      <c r="R932" s="77"/>
      <c r="S932" s="4"/>
      <c r="T932" s="4"/>
      <c r="U932" s="4"/>
      <c r="V932" s="4"/>
    </row>
    <row r="933" spans="4:22" ht="15" x14ac:dyDescent="0.25">
      <c r="D933" s="89"/>
      <c r="E933" s="3"/>
      <c r="H933" s="3"/>
      <c r="P933" s="77"/>
      <c r="Q933" s="77"/>
      <c r="R933" s="77"/>
      <c r="S933" s="4"/>
      <c r="T933" s="4"/>
      <c r="U933" s="4"/>
      <c r="V933" s="4"/>
    </row>
    <row r="934" spans="4:22" ht="15" x14ac:dyDescent="0.25">
      <c r="D934" s="89"/>
      <c r="E934" s="3"/>
      <c r="H934" s="3"/>
      <c r="P934" s="77"/>
      <c r="Q934" s="77"/>
      <c r="R934" s="77"/>
      <c r="S934" s="4"/>
      <c r="T934" s="4"/>
      <c r="U934" s="4"/>
      <c r="V934" s="4"/>
    </row>
    <row r="935" spans="4:22" ht="15" x14ac:dyDescent="0.25">
      <c r="D935" s="89"/>
      <c r="E935" s="3"/>
      <c r="H935" s="3"/>
      <c r="P935" s="77"/>
      <c r="Q935" s="77"/>
      <c r="R935" s="77"/>
      <c r="S935" s="4"/>
      <c r="T935" s="4"/>
      <c r="U935" s="4"/>
      <c r="V935" s="4"/>
    </row>
    <row r="936" spans="4:22" ht="15" x14ac:dyDescent="0.25">
      <c r="D936" s="89"/>
      <c r="E936" s="3"/>
      <c r="H936" s="3"/>
      <c r="P936" s="77"/>
      <c r="Q936" s="77"/>
      <c r="R936" s="77"/>
      <c r="S936" s="4"/>
      <c r="T936" s="4"/>
      <c r="U936" s="4"/>
      <c r="V936" s="4"/>
    </row>
    <row r="937" spans="4:22" ht="15" x14ac:dyDescent="0.25">
      <c r="D937" s="89"/>
      <c r="E937" s="3"/>
      <c r="H937" s="3"/>
      <c r="P937" s="77"/>
      <c r="Q937" s="77"/>
      <c r="R937" s="77"/>
      <c r="S937" s="4"/>
      <c r="T937" s="4"/>
      <c r="U937" s="4"/>
      <c r="V937" s="4"/>
    </row>
    <row r="938" spans="4:22" ht="15" x14ac:dyDescent="0.25">
      <c r="D938" s="89"/>
      <c r="E938" s="3"/>
      <c r="H938" s="3"/>
      <c r="P938" s="77"/>
      <c r="Q938" s="77"/>
      <c r="R938" s="77"/>
      <c r="S938" s="4"/>
      <c r="T938" s="4"/>
      <c r="U938" s="4"/>
      <c r="V938" s="4"/>
    </row>
    <row r="939" spans="4:22" ht="15" x14ac:dyDescent="0.25">
      <c r="D939" s="89"/>
      <c r="E939" s="3"/>
      <c r="H939" s="3"/>
      <c r="P939" s="77"/>
      <c r="Q939" s="77"/>
      <c r="R939" s="77"/>
      <c r="S939" s="4"/>
      <c r="T939" s="4"/>
      <c r="U939" s="4"/>
      <c r="V939" s="4"/>
    </row>
    <row r="940" spans="4:22" ht="15" x14ac:dyDescent="0.25">
      <c r="D940" s="89"/>
      <c r="E940" s="3"/>
      <c r="H940" s="3"/>
      <c r="P940" s="77"/>
      <c r="Q940" s="77"/>
      <c r="R940" s="77"/>
      <c r="S940" s="4"/>
      <c r="T940" s="4"/>
      <c r="U940" s="4"/>
      <c r="V940" s="4"/>
    </row>
    <row r="941" spans="4:22" ht="15" x14ac:dyDescent="0.25">
      <c r="D941" s="89"/>
      <c r="E941" s="3"/>
      <c r="H941" s="3"/>
      <c r="P941" s="77"/>
      <c r="Q941" s="77"/>
      <c r="R941" s="77"/>
      <c r="S941" s="4"/>
      <c r="T941" s="4"/>
      <c r="U941" s="4"/>
      <c r="V941" s="4"/>
    </row>
    <row r="942" spans="4:22" ht="15" x14ac:dyDescent="0.25">
      <c r="D942" s="89"/>
      <c r="E942" s="3"/>
      <c r="H942" s="3"/>
      <c r="P942" s="77"/>
      <c r="Q942" s="77"/>
      <c r="R942" s="77"/>
      <c r="S942" s="4"/>
      <c r="T942" s="4"/>
      <c r="U942" s="4"/>
      <c r="V942" s="4"/>
    </row>
    <row r="943" spans="4:22" ht="15" x14ac:dyDescent="0.25">
      <c r="D943" s="89"/>
      <c r="E943" s="3"/>
      <c r="H943" s="3"/>
      <c r="P943" s="77"/>
      <c r="Q943" s="77"/>
      <c r="R943" s="77"/>
      <c r="S943" s="4"/>
      <c r="T943" s="4"/>
      <c r="U943" s="4"/>
      <c r="V943" s="4"/>
    </row>
    <row r="944" spans="4:22" ht="15" x14ac:dyDescent="0.25">
      <c r="D944" s="89"/>
      <c r="E944" s="3"/>
      <c r="H944" s="3"/>
      <c r="P944" s="77"/>
      <c r="Q944" s="77"/>
      <c r="R944" s="77"/>
      <c r="S944" s="4"/>
      <c r="T944" s="4"/>
      <c r="U944" s="4"/>
      <c r="V944" s="4"/>
    </row>
    <row r="945" spans="4:22" ht="15" x14ac:dyDescent="0.25">
      <c r="D945" s="89"/>
      <c r="E945" s="3"/>
      <c r="H945" s="3"/>
      <c r="P945" s="77"/>
      <c r="Q945" s="77"/>
      <c r="R945" s="77"/>
      <c r="S945" s="4"/>
      <c r="T945" s="4"/>
      <c r="U945" s="4"/>
      <c r="V945" s="4"/>
    </row>
    <row r="946" spans="4:22" ht="15" x14ac:dyDescent="0.25">
      <c r="D946" s="89"/>
      <c r="E946" s="3"/>
      <c r="H946" s="3"/>
      <c r="P946" s="77"/>
      <c r="Q946" s="77"/>
      <c r="R946" s="77"/>
      <c r="S946" s="4"/>
      <c r="T946" s="4"/>
      <c r="U946" s="4"/>
      <c r="V946" s="4"/>
    </row>
    <row r="947" spans="4:22" ht="15" x14ac:dyDescent="0.25">
      <c r="D947" s="89"/>
      <c r="E947" s="3"/>
      <c r="H947" s="3"/>
      <c r="P947" s="77"/>
      <c r="Q947" s="77"/>
      <c r="R947" s="77"/>
      <c r="S947" s="4"/>
      <c r="T947" s="4"/>
      <c r="U947" s="4"/>
      <c r="V947" s="4"/>
    </row>
    <row r="948" spans="4:22" ht="15" x14ac:dyDescent="0.25">
      <c r="D948" s="89"/>
      <c r="E948" s="3"/>
      <c r="H948" s="3"/>
      <c r="P948" s="77"/>
      <c r="Q948" s="77"/>
      <c r="R948" s="77"/>
      <c r="S948" s="4"/>
      <c r="T948" s="4"/>
      <c r="U948" s="4"/>
      <c r="V948" s="4"/>
    </row>
    <row r="949" spans="4:22" ht="15" x14ac:dyDescent="0.25">
      <c r="D949" s="89"/>
      <c r="E949" s="3"/>
      <c r="H949" s="3"/>
      <c r="P949" s="77"/>
      <c r="Q949" s="77"/>
      <c r="R949" s="77"/>
      <c r="S949" s="4"/>
      <c r="T949" s="4"/>
      <c r="U949" s="4"/>
      <c r="V949" s="4"/>
    </row>
    <row r="950" spans="4:22" ht="15" x14ac:dyDescent="0.25">
      <c r="D950" s="89"/>
      <c r="E950" s="3"/>
      <c r="H950" s="3"/>
      <c r="P950" s="77"/>
      <c r="Q950" s="77"/>
      <c r="R950" s="77"/>
      <c r="S950" s="4"/>
      <c r="T950" s="4"/>
      <c r="U950" s="4"/>
      <c r="V950" s="4"/>
    </row>
    <row r="951" spans="4:22" ht="15" x14ac:dyDescent="0.25">
      <c r="D951" s="89"/>
      <c r="E951" s="3"/>
      <c r="H951" s="3"/>
      <c r="P951" s="77"/>
      <c r="Q951" s="77"/>
      <c r="R951" s="77"/>
      <c r="S951" s="4"/>
      <c r="T951" s="4"/>
      <c r="U951" s="4"/>
      <c r="V951" s="4"/>
    </row>
    <row r="952" spans="4:22" ht="15" x14ac:dyDescent="0.25">
      <c r="D952" s="89"/>
      <c r="E952" s="3"/>
      <c r="H952" s="3"/>
      <c r="P952" s="77"/>
      <c r="Q952" s="77"/>
      <c r="R952" s="77"/>
      <c r="S952" s="4"/>
      <c r="T952" s="4"/>
      <c r="U952" s="4"/>
      <c r="V952" s="4"/>
    </row>
    <row r="953" spans="4:22" ht="15" x14ac:dyDescent="0.25">
      <c r="D953" s="89"/>
      <c r="E953" s="3"/>
      <c r="H953" s="3"/>
      <c r="P953" s="77"/>
      <c r="Q953" s="77"/>
      <c r="R953" s="77"/>
      <c r="S953" s="4"/>
      <c r="T953" s="4"/>
      <c r="U953" s="4"/>
      <c r="V953" s="4"/>
    </row>
    <row r="954" spans="4:22" ht="15" x14ac:dyDescent="0.25">
      <c r="D954" s="89"/>
      <c r="E954" s="3"/>
      <c r="H954" s="3"/>
      <c r="P954" s="77"/>
      <c r="Q954" s="77"/>
      <c r="R954" s="77"/>
      <c r="S954" s="4"/>
      <c r="T954" s="4"/>
      <c r="U954" s="4"/>
      <c r="V954" s="4"/>
    </row>
    <row r="955" spans="4:22" ht="15" x14ac:dyDescent="0.25">
      <c r="D955" s="89"/>
      <c r="E955" s="3"/>
      <c r="H955" s="3"/>
      <c r="P955" s="77"/>
      <c r="Q955" s="77"/>
      <c r="R955" s="77"/>
      <c r="S955" s="4"/>
      <c r="T955" s="4"/>
      <c r="U955" s="4"/>
      <c r="V955" s="4"/>
    </row>
    <row r="956" spans="4:22" ht="15" x14ac:dyDescent="0.25">
      <c r="D956" s="89"/>
      <c r="E956" s="3"/>
      <c r="H956" s="3"/>
      <c r="P956" s="77"/>
      <c r="Q956" s="77"/>
      <c r="R956" s="77"/>
      <c r="S956" s="4"/>
      <c r="T956" s="4"/>
      <c r="U956" s="4"/>
      <c r="V956" s="4"/>
    </row>
    <row r="957" spans="4:22" ht="15" x14ac:dyDescent="0.25">
      <c r="D957" s="89"/>
      <c r="E957" s="3"/>
      <c r="H957" s="3"/>
      <c r="P957" s="77"/>
      <c r="Q957" s="77"/>
      <c r="R957" s="77"/>
      <c r="S957" s="4"/>
      <c r="T957" s="4"/>
      <c r="U957" s="4"/>
      <c r="V957" s="4"/>
    </row>
    <row r="958" spans="4:22" ht="15" x14ac:dyDescent="0.25">
      <c r="D958" s="89"/>
      <c r="E958" s="3"/>
      <c r="H958" s="3"/>
      <c r="P958" s="77"/>
      <c r="Q958" s="77"/>
      <c r="R958" s="77"/>
      <c r="S958" s="4"/>
      <c r="T958" s="4"/>
      <c r="U958" s="4"/>
      <c r="V958" s="4"/>
    </row>
    <row r="959" spans="4:22" ht="15" x14ac:dyDescent="0.25">
      <c r="D959" s="89"/>
      <c r="E959" s="3"/>
      <c r="H959" s="3"/>
      <c r="P959" s="77"/>
      <c r="Q959" s="77"/>
      <c r="R959" s="77"/>
      <c r="S959" s="4"/>
      <c r="T959" s="4"/>
      <c r="U959" s="4"/>
      <c r="V959" s="4"/>
    </row>
    <row r="960" spans="4:22" ht="15" x14ac:dyDescent="0.25">
      <c r="D960" s="89"/>
      <c r="E960" s="3"/>
      <c r="H960" s="3"/>
      <c r="P960" s="77"/>
      <c r="Q960" s="77"/>
      <c r="R960" s="77"/>
      <c r="S960" s="4"/>
      <c r="T960" s="4"/>
      <c r="U960" s="4"/>
      <c r="V960" s="4"/>
    </row>
    <row r="961" spans="4:22" ht="15" x14ac:dyDescent="0.25">
      <c r="D961" s="89"/>
      <c r="E961" s="3"/>
      <c r="H961" s="3"/>
      <c r="P961" s="77"/>
      <c r="Q961" s="77"/>
      <c r="R961" s="77"/>
      <c r="S961" s="4"/>
      <c r="T961" s="4"/>
      <c r="U961" s="4"/>
      <c r="V961" s="4"/>
    </row>
    <row r="962" spans="4:22" ht="15" x14ac:dyDescent="0.25">
      <c r="D962" s="89"/>
      <c r="E962" s="3"/>
      <c r="H962" s="3"/>
      <c r="P962" s="77"/>
      <c r="Q962" s="77"/>
      <c r="R962" s="77"/>
      <c r="S962" s="4"/>
      <c r="T962" s="4"/>
      <c r="U962" s="4"/>
      <c r="V962" s="4"/>
    </row>
    <row r="963" spans="4:22" ht="15" x14ac:dyDescent="0.25">
      <c r="D963" s="89"/>
      <c r="E963" s="3"/>
      <c r="H963" s="3"/>
      <c r="P963" s="77"/>
      <c r="Q963" s="77"/>
      <c r="R963" s="77"/>
      <c r="S963" s="4"/>
      <c r="T963" s="4"/>
      <c r="U963" s="4"/>
      <c r="V963" s="4"/>
    </row>
    <row r="964" spans="4:22" ht="15" x14ac:dyDescent="0.25">
      <c r="D964" s="89"/>
      <c r="E964" s="3"/>
      <c r="H964" s="3"/>
      <c r="P964" s="77"/>
      <c r="Q964" s="77"/>
      <c r="R964" s="77"/>
      <c r="S964" s="4"/>
      <c r="T964" s="4"/>
      <c r="U964" s="4"/>
      <c r="V964" s="4"/>
    </row>
    <row r="965" spans="4:22" ht="15" x14ac:dyDescent="0.25">
      <c r="D965" s="89"/>
      <c r="E965" s="3"/>
      <c r="H965" s="3"/>
      <c r="P965" s="77"/>
      <c r="Q965" s="77"/>
      <c r="R965" s="77"/>
      <c r="S965" s="4"/>
      <c r="T965" s="4"/>
      <c r="U965" s="4"/>
      <c r="V965" s="4"/>
    </row>
    <row r="966" spans="4:22" ht="15" x14ac:dyDescent="0.25">
      <c r="D966" s="89"/>
      <c r="E966" s="3"/>
      <c r="H966" s="3"/>
      <c r="P966" s="77"/>
      <c r="Q966" s="77"/>
      <c r="R966" s="77"/>
      <c r="S966" s="4"/>
      <c r="T966" s="4"/>
      <c r="U966" s="4"/>
      <c r="V966" s="4"/>
    </row>
    <row r="967" spans="4:22" ht="15" x14ac:dyDescent="0.25">
      <c r="D967" s="89"/>
      <c r="E967" s="3"/>
      <c r="H967" s="3"/>
      <c r="P967" s="77"/>
      <c r="Q967" s="77"/>
      <c r="R967" s="77"/>
      <c r="S967" s="4"/>
      <c r="T967" s="4"/>
      <c r="U967" s="4"/>
      <c r="V967" s="4"/>
    </row>
    <row r="968" spans="4:22" ht="15" x14ac:dyDescent="0.25">
      <c r="D968" s="89"/>
      <c r="E968" s="3"/>
      <c r="H968" s="3"/>
      <c r="P968" s="77"/>
      <c r="Q968" s="77"/>
      <c r="R968" s="77"/>
      <c r="S968" s="4"/>
      <c r="T968" s="4"/>
      <c r="U968" s="4"/>
      <c r="V968" s="4"/>
    </row>
    <row r="969" spans="4:22" ht="15" x14ac:dyDescent="0.25">
      <c r="D969" s="89"/>
      <c r="E969" s="3"/>
      <c r="H969" s="3"/>
      <c r="P969" s="77"/>
      <c r="Q969" s="77"/>
      <c r="R969" s="77"/>
      <c r="S969" s="4"/>
      <c r="T969" s="4"/>
      <c r="U969" s="4"/>
      <c r="V969" s="4"/>
    </row>
    <row r="970" spans="4:22" ht="15" x14ac:dyDescent="0.25">
      <c r="D970" s="89"/>
      <c r="E970" s="3"/>
      <c r="H970" s="3"/>
      <c r="P970" s="77"/>
      <c r="Q970" s="77"/>
      <c r="R970" s="77"/>
      <c r="S970" s="4"/>
      <c r="T970" s="4"/>
      <c r="U970" s="4"/>
      <c r="V970" s="4"/>
    </row>
    <row r="971" spans="4:22" ht="15" x14ac:dyDescent="0.25">
      <c r="D971" s="89"/>
      <c r="E971" s="3"/>
      <c r="H971" s="3"/>
      <c r="P971" s="77"/>
      <c r="Q971" s="77"/>
      <c r="R971" s="77"/>
      <c r="S971" s="4"/>
      <c r="T971" s="4"/>
      <c r="U971" s="4"/>
      <c r="V971" s="4"/>
    </row>
    <row r="972" spans="4:22" ht="15" x14ac:dyDescent="0.25">
      <c r="D972" s="89"/>
      <c r="E972" s="3"/>
      <c r="H972" s="3"/>
      <c r="P972" s="77"/>
      <c r="Q972" s="77"/>
      <c r="R972" s="77"/>
      <c r="S972" s="4"/>
      <c r="T972" s="4"/>
      <c r="U972" s="4"/>
      <c r="V972" s="4"/>
    </row>
    <row r="973" spans="4:22" ht="15" x14ac:dyDescent="0.25">
      <c r="D973" s="89"/>
      <c r="E973" s="3"/>
      <c r="H973" s="3"/>
      <c r="P973" s="77"/>
      <c r="Q973" s="77"/>
      <c r="R973" s="77"/>
      <c r="S973" s="4"/>
      <c r="T973" s="4"/>
      <c r="U973" s="4"/>
      <c r="V973" s="4"/>
    </row>
    <row r="974" spans="4:22" ht="15" x14ac:dyDescent="0.25">
      <c r="D974" s="89"/>
      <c r="E974" s="3"/>
      <c r="H974" s="3"/>
      <c r="P974" s="77"/>
      <c r="Q974" s="77"/>
      <c r="R974" s="77"/>
      <c r="S974" s="4"/>
      <c r="T974" s="4"/>
      <c r="U974" s="4"/>
      <c r="V974" s="4"/>
    </row>
    <row r="975" spans="4:22" ht="15" x14ac:dyDescent="0.25">
      <c r="D975" s="89"/>
      <c r="E975" s="3"/>
      <c r="H975" s="3"/>
      <c r="P975" s="77"/>
      <c r="Q975" s="77"/>
      <c r="R975" s="77"/>
      <c r="S975" s="4"/>
      <c r="T975" s="4"/>
      <c r="U975" s="4"/>
      <c r="V975" s="4"/>
    </row>
    <row r="976" spans="4:22" ht="15" x14ac:dyDescent="0.25">
      <c r="D976" s="89"/>
      <c r="E976" s="3"/>
      <c r="H976" s="3"/>
      <c r="P976" s="77"/>
      <c r="Q976" s="77"/>
      <c r="R976" s="77"/>
      <c r="S976" s="4"/>
      <c r="T976" s="4"/>
      <c r="U976" s="4"/>
      <c r="V976" s="4"/>
    </row>
    <row r="977" spans="4:22" ht="15" x14ac:dyDescent="0.25">
      <c r="D977" s="89"/>
      <c r="E977" s="3"/>
      <c r="H977" s="3"/>
      <c r="P977" s="77"/>
      <c r="Q977" s="77"/>
      <c r="R977" s="77"/>
      <c r="S977" s="4"/>
      <c r="T977" s="4"/>
      <c r="U977" s="4"/>
      <c r="V977" s="4"/>
    </row>
    <row r="978" spans="4:22" ht="15" x14ac:dyDescent="0.25">
      <c r="D978" s="89"/>
      <c r="E978" s="3"/>
      <c r="H978" s="3"/>
      <c r="P978" s="77"/>
      <c r="Q978" s="77"/>
      <c r="R978" s="77"/>
      <c r="S978" s="4"/>
      <c r="T978" s="4"/>
      <c r="U978" s="4"/>
      <c r="V978" s="4"/>
    </row>
    <row r="979" spans="4:22" ht="15" x14ac:dyDescent="0.25">
      <c r="D979" s="89"/>
      <c r="E979" s="3"/>
      <c r="H979" s="3"/>
      <c r="P979" s="77"/>
      <c r="Q979" s="77"/>
      <c r="R979" s="77"/>
      <c r="S979" s="4"/>
      <c r="T979" s="4"/>
      <c r="U979" s="4"/>
      <c r="V979" s="4"/>
    </row>
    <row r="980" spans="4:22" ht="15" x14ac:dyDescent="0.25">
      <c r="D980" s="89"/>
      <c r="E980" s="3"/>
      <c r="H980" s="3"/>
      <c r="P980" s="77"/>
      <c r="Q980" s="77"/>
      <c r="R980" s="77"/>
      <c r="S980" s="4"/>
      <c r="T980" s="4"/>
      <c r="U980" s="4"/>
      <c r="V980" s="4"/>
    </row>
    <row r="981" spans="4:22" ht="15" x14ac:dyDescent="0.25">
      <c r="D981" s="89"/>
      <c r="E981" s="3"/>
      <c r="H981" s="3"/>
      <c r="P981" s="77"/>
      <c r="Q981" s="77"/>
      <c r="R981" s="77"/>
      <c r="S981" s="4"/>
      <c r="T981" s="4"/>
      <c r="U981" s="4"/>
      <c r="V981" s="4"/>
    </row>
    <row r="982" spans="4:22" ht="15" x14ac:dyDescent="0.25">
      <c r="D982" s="89"/>
      <c r="E982" s="3"/>
      <c r="H982" s="3"/>
      <c r="P982" s="77"/>
      <c r="Q982" s="77"/>
      <c r="R982" s="77"/>
      <c r="S982" s="4"/>
      <c r="T982" s="4"/>
      <c r="U982" s="4"/>
      <c r="V982" s="4"/>
    </row>
    <row r="983" spans="4:22" ht="15" x14ac:dyDescent="0.25">
      <c r="D983" s="89"/>
      <c r="E983" s="3"/>
      <c r="H983" s="3"/>
      <c r="P983" s="77"/>
      <c r="Q983" s="77"/>
      <c r="R983" s="77"/>
      <c r="S983" s="4"/>
      <c r="T983" s="4"/>
      <c r="U983" s="4"/>
      <c r="V983" s="4"/>
    </row>
    <row r="984" spans="4:22" ht="15" x14ac:dyDescent="0.25">
      <c r="D984" s="89"/>
      <c r="E984" s="3"/>
      <c r="H984" s="3"/>
      <c r="P984" s="77"/>
      <c r="Q984" s="77"/>
      <c r="R984" s="77"/>
      <c r="S984" s="4"/>
      <c r="T984" s="4"/>
      <c r="U984" s="4"/>
      <c r="V984" s="4"/>
    </row>
    <row r="985" spans="4:22" ht="15" x14ac:dyDescent="0.25">
      <c r="D985" s="89"/>
      <c r="E985" s="3"/>
      <c r="H985" s="3"/>
      <c r="P985" s="77"/>
      <c r="Q985" s="77"/>
      <c r="R985" s="77"/>
      <c r="S985" s="4"/>
      <c r="T985" s="4"/>
      <c r="U985" s="4"/>
      <c r="V985" s="4"/>
    </row>
    <row r="986" spans="4:22" ht="15" x14ac:dyDescent="0.25">
      <c r="D986" s="89"/>
      <c r="E986" s="3"/>
      <c r="H986" s="3"/>
      <c r="P986" s="77"/>
      <c r="Q986" s="77"/>
      <c r="R986" s="77"/>
      <c r="S986" s="4"/>
      <c r="T986" s="4"/>
      <c r="U986" s="4"/>
      <c r="V986" s="4"/>
    </row>
    <row r="987" spans="4:22" ht="15" x14ac:dyDescent="0.25">
      <c r="D987" s="89"/>
      <c r="E987" s="3"/>
      <c r="H987" s="3"/>
      <c r="P987" s="77"/>
      <c r="Q987" s="77"/>
      <c r="R987" s="77"/>
      <c r="S987" s="4"/>
      <c r="T987" s="4"/>
      <c r="U987" s="4"/>
      <c r="V987" s="4"/>
    </row>
    <row r="988" spans="4:22" ht="15" x14ac:dyDescent="0.25">
      <c r="D988" s="89"/>
      <c r="E988" s="3"/>
      <c r="H988" s="3"/>
      <c r="P988" s="77"/>
      <c r="Q988" s="77"/>
      <c r="R988" s="77"/>
      <c r="S988" s="4"/>
      <c r="T988" s="4"/>
      <c r="U988" s="4"/>
      <c r="V988" s="4"/>
    </row>
    <row r="989" spans="4:22" ht="15" x14ac:dyDescent="0.25">
      <c r="D989" s="89"/>
      <c r="E989" s="3"/>
      <c r="H989" s="3"/>
      <c r="P989" s="77"/>
      <c r="Q989" s="77"/>
      <c r="R989" s="77"/>
      <c r="S989" s="4"/>
      <c r="T989" s="4"/>
      <c r="U989" s="4"/>
      <c r="V989" s="4"/>
    </row>
    <row r="990" spans="4:22" ht="15" x14ac:dyDescent="0.25">
      <c r="D990" s="89"/>
      <c r="E990" s="3"/>
      <c r="H990" s="3"/>
      <c r="P990" s="77"/>
      <c r="Q990" s="77"/>
      <c r="R990" s="77"/>
      <c r="S990" s="4"/>
      <c r="T990" s="4"/>
      <c r="U990" s="4"/>
      <c r="V990" s="4"/>
    </row>
    <row r="991" spans="4:22" ht="15" x14ac:dyDescent="0.25">
      <c r="D991" s="89"/>
      <c r="E991" s="3"/>
      <c r="H991" s="3"/>
      <c r="P991" s="77"/>
      <c r="Q991" s="77"/>
      <c r="R991" s="77"/>
      <c r="S991" s="4"/>
      <c r="T991" s="4"/>
      <c r="U991" s="4"/>
      <c r="V991" s="4"/>
    </row>
    <row r="992" spans="4:22" ht="15" x14ac:dyDescent="0.25">
      <c r="D992" s="89"/>
      <c r="E992" s="3"/>
      <c r="H992" s="3"/>
      <c r="P992" s="77"/>
      <c r="Q992" s="77"/>
      <c r="R992" s="77"/>
      <c r="S992" s="4"/>
      <c r="T992" s="4"/>
      <c r="U992" s="4"/>
      <c r="V992" s="4"/>
    </row>
    <row r="993" spans="4:22" ht="15" x14ac:dyDescent="0.25">
      <c r="D993" s="89"/>
      <c r="E993" s="3"/>
      <c r="H993" s="3"/>
      <c r="P993" s="77"/>
      <c r="Q993" s="77"/>
      <c r="R993" s="77"/>
      <c r="S993" s="4"/>
      <c r="T993" s="4"/>
      <c r="U993" s="4"/>
      <c r="V993" s="4"/>
    </row>
    <row r="994" spans="4:22" ht="15" x14ac:dyDescent="0.25">
      <c r="D994" s="89"/>
      <c r="E994" s="3"/>
      <c r="H994" s="3"/>
      <c r="P994" s="77"/>
      <c r="Q994" s="77"/>
      <c r="R994" s="77"/>
      <c r="S994" s="4"/>
      <c r="T994" s="4"/>
      <c r="U994" s="4"/>
      <c r="V994" s="4"/>
    </row>
    <row r="995" spans="4:22" ht="15" x14ac:dyDescent="0.25">
      <c r="D995" s="89"/>
      <c r="E995" s="3"/>
      <c r="H995" s="3"/>
      <c r="P995" s="77"/>
      <c r="Q995" s="77"/>
      <c r="R995" s="77"/>
      <c r="S995" s="4"/>
      <c r="T995" s="4"/>
      <c r="U995" s="4"/>
      <c r="V995" s="4"/>
    </row>
    <row r="996" spans="4:22" ht="15" x14ac:dyDescent="0.25">
      <c r="D996" s="89"/>
      <c r="E996" s="3"/>
      <c r="H996" s="3"/>
      <c r="P996" s="77"/>
      <c r="Q996" s="77"/>
      <c r="R996" s="77"/>
      <c r="S996" s="4"/>
      <c r="T996" s="4"/>
      <c r="U996" s="4"/>
      <c r="V996" s="4"/>
    </row>
    <row r="997" spans="4:22" ht="15" x14ac:dyDescent="0.25">
      <c r="D997" s="89"/>
      <c r="E997" s="3"/>
      <c r="H997" s="3"/>
      <c r="P997" s="77"/>
      <c r="Q997" s="77"/>
      <c r="R997" s="77"/>
      <c r="S997" s="4"/>
      <c r="T997" s="4"/>
      <c r="U997" s="4"/>
      <c r="V997" s="4"/>
    </row>
    <row r="998" spans="4:22" ht="15" x14ac:dyDescent="0.25">
      <c r="D998" s="89"/>
      <c r="E998" s="3"/>
      <c r="H998" s="3"/>
      <c r="P998" s="77"/>
      <c r="Q998" s="77"/>
      <c r="R998" s="77"/>
      <c r="S998" s="4"/>
      <c r="T998" s="4"/>
      <c r="U998" s="4"/>
      <c r="V998" s="4"/>
    </row>
    <row r="999" spans="4:22" ht="15" x14ac:dyDescent="0.25">
      <c r="D999" s="89"/>
      <c r="E999" s="3"/>
      <c r="H999" s="3"/>
      <c r="P999" s="77"/>
      <c r="Q999" s="77"/>
      <c r="R999" s="77"/>
      <c r="S999" s="4"/>
      <c r="T999" s="4"/>
      <c r="U999" s="4"/>
      <c r="V999" s="4"/>
    </row>
    <row r="1000" spans="4:22" ht="15" x14ac:dyDescent="0.25">
      <c r="D1000" s="89"/>
      <c r="E1000" s="3"/>
      <c r="H1000" s="3"/>
      <c r="P1000" s="77"/>
      <c r="Q1000" s="77"/>
      <c r="R1000" s="77"/>
      <c r="S1000" s="4"/>
      <c r="T1000" s="4"/>
      <c r="U1000" s="4"/>
      <c r="V1000" s="4"/>
    </row>
  </sheetData>
  <mergeCells count="288">
    <mergeCell ref="AV1:AV2"/>
    <mergeCell ref="AW1:AW2"/>
    <mergeCell ref="AU5:AU6"/>
    <mergeCell ref="AV5:AV6"/>
    <mergeCell ref="AW5:AW6"/>
    <mergeCell ref="AT10:AT11"/>
    <mergeCell ref="AU10:AU11"/>
    <mergeCell ref="AV10:AV11"/>
    <mergeCell ref="AW10:AW11"/>
    <mergeCell ref="AT5:AT6"/>
    <mergeCell ref="AT1:AT2"/>
    <mergeCell ref="AU1:AU2"/>
    <mergeCell ref="AX10:AY10"/>
    <mergeCell ref="BD1:BD2"/>
    <mergeCell ref="BE1:BE2"/>
    <mergeCell ref="BF1:BF2"/>
    <mergeCell ref="BG1:BG2"/>
    <mergeCell ref="BC5:BC6"/>
    <mergeCell ref="BD5:BD6"/>
    <mergeCell ref="BE5:BE6"/>
    <mergeCell ref="BF5:BF6"/>
    <mergeCell ref="BB10:BB11"/>
    <mergeCell ref="AX5:AX6"/>
    <mergeCell ref="BB5:BB6"/>
    <mergeCell ref="AX1:AX2"/>
    <mergeCell ref="AY1:AY2"/>
    <mergeCell ref="BB1:BB2"/>
    <mergeCell ref="BC1:BC2"/>
    <mergeCell ref="BC10:BC11"/>
    <mergeCell ref="BD10:BD11"/>
    <mergeCell ref="BE10:BE11"/>
    <mergeCell ref="BF10:BG10"/>
    <mergeCell ref="BR5:BR6"/>
    <mergeCell ref="BS5:BS6"/>
    <mergeCell ref="BJ1:BJ2"/>
    <mergeCell ref="BK1:BK2"/>
    <mergeCell ref="BJ10:BJ11"/>
    <mergeCell ref="BK10:BK11"/>
    <mergeCell ref="BJ5:BJ6"/>
    <mergeCell ref="BK5:BK6"/>
    <mergeCell ref="BT5:BT6"/>
    <mergeCell ref="BU5:BU6"/>
    <mergeCell ref="BV5:BV6"/>
    <mergeCell ref="BL10:BL11"/>
    <mergeCell ref="BM10:BM11"/>
    <mergeCell ref="BN10:BO10"/>
    <mergeCell ref="BR1:BR2"/>
    <mergeCell ref="BS1:BS2"/>
    <mergeCell ref="BT1:BT2"/>
    <mergeCell ref="BR10:BR11"/>
    <mergeCell ref="BS10:BS11"/>
    <mergeCell ref="BT10:BT11"/>
    <mergeCell ref="BL1:BL2"/>
    <mergeCell ref="BM1:BM2"/>
    <mergeCell ref="BN1:BN2"/>
    <mergeCell ref="BO1:BO2"/>
    <mergeCell ref="BL5:BL6"/>
    <mergeCell ref="BM5:BM6"/>
    <mergeCell ref="BN5:BN6"/>
    <mergeCell ref="CD10:CE10"/>
    <mergeCell ref="CD1:CD2"/>
    <mergeCell ref="CE1:CE2"/>
    <mergeCell ref="BZ5:BZ6"/>
    <mergeCell ref="CA5:CA6"/>
    <mergeCell ref="CB5:CB6"/>
    <mergeCell ref="CC5:CC6"/>
    <mergeCell ref="CD5:CD6"/>
    <mergeCell ref="BU10:BU11"/>
    <mergeCell ref="BV10:BW10"/>
    <mergeCell ref="BZ1:BZ2"/>
    <mergeCell ref="CA1:CA2"/>
    <mergeCell ref="CB1:CB2"/>
    <mergeCell ref="CC1:CC2"/>
    <mergeCell ref="BZ10:BZ11"/>
    <mergeCell ref="CA10:CA11"/>
    <mergeCell ref="CB10:CB11"/>
    <mergeCell ref="CC10:CC11"/>
    <mergeCell ref="BU1:BU2"/>
    <mergeCell ref="BV1:BV2"/>
    <mergeCell ref="BW1:BW2"/>
    <mergeCell ref="CL10:CM10"/>
    <mergeCell ref="CH1:CH2"/>
    <mergeCell ref="CI1:CI2"/>
    <mergeCell ref="CJ1:CJ2"/>
    <mergeCell ref="CK1:CK2"/>
    <mergeCell ref="CL1:CL2"/>
    <mergeCell ref="CH10:CH11"/>
    <mergeCell ref="CI10:CI11"/>
    <mergeCell ref="CJ10:CJ11"/>
    <mergeCell ref="CK10:CK11"/>
    <mergeCell ref="CM1:CM2"/>
    <mergeCell ref="CH5:CH6"/>
    <mergeCell ref="CI5:CI6"/>
    <mergeCell ref="CJ5:CJ6"/>
    <mergeCell ref="CK5:CK6"/>
    <mergeCell ref="CL5:CL6"/>
    <mergeCell ref="CY5:CY6"/>
    <mergeCell ref="CZ5:CZ6"/>
    <mergeCell ref="CY10:CY11"/>
    <mergeCell ref="CY1:CY2"/>
    <mergeCell ref="CZ1:CZ2"/>
    <mergeCell ref="DA1:DA2"/>
    <mergeCell ref="CP5:CP6"/>
    <mergeCell ref="CQ5:CQ6"/>
    <mergeCell ref="CR5:CR6"/>
    <mergeCell ref="CS5:CS6"/>
    <mergeCell ref="CT5:CT6"/>
    <mergeCell ref="CP10:CP11"/>
    <mergeCell ref="CQ10:CQ11"/>
    <mergeCell ref="CR10:CR11"/>
    <mergeCell ref="CS10:CS11"/>
    <mergeCell ref="CT10:CU10"/>
    <mergeCell ref="CP1:CP2"/>
    <mergeCell ref="CQ1:CQ2"/>
    <mergeCell ref="CR1:CR2"/>
    <mergeCell ref="CS1:CS2"/>
    <mergeCell ref="CT1:CT2"/>
    <mergeCell ref="CU1:CU2"/>
    <mergeCell ref="CZ10:CZ11"/>
    <mergeCell ref="DA10:DA11"/>
    <mergeCell ref="DB10:DB11"/>
    <mergeCell ref="DC10:DD10"/>
    <mergeCell ref="DO5:DO6"/>
    <mergeCell ref="DP5:DP6"/>
    <mergeCell ref="DG1:DG2"/>
    <mergeCell ref="DH1:DH2"/>
    <mergeCell ref="DG10:DG11"/>
    <mergeCell ref="DH10:DH11"/>
    <mergeCell ref="DB1:DB2"/>
    <mergeCell ref="DC1:DC2"/>
    <mergeCell ref="DD1:DD2"/>
    <mergeCell ref="DA5:DA6"/>
    <mergeCell ref="DB5:DB6"/>
    <mergeCell ref="DC5:DC6"/>
    <mergeCell ref="DG5:DG6"/>
    <mergeCell ref="DH5:DH6"/>
    <mergeCell ref="DQ5:DQ6"/>
    <mergeCell ref="DR5:DR6"/>
    <mergeCell ref="DS5:DS6"/>
    <mergeCell ref="DI10:DI11"/>
    <mergeCell ref="DJ10:DJ11"/>
    <mergeCell ref="DK10:DL10"/>
    <mergeCell ref="DO1:DO2"/>
    <mergeCell ref="DP1:DP2"/>
    <mergeCell ref="DQ1:DQ2"/>
    <mergeCell ref="DO10:DO11"/>
    <mergeCell ref="DP10:DP11"/>
    <mergeCell ref="DQ10:DQ11"/>
    <mergeCell ref="DI1:DI2"/>
    <mergeCell ref="DJ1:DJ2"/>
    <mergeCell ref="DK1:DK2"/>
    <mergeCell ref="DL1:DL2"/>
    <mergeCell ref="DI5:DI6"/>
    <mergeCell ref="DJ5:DJ6"/>
    <mergeCell ref="DK5:DK6"/>
    <mergeCell ref="DW5:DW6"/>
    <mergeCell ref="DX5:DX6"/>
    <mergeCell ref="DY5:DY6"/>
    <mergeCell ref="DZ5:DZ6"/>
    <mergeCell ref="EA5:EA6"/>
    <mergeCell ref="DR10:DR11"/>
    <mergeCell ref="DS10:DT10"/>
    <mergeCell ref="DW1:DW2"/>
    <mergeCell ref="DX1:DX2"/>
    <mergeCell ref="DY1:DY2"/>
    <mergeCell ref="DZ1:DZ2"/>
    <mergeCell ref="DW10:DW11"/>
    <mergeCell ref="DX10:DX11"/>
    <mergeCell ref="DY10:DY11"/>
    <mergeCell ref="DZ10:DZ11"/>
    <mergeCell ref="DR1:DR2"/>
    <mergeCell ref="DS1:DS2"/>
    <mergeCell ref="DT1:DT2"/>
    <mergeCell ref="EE5:EE6"/>
    <mergeCell ref="EF5:EF6"/>
    <mergeCell ref="EG5:EG6"/>
    <mergeCell ref="EH5:EH6"/>
    <mergeCell ref="EI5:EI6"/>
    <mergeCell ref="EA10:EB10"/>
    <mergeCell ref="EE1:EE2"/>
    <mergeCell ref="EF1:EF2"/>
    <mergeCell ref="EG1:EG2"/>
    <mergeCell ref="EH1:EH2"/>
    <mergeCell ref="EI1:EI2"/>
    <mergeCell ref="EE10:EE11"/>
    <mergeCell ref="EF10:EF11"/>
    <mergeCell ref="EG10:EG11"/>
    <mergeCell ref="EH10:EH11"/>
    <mergeCell ref="EA1:EA2"/>
    <mergeCell ref="EB1:EB2"/>
    <mergeCell ref="EN5:EN6"/>
    <mergeCell ref="EO5:EO6"/>
    <mergeCell ref="EP5:EP6"/>
    <mergeCell ref="EQ5:EQ6"/>
    <mergeCell ref="ER5:ER6"/>
    <mergeCell ref="EI10:EJ10"/>
    <mergeCell ref="EN1:EN2"/>
    <mergeCell ref="EO1:EO2"/>
    <mergeCell ref="EP1:EP2"/>
    <mergeCell ref="EQ1:EQ2"/>
    <mergeCell ref="ER1:ER2"/>
    <mergeCell ref="EN10:EN11"/>
    <mergeCell ref="EO10:EO11"/>
    <mergeCell ref="EP10:EP11"/>
    <mergeCell ref="EQ10:EQ11"/>
    <mergeCell ref="EJ1:EJ2"/>
    <mergeCell ref="EV5:EV6"/>
    <mergeCell ref="EW5:EW6"/>
    <mergeCell ref="EX5:EX6"/>
    <mergeCell ref="EY5:EY6"/>
    <mergeCell ref="EZ5:EZ6"/>
    <mergeCell ref="ER10:ES10"/>
    <mergeCell ref="EV1:EV2"/>
    <mergeCell ref="EW1:EW2"/>
    <mergeCell ref="EX1:EX2"/>
    <mergeCell ref="EY1:EY2"/>
    <mergeCell ref="EZ1:EZ2"/>
    <mergeCell ref="EV10:EV11"/>
    <mergeCell ref="EW10:EW11"/>
    <mergeCell ref="EX10:EX11"/>
    <mergeCell ref="EY10:EY11"/>
    <mergeCell ref="ES1:ES2"/>
    <mergeCell ref="FD5:FD6"/>
    <mergeCell ref="FE5:FE6"/>
    <mergeCell ref="FF5:FF6"/>
    <mergeCell ref="FG5:FG6"/>
    <mergeCell ref="FH5:FH6"/>
    <mergeCell ref="EZ10:FA10"/>
    <mergeCell ref="FD1:FD2"/>
    <mergeCell ref="FE1:FE2"/>
    <mergeCell ref="FF1:FF2"/>
    <mergeCell ref="FG1:FG2"/>
    <mergeCell ref="FH1:FH2"/>
    <mergeCell ref="FD10:FD11"/>
    <mergeCell ref="FE10:FE11"/>
    <mergeCell ref="FF10:FF11"/>
    <mergeCell ref="FG10:FG11"/>
    <mergeCell ref="FA1:FA2"/>
    <mergeCell ref="FL5:FL6"/>
    <mergeCell ref="FM5:FM6"/>
    <mergeCell ref="FN5:FN6"/>
    <mergeCell ref="FO5:FO6"/>
    <mergeCell ref="FP5:FP6"/>
    <mergeCell ref="FH10:FI10"/>
    <mergeCell ref="FL1:FL2"/>
    <mergeCell ref="FM1:FM2"/>
    <mergeCell ref="FN1:FN2"/>
    <mergeCell ref="FO1:FO2"/>
    <mergeCell ref="FP1:FP2"/>
    <mergeCell ref="FL10:FL11"/>
    <mergeCell ref="FM10:FM11"/>
    <mergeCell ref="FN10:FN11"/>
    <mergeCell ref="FO10:FO11"/>
    <mergeCell ref="FI1:FI2"/>
    <mergeCell ref="FT5:FT6"/>
    <mergeCell ref="FU5:FU6"/>
    <mergeCell ref="FV5:FV6"/>
    <mergeCell ref="FW5:FW6"/>
    <mergeCell ref="FX5:FX6"/>
    <mergeCell ref="FP10:FQ10"/>
    <mergeCell ref="FT1:FT2"/>
    <mergeCell ref="FU1:FU2"/>
    <mergeCell ref="FV1:FV2"/>
    <mergeCell ref="FW1:FW2"/>
    <mergeCell ref="FX1:FX2"/>
    <mergeCell ref="FT10:FT11"/>
    <mergeCell ref="FU10:FU11"/>
    <mergeCell ref="FV10:FV11"/>
    <mergeCell ref="FW10:FW11"/>
    <mergeCell ref="FQ1:FQ2"/>
    <mergeCell ref="GF10:GG10"/>
    <mergeCell ref="GG1:GG2"/>
    <mergeCell ref="GB5:GB6"/>
    <mergeCell ref="GC5:GC6"/>
    <mergeCell ref="GD5:GD6"/>
    <mergeCell ref="GE5:GE6"/>
    <mergeCell ref="GF5:GF6"/>
    <mergeCell ref="FX10:FY10"/>
    <mergeCell ref="GB1:GB2"/>
    <mergeCell ref="GC1:GC2"/>
    <mergeCell ref="GD1:GD2"/>
    <mergeCell ref="GE1:GE2"/>
    <mergeCell ref="GF1:GF2"/>
    <mergeCell ref="GB10:GB11"/>
    <mergeCell ref="GC10:GC11"/>
    <mergeCell ref="GD10:GD11"/>
    <mergeCell ref="GE10:GE11"/>
    <mergeCell ref="FY1:FY2"/>
  </mergeCells>
  <conditionalFormatting sqref="X1:AM17">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verticalDpi="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DR1000"/>
  <sheetViews>
    <sheetView topLeftCell="W1" zoomScale="80" zoomScaleNormal="80" workbookViewId="0">
      <selection activeCell="Y5" sqref="Y5"/>
    </sheetView>
  </sheetViews>
  <sheetFormatPr defaultColWidth="14.42578125" defaultRowHeight="15.75" customHeight="1" x14ac:dyDescent="0.2"/>
  <cols>
    <col min="10" max="10" width="16.7109375" customWidth="1"/>
    <col min="15" max="15" width="19.140625" customWidth="1"/>
    <col min="16" max="16" width="31" customWidth="1"/>
    <col min="17" max="17" width="47.28515625" customWidth="1"/>
    <col min="18" max="18" width="65.140625" customWidth="1"/>
    <col min="19" max="19" width="13.85546875" bestFit="1" customWidth="1"/>
    <col min="20" max="20" width="25" bestFit="1" customWidth="1"/>
    <col min="21" max="21" width="14.7109375" bestFit="1" customWidth="1"/>
    <col min="22" max="22" width="20" bestFit="1" customWidth="1"/>
    <col min="23" max="23" width="21.42578125" bestFit="1" customWidth="1"/>
    <col min="24" max="25" width="16.28515625" bestFit="1" customWidth="1"/>
    <col min="26" max="26" width="19.42578125" bestFit="1" customWidth="1"/>
    <col min="27" max="27" width="17.28515625" bestFit="1" customWidth="1"/>
    <col min="28" max="33" width="16.28515625" bestFit="1" customWidth="1"/>
    <col min="34" max="34" width="17.42578125" bestFit="1" customWidth="1"/>
    <col min="35" max="38" width="16.28515625" bestFit="1" customWidth="1"/>
    <col min="39" max="39" width="33.140625" style="71" bestFit="1" customWidth="1"/>
    <col min="41" max="41" width="33.140625" bestFit="1" customWidth="1"/>
    <col min="42" max="47" width="12.7109375" customWidth="1"/>
    <col min="50" max="50" width="33.140625" bestFit="1" customWidth="1"/>
    <col min="51" max="56" width="12.7109375" customWidth="1"/>
    <col min="58" max="58" width="33.140625" bestFit="1" customWidth="1"/>
    <col min="59" max="64" width="12.7109375" customWidth="1"/>
    <col min="65" max="65" width="14.42578125" style="71"/>
    <col min="66" max="66" width="13.7109375" customWidth="1"/>
    <col min="67" max="67" width="33.140625" bestFit="1" customWidth="1"/>
    <col min="68" max="73" width="12.7109375" customWidth="1"/>
    <col min="75" max="75" width="33.140625" bestFit="1" customWidth="1"/>
    <col min="76" max="81" width="12.7109375" customWidth="1"/>
    <col min="83" max="83" width="33.140625" bestFit="1" customWidth="1"/>
    <col min="84" max="89" width="12.7109375" customWidth="1"/>
    <col min="90" max="90" width="14.42578125" style="71"/>
    <col min="92" max="92" width="33.140625" bestFit="1" customWidth="1"/>
    <col min="93" max="98" width="12.7109375" customWidth="1"/>
    <col min="100" max="100" width="33.140625" bestFit="1" customWidth="1"/>
    <col min="101" max="106" width="12.7109375" customWidth="1"/>
    <col min="108" max="108" width="33.140625" bestFit="1" customWidth="1"/>
    <col min="109" max="114" width="12.7109375" customWidth="1"/>
    <col min="116" max="116" width="33.140625" bestFit="1" customWidth="1"/>
    <col min="117" max="122" width="12.7109375" customWidth="1"/>
  </cols>
  <sheetData>
    <row r="1" spans="1:122" ht="15" customHeight="1" thickTop="1" x14ac:dyDescent="0.25">
      <c r="A1" s="8" t="s">
        <v>0</v>
      </c>
      <c r="B1" s="59" t="s">
        <v>1</v>
      </c>
      <c r="C1" s="9" t="s">
        <v>2</v>
      </c>
      <c r="D1" s="11" t="s">
        <v>3</v>
      </c>
      <c r="E1" s="9" t="s">
        <v>4</v>
      </c>
      <c r="F1" s="12" t="s">
        <v>5</v>
      </c>
      <c r="G1" s="13" t="s">
        <v>6</v>
      </c>
      <c r="H1" s="11" t="s">
        <v>7</v>
      </c>
      <c r="I1" s="58" t="s">
        <v>8</v>
      </c>
      <c r="J1" s="14" t="s">
        <v>9</v>
      </c>
      <c r="K1" s="58" t="s">
        <v>10</v>
      </c>
      <c r="L1" s="15" t="s">
        <v>11</v>
      </c>
      <c r="M1" s="15" t="s">
        <v>12</v>
      </c>
      <c r="N1" s="12" t="s">
        <v>13</v>
      </c>
      <c r="O1" s="60" t="s">
        <v>14</v>
      </c>
      <c r="P1" s="16" t="s">
        <v>15</v>
      </c>
      <c r="Q1" s="16" t="s">
        <v>16</v>
      </c>
      <c r="R1" s="16" t="s">
        <v>17</v>
      </c>
      <c r="S1" s="16" t="s">
        <v>365</v>
      </c>
      <c r="T1" s="16" t="s">
        <v>440</v>
      </c>
      <c r="U1" s="16" t="s">
        <v>441</v>
      </c>
      <c r="V1" s="17" t="s">
        <v>442</v>
      </c>
      <c r="W1" s="53"/>
      <c r="X1" s="50" t="s">
        <v>3</v>
      </c>
      <c r="Y1" s="50" t="s">
        <v>4</v>
      </c>
      <c r="Z1" s="50" t="s">
        <v>5</v>
      </c>
      <c r="AA1" s="50" t="s">
        <v>6</v>
      </c>
      <c r="AB1" s="50" t="s">
        <v>7</v>
      </c>
      <c r="AC1" s="50" t="s">
        <v>8</v>
      </c>
      <c r="AD1" s="50" t="s">
        <v>10</v>
      </c>
      <c r="AE1" s="50" t="s">
        <v>11</v>
      </c>
      <c r="AF1" s="50" t="s">
        <v>12</v>
      </c>
      <c r="AG1" s="50" t="s">
        <v>13</v>
      </c>
      <c r="AH1" s="50" t="s">
        <v>14</v>
      </c>
      <c r="AI1" s="55" t="s">
        <v>15</v>
      </c>
      <c r="AJ1" s="55" t="s">
        <v>16</v>
      </c>
      <c r="AK1" s="55" t="s">
        <v>17</v>
      </c>
      <c r="AO1" s="53" t="s">
        <v>342</v>
      </c>
      <c r="AP1" s="104" t="s">
        <v>343</v>
      </c>
      <c r="AQ1" s="102" t="s">
        <v>344</v>
      </c>
      <c r="AR1" s="104" t="s">
        <v>345</v>
      </c>
      <c r="AS1" s="104" t="s">
        <v>346</v>
      </c>
      <c r="AT1" s="104" t="s">
        <v>347</v>
      </c>
      <c r="AU1" s="102" t="s">
        <v>348</v>
      </c>
      <c r="AX1" s="53" t="s">
        <v>342</v>
      </c>
      <c r="AY1" s="104" t="s">
        <v>343</v>
      </c>
      <c r="AZ1" s="102" t="s">
        <v>344</v>
      </c>
      <c r="BA1" s="104" t="s">
        <v>345</v>
      </c>
      <c r="BB1" s="104" t="s">
        <v>346</v>
      </c>
      <c r="BC1" s="104" t="s">
        <v>347</v>
      </c>
      <c r="BD1" s="102" t="s">
        <v>348</v>
      </c>
      <c r="BF1" s="53" t="s">
        <v>342</v>
      </c>
      <c r="BG1" s="104" t="s">
        <v>343</v>
      </c>
      <c r="BH1" s="102" t="s">
        <v>344</v>
      </c>
      <c r="BI1" s="104" t="s">
        <v>345</v>
      </c>
      <c r="BJ1" s="104" t="s">
        <v>346</v>
      </c>
      <c r="BK1" s="104" t="s">
        <v>347</v>
      </c>
      <c r="BL1" s="102" t="s">
        <v>348</v>
      </c>
      <c r="BO1" s="53" t="s">
        <v>342</v>
      </c>
      <c r="BP1" s="104" t="s">
        <v>343</v>
      </c>
      <c r="BQ1" s="102" t="s">
        <v>344</v>
      </c>
      <c r="BR1" s="104" t="s">
        <v>345</v>
      </c>
      <c r="BS1" s="104" t="s">
        <v>346</v>
      </c>
      <c r="BT1" s="104" t="s">
        <v>347</v>
      </c>
      <c r="BU1" s="102" t="s">
        <v>348</v>
      </c>
      <c r="BW1" s="53" t="s">
        <v>342</v>
      </c>
      <c r="BX1" s="104" t="s">
        <v>343</v>
      </c>
      <c r="BY1" s="102" t="s">
        <v>344</v>
      </c>
      <c r="BZ1" s="104" t="s">
        <v>345</v>
      </c>
      <c r="CA1" s="104" t="s">
        <v>346</v>
      </c>
      <c r="CB1" s="104" t="s">
        <v>347</v>
      </c>
      <c r="CC1" s="102" t="s">
        <v>348</v>
      </c>
      <c r="CE1" s="53" t="s">
        <v>342</v>
      </c>
      <c r="CF1" s="104" t="s">
        <v>343</v>
      </c>
      <c r="CG1" s="102" t="s">
        <v>344</v>
      </c>
      <c r="CH1" s="104" t="s">
        <v>345</v>
      </c>
      <c r="CI1" s="104" t="s">
        <v>346</v>
      </c>
      <c r="CJ1" s="104" t="s">
        <v>347</v>
      </c>
      <c r="CK1" s="102" t="s">
        <v>348</v>
      </c>
      <c r="CN1" s="53" t="s">
        <v>342</v>
      </c>
      <c r="CO1" s="104" t="s">
        <v>343</v>
      </c>
      <c r="CP1" s="102" t="s">
        <v>344</v>
      </c>
      <c r="CQ1" s="104" t="s">
        <v>345</v>
      </c>
      <c r="CR1" s="104" t="s">
        <v>346</v>
      </c>
      <c r="CS1" s="104" t="s">
        <v>347</v>
      </c>
      <c r="CT1" s="102" t="s">
        <v>348</v>
      </c>
      <c r="CV1" s="53" t="s">
        <v>342</v>
      </c>
      <c r="CW1" s="104" t="s">
        <v>343</v>
      </c>
      <c r="CX1" s="102" t="s">
        <v>344</v>
      </c>
      <c r="CY1" s="104" t="s">
        <v>345</v>
      </c>
      <c r="CZ1" s="104" t="s">
        <v>346</v>
      </c>
      <c r="DA1" s="104" t="s">
        <v>347</v>
      </c>
      <c r="DB1" s="102" t="s">
        <v>348</v>
      </c>
      <c r="DD1" s="53" t="s">
        <v>342</v>
      </c>
      <c r="DE1" s="104" t="s">
        <v>343</v>
      </c>
      <c r="DF1" s="102" t="s">
        <v>344</v>
      </c>
      <c r="DG1" s="104" t="s">
        <v>345</v>
      </c>
      <c r="DH1" s="104" t="s">
        <v>346</v>
      </c>
      <c r="DI1" s="104" t="s">
        <v>347</v>
      </c>
      <c r="DJ1" s="102" t="s">
        <v>348</v>
      </c>
      <c r="DL1" s="53" t="s">
        <v>342</v>
      </c>
      <c r="DM1" s="104" t="s">
        <v>343</v>
      </c>
      <c r="DN1" s="102" t="s">
        <v>344</v>
      </c>
      <c r="DO1" s="104" t="s">
        <v>345</v>
      </c>
      <c r="DP1" s="104" t="s">
        <v>346</v>
      </c>
      <c r="DQ1" s="104" t="s">
        <v>347</v>
      </c>
      <c r="DR1" s="102" t="s">
        <v>348</v>
      </c>
    </row>
    <row r="2" spans="1:122" ht="15" customHeight="1" thickBot="1" x14ac:dyDescent="0.3">
      <c r="A2" s="18" t="s">
        <v>18</v>
      </c>
      <c r="B2" s="25">
        <v>2015</v>
      </c>
      <c r="C2" s="20" t="s">
        <v>19</v>
      </c>
      <c r="D2" s="21">
        <v>65</v>
      </c>
      <c r="E2" s="19">
        <v>263</v>
      </c>
      <c r="F2" s="22">
        <v>0.02</v>
      </c>
      <c r="G2" s="19">
        <v>71.279623619999995</v>
      </c>
      <c r="H2" s="21">
        <v>19.100000000000001</v>
      </c>
      <c r="I2" s="23">
        <v>65</v>
      </c>
      <c r="J2" s="19">
        <v>8.16</v>
      </c>
      <c r="K2" s="23">
        <v>60</v>
      </c>
      <c r="L2" s="19">
        <v>584.25900000000001</v>
      </c>
      <c r="M2" s="24">
        <v>33736494</v>
      </c>
      <c r="N2" s="22">
        <v>3.6</v>
      </c>
      <c r="O2" s="61">
        <v>0</v>
      </c>
      <c r="P2" s="25">
        <v>60.1</v>
      </c>
      <c r="Q2" s="25">
        <v>10.3</v>
      </c>
      <c r="R2" s="25">
        <v>2</v>
      </c>
      <c r="S2" s="25">
        <f>IF(C2="Developing",0,1)</f>
        <v>0</v>
      </c>
      <c r="T2" s="25">
        <f>S2*E2</f>
        <v>0</v>
      </c>
      <c r="U2" s="25">
        <f>S2*H2</f>
        <v>0</v>
      </c>
      <c r="V2" s="93">
        <f>S2*N2</f>
        <v>0</v>
      </c>
      <c r="W2" s="54" t="s">
        <v>320</v>
      </c>
      <c r="X2" s="51" t="s">
        <v>321</v>
      </c>
      <c r="Y2" s="51" t="s">
        <v>321</v>
      </c>
      <c r="Z2" s="51" t="s">
        <v>321</v>
      </c>
      <c r="AA2" s="51" t="s">
        <v>321</v>
      </c>
      <c r="AB2" s="51" t="s">
        <v>321</v>
      </c>
      <c r="AC2" s="51" t="s">
        <v>321</v>
      </c>
      <c r="AD2" s="51" t="s">
        <v>321</v>
      </c>
      <c r="AE2" s="51" t="s">
        <v>321</v>
      </c>
      <c r="AF2" s="51" t="s">
        <v>321</v>
      </c>
      <c r="AG2" s="51" t="s">
        <v>321</v>
      </c>
      <c r="AH2" s="51" t="s">
        <v>321</v>
      </c>
      <c r="AI2" s="51" t="s">
        <v>321</v>
      </c>
      <c r="AJ2" s="51" t="s">
        <v>321</v>
      </c>
      <c r="AK2" s="51" t="s">
        <v>321</v>
      </c>
      <c r="AO2" s="54" t="s">
        <v>341</v>
      </c>
      <c r="AP2" s="103"/>
      <c r="AQ2" s="103"/>
      <c r="AR2" s="103"/>
      <c r="AS2" s="103"/>
      <c r="AT2" s="103"/>
      <c r="AU2" s="103"/>
      <c r="AX2" s="54" t="s">
        <v>341</v>
      </c>
      <c r="AY2" s="103"/>
      <c r="AZ2" s="103"/>
      <c r="BA2" s="103"/>
      <c r="BB2" s="103"/>
      <c r="BC2" s="103"/>
      <c r="BD2" s="103"/>
      <c r="BF2" s="54" t="s">
        <v>341</v>
      </c>
      <c r="BG2" s="103"/>
      <c r="BH2" s="103"/>
      <c r="BI2" s="103"/>
      <c r="BJ2" s="103"/>
      <c r="BK2" s="103"/>
      <c r="BL2" s="103"/>
      <c r="BO2" s="54" t="s">
        <v>341</v>
      </c>
      <c r="BP2" s="103"/>
      <c r="BQ2" s="103"/>
      <c r="BR2" s="103"/>
      <c r="BS2" s="103"/>
      <c r="BT2" s="103"/>
      <c r="BU2" s="103"/>
      <c r="BW2" s="54" t="s">
        <v>341</v>
      </c>
      <c r="BX2" s="103"/>
      <c r="BY2" s="103"/>
      <c r="BZ2" s="103"/>
      <c r="CA2" s="103"/>
      <c r="CB2" s="103"/>
      <c r="CC2" s="103"/>
      <c r="CE2" s="54" t="s">
        <v>341</v>
      </c>
      <c r="CF2" s="103"/>
      <c r="CG2" s="103"/>
      <c r="CH2" s="103"/>
      <c r="CI2" s="103"/>
      <c r="CJ2" s="103"/>
      <c r="CK2" s="103"/>
      <c r="CN2" s="54" t="s">
        <v>341</v>
      </c>
      <c r="CO2" s="103"/>
      <c r="CP2" s="103"/>
      <c r="CQ2" s="103"/>
      <c r="CR2" s="103"/>
      <c r="CS2" s="103"/>
      <c r="CT2" s="103"/>
      <c r="CV2" s="54" t="s">
        <v>341</v>
      </c>
      <c r="CW2" s="103"/>
      <c r="CX2" s="103"/>
      <c r="CY2" s="103"/>
      <c r="CZ2" s="103"/>
      <c r="DA2" s="103"/>
      <c r="DB2" s="103"/>
      <c r="DD2" s="54" t="s">
        <v>341</v>
      </c>
      <c r="DE2" s="103"/>
      <c r="DF2" s="103"/>
      <c r="DG2" s="103"/>
      <c r="DH2" s="103"/>
      <c r="DI2" s="103"/>
      <c r="DJ2" s="103"/>
      <c r="DL2" s="54" t="s">
        <v>341</v>
      </c>
      <c r="DM2" s="103"/>
      <c r="DN2" s="103"/>
      <c r="DO2" s="103"/>
      <c r="DP2" s="103"/>
      <c r="DQ2" s="103"/>
      <c r="DR2" s="103"/>
    </row>
    <row r="3" spans="1:122" ht="15" customHeight="1" thickTop="1" x14ac:dyDescent="0.25">
      <c r="A3" s="27" t="s">
        <v>20</v>
      </c>
      <c r="B3" s="35">
        <v>2015</v>
      </c>
      <c r="C3" s="29" t="s">
        <v>19</v>
      </c>
      <c r="D3" s="30">
        <v>77.8</v>
      </c>
      <c r="E3" s="28">
        <v>74</v>
      </c>
      <c r="F3" s="31">
        <v>4.7699999999999996</v>
      </c>
      <c r="G3" s="28">
        <v>364.9752287</v>
      </c>
      <c r="H3" s="30">
        <v>58</v>
      </c>
      <c r="I3" s="32">
        <v>99</v>
      </c>
      <c r="J3" s="28">
        <v>6</v>
      </c>
      <c r="K3" s="32">
        <v>99</v>
      </c>
      <c r="L3" s="33">
        <v>3954.2280000000001</v>
      </c>
      <c r="M3" s="34">
        <v>2880703</v>
      </c>
      <c r="N3" s="31">
        <v>9.6999999999999993</v>
      </c>
      <c r="O3" s="62">
        <v>29.1</v>
      </c>
      <c r="P3" s="35">
        <v>265.89999999999998</v>
      </c>
      <c r="Q3" s="35">
        <v>6.8</v>
      </c>
      <c r="R3" s="35">
        <v>9.5</v>
      </c>
      <c r="S3" s="35">
        <f t="shared" ref="S3:S66" si="0">IF(C3="Developing",0,1)</f>
        <v>0</v>
      </c>
      <c r="T3" s="35">
        <f t="shared" ref="T3:T66" si="1">S3*E3</f>
        <v>0</v>
      </c>
      <c r="U3" s="35">
        <f t="shared" ref="U3:U66" si="2">S3*H3</f>
        <v>0</v>
      </c>
      <c r="V3" s="95">
        <f t="shared" ref="V3:V66" si="3">S3*N3</f>
        <v>0</v>
      </c>
      <c r="W3" s="52" t="s">
        <v>3</v>
      </c>
      <c r="X3" s="57">
        <v>1</v>
      </c>
      <c r="Y3" s="57"/>
      <c r="Z3" s="57"/>
      <c r="AA3" s="57"/>
      <c r="AB3" s="57"/>
      <c r="AC3" s="57"/>
      <c r="AD3" s="57"/>
      <c r="AE3" s="57"/>
      <c r="AF3" s="57"/>
      <c r="AG3" s="57"/>
      <c r="AH3" s="57"/>
      <c r="AI3" s="57"/>
      <c r="AJ3" s="57"/>
      <c r="AK3" s="57"/>
      <c r="AO3" s="52"/>
      <c r="AP3" s="68">
        <v>0.7791194739614955</v>
      </c>
      <c r="AQ3" s="68">
        <v>0.60702715470603752</v>
      </c>
      <c r="AR3" s="68">
        <v>0.60485603401380561</v>
      </c>
      <c r="AS3" s="69">
        <v>5.1066004934152174</v>
      </c>
      <c r="AT3" s="69">
        <v>0</v>
      </c>
      <c r="AU3" s="69">
        <v>0</v>
      </c>
      <c r="AX3" s="52"/>
      <c r="AY3" s="68">
        <v>0.52173191014072728</v>
      </c>
      <c r="AZ3" s="68">
        <v>0.27220418605909191</v>
      </c>
      <c r="BA3" s="68">
        <v>0.26818321471135209</v>
      </c>
      <c r="BB3" s="69">
        <v>6.9495292768481578</v>
      </c>
      <c r="BC3" s="69">
        <v>0</v>
      </c>
      <c r="BD3" s="69">
        <v>0</v>
      </c>
      <c r="BF3" s="52"/>
      <c r="BG3" s="68">
        <v>0.77765293751507958</v>
      </c>
      <c r="BH3" s="68">
        <v>0.60474409122583228</v>
      </c>
      <c r="BI3" s="68">
        <v>0.60256035692321253</v>
      </c>
      <c r="BJ3" s="69">
        <v>5.1214129782984434</v>
      </c>
      <c r="BK3" s="69">
        <v>0</v>
      </c>
      <c r="BL3" s="69">
        <v>0</v>
      </c>
      <c r="BO3" s="52"/>
      <c r="BP3" s="68">
        <v>0.7791194739614955</v>
      </c>
      <c r="BQ3" s="68">
        <v>0.60702715470603752</v>
      </c>
      <c r="BR3" s="68">
        <v>0.60485603401380561</v>
      </c>
      <c r="BS3" s="69">
        <v>5.1066004934152174</v>
      </c>
      <c r="BT3" s="69">
        <v>0</v>
      </c>
      <c r="BU3" s="69">
        <v>0</v>
      </c>
      <c r="BW3" s="52"/>
      <c r="BX3" s="68">
        <v>0.81714443592440034</v>
      </c>
      <c r="BY3" s="68">
        <v>0.66772502916220633</v>
      </c>
      <c r="BZ3" s="84">
        <v>0.66403308504178638</v>
      </c>
      <c r="CA3" s="69">
        <v>4.7087156098531393</v>
      </c>
      <c r="CB3" s="69">
        <v>0</v>
      </c>
      <c r="CC3" s="69">
        <v>0</v>
      </c>
      <c r="CE3" s="52"/>
      <c r="CF3" s="68">
        <v>0.89221419824848225</v>
      </c>
      <c r="CG3" s="68">
        <v>0.79604617555618196</v>
      </c>
      <c r="CH3" s="84">
        <v>0.79262795503477723</v>
      </c>
      <c r="CI3" s="69">
        <v>3.6993831222135576</v>
      </c>
      <c r="CJ3" s="69">
        <v>0</v>
      </c>
      <c r="CK3" s="69">
        <v>0</v>
      </c>
      <c r="CN3" s="52"/>
      <c r="CO3" s="68">
        <v>0.52902889442292111</v>
      </c>
      <c r="CP3" s="68">
        <v>0.27987157113433825</v>
      </c>
      <c r="CQ3" s="68">
        <v>0.27589296103010796</v>
      </c>
      <c r="CR3" s="69">
        <v>6.9128254377810592</v>
      </c>
      <c r="CS3" s="69">
        <v>0</v>
      </c>
      <c r="CT3" s="69">
        <v>0</v>
      </c>
      <c r="CV3" s="52"/>
      <c r="CW3" s="68">
        <v>0.54262110365235394</v>
      </c>
      <c r="CX3" s="68">
        <v>0.29443766212889866</v>
      </c>
      <c r="CY3" s="84">
        <v>0.28659808059699754</v>
      </c>
      <c r="CZ3" s="69">
        <v>6.8615359383028558</v>
      </c>
      <c r="DA3" s="69">
        <v>0</v>
      </c>
      <c r="DB3" s="69">
        <v>0</v>
      </c>
      <c r="DD3" s="52"/>
      <c r="DE3" s="68">
        <v>0.54512874667263167</v>
      </c>
      <c r="DF3" s="68">
        <v>0.29716535044887421</v>
      </c>
      <c r="DG3" s="83">
        <v>0.2853859987804197</v>
      </c>
      <c r="DH3" s="69">
        <v>6.8673623968143991</v>
      </c>
      <c r="DI3" s="69">
        <v>0</v>
      </c>
      <c r="DJ3" s="69">
        <v>0</v>
      </c>
      <c r="DL3" s="52"/>
      <c r="DM3" s="68">
        <v>0.54268293471667162</v>
      </c>
      <c r="DN3" s="68">
        <v>0.29450476763269928</v>
      </c>
      <c r="DO3" s="83">
        <v>0.28268082519078908</v>
      </c>
      <c r="DP3" s="69">
        <v>6.8803483300206416</v>
      </c>
      <c r="DQ3" s="69">
        <v>0</v>
      </c>
      <c r="DR3" s="69">
        <v>0</v>
      </c>
    </row>
    <row r="4" spans="1:122" ht="15" customHeight="1" x14ac:dyDescent="0.25">
      <c r="A4" s="27" t="s">
        <v>21</v>
      </c>
      <c r="B4" s="35">
        <v>2015</v>
      </c>
      <c r="C4" s="29" t="s">
        <v>19</v>
      </c>
      <c r="D4" s="30">
        <v>75.599999999999994</v>
      </c>
      <c r="E4" s="28">
        <v>19</v>
      </c>
      <c r="F4" s="31">
        <v>0.56000000000000005</v>
      </c>
      <c r="G4" s="28">
        <v>0</v>
      </c>
      <c r="H4" s="30">
        <v>59.5</v>
      </c>
      <c r="I4" s="32">
        <v>95</v>
      </c>
      <c r="J4" s="29"/>
      <c r="K4" s="32">
        <v>95</v>
      </c>
      <c r="L4" s="33">
        <v>4132.7629999999999</v>
      </c>
      <c r="M4" s="63">
        <v>39871528</v>
      </c>
      <c r="N4" s="31">
        <v>7.9</v>
      </c>
      <c r="O4" s="62">
        <v>15.5</v>
      </c>
      <c r="P4" s="35">
        <v>291.60000000000002</v>
      </c>
      <c r="Q4" s="35">
        <v>7.1</v>
      </c>
      <c r="R4" s="35">
        <v>10.7</v>
      </c>
      <c r="S4" s="35">
        <f t="shared" si="0"/>
        <v>0</v>
      </c>
      <c r="T4" s="35">
        <f t="shared" si="1"/>
        <v>0</v>
      </c>
      <c r="U4" s="35">
        <f t="shared" si="2"/>
        <v>0</v>
      </c>
      <c r="V4" s="95">
        <f t="shared" si="3"/>
        <v>0</v>
      </c>
      <c r="W4" s="66" t="s">
        <v>4</v>
      </c>
      <c r="X4" s="57">
        <f>_xll.StatCorrelationCoeff( ST_AdultMortality_5,ST_Lifeexpectancy_4)</f>
        <v>-0.77911947396149561</v>
      </c>
      <c r="Y4" s="57">
        <v>1</v>
      </c>
      <c r="Z4" s="57"/>
      <c r="AA4" s="57"/>
      <c r="AB4" s="57"/>
      <c r="AC4" s="57"/>
      <c r="AD4" s="57"/>
      <c r="AE4" s="57"/>
      <c r="AF4" s="57"/>
      <c r="AG4" s="57"/>
      <c r="AH4" s="57"/>
      <c r="AI4" s="57"/>
      <c r="AJ4" s="57"/>
      <c r="AK4" s="57"/>
    </row>
    <row r="5" spans="1:122" ht="15" customHeight="1" x14ac:dyDescent="0.25">
      <c r="A5" s="27" t="s">
        <v>26</v>
      </c>
      <c r="B5" s="35">
        <v>2015</v>
      </c>
      <c r="C5" s="29" t="s">
        <v>19</v>
      </c>
      <c r="D5" s="30">
        <v>52.4</v>
      </c>
      <c r="E5" s="28">
        <v>335</v>
      </c>
      <c r="F5" s="31">
        <v>5.65</v>
      </c>
      <c r="G5" s="28">
        <v>0</v>
      </c>
      <c r="H5" s="30">
        <v>23.3</v>
      </c>
      <c r="I5" s="32">
        <v>55</v>
      </c>
      <c r="J5" s="29"/>
      <c r="K5" s="32">
        <v>57</v>
      </c>
      <c r="L5" s="33">
        <v>3695.7939999999999</v>
      </c>
      <c r="M5" s="63">
        <v>27859305</v>
      </c>
      <c r="N5" s="31">
        <v>5</v>
      </c>
      <c r="O5" s="62">
        <v>0</v>
      </c>
      <c r="P5" s="35">
        <v>108.6</v>
      </c>
      <c r="Q5" s="35">
        <v>2.9</v>
      </c>
      <c r="R5" s="35">
        <v>3.7</v>
      </c>
      <c r="S5" s="35">
        <f t="shared" si="0"/>
        <v>0</v>
      </c>
      <c r="T5" s="35">
        <f t="shared" si="1"/>
        <v>0</v>
      </c>
      <c r="U5" s="35">
        <f t="shared" si="2"/>
        <v>0</v>
      </c>
      <c r="V5" s="95">
        <f t="shared" si="3"/>
        <v>0</v>
      </c>
      <c r="W5" s="52" t="s">
        <v>5</v>
      </c>
      <c r="X5" s="57" t="e">
        <f>_xll.StatCorrelationCoeff( ST_Alcohol_6,ST_Lifeexpectancy_4)</f>
        <v>#N/A</v>
      </c>
      <c r="Y5" s="57" t="e">
        <f>_xll.StatCorrelationCoeff( ST_Alcohol_6,ST_AdultMortality_5)</f>
        <v>#N/A</v>
      </c>
      <c r="Z5" s="57">
        <v>1</v>
      </c>
      <c r="AA5" s="57"/>
      <c r="AB5" s="57"/>
      <c r="AC5" s="57"/>
      <c r="AD5" s="57"/>
      <c r="AE5" s="57"/>
      <c r="AF5" s="57"/>
      <c r="AG5" s="57"/>
      <c r="AH5" s="57"/>
      <c r="AI5" s="57"/>
      <c r="AJ5" s="57"/>
      <c r="AK5" s="57"/>
      <c r="AO5" s="53"/>
      <c r="AP5" s="104" t="s">
        <v>350</v>
      </c>
      <c r="AQ5" s="104" t="s">
        <v>351</v>
      </c>
      <c r="AR5" s="104" t="s">
        <v>352</v>
      </c>
      <c r="AS5" s="102" t="s">
        <v>353</v>
      </c>
      <c r="AT5" s="102" t="s">
        <v>354</v>
      </c>
      <c r="AX5" s="53"/>
      <c r="AY5" s="104" t="s">
        <v>350</v>
      </c>
      <c r="AZ5" s="104" t="s">
        <v>351</v>
      </c>
      <c r="BA5" s="104" t="s">
        <v>352</v>
      </c>
      <c r="BB5" s="102" t="s">
        <v>353</v>
      </c>
      <c r="BC5" s="102" t="s">
        <v>354</v>
      </c>
      <c r="BF5" s="53"/>
      <c r="BG5" s="104" t="s">
        <v>350</v>
      </c>
      <c r="BH5" s="104" t="s">
        <v>351</v>
      </c>
      <c r="BI5" s="104" t="s">
        <v>352</v>
      </c>
      <c r="BJ5" s="102" t="s">
        <v>353</v>
      </c>
      <c r="BK5" s="102" t="s">
        <v>354</v>
      </c>
      <c r="BO5" s="53"/>
      <c r="BP5" s="104" t="s">
        <v>350</v>
      </c>
      <c r="BQ5" s="104" t="s">
        <v>351</v>
      </c>
      <c r="BR5" s="104" t="s">
        <v>352</v>
      </c>
      <c r="BS5" s="102" t="s">
        <v>353</v>
      </c>
      <c r="BT5" s="102" t="s">
        <v>354</v>
      </c>
      <c r="BW5" s="53"/>
      <c r="BX5" s="104" t="s">
        <v>350</v>
      </c>
      <c r="BY5" s="104" t="s">
        <v>351</v>
      </c>
      <c r="BZ5" s="104" t="s">
        <v>352</v>
      </c>
      <c r="CA5" s="102" t="s">
        <v>353</v>
      </c>
      <c r="CB5" s="102" t="s">
        <v>354</v>
      </c>
      <c r="CE5" s="53"/>
      <c r="CF5" s="104" t="s">
        <v>350</v>
      </c>
      <c r="CG5" s="104" t="s">
        <v>351</v>
      </c>
      <c r="CH5" s="104" t="s">
        <v>352</v>
      </c>
      <c r="CI5" s="102" t="s">
        <v>353</v>
      </c>
      <c r="CJ5" s="102" t="s">
        <v>354</v>
      </c>
      <c r="CN5" s="53"/>
      <c r="CO5" s="104" t="s">
        <v>350</v>
      </c>
      <c r="CP5" s="104" t="s">
        <v>351</v>
      </c>
      <c r="CQ5" s="104" t="s">
        <v>352</v>
      </c>
      <c r="CR5" s="102" t="s">
        <v>353</v>
      </c>
      <c r="CS5" s="102" t="s">
        <v>354</v>
      </c>
      <c r="CV5" s="53"/>
      <c r="CW5" s="104" t="s">
        <v>350</v>
      </c>
      <c r="CX5" s="104" t="s">
        <v>351</v>
      </c>
      <c r="CY5" s="104" t="s">
        <v>352</v>
      </c>
      <c r="CZ5" s="102" t="s">
        <v>353</v>
      </c>
      <c r="DA5" s="102" t="s">
        <v>354</v>
      </c>
      <c r="DD5" s="53"/>
      <c r="DE5" s="104" t="s">
        <v>350</v>
      </c>
      <c r="DF5" s="104" t="s">
        <v>351</v>
      </c>
      <c r="DG5" s="104" t="s">
        <v>352</v>
      </c>
      <c r="DH5" s="102" t="s">
        <v>353</v>
      </c>
      <c r="DI5" s="102" t="s">
        <v>354</v>
      </c>
      <c r="DL5" s="53"/>
      <c r="DM5" s="104" t="s">
        <v>350</v>
      </c>
      <c r="DN5" s="104" t="s">
        <v>351</v>
      </c>
      <c r="DO5" s="104" t="s">
        <v>352</v>
      </c>
      <c r="DP5" s="102" t="s">
        <v>353</v>
      </c>
      <c r="DQ5" s="102" t="s">
        <v>354</v>
      </c>
    </row>
    <row r="6" spans="1:122" ht="15" customHeight="1" thickBot="1" x14ac:dyDescent="0.3">
      <c r="A6" s="27" t="s">
        <v>27</v>
      </c>
      <c r="B6" s="35">
        <v>2015</v>
      </c>
      <c r="C6" s="29" t="s">
        <v>19</v>
      </c>
      <c r="D6" s="30">
        <v>76.400000000000006</v>
      </c>
      <c r="E6" s="28">
        <v>13</v>
      </c>
      <c r="F6" s="31">
        <v>8.4499999999999993</v>
      </c>
      <c r="G6" s="28">
        <v>0</v>
      </c>
      <c r="H6" s="30">
        <v>47.7</v>
      </c>
      <c r="I6" s="32">
        <v>99</v>
      </c>
      <c r="J6" s="29"/>
      <c r="K6" s="32">
        <v>86</v>
      </c>
      <c r="L6" s="33">
        <v>13566.954</v>
      </c>
      <c r="M6" s="63">
        <v>99923</v>
      </c>
      <c r="N6" s="31">
        <v>9.1999999999999993</v>
      </c>
      <c r="O6" s="62">
        <v>0</v>
      </c>
      <c r="P6" s="35">
        <v>657.2</v>
      </c>
      <c r="Q6" s="35">
        <v>4.8</v>
      </c>
      <c r="R6" s="35">
        <v>14.9</v>
      </c>
      <c r="S6" s="35">
        <f t="shared" si="0"/>
        <v>0</v>
      </c>
      <c r="T6" s="35">
        <f t="shared" si="1"/>
        <v>0</v>
      </c>
      <c r="U6" s="35">
        <f t="shared" si="2"/>
        <v>0</v>
      </c>
      <c r="V6" s="95">
        <f t="shared" si="3"/>
        <v>0</v>
      </c>
      <c r="W6" s="52" t="s">
        <v>6</v>
      </c>
      <c r="X6" s="57">
        <f>_xll.StatCorrelationCoeff( ST_PercentExpenditure,ST_Lifeexpectancy_4)</f>
        <v>4.3964120612152588E-2</v>
      </c>
      <c r="Y6" s="57">
        <f>_xll.StatCorrelationCoeff( ST_PercentExpenditure,ST_AdultMortality_5)</f>
        <v>-4.29298791135952E-2</v>
      </c>
      <c r="Z6" s="57" t="e">
        <f>_xll.StatCorrelationCoeff( ST_PercentExpenditure,ST_Alcohol_6)</f>
        <v>#N/A</v>
      </c>
      <c r="AA6" s="57">
        <v>1</v>
      </c>
      <c r="AB6" s="57"/>
      <c r="AC6" s="57"/>
      <c r="AD6" s="57"/>
      <c r="AE6" s="57"/>
      <c r="AF6" s="57"/>
      <c r="AG6" s="57"/>
      <c r="AH6" s="57"/>
      <c r="AI6" s="57"/>
      <c r="AJ6" s="57"/>
      <c r="AK6" s="57"/>
      <c r="AO6" s="54" t="s">
        <v>349</v>
      </c>
      <c r="AP6" s="103"/>
      <c r="AQ6" s="103"/>
      <c r="AR6" s="103"/>
      <c r="AS6" s="103"/>
      <c r="AT6" s="103"/>
      <c r="AX6" s="54" t="s">
        <v>349</v>
      </c>
      <c r="AY6" s="103"/>
      <c r="AZ6" s="103"/>
      <c r="BA6" s="103"/>
      <c r="BB6" s="103"/>
      <c r="BC6" s="103"/>
      <c r="BF6" s="54" t="s">
        <v>349</v>
      </c>
      <c r="BG6" s="103"/>
      <c r="BH6" s="103"/>
      <c r="BI6" s="103"/>
      <c r="BJ6" s="103"/>
      <c r="BK6" s="103"/>
      <c r="BO6" s="54" t="s">
        <v>349</v>
      </c>
      <c r="BP6" s="103"/>
      <c r="BQ6" s="103"/>
      <c r="BR6" s="103"/>
      <c r="BS6" s="103"/>
      <c r="BT6" s="103"/>
      <c r="BW6" s="54" t="s">
        <v>349</v>
      </c>
      <c r="BX6" s="103"/>
      <c r="BY6" s="103"/>
      <c r="BZ6" s="103"/>
      <c r="CA6" s="103"/>
      <c r="CB6" s="103"/>
      <c r="CE6" s="54" t="s">
        <v>349</v>
      </c>
      <c r="CF6" s="103"/>
      <c r="CG6" s="103"/>
      <c r="CH6" s="103"/>
      <c r="CI6" s="103"/>
      <c r="CJ6" s="103"/>
      <c r="CN6" s="54" t="s">
        <v>349</v>
      </c>
      <c r="CO6" s="103"/>
      <c r="CP6" s="103"/>
      <c r="CQ6" s="103"/>
      <c r="CR6" s="103"/>
      <c r="CS6" s="103"/>
      <c r="CV6" s="54" t="s">
        <v>349</v>
      </c>
      <c r="CW6" s="103"/>
      <c r="CX6" s="103"/>
      <c r="CY6" s="103"/>
      <c r="CZ6" s="103"/>
      <c r="DA6" s="103"/>
      <c r="DD6" s="54" t="s">
        <v>349</v>
      </c>
      <c r="DE6" s="103"/>
      <c r="DF6" s="103"/>
      <c r="DG6" s="103"/>
      <c r="DH6" s="103"/>
      <c r="DI6" s="103"/>
      <c r="DL6" s="54" t="s">
        <v>349</v>
      </c>
      <c r="DM6" s="103"/>
      <c r="DN6" s="103"/>
      <c r="DO6" s="103"/>
      <c r="DP6" s="103"/>
      <c r="DQ6" s="103"/>
    </row>
    <row r="7" spans="1:122" ht="15" customHeight="1" thickTop="1" x14ac:dyDescent="0.25">
      <c r="A7" s="27" t="s">
        <v>28</v>
      </c>
      <c r="B7" s="35">
        <v>2015</v>
      </c>
      <c r="C7" s="29" t="s">
        <v>19</v>
      </c>
      <c r="D7" s="30">
        <v>76.3</v>
      </c>
      <c r="E7" s="28">
        <v>116</v>
      </c>
      <c r="F7" s="31">
        <v>8.42</v>
      </c>
      <c r="G7" s="28">
        <v>0</v>
      </c>
      <c r="H7" s="30">
        <v>62.8</v>
      </c>
      <c r="I7" s="32">
        <v>94</v>
      </c>
      <c r="J7" s="29"/>
      <c r="K7" s="32">
        <v>93</v>
      </c>
      <c r="L7" s="33">
        <v>13467.124</v>
      </c>
      <c r="M7" s="63">
        <v>43417765</v>
      </c>
      <c r="N7" s="31">
        <v>9.8000000000000007</v>
      </c>
      <c r="O7" s="62">
        <v>22.5</v>
      </c>
      <c r="P7" s="35">
        <v>997.9</v>
      </c>
      <c r="Q7" s="35">
        <v>6.8</v>
      </c>
      <c r="R7" s="35">
        <v>12.3</v>
      </c>
      <c r="S7" s="35">
        <f t="shared" si="0"/>
        <v>0</v>
      </c>
      <c r="T7" s="35">
        <f t="shared" si="1"/>
        <v>0</v>
      </c>
      <c r="U7" s="35">
        <f t="shared" si="2"/>
        <v>0</v>
      </c>
      <c r="V7" s="95">
        <f t="shared" si="3"/>
        <v>0</v>
      </c>
      <c r="W7" s="66" t="s">
        <v>7</v>
      </c>
      <c r="X7" s="57">
        <f>_xll.StatCorrelationCoeff( ST_BMI_8,ST_Lifeexpectancy_4)</f>
        <v>0.52173191014073594</v>
      </c>
      <c r="Y7" s="57">
        <f>_xll.StatCorrelationCoeff( ST_BMI_8,ST_AdultMortality_5)</f>
        <v>-0.3767249541961577</v>
      </c>
      <c r="Z7" s="57" t="e">
        <f>_xll.StatCorrelationCoeff( ST_BMI_8,ST_Alcohol_6)</f>
        <v>#N/A</v>
      </c>
      <c r="AA7" s="57">
        <f>_xll.StatCorrelationCoeff( ST_BMI_8,ST_PercentExpenditure)</f>
        <v>3.8397766642219826E-2</v>
      </c>
      <c r="AB7" s="57">
        <v>1</v>
      </c>
      <c r="AC7" s="57"/>
      <c r="AD7" s="57"/>
      <c r="AE7" s="57"/>
      <c r="AF7" s="57"/>
      <c r="AG7" s="57"/>
      <c r="AH7" s="57"/>
      <c r="AI7" s="57"/>
      <c r="AJ7" s="57"/>
      <c r="AK7" s="57"/>
      <c r="AO7" s="52" t="s">
        <v>355</v>
      </c>
      <c r="AP7" s="69">
        <v>1</v>
      </c>
      <c r="AQ7" s="69">
        <v>7291.0137698566887</v>
      </c>
      <c r="AR7" s="69">
        <v>7291.0137698566887</v>
      </c>
      <c r="AS7" s="69">
        <v>279.59162145059491</v>
      </c>
      <c r="AT7" s="70">
        <v>1.4763308747614232E-38</v>
      </c>
      <c r="AX7" s="52" t="s">
        <v>355</v>
      </c>
      <c r="AY7" s="69">
        <v>1</v>
      </c>
      <c r="AZ7" s="69">
        <v>3269.4492386103302</v>
      </c>
      <c r="BA7" s="69">
        <v>3269.4492386103302</v>
      </c>
      <c r="BB7" s="69">
        <v>67.696126761036751</v>
      </c>
      <c r="BC7" s="70">
        <v>3.63736568489697E-14</v>
      </c>
      <c r="BF7" s="52" t="s">
        <v>355</v>
      </c>
      <c r="BG7" s="69">
        <v>1</v>
      </c>
      <c r="BH7" s="69">
        <v>7263.5918544736805</v>
      </c>
      <c r="BI7" s="69">
        <v>7263.5918544736805</v>
      </c>
      <c r="BJ7" s="69">
        <v>276.93116809144431</v>
      </c>
      <c r="BK7" s="70">
        <v>2.4984463229004983E-38</v>
      </c>
      <c r="BO7" s="52" t="s">
        <v>355</v>
      </c>
      <c r="BP7" s="69">
        <v>1</v>
      </c>
      <c r="BQ7" s="69">
        <v>7291.0137698566887</v>
      </c>
      <c r="BR7" s="69">
        <v>7291.0137698566887</v>
      </c>
      <c r="BS7" s="69">
        <v>279.59162145059491</v>
      </c>
      <c r="BT7" s="70">
        <v>1.4763308747614232E-38</v>
      </c>
      <c r="BW7" s="52" t="s">
        <v>355</v>
      </c>
      <c r="BX7" s="69">
        <v>2</v>
      </c>
      <c r="BY7" s="69">
        <v>8020.0570013332981</v>
      </c>
      <c r="BZ7" s="69">
        <v>4010.0285006666491</v>
      </c>
      <c r="CA7" s="69">
        <v>180.8600042099927</v>
      </c>
      <c r="CB7" s="70">
        <v>8.6057072952960533E-44</v>
      </c>
      <c r="CE7" s="52" t="s">
        <v>355</v>
      </c>
      <c r="CF7" s="69">
        <v>3</v>
      </c>
      <c r="CG7" s="69">
        <v>9561.3245345386022</v>
      </c>
      <c r="CH7" s="69">
        <v>3187.1081781795342</v>
      </c>
      <c r="CI7" s="69">
        <v>232.88321235314402</v>
      </c>
      <c r="CJ7" s="70">
        <v>1.5288432796511712E-61</v>
      </c>
      <c r="CN7" s="52" t="s">
        <v>355</v>
      </c>
      <c r="CO7" s="69">
        <v>1</v>
      </c>
      <c r="CP7" s="69">
        <v>3361.5423348236509</v>
      </c>
      <c r="CQ7" s="69">
        <v>3361.5423348236509</v>
      </c>
      <c r="CR7" s="69">
        <v>70.344055788922503</v>
      </c>
      <c r="CS7" s="70">
        <v>1.376305760533688E-14</v>
      </c>
      <c r="CV7" s="52" t="s">
        <v>355</v>
      </c>
      <c r="CW7" s="69">
        <v>2</v>
      </c>
      <c r="CX7" s="69">
        <v>3536.4959084669231</v>
      </c>
      <c r="CY7" s="69">
        <v>1768.2479542334615</v>
      </c>
      <c r="CZ7" s="69">
        <v>37.557828939052627</v>
      </c>
      <c r="DA7" s="70">
        <v>2.3344530986069104E-14</v>
      </c>
      <c r="DD7" s="52" t="s">
        <v>355</v>
      </c>
      <c r="DE7" s="69">
        <v>3</v>
      </c>
      <c r="DF7" s="69">
        <v>3569.2582205753915</v>
      </c>
      <c r="DG7" s="69">
        <v>1189.7527401917971</v>
      </c>
      <c r="DH7" s="69">
        <v>25.22764909419335</v>
      </c>
      <c r="DI7" s="70">
        <v>1.1630680952684099E-13</v>
      </c>
      <c r="DL7" s="52" t="s">
        <v>355</v>
      </c>
      <c r="DM7" s="69">
        <v>3</v>
      </c>
      <c r="DN7" s="69">
        <v>3537.3019138466989</v>
      </c>
      <c r="DO7" s="69">
        <v>1179.1006379488997</v>
      </c>
      <c r="DP7" s="69">
        <v>24.907493340700348</v>
      </c>
      <c r="DQ7" s="70">
        <v>1.6239951665192804E-13</v>
      </c>
    </row>
    <row r="8" spans="1:122" ht="15" customHeight="1" x14ac:dyDescent="0.25">
      <c r="A8" s="27" t="s">
        <v>29</v>
      </c>
      <c r="B8" s="35">
        <v>2015</v>
      </c>
      <c r="C8" s="29" t="s">
        <v>19</v>
      </c>
      <c r="D8" s="30">
        <v>74.8</v>
      </c>
      <c r="E8" s="28">
        <v>118</v>
      </c>
      <c r="F8" s="31">
        <v>3.84</v>
      </c>
      <c r="G8" s="28">
        <v>0</v>
      </c>
      <c r="H8" s="30">
        <v>54.9</v>
      </c>
      <c r="I8" s="32">
        <v>94</v>
      </c>
      <c r="J8" s="29"/>
      <c r="K8" s="32">
        <v>96</v>
      </c>
      <c r="L8" s="28">
        <v>369.65499999999997</v>
      </c>
      <c r="M8" s="63">
        <v>2916950</v>
      </c>
      <c r="N8" s="31">
        <v>11.6</v>
      </c>
      <c r="O8" s="62">
        <v>24.5</v>
      </c>
      <c r="P8" s="35">
        <v>366</v>
      </c>
      <c r="Q8" s="35">
        <v>10.1</v>
      </c>
      <c r="R8" s="35">
        <v>6.1</v>
      </c>
      <c r="S8" s="35">
        <f t="shared" si="0"/>
        <v>0</v>
      </c>
      <c r="T8" s="35">
        <f t="shared" si="1"/>
        <v>0</v>
      </c>
      <c r="U8" s="35">
        <f t="shared" si="2"/>
        <v>0</v>
      </c>
      <c r="V8" s="95">
        <f t="shared" si="3"/>
        <v>0</v>
      </c>
      <c r="W8" s="52" t="s">
        <v>8</v>
      </c>
      <c r="X8" s="57">
        <f>_xll.StatCorrelationCoeff( ST_Polio_9,ST_Lifeexpectancy_4)</f>
        <v>0.44663785477398804</v>
      </c>
      <c r="Y8" s="57">
        <f>_xll.StatCorrelationCoeff( ST_Polio_9,ST_AdultMortality_5)</f>
        <v>-0.28007411261219733</v>
      </c>
      <c r="Z8" s="57" t="e">
        <f>_xll.StatCorrelationCoeff( ST_Polio_9,ST_Alcohol_6)</f>
        <v>#N/A</v>
      </c>
      <c r="AA8" s="57">
        <f>_xll.StatCorrelationCoeff( ST_Polio_9,ST_PercentExpenditure)</f>
        <v>2.8927806237173691E-2</v>
      </c>
      <c r="AB8" s="57">
        <f>_xll.StatCorrelationCoeff( ST_Polio_9,ST_BMI_8)</f>
        <v>0.17852814242998696</v>
      </c>
      <c r="AC8" s="57">
        <v>1</v>
      </c>
      <c r="AD8" s="57"/>
      <c r="AE8" s="57"/>
      <c r="AF8" s="57"/>
      <c r="AG8" s="57"/>
      <c r="AH8" s="57"/>
      <c r="AI8" s="57"/>
      <c r="AJ8" s="57"/>
      <c r="AK8" s="57"/>
      <c r="AO8" s="52" t="s">
        <v>356</v>
      </c>
      <c r="AP8" s="69">
        <v>181</v>
      </c>
      <c r="AQ8" s="69">
        <v>4720.003716482086</v>
      </c>
      <c r="AR8" s="69">
        <v>26.077368599348542</v>
      </c>
      <c r="AS8" s="49"/>
      <c r="AT8" s="49"/>
      <c r="AX8" s="52" t="s">
        <v>356</v>
      </c>
      <c r="AY8" s="69">
        <v>181</v>
      </c>
      <c r="AZ8" s="69">
        <v>8741.5682477283117</v>
      </c>
      <c r="BA8" s="69">
        <v>48.295957169769679</v>
      </c>
      <c r="BB8" s="49"/>
      <c r="BC8" s="49"/>
      <c r="BF8" s="52" t="s">
        <v>356</v>
      </c>
      <c r="BG8" s="69">
        <v>181</v>
      </c>
      <c r="BH8" s="69">
        <v>4747.4256318653561</v>
      </c>
      <c r="BI8" s="69">
        <v>26.228870894283734</v>
      </c>
      <c r="BJ8" s="49"/>
      <c r="BK8" s="49"/>
      <c r="BO8" s="52" t="s">
        <v>356</v>
      </c>
      <c r="BP8" s="69">
        <v>181</v>
      </c>
      <c r="BQ8" s="69">
        <v>4720.003716482086</v>
      </c>
      <c r="BR8" s="69">
        <v>26.077368599348542</v>
      </c>
      <c r="BS8" s="49"/>
      <c r="BT8" s="49"/>
      <c r="BW8" s="52" t="s">
        <v>356</v>
      </c>
      <c r="BX8" s="69">
        <v>180</v>
      </c>
      <c r="BY8" s="69">
        <v>3990.960485005432</v>
      </c>
      <c r="BZ8" s="69">
        <v>22.172002694474621</v>
      </c>
      <c r="CA8" s="49"/>
      <c r="CB8" s="49"/>
      <c r="CE8" s="52" t="s">
        <v>356</v>
      </c>
      <c r="CF8" s="69">
        <v>179</v>
      </c>
      <c r="CG8" s="69">
        <v>2449.6929518004167</v>
      </c>
      <c r="CH8" s="69">
        <v>13.685435484918528</v>
      </c>
      <c r="CI8" s="49"/>
      <c r="CJ8" s="49"/>
      <c r="CN8" s="52" t="s">
        <v>356</v>
      </c>
      <c r="CO8" s="69">
        <v>181</v>
      </c>
      <c r="CP8" s="69">
        <v>8649.4751515151529</v>
      </c>
      <c r="CQ8" s="69">
        <v>47.787155533232891</v>
      </c>
      <c r="CR8" s="49"/>
      <c r="CS8" s="49"/>
      <c r="CV8" s="52" t="s">
        <v>356</v>
      </c>
      <c r="CW8" s="69">
        <v>180</v>
      </c>
      <c r="CX8" s="69">
        <v>8474.5215778718975</v>
      </c>
      <c r="CY8" s="69">
        <v>47.080675432621653</v>
      </c>
      <c r="CZ8" s="49"/>
      <c r="DA8" s="49"/>
      <c r="DD8" s="52" t="s">
        <v>356</v>
      </c>
      <c r="DE8" s="69">
        <v>179</v>
      </c>
      <c r="DF8" s="69">
        <v>8441.759265763294</v>
      </c>
      <c r="DG8" s="69">
        <v>47.160666289180412</v>
      </c>
      <c r="DH8" s="49"/>
      <c r="DI8" s="49"/>
      <c r="DL8" s="52" t="s">
        <v>356</v>
      </c>
      <c r="DM8" s="69">
        <v>179</v>
      </c>
      <c r="DN8" s="69">
        <v>8473.7155724927907</v>
      </c>
      <c r="DO8" s="69">
        <v>47.339193142417827</v>
      </c>
      <c r="DP8" s="49"/>
      <c r="DQ8" s="49"/>
    </row>
    <row r="9" spans="1:122" ht="15" customHeight="1" x14ac:dyDescent="0.25">
      <c r="A9" s="27" t="s">
        <v>30</v>
      </c>
      <c r="B9" s="35">
        <v>2015</v>
      </c>
      <c r="C9" s="29" t="s">
        <v>31</v>
      </c>
      <c r="D9" s="30">
        <v>82.8</v>
      </c>
      <c r="E9" s="28">
        <v>59</v>
      </c>
      <c r="F9" s="31">
        <v>9.52</v>
      </c>
      <c r="G9" s="28">
        <v>0</v>
      </c>
      <c r="H9" s="30">
        <v>66.599999999999994</v>
      </c>
      <c r="I9" s="32">
        <v>93</v>
      </c>
      <c r="J9" s="29"/>
      <c r="K9" s="32">
        <v>93</v>
      </c>
      <c r="L9" s="33">
        <v>56554.387999999999</v>
      </c>
      <c r="M9" s="63">
        <v>23850784</v>
      </c>
      <c r="N9" s="31">
        <v>12.8</v>
      </c>
      <c r="O9" s="62">
        <v>15.2</v>
      </c>
      <c r="P9" s="35">
        <v>4934</v>
      </c>
      <c r="Q9" s="35">
        <v>9.4</v>
      </c>
      <c r="R9" s="35" t="s">
        <v>25</v>
      </c>
      <c r="S9" s="35">
        <f t="shared" si="0"/>
        <v>1</v>
      </c>
      <c r="T9" s="35">
        <f t="shared" si="1"/>
        <v>59</v>
      </c>
      <c r="U9" s="35">
        <f t="shared" si="2"/>
        <v>66.599999999999994</v>
      </c>
      <c r="V9" s="95">
        <f t="shared" si="3"/>
        <v>12.8</v>
      </c>
      <c r="W9" s="52" t="s">
        <v>10</v>
      </c>
      <c r="X9" s="57">
        <f>_xll.StatCorrelationCoeff( ST_Diphtheria_11,ST_Lifeexpectancy_4)</f>
        <v>0.49171334470477579</v>
      </c>
      <c r="Y9" s="57">
        <f>_xll.StatCorrelationCoeff( ST_Diphtheria_11,ST_AdultMortality_5)</f>
        <v>-0.29009574611789385</v>
      </c>
      <c r="Z9" s="57" t="e">
        <f>_xll.StatCorrelationCoeff( ST_Diphtheria_11,ST_Alcohol_6)</f>
        <v>#N/A</v>
      </c>
      <c r="AA9" s="57">
        <f>_xll.StatCorrelationCoeff( ST_Diphtheria_11,ST_PercentExpenditure)</f>
        <v>2.5327211695023385E-2</v>
      </c>
      <c r="AB9" s="57">
        <f>_xll.StatCorrelationCoeff( ST_Diphtheria_11,ST_BMI_8)</f>
        <v>0.2048032996330566</v>
      </c>
      <c r="AC9" s="57">
        <f>_xll.StatCorrelationCoeff( ST_Diphtheria_11,ST_Polio_9)</f>
        <v>0.96700635463615137</v>
      </c>
      <c r="AD9" s="57">
        <v>1</v>
      </c>
      <c r="AE9" s="57"/>
      <c r="AF9" s="57"/>
      <c r="AG9" s="57"/>
      <c r="AH9" s="57"/>
      <c r="AI9" s="57"/>
      <c r="AJ9" s="57"/>
      <c r="AK9" s="57"/>
    </row>
    <row r="10" spans="1:122" ht="15" customHeight="1" x14ac:dyDescent="0.25">
      <c r="A10" s="27" t="s">
        <v>32</v>
      </c>
      <c r="B10" s="35">
        <v>2015</v>
      </c>
      <c r="C10" s="29" t="s">
        <v>31</v>
      </c>
      <c r="D10" s="30">
        <v>81.5</v>
      </c>
      <c r="E10" s="28">
        <v>65</v>
      </c>
      <c r="F10" s="31">
        <v>11.4</v>
      </c>
      <c r="G10" s="28">
        <v>0</v>
      </c>
      <c r="H10" s="30">
        <v>57.6</v>
      </c>
      <c r="I10" s="32">
        <v>93</v>
      </c>
      <c r="J10" s="29"/>
      <c r="K10" s="32">
        <v>93</v>
      </c>
      <c r="L10" s="33">
        <v>43665.947</v>
      </c>
      <c r="M10" s="63">
        <v>8642699</v>
      </c>
      <c r="N10" s="31">
        <v>12.1</v>
      </c>
      <c r="O10" s="62">
        <v>30.6</v>
      </c>
      <c r="P10" s="35">
        <v>4536.1000000000004</v>
      </c>
      <c r="Q10" s="35">
        <v>10.3</v>
      </c>
      <c r="R10" s="35">
        <v>15.1</v>
      </c>
      <c r="S10" s="35">
        <f t="shared" si="0"/>
        <v>1</v>
      </c>
      <c r="T10" s="35">
        <f t="shared" si="1"/>
        <v>65</v>
      </c>
      <c r="U10" s="35">
        <f t="shared" si="2"/>
        <v>57.6</v>
      </c>
      <c r="V10" s="95">
        <f t="shared" si="3"/>
        <v>12.1</v>
      </c>
      <c r="W10" s="52" t="s">
        <v>11</v>
      </c>
      <c r="X10" s="57">
        <f>_xll.StatCorrelationCoeff( ST_GDP_12,ST_Lifeexpectancy_4)</f>
        <v>0.47134643579259861</v>
      </c>
      <c r="Y10" s="57">
        <f>_xll.StatCorrelationCoeff( ST_GDP_12,ST_AdultMortality_5)</f>
        <v>-0.37220926440275692</v>
      </c>
      <c r="Z10" s="57" t="e">
        <f>_xll.StatCorrelationCoeff( ST_GDP_12,ST_Alcohol_6)</f>
        <v>#N/A</v>
      </c>
      <c r="AA10" s="57">
        <f>_xll.StatCorrelationCoeff( ST_GDP_12,ST_PercentExpenditure)</f>
        <v>-2.9869190940798696E-2</v>
      </c>
      <c r="AB10" s="57">
        <f>_xll.StatCorrelationCoeff( ST_GDP_12,ST_BMI_8)</f>
        <v>0.36723430547775149</v>
      </c>
      <c r="AC10" s="57">
        <f>_xll.StatCorrelationCoeff( ST_GDP_12,ST_Polio_9)</f>
        <v>0.21980622039804878</v>
      </c>
      <c r="AD10" s="57">
        <f>_xll.StatCorrelationCoeff( ST_GDP_12,ST_Diphtheria_11)</f>
        <v>0.22613491766366853</v>
      </c>
      <c r="AE10" s="57">
        <v>1</v>
      </c>
      <c r="AF10" s="57"/>
      <c r="AG10" s="57"/>
      <c r="AH10" s="57"/>
      <c r="AI10" s="57"/>
      <c r="AJ10" s="57"/>
      <c r="AK10" s="57"/>
      <c r="AO10" s="53"/>
      <c r="AP10" s="102" t="s">
        <v>358</v>
      </c>
      <c r="AQ10" s="104" t="s">
        <v>359</v>
      </c>
      <c r="AR10" s="102" t="s">
        <v>360</v>
      </c>
      <c r="AS10" s="102" t="s">
        <v>354</v>
      </c>
      <c r="AT10" s="101" t="s">
        <v>361</v>
      </c>
      <c r="AU10" s="101"/>
      <c r="AX10" s="53"/>
      <c r="AY10" s="102" t="s">
        <v>358</v>
      </c>
      <c r="AZ10" s="104" t="s">
        <v>359</v>
      </c>
      <c r="BA10" s="102" t="s">
        <v>360</v>
      </c>
      <c r="BB10" s="102" t="s">
        <v>354</v>
      </c>
      <c r="BC10" s="101" t="s">
        <v>361</v>
      </c>
      <c r="BD10" s="101"/>
      <c r="BF10" s="53"/>
      <c r="BG10" s="102" t="s">
        <v>358</v>
      </c>
      <c r="BH10" s="104" t="s">
        <v>359</v>
      </c>
      <c r="BI10" s="102" t="s">
        <v>360</v>
      </c>
      <c r="BJ10" s="102" t="s">
        <v>354</v>
      </c>
      <c r="BK10" s="101" t="s">
        <v>361</v>
      </c>
      <c r="BL10" s="101"/>
      <c r="BO10" s="53"/>
      <c r="BP10" s="102" t="s">
        <v>358</v>
      </c>
      <c r="BQ10" s="104" t="s">
        <v>359</v>
      </c>
      <c r="BR10" s="102" t="s">
        <v>360</v>
      </c>
      <c r="BS10" s="102" t="s">
        <v>354</v>
      </c>
      <c r="BT10" s="101" t="s">
        <v>361</v>
      </c>
      <c r="BU10" s="101"/>
      <c r="BW10" s="53"/>
      <c r="BX10" s="102" t="s">
        <v>358</v>
      </c>
      <c r="BY10" s="104" t="s">
        <v>359</v>
      </c>
      <c r="BZ10" s="102" t="s">
        <v>360</v>
      </c>
      <c r="CA10" s="102" t="s">
        <v>354</v>
      </c>
      <c r="CB10" s="101" t="s">
        <v>361</v>
      </c>
      <c r="CC10" s="101"/>
      <c r="CE10" s="53"/>
      <c r="CF10" s="102" t="s">
        <v>358</v>
      </c>
      <c r="CG10" s="104" t="s">
        <v>359</v>
      </c>
      <c r="CH10" s="102" t="s">
        <v>360</v>
      </c>
      <c r="CI10" s="102" t="s">
        <v>354</v>
      </c>
      <c r="CJ10" s="101" t="s">
        <v>361</v>
      </c>
      <c r="CK10" s="101"/>
      <c r="CN10" s="53"/>
      <c r="CO10" s="102" t="s">
        <v>358</v>
      </c>
      <c r="CP10" s="104" t="s">
        <v>359</v>
      </c>
      <c r="CQ10" s="102" t="s">
        <v>360</v>
      </c>
      <c r="CR10" s="102" t="s">
        <v>354</v>
      </c>
      <c r="CS10" s="101" t="s">
        <v>361</v>
      </c>
      <c r="CT10" s="101"/>
      <c r="CV10" s="53"/>
      <c r="CW10" s="102" t="s">
        <v>358</v>
      </c>
      <c r="CX10" s="104" t="s">
        <v>359</v>
      </c>
      <c r="CY10" s="102" t="s">
        <v>360</v>
      </c>
      <c r="CZ10" s="102" t="s">
        <v>354</v>
      </c>
      <c r="DA10" s="101" t="s">
        <v>361</v>
      </c>
      <c r="DB10" s="101"/>
      <c r="DD10" s="53"/>
      <c r="DE10" s="102" t="s">
        <v>358</v>
      </c>
      <c r="DF10" s="104" t="s">
        <v>359</v>
      </c>
      <c r="DG10" s="102" t="s">
        <v>360</v>
      </c>
      <c r="DH10" s="102" t="s">
        <v>354</v>
      </c>
      <c r="DI10" s="101" t="s">
        <v>361</v>
      </c>
      <c r="DJ10" s="101"/>
      <c r="DL10" s="53"/>
      <c r="DM10" s="102" t="s">
        <v>358</v>
      </c>
      <c r="DN10" s="104" t="s">
        <v>359</v>
      </c>
      <c r="DO10" s="102" t="s">
        <v>360</v>
      </c>
      <c r="DP10" s="102" t="s">
        <v>354</v>
      </c>
      <c r="DQ10" s="101" t="s">
        <v>361</v>
      </c>
      <c r="DR10" s="101"/>
    </row>
    <row r="11" spans="1:122" ht="15" customHeight="1" thickBot="1" x14ac:dyDescent="0.3">
      <c r="A11" s="27" t="s">
        <v>33</v>
      </c>
      <c r="B11" s="35">
        <v>2015</v>
      </c>
      <c r="C11" s="29" t="s">
        <v>19</v>
      </c>
      <c r="D11" s="30">
        <v>72.7</v>
      </c>
      <c r="E11" s="28">
        <v>118</v>
      </c>
      <c r="F11" s="31">
        <v>0.84</v>
      </c>
      <c r="G11" s="28">
        <v>0</v>
      </c>
      <c r="H11" s="30">
        <v>52.5</v>
      </c>
      <c r="I11" s="32">
        <v>96</v>
      </c>
      <c r="J11" s="29"/>
      <c r="K11" s="32">
        <v>98</v>
      </c>
      <c r="L11" s="28">
        <v>55.314</v>
      </c>
      <c r="M11" s="63">
        <v>9649341</v>
      </c>
      <c r="N11" s="31">
        <v>10.7</v>
      </c>
      <c r="O11" s="62">
        <v>21.3</v>
      </c>
      <c r="P11" s="35">
        <v>368.3</v>
      </c>
      <c r="Q11" s="35">
        <v>6.7</v>
      </c>
      <c r="R11" s="35">
        <v>4.0999999999999996</v>
      </c>
      <c r="S11" s="35">
        <f t="shared" si="0"/>
        <v>0</v>
      </c>
      <c r="T11" s="35">
        <f t="shared" si="1"/>
        <v>0</v>
      </c>
      <c r="U11" s="35">
        <f t="shared" si="2"/>
        <v>0</v>
      </c>
      <c r="V11" s="95">
        <f t="shared" si="3"/>
        <v>0</v>
      </c>
      <c r="W11" s="52" t="s">
        <v>12</v>
      </c>
      <c r="X11" s="57">
        <f>_xll.StatCorrelationCoeff( ST_Population_13,ST_Lifeexpectancy_4)</f>
        <v>1.2841917079431954E-2</v>
      </c>
      <c r="Y11" s="57">
        <f>_xll.StatCorrelationCoeff( ST_Population_13,ST_AdultMortality_5)</f>
        <v>-1.987091024492886E-2</v>
      </c>
      <c r="Z11" s="57" t="e">
        <f>_xll.StatCorrelationCoeff( ST_Population_13,ST_Alcohol_6)</f>
        <v>#N/A</v>
      </c>
      <c r="AA11" s="57">
        <f>_xll.StatCorrelationCoeff( ST_Population_13,ST_PercentExpenditure)</f>
        <v>-1.9493336924225488E-2</v>
      </c>
      <c r="AB11" s="57">
        <f>_xll.StatCorrelationCoeff( ST_Population_13,ST_BMI_8)</f>
        <v>-9.8092052328316442E-2</v>
      </c>
      <c r="AC11" s="57">
        <f>_xll.StatCorrelationCoeff( ST_Population_13,ST_Polio_9)</f>
        <v>1.5007242745590083E-2</v>
      </c>
      <c r="AD11" s="57">
        <f>_xll.StatCorrelationCoeff( ST_Population_13,ST_Diphtheria_11)</f>
        <v>1.3124900114259905E-2</v>
      </c>
      <c r="AE11" s="57">
        <f>_xll.StatCorrelationCoeff( ST_Population_13,ST_GDP_12)</f>
        <v>2.080615694293009E-3</v>
      </c>
      <c r="AF11" s="57">
        <v>1</v>
      </c>
      <c r="AG11" s="57"/>
      <c r="AH11" s="57"/>
      <c r="AI11" s="57"/>
      <c r="AJ11" s="57"/>
      <c r="AK11" s="57"/>
      <c r="AO11" s="54" t="s">
        <v>357</v>
      </c>
      <c r="AP11" s="103"/>
      <c r="AQ11" s="103"/>
      <c r="AR11" s="103"/>
      <c r="AS11" s="103"/>
      <c r="AT11" s="51" t="s">
        <v>362</v>
      </c>
      <c r="AU11" s="51" t="s">
        <v>363</v>
      </c>
      <c r="AX11" s="54" t="s">
        <v>357</v>
      </c>
      <c r="AY11" s="103"/>
      <c r="AZ11" s="103"/>
      <c r="BA11" s="103"/>
      <c r="BB11" s="103"/>
      <c r="BC11" s="51" t="s">
        <v>362</v>
      </c>
      <c r="BD11" s="51" t="s">
        <v>363</v>
      </c>
      <c r="BF11" s="54" t="s">
        <v>357</v>
      </c>
      <c r="BG11" s="103"/>
      <c r="BH11" s="103"/>
      <c r="BI11" s="103"/>
      <c r="BJ11" s="103"/>
      <c r="BK11" s="51" t="s">
        <v>362</v>
      </c>
      <c r="BL11" s="51" t="s">
        <v>363</v>
      </c>
      <c r="BO11" s="54" t="s">
        <v>357</v>
      </c>
      <c r="BP11" s="103"/>
      <c r="BQ11" s="103"/>
      <c r="BR11" s="103"/>
      <c r="BS11" s="103"/>
      <c r="BT11" s="51" t="s">
        <v>362</v>
      </c>
      <c r="BU11" s="51" t="s">
        <v>363</v>
      </c>
      <c r="BW11" s="54" t="s">
        <v>357</v>
      </c>
      <c r="BX11" s="103"/>
      <c r="BY11" s="103"/>
      <c r="BZ11" s="103"/>
      <c r="CA11" s="103"/>
      <c r="CB11" s="51" t="s">
        <v>362</v>
      </c>
      <c r="CC11" s="51" t="s">
        <v>363</v>
      </c>
      <c r="CE11" s="54" t="s">
        <v>357</v>
      </c>
      <c r="CF11" s="103"/>
      <c r="CG11" s="103"/>
      <c r="CH11" s="103"/>
      <c r="CI11" s="103"/>
      <c r="CJ11" s="51" t="s">
        <v>362</v>
      </c>
      <c r="CK11" s="51" t="s">
        <v>363</v>
      </c>
      <c r="CN11" s="54" t="s">
        <v>357</v>
      </c>
      <c r="CO11" s="103"/>
      <c r="CP11" s="103"/>
      <c r="CQ11" s="103"/>
      <c r="CR11" s="103"/>
      <c r="CS11" s="51" t="s">
        <v>362</v>
      </c>
      <c r="CT11" s="51" t="s">
        <v>363</v>
      </c>
      <c r="CV11" s="54" t="s">
        <v>357</v>
      </c>
      <c r="CW11" s="103"/>
      <c r="CX11" s="103"/>
      <c r="CY11" s="103"/>
      <c r="CZ11" s="103"/>
      <c r="DA11" s="51" t="s">
        <v>362</v>
      </c>
      <c r="DB11" s="51" t="s">
        <v>363</v>
      </c>
      <c r="DD11" s="54" t="s">
        <v>357</v>
      </c>
      <c r="DE11" s="103"/>
      <c r="DF11" s="103"/>
      <c r="DG11" s="103"/>
      <c r="DH11" s="103"/>
      <c r="DI11" s="51" t="s">
        <v>362</v>
      </c>
      <c r="DJ11" s="51" t="s">
        <v>363</v>
      </c>
      <c r="DL11" s="54" t="s">
        <v>357</v>
      </c>
      <c r="DM11" s="103"/>
      <c r="DN11" s="103"/>
      <c r="DO11" s="103"/>
      <c r="DP11" s="103"/>
      <c r="DQ11" s="51" t="s">
        <v>362</v>
      </c>
      <c r="DR11" s="51" t="s">
        <v>363</v>
      </c>
    </row>
    <row r="12" spans="1:122" ht="15" customHeight="1" thickTop="1" x14ac:dyDescent="0.25">
      <c r="A12" s="27" t="s">
        <v>34</v>
      </c>
      <c r="B12" s="35">
        <v>2015</v>
      </c>
      <c r="C12" s="29" t="s">
        <v>19</v>
      </c>
      <c r="D12" s="30">
        <v>76.099999999999994</v>
      </c>
      <c r="E12" s="28">
        <v>147</v>
      </c>
      <c r="F12" s="31">
        <v>8.65</v>
      </c>
      <c r="G12" s="28">
        <v>0</v>
      </c>
      <c r="H12" s="30">
        <v>64.5</v>
      </c>
      <c r="I12" s="32">
        <v>96</v>
      </c>
      <c r="J12" s="29"/>
      <c r="K12" s="32">
        <v>98</v>
      </c>
      <c r="L12" s="33">
        <v>30483.82</v>
      </c>
      <c r="M12" s="63">
        <v>386838</v>
      </c>
      <c r="N12" s="31">
        <v>11.1</v>
      </c>
      <c r="O12" s="62">
        <v>11.4</v>
      </c>
      <c r="P12" s="35">
        <v>1685.5</v>
      </c>
      <c r="Q12" s="35">
        <v>7.4</v>
      </c>
      <c r="R12" s="35">
        <v>14.2</v>
      </c>
      <c r="S12" s="35">
        <f t="shared" si="0"/>
        <v>0</v>
      </c>
      <c r="T12" s="35">
        <f t="shared" si="1"/>
        <v>0</v>
      </c>
      <c r="U12" s="35">
        <f t="shared" si="2"/>
        <v>0</v>
      </c>
      <c r="V12" s="95">
        <f t="shared" si="3"/>
        <v>0</v>
      </c>
      <c r="W12" s="66" t="s">
        <v>13</v>
      </c>
      <c r="X12" s="57">
        <f>_xll.StatCorrelationCoeff( ST_Schooling_14,ST_Lifeexpectancy_4)</f>
        <v>0.77765293751507414</v>
      </c>
      <c r="Y12" s="57">
        <f>_xll.StatCorrelationCoeff( ST_Schooling_14,ST_AdultMortality_5)</f>
        <v>-0.52886185661755691</v>
      </c>
      <c r="Z12" s="57" t="e">
        <f>_xll.StatCorrelationCoeff( ST_Schooling_14,ST_Alcohol_6)</f>
        <v>#N/A</v>
      </c>
      <c r="AA12" s="57">
        <f>_xll.StatCorrelationCoeff( ST_Schooling_14,ST_PercentExpenditure)</f>
        <v>1.0678827041853892E-2</v>
      </c>
      <c r="AB12" s="57">
        <f>_xll.StatCorrelationCoeff( ST_Schooling_14,ST_BMI_8)</f>
        <v>0.55317840502657967</v>
      </c>
      <c r="AC12" s="57">
        <f>_xll.StatCorrelationCoeff( ST_Schooling_14,ST_Polio_9)</f>
        <v>0.35806547919445314</v>
      </c>
      <c r="AD12" s="57">
        <f>_xll.StatCorrelationCoeff( ST_Schooling_14,ST_Diphtheria_11)</f>
        <v>0.40228164126897409</v>
      </c>
      <c r="AE12" s="57">
        <f>_xll.StatCorrelationCoeff( ST_Schooling_14,ST_GDP_12)</f>
        <v>0.48134026961132448</v>
      </c>
      <c r="AF12" s="57">
        <f>_xll.StatCorrelationCoeff( ST_Schooling_14,ST_Population_13)</f>
        <v>-3.8246073719107376E-2</v>
      </c>
      <c r="AG12" s="57">
        <v>1</v>
      </c>
      <c r="AH12" s="57"/>
      <c r="AI12" s="57"/>
      <c r="AJ12" s="57"/>
      <c r="AK12" s="57"/>
      <c r="AO12" s="52" t="s">
        <v>364</v>
      </c>
      <c r="AP12" s="69">
        <v>81.534039739625001</v>
      </c>
      <c r="AQ12" s="69">
        <v>0.70303505092888241</v>
      </c>
      <c r="AR12" s="69">
        <v>115.97435950298419</v>
      </c>
      <c r="AS12" s="70">
        <v>8.3248064860925159E-172</v>
      </c>
      <c r="AT12" s="69">
        <v>80.14684117799996</v>
      </c>
      <c r="AU12" s="69">
        <v>82.921238301250042</v>
      </c>
      <c r="AX12" s="52" t="s">
        <v>364</v>
      </c>
      <c r="AY12" s="69">
        <v>62.885421045348323</v>
      </c>
      <c r="AZ12" s="69">
        <v>1.1790305234358063</v>
      </c>
      <c r="BA12" s="69">
        <v>53.336550492428529</v>
      </c>
      <c r="BB12" s="70">
        <v>1.2296356103813957E-112</v>
      </c>
      <c r="BC12" s="69">
        <v>60.559008665110362</v>
      </c>
      <c r="BD12" s="69">
        <v>65.211833425586278</v>
      </c>
      <c r="BF12" s="52" t="s">
        <v>364</v>
      </c>
      <c r="BG12" s="69">
        <v>55.127063799933012</v>
      </c>
      <c r="BH12" s="69">
        <v>1.0607626558195138</v>
      </c>
      <c r="BI12" s="69">
        <v>51.969272765681474</v>
      </c>
      <c r="BJ12" s="70">
        <v>1.0155212860393642E-110</v>
      </c>
      <c r="BK12" s="69">
        <v>53.034012495543287</v>
      </c>
      <c r="BL12" s="69">
        <v>57.220115104322737</v>
      </c>
      <c r="BO12" s="52" t="s">
        <v>364</v>
      </c>
      <c r="BP12" s="69">
        <v>81.534039739625001</v>
      </c>
      <c r="BQ12" s="69">
        <v>0.70303505092888241</v>
      </c>
      <c r="BR12" s="69">
        <v>115.97435950298419</v>
      </c>
      <c r="BS12" s="70">
        <v>8.3248064860925159E-172</v>
      </c>
      <c r="BT12" s="69">
        <v>80.14684117799996</v>
      </c>
      <c r="BU12" s="69">
        <v>82.921238301250042</v>
      </c>
      <c r="BW12" s="52" t="s">
        <v>364</v>
      </c>
      <c r="BX12" s="69">
        <v>75.80761012203493</v>
      </c>
      <c r="BY12" s="69">
        <v>1.1905978651315239</v>
      </c>
      <c r="BZ12" s="69">
        <v>63.671884808612987</v>
      </c>
      <c r="CA12" s="70">
        <v>2.2334242684215016E-125</v>
      </c>
      <c r="CB12" s="69">
        <v>73.458285716674226</v>
      </c>
      <c r="CC12" s="69">
        <v>78.156934527395634</v>
      </c>
      <c r="CE12" s="52" t="s">
        <v>364</v>
      </c>
      <c r="CF12" s="69">
        <v>66.800396126936107</v>
      </c>
      <c r="CG12" s="69">
        <v>1.2630642024290619</v>
      </c>
      <c r="CH12" s="69">
        <v>52.887569767608746</v>
      </c>
      <c r="CI12" s="70">
        <v>3.3665218772004954E-111</v>
      </c>
      <c r="CJ12" s="69">
        <v>64.307984672992191</v>
      </c>
      <c r="CK12" s="69">
        <v>69.292807580880023</v>
      </c>
      <c r="CN12" s="52" t="s">
        <v>364</v>
      </c>
      <c r="CO12" s="69">
        <v>69.606666666666655</v>
      </c>
      <c r="CP12" s="69">
        <v>0.56442983344984454</v>
      </c>
      <c r="CQ12" s="69">
        <v>123.32208990659586</v>
      </c>
      <c r="CR12" s="70">
        <v>1.4175838153586958E-176</v>
      </c>
      <c r="CS12" s="69">
        <v>68.492957965990371</v>
      </c>
      <c r="CT12" s="69">
        <v>70.720375367342939</v>
      </c>
      <c r="CV12" s="52" t="s">
        <v>364</v>
      </c>
      <c r="CW12" s="69">
        <v>69.606666666666612</v>
      </c>
      <c r="CX12" s="69">
        <v>0.56024206335369986</v>
      </c>
      <c r="CY12" s="69">
        <v>124.24391387178217</v>
      </c>
      <c r="CZ12" s="70">
        <v>2.1284169628740347E-176</v>
      </c>
      <c r="DA12" s="69">
        <v>68.501179758875892</v>
      </c>
      <c r="DB12" s="69">
        <v>70.712153574457332</v>
      </c>
      <c r="DD12" s="52" t="s">
        <v>364</v>
      </c>
      <c r="DE12" s="69">
        <v>69.606666666666612</v>
      </c>
      <c r="DF12" s="69">
        <v>0.560717791699059</v>
      </c>
      <c r="DG12" s="69">
        <v>124.13850192937159</v>
      </c>
      <c r="DH12" s="70">
        <v>1.4111800665737748E-175</v>
      </c>
      <c r="DI12" s="69">
        <v>68.500199201455274</v>
      </c>
      <c r="DJ12" s="69">
        <v>70.71313413187795</v>
      </c>
      <c r="DL12" s="52" t="s">
        <v>364</v>
      </c>
      <c r="DM12" s="69">
        <v>69.606666666666982</v>
      </c>
      <c r="DN12" s="69">
        <v>0.56177808870536439</v>
      </c>
      <c r="DO12" s="69">
        <v>123.90420357454271</v>
      </c>
      <c r="DP12" s="70">
        <v>1.9713538557066379E-175</v>
      </c>
      <c r="DQ12" s="69">
        <v>68.498106911611615</v>
      </c>
      <c r="DR12" s="69">
        <v>70.715226421722349</v>
      </c>
    </row>
    <row r="13" spans="1:122" ht="15" customHeight="1" x14ac:dyDescent="0.25">
      <c r="A13" s="27" t="s">
        <v>35</v>
      </c>
      <c r="B13" s="35">
        <v>2015</v>
      </c>
      <c r="C13" s="29" t="s">
        <v>19</v>
      </c>
      <c r="D13" s="30">
        <v>76.900000000000006</v>
      </c>
      <c r="E13" s="28">
        <v>69</v>
      </c>
      <c r="F13" s="31">
        <v>2.16</v>
      </c>
      <c r="G13" s="28">
        <v>0</v>
      </c>
      <c r="H13" s="30">
        <v>63.6</v>
      </c>
      <c r="I13" s="32">
        <v>98</v>
      </c>
      <c r="J13" s="29"/>
      <c r="K13" s="32">
        <v>98</v>
      </c>
      <c r="L13" s="33">
        <v>22688.878000000001</v>
      </c>
      <c r="M13" s="63">
        <v>1371855</v>
      </c>
      <c r="N13" s="31">
        <v>9.3000000000000007</v>
      </c>
      <c r="O13" s="62">
        <v>26</v>
      </c>
      <c r="P13" s="35">
        <v>1190</v>
      </c>
      <c r="Q13" s="35">
        <v>5.2</v>
      </c>
      <c r="R13" s="35">
        <v>9.5</v>
      </c>
      <c r="S13" s="35">
        <f t="shared" si="0"/>
        <v>0</v>
      </c>
      <c r="T13" s="35">
        <f t="shared" si="1"/>
        <v>0</v>
      </c>
      <c r="U13" s="35">
        <f t="shared" si="2"/>
        <v>0</v>
      </c>
      <c r="V13" s="95">
        <f t="shared" si="3"/>
        <v>0</v>
      </c>
      <c r="W13" s="52" t="s">
        <v>14</v>
      </c>
      <c r="X13" s="57">
        <f>_xll.StatCorrelationCoeff( ST_Smokingprevalence_15,ST_Lifeexpectancy_4)</f>
        <v>0.44153446446976702</v>
      </c>
      <c r="Y13" s="57">
        <f>_xll.StatCorrelationCoeff( ST_Smokingprevalence_15,ST_AdultMortality_5)</f>
        <v>-0.30636323806800925</v>
      </c>
      <c r="Z13" s="57" t="e">
        <f>_xll.StatCorrelationCoeff( ST_Smokingprevalence_15,ST_Alcohol_6)</f>
        <v>#N/A</v>
      </c>
      <c r="AA13" s="57">
        <f>_xll.StatCorrelationCoeff( ST_Smokingprevalence_15,ST_PercentExpenditure)</f>
        <v>5.1230623113415655E-2</v>
      </c>
      <c r="AB13" s="57">
        <f>_xll.StatCorrelationCoeff( ST_Smokingprevalence_15,ST_BMI_8)</f>
        <v>0.34368845268597475</v>
      </c>
      <c r="AC13" s="57">
        <f>_xll.StatCorrelationCoeff( ST_Smokingprevalence_15,ST_Polio_9)</f>
        <v>0.18861192061375323</v>
      </c>
      <c r="AD13" s="57">
        <f>_xll.StatCorrelationCoeff( ST_Smokingprevalence_15,ST_Diphtheria_11)</f>
        <v>0.21065473213810351</v>
      </c>
      <c r="AE13" s="57">
        <f>_xll.StatCorrelationCoeff( ST_Smokingprevalence_15,ST_GDP_12)</f>
        <v>0.18856784849072636</v>
      </c>
      <c r="AF13" s="57">
        <f>_xll.StatCorrelationCoeff( ST_Smokingprevalence_15,ST_Population_13)</f>
        <v>4.3523867784591774E-2</v>
      </c>
      <c r="AG13" s="57">
        <f>_xll.StatCorrelationCoeff( ST_Smokingprevalence_15,ST_Schooling_14)</f>
        <v>0.44562072584620233</v>
      </c>
      <c r="AH13" s="57">
        <v>1</v>
      </c>
      <c r="AI13" s="57"/>
      <c r="AJ13" s="57"/>
      <c r="AK13" s="57"/>
      <c r="AO13" s="52" t="s">
        <v>4</v>
      </c>
      <c r="AP13" s="69">
        <v>-6.4875572758682276E-2</v>
      </c>
      <c r="AQ13" s="69">
        <v>3.8798874607056276E-3</v>
      </c>
      <c r="AR13" s="69">
        <v>-16.720993434918725</v>
      </c>
      <c r="AS13" s="70">
        <v>1.4763308747614025E-38</v>
      </c>
      <c r="AT13" s="69">
        <v>-7.2531200024558609E-2</v>
      </c>
      <c r="AU13" s="69">
        <v>-5.721994549280595E-2</v>
      </c>
      <c r="AX13" s="52" t="s">
        <v>7</v>
      </c>
      <c r="AY13" s="69">
        <v>0.20517314663789321</v>
      </c>
      <c r="AZ13" s="69">
        <v>2.4936678634752161E-2</v>
      </c>
      <c r="BA13" s="69">
        <v>8.2277655995438206</v>
      </c>
      <c r="BB13" s="70">
        <v>3.6373656848970092E-14</v>
      </c>
      <c r="BC13" s="69">
        <v>0.15596916358167215</v>
      </c>
      <c r="BD13" s="69">
        <v>0.2543771296941143</v>
      </c>
      <c r="BF13" s="52" t="s">
        <v>13</v>
      </c>
      <c r="BG13" s="69">
        <v>1.983467414626169</v>
      </c>
      <c r="BH13" s="69">
        <v>0.11918981653969697</v>
      </c>
      <c r="BI13" s="69">
        <v>16.641248994334696</v>
      </c>
      <c r="BJ13" s="70">
        <v>2.4984463228998928E-38</v>
      </c>
      <c r="BK13" s="69">
        <v>1.7482871887672078</v>
      </c>
      <c r="BL13" s="69">
        <v>2.2186476404851305</v>
      </c>
      <c r="BO13" s="52" t="s">
        <v>4</v>
      </c>
      <c r="BP13" s="69">
        <v>-6.4875572758682276E-2</v>
      </c>
      <c r="BQ13" s="69">
        <v>3.8798874607056276E-3</v>
      </c>
      <c r="BR13" s="69">
        <v>-16.720993434918725</v>
      </c>
      <c r="BS13" s="70">
        <v>1.4763308747614025E-38</v>
      </c>
      <c r="BT13" s="69">
        <v>-7.2531200024558609E-2</v>
      </c>
      <c r="BU13" s="69">
        <v>-5.721994549280595E-2</v>
      </c>
      <c r="BW13" s="52" t="s">
        <v>4</v>
      </c>
      <c r="BX13" s="69">
        <v>-5.653252338189263E-2</v>
      </c>
      <c r="BY13" s="69">
        <v>3.8621242838860212E-3</v>
      </c>
      <c r="BZ13" s="69">
        <v>-14.63767585568487</v>
      </c>
      <c r="CA13" s="70">
        <v>1.8116118918976159E-32</v>
      </c>
      <c r="CB13" s="69">
        <v>-6.415338606138965E-2</v>
      </c>
      <c r="CC13" s="69">
        <v>-4.8911660702395617E-2</v>
      </c>
      <c r="CE13" s="52" t="s">
        <v>4</v>
      </c>
      <c r="CF13" s="69">
        <v>-4.1832842079018162E-2</v>
      </c>
      <c r="CG13" s="69">
        <v>3.3354759118784916E-3</v>
      </c>
      <c r="CH13" s="69">
        <v>-12.541791091952007</v>
      </c>
      <c r="CI13" s="70">
        <v>2.6663225659661554E-26</v>
      </c>
      <c r="CJ13" s="69">
        <v>-4.8414754820375334E-2</v>
      </c>
      <c r="CK13" s="69">
        <v>-3.525092933766099E-2</v>
      </c>
      <c r="CN13" s="52" t="s">
        <v>365</v>
      </c>
      <c r="CO13" s="69">
        <v>11.147878787878795</v>
      </c>
      <c r="CP13" s="69">
        <v>1.3291638947501536</v>
      </c>
      <c r="CQ13" s="69">
        <v>8.3871363282661928</v>
      </c>
      <c r="CR13" s="70">
        <v>1.376305760533688E-14</v>
      </c>
      <c r="CS13" s="69">
        <v>8.5252296887688352</v>
      </c>
      <c r="CT13" s="69">
        <v>13.770527886988756</v>
      </c>
      <c r="CV13" s="52" t="s">
        <v>365</v>
      </c>
      <c r="CW13" s="69">
        <v>16.080028448294229</v>
      </c>
      <c r="CX13" s="69">
        <v>2.8786810998277126</v>
      </c>
      <c r="CY13" s="69">
        <v>5.5859012827980878</v>
      </c>
      <c r="CZ13" s="70">
        <v>8.4679917446149728E-8</v>
      </c>
      <c r="DA13" s="69">
        <v>10.39972617232069</v>
      </c>
      <c r="DB13" s="69">
        <v>21.760330724267767</v>
      </c>
      <c r="DD13" s="52" t="s">
        <v>365</v>
      </c>
      <c r="DE13" s="69">
        <v>19.315761662395516</v>
      </c>
      <c r="DF13" s="69">
        <v>4.8344790150625627</v>
      </c>
      <c r="DG13" s="69">
        <v>3.9954174177226318</v>
      </c>
      <c r="DH13" s="70">
        <v>9.4232809599646195E-5</v>
      </c>
      <c r="DI13" s="69">
        <v>9.7758579521799884</v>
      </c>
      <c r="DJ13" s="69">
        <v>28.855665372611043</v>
      </c>
      <c r="DL13" s="52" t="s">
        <v>365</v>
      </c>
      <c r="DM13" s="69">
        <v>17.745088602490796</v>
      </c>
      <c r="DN13" s="69">
        <v>13.08302090236098</v>
      </c>
      <c r="DO13" s="69">
        <v>1.3563448942658567</v>
      </c>
      <c r="DP13" s="70">
        <v>0.17669778720441401</v>
      </c>
      <c r="DQ13" s="69">
        <v>-8.0717076351997008</v>
      </c>
      <c r="DR13" s="69">
        <v>43.561884840181293</v>
      </c>
    </row>
    <row r="14" spans="1:122" ht="15" customHeight="1" x14ac:dyDescent="0.25">
      <c r="A14" s="27" t="s">
        <v>36</v>
      </c>
      <c r="B14" s="35">
        <v>2015</v>
      </c>
      <c r="C14" s="29" t="s">
        <v>19</v>
      </c>
      <c r="D14" s="30">
        <v>71.8</v>
      </c>
      <c r="E14" s="28">
        <v>129</v>
      </c>
      <c r="F14" s="31">
        <v>0.01</v>
      </c>
      <c r="G14" s="28">
        <v>0</v>
      </c>
      <c r="H14" s="30">
        <v>18.3</v>
      </c>
      <c r="I14" s="32">
        <v>97</v>
      </c>
      <c r="J14" s="29"/>
      <c r="K14" s="32">
        <v>97</v>
      </c>
      <c r="L14" s="28">
        <v>121.158</v>
      </c>
      <c r="M14" s="63">
        <v>161200886</v>
      </c>
      <c r="N14" s="31">
        <v>5.2</v>
      </c>
      <c r="O14" s="62">
        <v>23.2</v>
      </c>
      <c r="P14" s="35">
        <v>31.8</v>
      </c>
      <c r="Q14" s="35">
        <v>2.6</v>
      </c>
      <c r="R14" s="35">
        <v>2.8</v>
      </c>
      <c r="S14" s="35">
        <f t="shared" si="0"/>
        <v>0</v>
      </c>
      <c r="T14" s="35">
        <f t="shared" si="1"/>
        <v>0</v>
      </c>
      <c r="U14" s="35">
        <f t="shared" si="2"/>
        <v>0</v>
      </c>
      <c r="V14" s="95">
        <f t="shared" si="3"/>
        <v>0</v>
      </c>
      <c r="W14" s="67" t="s">
        <v>15</v>
      </c>
      <c r="X14" s="57">
        <f>_xll.StatCorrelationCoeff( ST_CurrenthealthexpenditureCHEpercapitainUS_16,ST_Lifeexpectancy_4)</f>
        <v>0.58522188273181186</v>
      </c>
      <c r="Y14" s="57">
        <f>_xll.StatCorrelationCoeff( ST_CurrenthealthexpenditureCHEpercapitainUS_16,ST_AdultMortality_5)</f>
        <v>-0.44202479229638358</v>
      </c>
      <c r="Z14" s="57" t="e">
        <f>_xll.StatCorrelationCoeff( ST_CurrenthealthexpenditureCHEpercapitainUS_16,ST_Alcohol_6)</f>
        <v>#N/A</v>
      </c>
      <c r="AA14" s="57">
        <f>_xll.StatCorrelationCoeff( ST_CurrenthealthexpenditureCHEpercapitainUS_16,ST_PercentExpenditure)</f>
        <v>-3.933100106706991E-2</v>
      </c>
      <c r="AB14" s="57">
        <f>_xll.StatCorrelationCoeff( ST_CurrenthealthexpenditureCHEpercapitainUS_16,ST_BMI_8)</f>
        <v>0.40577763544576873</v>
      </c>
      <c r="AC14" s="57">
        <f>_xll.StatCorrelationCoeff( ST_CurrenthealthexpenditureCHEpercapitainUS_16,ST_Polio_9)</f>
        <v>0.21140421805370943</v>
      </c>
      <c r="AD14" s="57">
        <f>_xll.StatCorrelationCoeff( ST_CurrenthealthexpenditureCHEpercapitainUS_16,ST_Diphtheria_11)</f>
        <v>0.22738304389612329</v>
      </c>
      <c r="AE14" s="57">
        <f>_xll.StatCorrelationCoeff( ST_CurrenthealthexpenditureCHEpercapitainUS_16,ST_GDP_12)</f>
        <v>0.56634856137661982</v>
      </c>
      <c r="AF14" s="57">
        <f>_xll.StatCorrelationCoeff( ST_CurrenthealthexpenditureCHEpercapitainUS_16,ST_Population_13)</f>
        <v>2.2806693767743339E-3</v>
      </c>
      <c r="AG14" s="57">
        <f>_xll.StatCorrelationCoeff( ST_CurrenthealthexpenditureCHEpercapitainUS_16,ST_Schooling_14)</f>
        <v>0.57853285909984498</v>
      </c>
      <c r="AH14" s="57">
        <f>_xll.StatCorrelationCoeff( ST_CurrenthealthexpenditureCHEpercapitainUS_16,ST_Smokingprevalence_15)</f>
        <v>0.23487777167133048</v>
      </c>
      <c r="AI14" s="57">
        <v>1</v>
      </c>
      <c r="AJ14" s="57"/>
      <c r="AK14" s="57"/>
      <c r="BW14" s="81" t="s">
        <v>7</v>
      </c>
      <c r="BX14" s="69">
        <v>0.10459150178516552</v>
      </c>
      <c r="BY14" s="69">
        <v>1.8239890177263404E-2</v>
      </c>
      <c r="BZ14" s="69">
        <v>5.7342177375356194</v>
      </c>
      <c r="CA14" s="70">
        <v>4.066703070828482E-8</v>
      </c>
      <c r="CB14" s="69">
        <v>6.859998827794947E-2</v>
      </c>
      <c r="CC14" s="69">
        <v>0.14058301529238157</v>
      </c>
      <c r="CE14" s="52" t="s">
        <v>7</v>
      </c>
      <c r="CF14" s="69">
        <v>2.7916192329314526E-2</v>
      </c>
      <c r="CG14" s="69">
        <v>1.6048494185814541E-2</v>
      </c>
      <c r="CH14" s="69">
        <v>1.7394898241599506</v>
      </c>
      <c r="CI14" s="70">
        <v>8.3667609432499193E-2</v>
      </c>
      <c r="CJ14" s="69">
        <v>-3.7523884525265949E-3</v>
      </c>
      <c r="CK14" s="69">
        <v>5.9584773111155648E-2</v>
      </c>
      <c r="CV14" s="81" t="s">
        <v>440</v>
      </c>
      <c r="CW14" s="69">
        <v>-6.6162983249475005E-2</v>
      </c>
      <c r="CX14" s="69">
        <v>3.432219168595621E-2</v>
      </c>
      <c r="CY14" s="69">
        <v>-1.9277027485557472</v>
      </c>
      <c r="CZ14" s="70">
        <v>5.5466237710342155E-2</v>
      </c>
      <c r="DA14" s="69">
        <v>-0.13388858979957372</v>
      </c>
      <c r="DB14" s="69">
        <v>1.5626233006237056E-3</v>
      </c>
      <c r="DD14" s="52" t="s">
        <v>440</v>
      </c>
      <c r="DE14" s="69">
        <v>-6.7308567316488599E-2</v>
      </c>
      <c r="DF14" s="69">
        <v>3.4378822328558135E-2</v>
      </c>
      <c r="DG14" s="69">
        <v>-1.9578497097201628</v>
      </c>
      <c r="DH14" s="70">
        <v>5.1802089173507683E-2</v>
      </c>
      <c r="DI14" s="69">
        <v>-0.13514848422650294</v>
      </c>
      <c r="DJ14" s="69">
        <v>5.3134959352574285E-4</v>
      </c>
      <c r="DL14" s="52" t="s">
        <v>440</v>
      </c>
      <c r="DM14" s="69">
        <v>-6.6553615150386491E-2</v>
      </c>
      <c r="DN14" s="69">
        <v>3.454625203765236E-2</v>
      </c>
      <c r="DO14" s="69">
        <v>-1.9265075435057017</v>
      </c>
      <c r="DP14" s="70">
        <v>5.5625063763372652E-2</v>
      </c>
      <c r="DQ14" s="69">
        <v>-0.13472392201514297</v>
      </c>
      <c r="DR14" s="69">
        <v>1.6166917143699833E-3</v>
      </c>
    </row>
    <row r="15" spans="1:122" ht="15" customHeight="1" x14ac:dyDescent="0.25">
      <c r="A15" s="27" t="s">
        <v>37</v>
      </c>
      <c r="B15" s="35">
        <v>2015</v>
      </c>
      <c r="C15" s="29" t="s">
        <v>19</v>
      </c>
      <c r="D15" s="30">
        <v>75.5</v>
      </c>
      <c r="E15" s="28">
        <v>98</v>
      </c>
      <c r="F15" s="31">
        <v>9.15</v>
      </c>
      <c r="G15" s="28">
        <v>0</v>
      </c>
      <c r="H15" s="30">
        <v>54.5</v>
      </c>
      <c r="I15" s="32">
        <v>97</v>
      </c>
      <c r="J15" s="29"/>
      <c r="K15" s="32">
        <v>97</v>
      </c>
      <c r="L15" s="33">
        <v>15557.838</v>
      </c>
      <c r="M15" s="63">
        <v>284217</v>
      </c>
      <c r="N15" s="31">
        <v>10.5</v>
      </c>
      <c r="O15" s="62">
        <v>7.8</v>
      </c>
      <c r="P15" s="35">
        <v>1160.2</v>
      </c>
      <c r="Q15" s="35">
        <v>7.5</v>
      </c>
      <c r="R15" s="35">
        <v>7.4</v>
      </c>
      <c r="S15" s="35">
        <f t="shared" si="0"/>
        <v>0</v>
      </c>
      <c r="T15" s="35">
        <f t="shared" si="1"/>
        <v>0</v>
      </c>
      <c r="U15" s="35">
        <f t="shared" si="2"/>
        <v>0</v>
      </c>
      <c r="V15" s="95">
        <f t="shared" si="3"/>
        <v>0</v>
      </c>
      <c r="W15" s="56" t="s">
        <v>16</v>
      </c>
      <c r="X15" s="57">
        <f>_xll.StatCorrelationCoeff( ST_CurrenthealthexpenditureCHEaspercentageofgrossdomesticproductGDP_17,ST_Lifeexpectancy_4)</f>
        <v>0.28818183359589666</v>
      </c>
      <c r="Y15" s="57">
        <f>_xll.StatCorrelationCoeff( ST_CurrenthealthexpenditureCHEaspercentageofgrossdomesticproductGDP_17,ST_AdultMortality_5)</f>
        <v>-0.15207661471751499</v>
      </c>
      <c r="Z15" s="57" t="e">
        <f>_xll.StatCorrelationCoeff( ST_CurrenthealthexpenditureCHEaspercentageofgrossdomesticproductGDP_17,ST_Alcohol_6)</f>
        <v>#N/A</v>
      </c>
      <c r="AA15" s="57">
        <f>_xll.StatCorrelationCoeff( ST_CurrenthealthexpenditureCHEaspercentageofgrossdomesticproductGDP_17,ST_PercentExpenditure)</f>
        <v>2.3034959780475824E-2</v>
      </c>
      <c r="AB15" s="57">
        <f>_xll.StatCorrelationCoeff( ST_CurrenthealthexpenditureCHEaspercentageofgrossdomesticproductGDP_17,ST_BMI_8)</f>
        <v>0.23722723810447804</v>
      </c>
      <c r="AC15" s="57">
        <f>_xll.StatCorrelationCoeff( ST_CurrenthealthexpenditureCHEaspercentageofgrossdomesticproductGDP_17,ST_Polio_9)</f>
        <v>0.18608780572619679</v>
      </c>
      <c r="AD15" s="57">
        <f>_xll.StatCorrelationCoeff( ST_CurrenthealthexpenditureCHEaspercentageofgrossdomesticproductGDP_17,ST_Diphtheria_11)</f>
        <v>0.17647377546202586</v>
      </c>
      <c r="AE15" s="57">
        <f>_xll.StatCorrelationCoeff( ST_CurrenthealthexpenditureCHEaspercentageofgrossdomesticproductGDP_17,ST_GDP_12)</f>
        <v>0.25593614150563088</v>
      </c>
      <c r="AF15" s="57">
        <f>_xll.StatCorrelationCoeff( ST_CurrenthealthexpenditureCHEaspercentageofgrossdomesticproductGDP_17,ST_Population_13)</f>
        <v>-7.1880621397136232E-2</v>
      </c>
      <c r="AG15" s="57">
        <f>_xll.StatCorrelationCoeff( ST_CurrenthealthexpenditureCHEaspercentageofgrossdomesticproductGDP_17,ST_Schooling_14)</f>
        <v>0.30371359331318615</v>
      </c>
      <c r="AH15" s="57">
        <f>_xll.StatCorrelationCoeff( ST_CurrenthealthexpenditureCHEaspercentageofgrossdomesticproductGDP_17,ST_Smokingprevalence_15)</f>
        <v>0.20034919149243732</v>
      </c>
      <c r="AI15" s="57">
        <f>_xll.StatCorrelationCoeff( ST_CurrenthealthexpenditureCHEaspercentageofgrossdomesticproductGDP_17,ST_CurrenthealthexpenditureCHEpercapitainUS_16)</f>
        <v>0.51205898753652623</v>
      </c>
      <c r="AJ15" s="57">
        <v>1</v>
      </c>
      <c r="AK15" s="57"/>
      <c r="CE15" s="81" t="s">
        <v>13</v>
      </c>
      <c r="CF15" s="69">
        <v>1.2056335735820198</v>
      </c>
      <c r="CG15" s="69">
        <v>0.11360714060921574</v>
      </c>
      <c r="CH15" s="69">
        <v>10.612304535761016</v>
      </c>
      <c r="CI15" s="70">
        <v>1.0158638466998127E-20</v>
      </c>
      <c r="CJ15" s="69">
        <v>0.98145198569466208</v>
      </c>
      <c r="CK15" s="69">
        <v>1.4298151614693775</v>
      </c>
      <c r="DD15" s="82" t="s">
        <v>441</v>
      </c>
      <c r="DE15" s="69">
        <v>-5.6122359782172282E-2</v>
      </c>
      <c r="DF15" s="69">
        <v>6.7334651703222698E-2</v>
      </c>
      <c r="DG15" s="69">
        <v>-0.83348407339405928</v>
      </c>
      <c r="DH15" s="70">
        <v>0.4056825763249855</v>
      </c>
      <c r="DI15" s="69">
        <v>-0.18899419387396466</v>
      </c>
      <c r="DJ15" s="69">
        <v>7.6749474309620092E-2</v>
      </c>
      <c r="DL15" s="82" t="s">
        <v>442</v>
      </c>
      <c r="DM15" s="69">
        <v>-0.13670810486758</v>
      </c>
      <c r="DN15" s="69">
        <v>1.0476970438376145</v>
      </c>
      <c r="DO15" s="69">
        <v>-0.13048438541625662</v>
      </c>
      <c r="DP15" s="70">
        <v>0.89632973206563948</v>
      </c>
      <c r="DQ15" s="69">
        <v>-2.2041343744919928</v>
      </c>
      <c r="DR15" s="69">
        <v>1.9307181647568328</v>
      </c>
    </row>
    <row r="16" spans="1:122" ht="15" customHeight="1" x14ac:dyDescent="0.25">
      <c r="A16" s="27" t="s">
        <v>38</v>
      </c>
      <c r="B16" s="35">
        <v>2015</v>
      </c>
      <c r="C16" s="29" t="s">
        <v>19</v>
      </c>
      <c r="D16" s="30">
        <v>72.3</v>
      </c>
      <c r="E16" s="28">
        <v>196</v>
      </c>
      <c r="F16" s="31">
        <v>10.09</v>
      </c>
      <c r="G16" s="28">
        <v>0</v>
      </c>
      <c r="H16" s="30">
        <v>62.3</v>
      </c>
      <c r="I16" s="32">
        <v>99</v>
      </c>
      <c r="J16" s="29"/>
      <c r="K16" s="32">
        <v>99</v>
      </c>
      <c r="L16" s="33">
        <v>5949.1170000000002</v>
      </c>
      <c r="M16" s="63">
        <v>9489616</v>
      </c>
      <c r="N16" s="31">
        <v>12.2</v>
      </c>
      <c r="O16" s="62">
        <v>27.2</v>
      </c>
      <c r="P16" s="35">
        <v>351.8</v>
      </c>
      <c r="Q16" s="35">
        <v>6.1</v>
      </c>
      <c r="R16" s="35">
        <v>8.5</v>
      </c>
      <c r="S16" s="35">
        <f t="shared" si="0"/>
        <v>0</v>
      </c>
      <c r="T16" s="35">
        <f t="shared" si="1"/>
        <v>0</v>
      </c>
      <c r="U16" s="35">
        <f t="shared" si="2"/>
        <v>0</v>
      </c>
      <c r="V16" s="95">
        <f t="shared" si="3"/>
        <v>0</v>
      </c>
      <c r="W16" s="67" t="s">
        <v>17</v>
      </c>
      <c r="X16" s="57">
        <f>_xll.StatCorrelationCoeff( ST_DomesticgeneralgovernmenthealthexpenditureGGHEDaspercentageofgeneralgovernmentexpenditureGGE_18,ST_Lifeexpectancy_4)</f>
        <v>0.62909650386250815</v>
      </c>
      <c r="Y16" s="57">
        <f>_xll.StatCorrelationCoeff( ST_DomesticgeneralgovernmenthealthexpenditureGGHEDaspercentageofgeneralgovernmentexpenditureGGE_18,ST_AdultMortality_5)</f>
        <v>-0.46397848377491557</v>
      </c>
      <c r="Z16" s="57" t="e">
        <f>_xll.StatCorrelationCoeff( ST_DomesticgeneralgovernmenthealthexpenditureGGHEDaspercentageofgeneralgovernmentexpenditureGGE_18,ST_Alcohol_6)</f>
        <v>#N/A</v>
      </c>
      <c r="AA16" s="57">
        <f>_xll.StatCorrelationCoeff( ST_DomesticgeneralgovernmenthealthexpenditureGGHEDaspercentageofgeneralgovernmentexpenditureGGE_18,ST_PercentExpenditure)</f>
        <v>-2.9193240860241949E-2</v>
      </c>
      <c r="AB16" s="57">
        <f>_xll.StatCorrelationCoeff( ST_DomesticgeneralgovernmenthealthexpenditureGGHEDaspercentageofgeneralgovernmentexpenditureGGE_18,ST_BMI_8)</f>
        <v>0.35100798557257956</v>
      </c>
      <c r="AC16" s="57">
        <f>_xll.StatCorrelationCoeff( ST_DomesticgeneralgovernmenthealthexpenditureGGHEDaspercentageofgeneralgovernmentexpenditureGGE_18,ST_Polio_9)</f>
        <v>0.37216100758898529</v>
      </c>
      <c r="AD16" s="57">
        <f>_xll.StatCorrelationCoeff( ST_DomesticgeneralgovernmenthealthexpenditureGGHEDaspercentageofgeneralgovernmentexpenditureGGE_18,ST_Diphtheria_11)</f>
        <v>0.40391547245352405</v>
      </c>
      <c r="AE16" s="57">
        <f>_xll.StatCorrelationCoeff( ST_DomesticgeneralgovernmenthealthexpenditureGGHEDaspercentageofgeneralgovernmentexpenditureGGE_18,ST_GDP_12)</f>
        <v>0.41460078512534126</v>
      </c>
      <c r="AF16" s="57">
        <f>_xll.StatCorrelationCoeff( ST_DomesticgeneralgovernmenthealthexpenditureGGHEDaspercentageofgeneralgovernmentexpenditureGGE_18,ST_Population_13)</f>
        <v>-4.7973434985028249E-2</v>
      </c>
      <c r="AG16" s="57">
        <f>_xll.StatCorrelationCoeff( ST_DomesticgeneralgovernmenthealthexpenditureGGHEDaspercentageofgeneralgovernmentexpenditureGGE_18,ST_Schooling_14)</f>
        <v>0.53613874314777199</v>
      </c>
      <c r="AH16" s="57">
        <f>_xll.StatCorrelationCoeff( ST_DomesticgeneralgovernmenthealthexpenditureGGHEDaspercentageofgeneralgovernmentexpenditureGGE_18,ST_Smokingprevalence_15)</f>
        <v>0.23380177543869421</v>
      </c>
      <c r="AI16" s="57">
        <f>_xll.StatCorrelationCoeff( ST_DomesticgeneralgovernmenthealthexpenditureGGHEDaspercentageofgeneralgovernmentexpenditureGGE_18,ST_CurrenthealthexpenditureCHEpercapitainUS_16)</f>
        <v>0.60962243472026933</v>
      </c>
      <c r="AJ16" s="57">
        <f>_xll.StatCorrelationCoeff( ST_DomesticgeneralgovernmenthealthexpenditureGGHEDaspercentageofgeneralgovernmentexpenditureGGE_18,ST_CurrenthealthexpenditureCHEaspercentageofgrossdomesticproductGDP_17)</f>
        <v>0.52905760247634348</v>
      </c>
      <c r="AK16" s="57">
        <v>1</v>
      </c>
    </row>
    <row r="17" spans="1:22" ht="15" customHeight="1" x14ac:dyDescent="0.25">
      <c r="A17" s="27" t="s">
        <v>39</v>
      </c>
      <c r="B17" s="35">
        <v>2015</v>
      </c>
      <c r="C17" s="29" t="s">
        <v>31</v>
      </c>
      <c r="D17" s="30">
        <v>81.099999999999994</v>
      </c>
      <c r="E17" s="28">
        <v>74</v>
      </c>
      <c r="F17" s="31">
        <v>10.36</v>
      </c>
      <c r="G17" s="28">
        <v>0</v>
      </c>
      <c r="H17" s="30">
        <v>63.7</v>
      </c>
      <c r="I17" s="32">
        <v>99</v>
      </c>
      <c r="J17" s="29"/>
      <c r="K17" s="32">
        <v>99</v>
      </c>
      <c r="L17" s="33">
        <v>4356.875</v>
      </c>
      <c r="M17" s="63">
        <v>11274196</v>
      </c>
      <c r="N17" s="31">
        <v>11.7</v>
      </c>
      <c r="O17" s="62">
        <v>28.6</v>
      </c>
      <c r="P17" s="35">
        <v>4228.3</v>
      </c>
      <c r="Q17" s="35">
        <v>10.5</v>
      </c>
      <c r="R17" s="35">
        <v>16</v>
      </c>
      <c r="S17" s="35">
        <f t="shared" si="0"/>
        <v>1</v>
      </c>
      <c r="T17" s="35">
        <f t="shared" si="1"/>
        <v>74</v>
      </c>
      <c r="U17" s="35">
        <f t="shared" si="2"/>
        <v>63.7</v>
      </c>
      <c r="V17" s="95">
        <f t="shared" si="3"/>
        <v>11.7</v>
      </c>
    </row>
    <row r="18" spans="1:22" ht="15" customHeight="1" x14ac:dyDescent="0.25">
      <c r="A18" s="27" t="s">
        <v>40</v>
      </c>
      <c r="B18" s="35">
        <v>2015</v>
      </c>
      <c r="C18" s="29" t="s">
        <v>19</v>
      </c>
      <c r="D18" s="30">
        <v>71</v>
      </c>
      <c r="E18" s="28">
        <v>175</v>
      </c>
      <c r="F18" s="31">
        <v>6.2</v>
      </c>
      <c r="G18" s="28">
        <v>0</v>
      </c>
      <c r="H18" s="30">
        <v>5.9</v>
      </c>
      <c r="I18" s="32">
        <v>94</v>
      </c>
      <c r="J18" s="29"/>
      <c r="K18" s="32">
        <v>94</v>
      </c>
      <c r="L18" s="33">
        <v>4849.9970000000003</v>
      </c>
      <c r="M18" s="63">
        <v>359288</v>
      </c>
      <c r="N18" s="31">
        <v>10.5</v>
      </c>
      <c r="O18" s="62">
        <v>0</v>
      </c>
      <c r="P18" s="35">
        <v>301.2</v>
      </c>
      <c r="Q18" s="35">
        <v>6.2</v>
      </c>
      <c r="R18" s="35">
        <v>11.1</v>
      </c>
      <c r="S18" s="35">
        <f t="shared" si="0"/>
        <v>0</v>
      </c>
      <c r="T18" s="35">
        <f t="shared" si="1"/>
        <v>0</v>
      </c>
      <c r="U18" s="35">
        <f t="shared" si="2"/>
        <v>0</v>
      </c>
      <c r="V18" s="95">
        <f t="shared" si="3"/>
        <v>0</v>
      </c>
    </row>
    <row r="19" spans="1:22" ht="15" customHeight="1" x14ac:dyDescent="0.25">
      <c r="A19" s="27" t="s">
        <v>41</v>
      </c>
      <c r="B19" s="35">
        <v>2015</v>
      </c>
      <c r="C19" s="29" t="s">
        <v>19</v>
      </c>
      <c r="D19" s="30">
        <v>60</v>
      </c>
      <c r="E19" s="28">
        <v>249</v>
      </c>
      <c r="F19" s="31">
        <v>1.55</v>
      </c>
      <c r="G19" s="28">
        <v>0</v>
      </c>
      <c r="H19" s="30">
        <v>25.7</v>
      </c>
      <c r="I19" s="32">
        <v>82</v>
      </c>
      <c r="J19" s="29"/>
      <c r="K19" s="32">
        <v>78</v>
      </c>
      <c r="L19" s="28">
        <v>783.94799999999998</v>
      </c>
      <c r="M19" s="63">
        <v>10575952</v>
      </c>
      <c r="N19" s="31">
        <v>3.5</v>
      </c>
      <c r="O19" s="62">
        <v>6.5</v>
      </c>
      <c r="P19" s="35">
        <v>31.3</v>
      </c>
      <c r="Q19" s="35">
        <v>4</v>
      </c>
      <c r="R19" s="35">
        <v>3.4</v>
      </c>
      <c r="S19" s="35">
        <f t="shared" si="0"/>
        <v>0</v>
      </c>
      <c r="T19" s="35">
        <f t="shared" si="1"/>
        <v>0</v>
      </c>
      <c r="U19" s="35">
        <f t="shared" si="2"/>
        <v>0</v>
      </c>
      <c r="V19" s="95">
        <f t="shared" si="3"/>
        <v>0</v>
      </c>
    </row>
    <row r="20" spans="1:22" ht="15" customHeight="1" x14ac:dyDescent="0.25">
      <c r="A20" s="27" t="s">
        <v>42</v>
      </c>
      <c r="B20" s="35">
        <v>2015</v>
      </c>
      <c r="C20" s="29" t="s">
        <v>19</v>
      </c>
      <c r="D20" s="30">
        <v>69.8</v>
      </c>
      <c r="E20" s="28">
        <v>211</v>
      </c>
      <c r="F20" s="31">
        <v>0</v>
      </c>
      <c r="G20" s="28">
        <v>0</v>
      </c>
      <c r="H20" s="30">
        <v>24.5</v>
      </c>
      <c r="I20" s="32">
        <v>99</v>
      </c>
      <c r="J20" s="29"/>
      <c r="K20" s="32">
        <v>98</v>
      </c>
      <c r="L20" s="33">
        <v>2613.645</v>
      </c>
      <c r="M20" s="63">
        <v>787386</v>
      </c>
      <c r="N20" s="31">
        <v>3.1</v>
      </c>
      <c r="O20" s="62">
        <v>0</v>
      </c>
      <c r="P20" s="35">
        <v>91.1</v>
      </c>
      <c r="Q20" s="35">
        <v>3.5</v>
      </c>
      <c r="R20" s="35">
        <v>9.1</v>
      </c>
      <c r="S20" s="35">
        <f t="shared" si="0"/>
        <v>0</v>
      </c>
      <c r="T20" s="35">
        <f t="shared" si="1"/>
        <v>0</v>
      </c>
      <c r="U20" s="35">
        <f t="shared" si="2"/>
        <v>0</v>
      </c>
      <c r="V20" s="95">
        <f t="shared" si="3"/>
        <v>0</v>
      </c>
    </row>
    <row r="21" spans="1:22" ht="15" customHeight="1" x14ac:dyDescent="0.25">
      <c r="A21" s="27" t="s">
        <v>43</v>
      </c>
      <c r="B21" s="35">
        <v>2015</v>
      </c>
      <c r="C21" s="29" t="s">
        <v>19</v>
      </c>
      <c r="D21" s="30">
        <v>77</v>
      </c>
      <c r="E21" s="28">
        <v>186</v>
      </c>
      <c r="F21" s="31">
        <v>3.61</v>
      </c>
      <c r="G21" s="28">
        <v>0</v>
      </c>
      <c r="H21" s="30">
        <v>52.6</v>
      </c>
      <c r="I21" s="32">
        <v>89</v>
      </c>
      <c r="J21" s="29"/>
      <c r="K21" s="32">
        <v>88</v>
      </c>
      <c r="L21" s="33">
        <v>3077.03</v>
      </c>
      <c r="M21" s="63">
        <v>10724705</v>
      </c>
      <c r="N21" s="31">
        <v>8.6999999999999993</v>
      </c>
      <c r="O21" s="62">
        <v>0</v>
      </c>
      <c r="P21" s="35">
        <v>197.3</v>
      </c>
      <c r="Q21" s="35">
        <v>6.4</v>
      </c>
      <c r="R21" s="35">
        <v>9.8000000000000007</v>
      </c>
      <c r="S21" s="35">
        <f t="shared" si="0"/>
        <v>0</v>
      </c>
      <c r="T21" s="35">
        <f t="shared" si="1"/>
        <v>0</v>
      </c>
      <c r="U21" s="35">
        <f t="shared" si="2"/>
        <v>0</v>
      </c>
      <c r="V21" s="95">
        <f t="shared" si="3"/>
        <v>0</v>
      </c>
    </row>
    <row r="22" spans="1:22" ht="15" customHeight="1" x14ac:dyDescent="0.25">
      <c r="A22" s="27" t="s">
        <v>44</v>
      </c>
      <c r="B22" s="35">
        <v>2015</v>
      </c>
      <c r="C22" s="29" t="s">
        <v>19</v>
      </c>
      <c r="D22" s="30">
        <v>77.400000000000006</v>
      </c>
      <c r="E22" s="28">
        <v>88</v>
      </c>
      <c r="F22" s="31">
        <v>4.33</v>
      </c>
      <c r="G22" s="28">
        <v>0</v>
      </c>
      <c r="H22" s="30">
        <v>55.8</v>
      </c>
      <c r="I22" s="32">
        <v>82</v>
      </c>
      <c r="J22" s="29"/>
      <c r="K22" s="32">
        <v>74</v>
      </c>
      <c r="L22" s="33">
        <v>4574.9790000000003</v>
      </c>
      <c r="M22" s="63">
        <v>3535961</v>
      </c>
      <c r="N22" s="31">
        <v>9</v>
      </c>
      <c r="O22" s="62">
        <v>39.4</v>
      </c>
      <c r="P22" s="35">
        <v>431.2</v>
      </c>
      <c r="Q22" s="35">
        <v>9.4</v>
      </c>
      <c r="R22" s="35">
        <v>14.9</v>
      </c>
      <c r="S22" s="35">
        <f t="shared" si="0"/>
        <v>0</v>
      </c>
      <c r="T22" s="35">
        <f t="shared" si="1"/>
        <v>0</v>
      </c>
      <c r="U22" s="35">
        <f t="shared" si="2"/>
        <v>0</v>
      </c>
      <c r="V22" s="95">
        <f t="shared" si="3"/>
        <v>0</v>
      </c>
    </row>
    <row r="23" spans="1:22" ht="15" customHeight="1" x14ac:dyDescent="0.25">
      <c r="A23" s="27" t="s">
        <v>45</v>
      </c>
      <c r="B23" s="35">
        <v>2015</v>
      </c>
      <c r="C23" s="29" t="s">
        <v>19</v>
      </c>
      <c r="D23" s="30">
        <v>65.7</v>
      </c>
      <c r="E23" s="28">
        <v>256</v>
      </c>
      <c r="F23" s="31">
        <v>6.22</v>
      </c>
      <c r="G23" s="28">
        <v>0</v>
      </c>
      <c r="H23" s="30">
        <v>37.9</v>
      </c>
      <c r="I23" s="32">
        <v>95</v>
      </c>
      <c r="J23" s="29"/>
      <c r="K23" s="32">
        <v>96</v>
      </c>
      <c r="L23" s="33">
        <v>6532.6509999999998</v>
      </c>
      <c r="M23" s="63">
        <v>2209197</v>
      </c>
      <c r="N23" s="31">
        <v>9.1999999999999993</v>
      </c>
      <c r="O23" s="62">
        <v>19.7</v>
      </c>
      <c r="P23" s="35">
        <v>389.4</v>
      </c>
      <c r="Q23" s="35">
        <v>6</v>
      </c>
      <c r="R23" s="35">
        <v>8.8000000000000007</v>
      </c>
      <c r="S23" s="35">
        <f t="shared" si="0"/>
        <v>0</v>
      </c>
      <c r="T23" s="35">
        <f t="shared" si="1"/>
        <v>0</v>
      </c>
      <c r="U23" s="35">
        <f t="shared" si="2"/>
        <v>0</v>
      </c>
      <c r="V23" s="95">
        <f t="shared" si="3"/>
        <v>0</v>
      </c>
    </row>
    <row r="24" spans="1:22" ht="15" customHeight="1" x14ac:dyDescent="0.25">
      <c r="A24" s="27" t="s">
        <v>46</v>
      </c>
      <c r="B24" s="35">
        <v>2015</v>
      </c>
      <c r="C24" s="29" t="s">
        <v>19</v>
      </c>
      <c r="D24" s="30">
        <v>75</v>
      </c>
      <c r="E24" s="28">
        <v>142</v>
      </c>
      <c r="F24" s="31">
        <v>6.97</v>
      </c>
      <c r="G24" s="28">
        <v>0</v>
      </c>
      <c r="H24" s="30">
        <v>56.1</v>
      </c>
      <c r="I24" s="32">
        <v>96</v>
      </c>
      <c r="J24" s="29"/>
      <c r="K24" s="32">
        <v>98</v>
      </c>
      <c r="L24" s="33">
        <v>8757.2620000000006</v>
      </c>
      <c r="M24" s="63">
        <v>205962108</v>
      </c>
      <c r="N24" s="31">
        <v>7.6</v>
      </c>
      <c r="O24" s="62">
        <v>14.3</v>
      </c>
      <c r="P24" s="35">
        <v>780.4</v>
      </c>
      <c r="Q24" s="35">
        <v>8.9</v>
      </c>
      <c r="R24" s="35">
        <v>7.7</v>
      </c>
      <c r="S24" s="35">
        <f t="shared" si="0"/>
        <v>0</v>
      </c>
      <c r="T24" s="35">
        <f t="shared" si="1"/>
        <v>0</v>
      </c>
      <c r="U24" s="35">
        <f t="shared" si="2"/>
        <v>0</v>
      </c>
      <c r="V24" s="95">
        <f t="shared" si="3"/>
        <v>0</v>
      </c>
    </row>
    <row r="25" spans="1:22" ht="15" customHeight="1" x14ac:dyDescent="0.25">
      <c r="A25" s="27" t="s">
        <v>47</v>
      </c>
      <c r="B25" s="35">
        <v>2015</v>
      </c>
      <c r="C25" s="29" t="s">
        <v>19</v>
      </c>
      <c r="D25" s="30">
        <v>77.7</v>
      </c>
      <c r="E25" s="28">
        <v>78</v>
      </c>
      <c r="F25" s="31">
        <v>0.64</v>
      </c>
      <c r="G25" s="28">
        <v>0</v>
      </c>
      <c r="H25" s="30">
        <v>41.2</v>
      </c>
      <c r="I25" s="32">
        <v>99</v>
      </c>
      <c r="J25" s="29"/>
      <c r="K25" s="32">
        <v>99</v>
      </c>
      <c r="L25" s="33">
        <v>3967.895</v>
      </c>
      <c r="M25" s="63">
        <v>417542</v>
      </c>
      <c r="N25" s="31">
        <v>9</v>
      </c>
      <c r="O25" s="62">
        <v>16.899999999999999</v>
      </c>
      <c r="P25" s="35">
        <v>812.2</v>
      </c>
      <c r="Q25" s="35">
        <v>2.6</v>
      </c>
      <c r="R25" s="35">
        <v>6.4</v>
      </c>
      <c r="S25" s="35">
        <f t="shared" si="0"/>
        <v>0</v>
      </c>
      <c r="T25" s="35">
        <f t="shared" si="1"/>
        <v>0</v>
      </c>
      <c r="U25" s="35">
        <f t="shared" si="2"/>
        <v>0</v>
      </c>
      <c r="V25" s="95">
        <f t="shared" si="3"/>
        <v>0</v>
      </c>
    </row>
    <row r="26" spans="1:22" ht="15" customHeight="1" x14ac:dyDescent="0.25">
      <c r="A26" s="27" t="s">
        <v>48</v>
      </c>
      <c r="B26" s="35">
        <v>2015</v>
      </c>
      <c r="C26" s="29" t="s">
        <v>31</v>
      </c>
      <c r="D26" s="30">
        <v>74.5</v>
      </c>
      <c r="E26" s="28">
        <v>137</v>
      </c>
      <c r="F26" s="31">
        <v>11.3</v>
      </c>
      <c r="G26" s="28">
        <v>0</v>
      </c>
      <c r="H26" s="30">
        <v>65.7</v>
      </c>
      <c r="I26" s="32">
        <v>91</v>
      </c>
      <c r="J26" s="29"/>
      <c r="K26" s="32">
        <v>91</v>
      </c>
      <c r="L26" s="33">
        <v>6993.4769999999999</v>
      </c>
      <c r="M26" s="63">
        <v>7177991</v>
      </c>
      <c r="N26" s="31">
        <v>11.8</v>
      </c>
      <c r="O26" s="62">
        <v>37.700000000000003</v>
      </c>
      <c r="P26" s="35">
        <v>572</v>
      </c>
      <c r="Q26" s="35">
        <v>8.1999999999999993</v>
      </c>
      <c r="R26" s="35">
        <v>10.3</v>
      </c>
      <c r="S26" s="35">
        <f t="shared" si="0"/>
        <v>1</v>
      </c>
      <c r="T26" s="35">
        <f t="shared" si="1"/>
        <v>137</v>
      </c>
      <c r="U26" s="35">
        <f t="shared" si="2"/>
        <v>65.7</v>
      </c>
      <c r="V26" s="95">
        <f t="shared" si="3"/>
        <v>11.8</v>
      </c>
    </row>
    <row r="27" spans="1:22" ht="15" customHeight="1" x14ac:dyDescent="0.25">
      <c r="A27" s="27" t="s">
        <v>49</v>
      </c>
      <c r="B27" s="35">
        <v>2015</v>
      </c>
      <c r="C27" s="29" t="s">
        <v>19</v>
      </c>
      <c r="D27" s="30">
        <v>59.9</v>
      </c>
      <c r="E27" s="28">
        <v>26</v>
      </c>
      <c r="F27" s="31">
        <v>4.87</v>
      </c>
      <c r="G27" s="28">
        <v>0</v>
      </c>
      <c r="H27" s="30">
        <v>19.399999999999999</v>
      </c>
      <c r="I27" s="32">
        <v>91</v>
      </c>
      <c r="J27" s="29"/>
      <c r="K27" s="32">
        <v>91</v>
      </c>
      <c r="L27" s="28">
        <v>615.59199999999998</v>
      </c>
      <c r="M27" s="63">
        <v>18110624</v>
      </c>
      <c r="N27" s="31">
        <v>1.4</v>
      </c>
      <c r="O27" s="62">
        <v>12.7</v>
      </c>
      <c r="P27" s="35">
        <v>33.4</v>
      </c>
      <c r="Q27" s="35">
        <v>5.4</v>
      </c>
      <c r="R27" s="35">
        <v>7.2</v>
      </c>
      <c r="S27" s="35">
        <f t="shared" si="0"/>
        <v>0</v>
      </c>
      <c r="T27" s="35">
        <f t="shared" si="1"/>
        <v>0</v>
      </c>
      <c r="U27" s="35">
        <f t="shared" si="2"/>
        <v>0</v>
      </c>
      <c r="V27" s="95">
        <f t="shared" si="3"/>
        <v>0</v>
      </c>
    </row>
    <row r="28" spans="1:22" ht="15" customHeight="1" x14ac:dyDescent="0.25">
      <c r="A28" s="27" t="s">
        <v>50</v>
      </c>
      <c r="B28" s="35">
        <v>2015</v>
      </c>
      <c r="C28" s="29" t="s">
        <v>19</v>
      </c>
      <c r="D28" s="30">
        <v>59.6</v>
      </c>
      <c r="E28" s="28">
        <v>288</v>
      </c>
      <c r="F28" s="31">
        <v>0</v>
      </c>
      <c r="G28" s="28">
        <v>0</v>
      </c>
      <c r="H28" s="30">
        <v>18.7</v>
      </c>
      <c r="I28" s="32">
        <v>94</v>
      </c>
      <c r="J28" s="29"/>
      <c r="K28" s="32">
        <v>94</v>
      </c>
      <c r="L28" s="28">
        <v>33.680999999999997</v>
      </c>
      <c r="M28" s="63">
        <v>10199270</v>
      </c>
      <c r="N28" s="31">
        <v>2.9</v>
      </c>
      <c r="O28" s="62">
        <v>0</v>
      </c>
      <c r="P28" s="35">
        <v>24.3</v>
      </c>
      <c r="Q28" s="35">
        <v>8.1999999999999993</v>
      </c>
      <c r="R28" s="35">
        <v>11.8</v>
      </c>
      <c r="S28" s="35">
        <f t="shared" si="0"/>
        <v>0</v>
      </c>
      <c r="T28" s="35">
        <f t="shared" si="1"/>
        <v>0</v>
      </c>
      <c r="U28" s="35">
        <f t="shared" si="2"/>
        <v>0</v>
      </c>
      <c r="V28" s="95">
        <f t="shared" si="3"/>
        <v>0</v>
      </c>
    </row>
    <row r="29" spans="1:22" ht="15" customHeight="1" x14ac:dyDescent="0.25">
      <c r="A29" s="27" t="s">
        <v>51</v>
      </c>
      <c r="B29" s="35">
        <v>2015</v>
      </c>
      <c r="C29" s="29" t="s">
        <v>19</v>
      </c>
      <c r="D29" s="30">
        <v>53.3</v>
      </c>
      <c r="E29" s="28">
        <v>397</v>
      </c>
      <c r="F29" s="31">
        <v>4.79</v>
      </c>
      <c r="G29" s="28">
        <v>0</v>
      </c>
      <c r="H29" s="30">
        <v>28</v>
      </c>
      <c r="I29" s="32">
        <v>94</v>
      </c>
      <c r="J29" s="29"/>
      <c r="K29" s="32">
        <v>94</v>
      </c>
      <c r="L29" s="33">
        <v>1434.33</v>
      </c>
      <c r="M29" s="63">
        <v>23108472</v>
      </c>
      <c r="N29" s="31">
        <v>5</v>
      </c>
      <c r="O29" s="62">
        <v>0</v>
      </c>
      <c r="P29" s="35">
        <v>75.5</v>
      </c>
      <c r="Q29" s="35">
        <v>5.4</v>
      </c>
      <c r="R29" s="35">
        <v>5</v>
      </c>
      <c r="S29" s="35">
        <f t="shared" si="0"/>
        <v>0</v>
      </c>
      <c r="T29" s="35">
        <f t="shared" si="1"/>
        <v>0</v>
      </c>
      <c r="U29" s="35">
        <f t="shared" si="2"/>
        <v>0</v>
      </c>
      <c r="V29" s="95">
        <f t="shared" si="3"/>
        <v>0</v>
      </c>
    </row>
    <row r="30" spans="1:22" ht="15" customHeight="1" x14ac:dyDescent="0.25">
      <c r="A30" s="27" t="s">
        <v>52</v>
      </c>
      <c r="B30" s="35">
        <v>2015</v>
      </c>
      <c r="C30" s="29" t="s">
        <v>19</v>
      </c>
      <c r="D30" s="30">
        <v>73.3</v>
      </c>
      <c r="E30" s="28">
        <v>114</v>
      </c>
      <c r="F30" s="31">
        <v>4.12</v>
      </c>
      <c r="G30" s="28">
        <v>0</v>
      </c>
      <c r="H30" s="30">
        <v>31.3</v>
      </c>
      <c r="I30" s="32">
        <v>93</v>
      </c>
      <c r="J30" s="29"/>
      <c r="K30" s="32">
        <v>93</v>
      </c>
      <c r="L30" s="33">
        <v>2954.1190000000001</v>
      </c>
      <c r="M30" s="63">
        <v>532913</v>
      </c>
      <c r="N30" s="31">
        <v>5.9</v>
      </c>
      <c r="O30" s="62">
        <v>9.3000000000000007</v>
      </c>
      <c r="P30" s="35">
        <v>145.80000000000001</v>
      </c>
      <c r="Q30" s="35">
        <v>4.8</v>
      </c>
      <c r="R30" s="35">
        <v>10.8</v>
      </c>
      <c r="S30" s="35">
        <f t="shared" si="0"/>
        <v>0</v>
      </c>
      <c r="T30" s="35">
        <f t="shared" si="1"/>
        <v>0</v>
      </c>
      <c r="U30" s="35">
        <f t="shared" si="2"/>
        <v>0</v>
      </c>
      <c r="V30" s="95">
        <f t="shared" si="3"/>
        <v>0</v>
      </c>
    </row>
    <row r="31" spans="1:22" ht="15" customHeight="1" x14ac:dyDescent="0.25">
      <c r="A31" s="27" t="s">
        <v>53</v>
      </c>
      <c r="B31" s="35">
        <v>2015</v>
      </c>
      <c r="C31" s="29" t="s">
        <v>19</v>
      </c>
      <c r="D31" s="30">
        <v>68.7</v>
      </c>
      <c r="E31" s="28">
        <v>174</v>
      </c>
      <c r="F31" s="31">
        <v>3.32</v>
      </c>
      <c r="G31" s="28">
        <v>0</v>
      </c>
      <c r="H31" s="30">
        <v>19.600000000000001</v>
      </c>
      <c r="I31" s="32">
        <v>92</v>
      </c>
      <c r="J31" s="29"/>
      <c r="K31" s="32">
        <v>92</v>
      </c>
      <c r="L31" s="33">
        <v>1163.19</v>
      </c>
      <c r="M31" s="63">
        <v>15517635</v>
      </c>
      <c r="N31" s="31">
        <v>4.7</v>
      </c>
      <c r="O31" s="62">
        <v>17.7</v>
      </c>
      <c r="P31" s="35">
        <v>69.599999999999994</v>
      </c>
      <c r="Q31" s="35">
        <v>6</v>
      </c>
      <c r="R31" s="35">
        <v>6.1</v>
      </c>
      <c r="S31" s="35">
        <f t="shared" si="0"/>
        <v>0</v>
      </c>
      <c r="T31" s="35">
        <f t="shared" si="1"/>
        <v>0</v>
      </c>
      <c r="U31" s="35">
        <f t="shared" si="2"/>
        <v>0</v>
      </c>
      <c r="V31" s="95">
        <f t="shared" si="3"/>
        <v>0</v>
      </c>
    </row>
    <row r="32" spans="1:22" ht="15" customHeight="1" x14ac:dyDescent="0.25">
      <c r="A32" s="27" t="s">
        <v>54</v>
      </c>
      <c r="B32" s="35">
        <v>2015</v>
      </c>
      <c r="C32" s="29" t="s">
        <v>19</v>
      </c>
      <c r="D32" s="30">
        <v>57.3</v>
      </c>
      <c r="E32" s="28">
        <v>357</v>
      </c>
      <c r="F32" s="31">
        <v>6.5</v>
      </c>
      <c r="G32" s="28">
        <v>0</v>
      </c>
      <c r="H32" s="30">
        <v>29</v>
      </c>
      <c r="I32" s="32">
        <v>84</v>
      </c>
      <c r="J32" s="29"/>
      <c r="K32" s="32">
        <v>83</v>
      </c>
      <c r="L32" s="33">
        <v>1244.4290000000001</v>
      </c>
      <c r="M32" s="63">
        <v>22834522</v>
      </c>
      <c r="N32" s="31">
        <v>6.1</v>
      </c>
      <c r="O32" s="62">
        <v>0</v>
      </c>
      <c r="P32" s="35">
        <v>63.6</v>
      </c>
      <c r="Q32" s="35">
        <v>5.0999999999999996</v>
      </c>
      <c r="R32" s="35">
        <v>3.1</v>
      </c>
      <c r="S32" s="35">
        <f t="shared" si="0"/>
        <v>0</v>
      </c>
      <c r="T32" s="35">
        <f t="shared" si="1"/>
        <v>0</v>
      </c>
      <c r="U32" s="35">
        <f t="shared" si="2"/>
        <v>0</v>
      </c>
      <c r="V32" s="95">
        <f t="shared" si="3"/>
        <v>0</v>
      </c>
    </row>
    <row r="33" spans="1:22" ht="15" customHeight="1" x14ac:dyDescent="0.25">
      <c r="A33" s="27" t="s">
        <v>55</v>
      </c>
      <c r="B33" s="35">
        <v>2015</v>
      </c>
      <c r="C33" s="29" t="s">
        <v>31</v>
      </c>
      <c r="D33" s="30">
        <v>82.2</v>
      </c>
      <c r="E33" s="28">
        <v>64</v>
      </c>
      <c r="F33" s="31">
        <v>8</v>
      </c>
      <c r="G33" s="28">
        <v>0</v>
      </c>
      <c r="H33" s="30">
        <v>67</v>
      </c>
      <c r="I33" s="32">
        <v>91</v>
      </c>
      <c r="J33" s="29"/>
      <c r="K33" s="32">
        <v>91</v>
      </c>
      <c r="L33" s="33">
        <v>43315.743999999999</v>
      </c>
      <c r="M33" s="63">
        <v>35832513</v>
      </c>
      <c r="N33" s="31">
        <v>13.1</v>
      </c>
      <c r="O33" s="62">
        <v>15</v>
      </c>
      <c r="P33" s="35">
        <v>4507.6000000000004</v>
      </c>
      <c r="Q33" s="35">
        <v>10.4</v>
      </c>
      <c r="R33" s="35">
        <v>19.100000000000001</v>
      </c>
      <c r="S33" s="35">
        <f t="shared" si="0"/>
        <v>1</v>
      </c>
      <c r="T33" s="35">
        <f t="shared" si="1"/>
        <v>64</v>
      </c>
      <c r="U33" s="35">
        <f t="shared" si="2"/>
        <v>67</v>
      </c>
      <c r="V33" s="95">
        <f t="shared" si="3"/>
        <v>13.1</v>
      </c>
    </row>
    <row r="34" spans="1:22" ht="15" customHeight="1" x14ac:dyDescent="0.25">
      <c r="A34" s="27" t="s">
        <v>56</v>
      </c>
      <c r="B34" s="35">
        <v>2015</v>
      </c>
      <c r="C34" s="29" t="s">
        <v>19</v>
      </c>
      <c r="D34" s="30">
        <v>52.5</v>
      </c>
      <c r="E34" s="28">
        <v>397</v>
      </c>
      <c r="F34" s="31">
        <v>1.68</v>
      </c>
      <c r="G34" s="28">
        <v>0</v>
      </c>
      <c r="H34" s="30">
        <v>22.7</v>
      </c>
      <c r="I34" s="32">
        <v>91</v>
      </c>
      <c r="J34" s="29"/>
      <c r="K34" s="32">
        <v>91</v>
      </c>
      <c r="L34" s="28">
        <v>348.38099999999997</v>
      </c>
      <c r="M34" s="63">
        <v>4546100</v>
      </c>
      <c r="N34" s="31">
        <v>4.2</v>
      </c>
      <c r="O34" s="62">
        <v>0</v>
      </c>
      <c r="P34" s="35">
        <v>16.600000000000001</v>
      </c>
      <c r="Q34" s="35">
        <v>4.8</v>
      </c>
      <c r="R34" s="35">
        <v>4.0999999999999996</v>
      </c>
      <c r="S34" s="35">
        <f t="shared" si="0"/>
        <v>0</v>
      </c>
      <c r="T34" s="35">
        <f t="shared" si="1"/>
        <v>0</v>
      </c>
      <c r="U34" s="35">
        <f t="shared" si="2"/>
        <v>0</v>
      </c>
      <c r="V34" s="95">
        <f t="shared" si="3"/>
        <v>0</v>
      </c>
    </row>
    <row r="35" spans="1:22" ht="15" customHeight="1" x14ac:dyDescent="0.25">
      <c r="A35" s="27" t="s">
        <v>57</v>
      </c>
      <c r="B35" s="35">
        <v>2015</v>
      </c>
      <c r="C35" s="29" t="s">
        <v>19</v>
      </c>
      <c r="D35" s="30">
        <v>53.1</v>
      </c>
      <c r="E35" s="28">
        <v>356</v>
      </c>
      <c r="F35" s="31">
        <v>0.69</v>
      </c>
      <c r="G35" s="28">
        <v>0</v>
      </c>
      <c r="H35" s="30">
        <v>19.100000000000001</v>
      </c>
      <c r="I35" s="32">
        <v>42</v>
      </c>
      <c r="J35" s="29"/>
      <c r="K35" s="32">
        <v>52</v>
      </c>
      <c r="L35" s="28">
        <v>777.24900000000002</v>
      </c>
      <c r="M35" s="63">
        <v>14009413</v>
      </c>
      <c r="N35" s="31">
        <v>2.2999999999999998</v>
      </c>
      <c r="O35" s="62">
        <v>0</v>
      </c>
      <c r="P35" s="35">
        <v>35.6</v>
      </c>
      <c r="Q35" s="35">
        <v>4.5999999999999996</v>
      </c>
      <c r="R35" s="35">
        <v>6.3</v>
      </c>
      <c r="S35" s="35">
        <f t="shared" si="0"/>
        <v>0</v>
      </c>
      <c r="T35" s="35">
        <f t="shared" si="1"/>
        <v>0</v>
      </c>
      <c r="U35" s="35">
        <f t="shared" si="2"/>
        <v>0</v>
      </c>
      <c r="V35" s="95">
        <f t="shared" si="3"/>
        <v>0</v>
      </c>
    </row>
    <row r="36" spans="1:22" ht="15" customHeight="1" x14ac:dyDescent="0.25">
      <c r="A36" s="27" t="s">
        <v>58</v>
      </c>
      <c r="B36" s="35">
        <v>2015</v>
      </c>
      <c r="C36" s="29" t="s">
        <v>19</v>
      </c>
      <c r="D36" s="30">
        <v>85</v>
      </c>
      <c r="E36" s="28">
        <v>82</v>
      </c>
      <c r="F36" s="31">
        <v>7.89</v>
      </c>
      <c r="G36" s="28">
        <v>0</v>
      </c>
      <c r="H36" s="30">
        <v>63.8</v>
      </c>
      <c r="I36" s="32">
        <v>96</v>
      </c>
      <c r="J36" s="29"/>
      <c r="K36" s="32">
        <v>96</v>
      </c>
      <c r="L36" s="33">
        <v>13653.226000000001</v>
      </c>
      <c r="M36" s="63">
        <v>17762681</v>
      </c>
      <c r="N36" s="31">
        <v>10.3</v>
      </c>
      <c r="O36" s="62">
        <v>38.700000000000003</v>
      </c>
      <c r="P36" s="35">
        <v>1102</v>
      </c>
      <c r="Q36" s="35">
        <v>8.1</v>
      </c>
      <c r="R36" s="35">
        <v>19.600000000000001</v>
      </c>
      <c r="S36" s="35">
        <f t="shared" si="0"/>
        <v>0</v>
      </c>
      <c r="T36" s="35">
        <f t="shared" si="1"/>
        <v>0</v>
      </c>
      <c r="U36" s="35">
        <f t="shared" si="2"/>
        <v>0</v>
      </c>
      <c r="V36" s="95">
        <f t="shared" si="3"/>
        <v>0</v>
      </c>
    </row>
    <row r="37" spans="1:22" ht="15" customHeight="1" x14ac:dyDescent="0.25">
      <c r="A37" s="27" t="s">
        <v>59</v>
      </c>
      <c r="B37" s="35">
        <v>2015</v>
      </c>
      <c r="C37" s="29" t="s">
        <v>19</v>
      </c>
      <c r="D37" s="30">
        <v>76.099999999999994</v>
      </c>
      <c r="E37" s="28">
        <v>85</v>
      </c>
      <c r="F37" s="31">
        <v>5.74</v>
      </c>
      <c r="G37" s="28">
        <v>0</v>
      </c>
      <c r="H37" s="30">
        <v>32.9</v>
      </c>
      <c r="I37" s="32">
        <v>99</v>
      </c>
      <c r="J37" s="29"/>
      <c r="K37" s="32">
        <v>99</v>
      </c>
      <c r="L37" s="28">
        <v>869.21199999999999</v>
      </c>
      <c r="M37" s="63">
        <v>1371220000</v>
      </c>
      <c r="N37" s="31">
        <v>7.7</v>
      </c>
      <c r="O37" s="62">
        <v>25.8</v>
      </c>
      <c r="P37" s="35">
        <v>425.6</v>
      </c>
      <c r="Q37" s="35">
        <v>5.3</v>
      </c>
      <c r="R37" s="35">
        <v>10.1</v>
      </c>
      <c r="S37" s="35">
        <f t="shared" si="0"/>
        <v>0</v>
      </c>
      <c r="T37" s="35">
        <f t="shared" si="1"/>
        <v>0</v>
      </c>
      <c r="U37" s="35">
        <f t="shared" si="2"/>
        <v>0</v>
      </c>
      <c r="V37" s="95">
        <f t="shared" si="3"/>
        <v>0</v>
      </c>
    </row>
    <row r="38" spans="1:22" ht="15" customHeight="1" x14ac:dyDescent="0.25">
      <c r="A38" s="27" t="s">
        <v>60</v>
      </c>
      <c r="B38" s="35">
        <v>2015</v>
      </c>
      <c r="C38" s="29" t="s">
        <v>19</v>
      </c>
      <c r="D38" s="30">
        <v>74.8</v>
      </c>
      <c r="E38" s="28">
        <v>143</v>
      </c>
      <c r="F38" s="31">
        <v>4.43</v>
      </c>
      <c r="G38" s="28">
        <v>0</v>
      </c>
      <c r="H38" s="30">
        <v>57.9</v>
      </c>
      <c r="I38" s="32">
        <v>91</v>
      </c>
      <c r="J38" s="29"/>
      <c r="K38" s="32">
        <v>91</v>
      </c>
      <c r="L38" s="28">
        <v>644.52599999999995</v>
      </c>
      <c r="M38" s="63">
        <v>48228697</v>
      </c>
      <c r="N38" s="31">
        <v>8.1</v>
      </c>
      <c r="O38" s="62">
        <v>9.5</v>
      </c>
      <c r="P38" s="35">
        <v>374.2</v>
      </c>
      <c r="Q38" s="35">
        <v>6.2</v>
      </c>
      <c r="R38" s="35">
        <v>12.2</v>
      </c>
      <c r="S38" s="35">
        <f t="shared" si="0"/>
        <v>0</v>
      </c>
      <c r="T38" s="35">
        <f t="shared" si="1"/>
        <v>0</v>
      </c>
      <c r="U38" s="35">
        <f t="shared" si="2"/>
        <v>0</v>
      </c>
      <c r="V38" s="95">
        <f t="shared" si="3"/>
        <v>0</v>
      </c>
    </row>
    <row r="39" spans="1:22" ht="15" customHeight="1" x14ac:dyDescent="0.25">
      <c r="A39" s="27" t="s">
        <v>61</v>
      </c>
      <c r="B39" s="35">
        <v>2015</v>
      </c>
      <c r="C39" s="29" t="s">
        <v>19</v>
      </c>
      <c r="D39" s="30">
        <v>63.5</v>
      </c>
      <c r="E39" s="28">
        <v>227</v>
      </c>
      <c r="F39" s="31">
        <v>0</v>
      </c>
      <c r="G39" s="28">
        <v>0</v>
      </c>
      <c r="H39" s="30">
        <v>24.2</v>
      </c>
      <c r="I39" s="32">
        <v>91</v>
      </c>
      <c r="J39" s="29"/>
      <c r="K39" s="32">
        <v>91</v>
      </c>
      <c r="L39" s="28">
        <v>727.64599999999996</v>
      </c>
      <c r="M39" s="63">
        <v>777424</v>
      </c>
      <c r="N39" s="31">
        <v>4.8</v>
      </c>
      <c r="O39" s="62">
        <v>14.4</v>
      </c>
      <c r="P39" s="35">
        <v>58.5</v>
      </c>
      <c r="Q39" s="35">
        <v>8</v>
      </c>
      <c r="R39" s="35">
        <v>3.8</v>
      </c>
      <c r="S39" s="35">
        <f t="shared" si="0"/>
        <v>0</v>
      </c>
      <c r="T39" s="35">
        <f t="shared" si="1"/>
        <v>0</v>
      </c>
      <c r="U39" s="35">
        <f t="shared" si="2"/>
        <v>0</v>
      </c>
      <c r="V39" s="95">
        <f t="shared" si="3"/>
        <v>0</v>
      </c>
    </row>
    <row r="40" spans="1:22" ht="15" customHeight="1" x14ac:dyDescent="0.25">
      <c r="A40" s="27" t="s">
        <v>62</v>
      </c>
      <c r="B40" s="35">
        <v>2015</v>
      </c>
      <c r="C40" s="29" t="s">
        <v>19</v>
      </c>
      <c r="D40" s="30">
        <v>64.7</v>
      </c>
      <c r="E40" s="28">
        <v>267</v>
      </c>
      <c r="F40" s="31">
        <v>4.8600000000000003</v>
      </c>
      <c r="G40" s="28">
        <v>0</v>
      </c>
      <c r="H40" s="30">
        <v>27.4</v>
      </c>
      <c r="I40" s="32">
        <v>91</v>
      </c>
      <c r="J40" s="29"/>
      <c r="K40" s="32">
        <v>92</v>
      </c>
      <c r="L40" s="33">
        <v>1712.12</v>
      </c>
      <c r="M40" s="63">
        <v>4995648</v>
      </c>
      <c r="N40" s="31">
        <v>6.3</v>
      </c>
      <c r="O40" s="62">
        <v>24.2</v>
      </c>
      <c r="P40" s="35">
        <v>58.8</v>
      </c>
      <c r="Q40" s="35">
        <v>3.4</v>
      </c>
      <c r="R40" s="35">
        <v>3.1</v>
      </c>
      <c r="S40" s="35">
        <f t="shared" si="0"/>
        <v>0</v>
      </c>
      <c r="T40" s="35">
        <f t="shared" si="1"/>
        <v>0</v>
      </c>
      <c r="U40" s="35">
        <f t="shared" si="2"/>
        <v>0</v>
      </c>
      <c r="V40" s="95">
        <f t="shared" si="3"/>
        <v>0</v>
      </c>
    </row>
    <row r="41" spans="1:22" ht="15" customHeight="1" x14ac:dyDescent="0.25">
      <c r="A41" s="27" t="s">
        <v>63</v>
      </c>
      <c r="B41" s="35">
        <v>2015</v>
      </c>
      <c r="C41" s="29" t="s">
        <v>19</v>
      </c>
      <c r="D41" s="30">
        <v>79.599999999999994</v>
      </c>
      <c r="E41" s="28">
        <v>95</v>
      </c>
      <c r="F41" s="31">
        <v>3.63</v>
      </c>
      <c r="G41" s="28">
        <v>0</v>
      </c>
      <c r="H41" s="30">
        <v>6.5</v>
      </c>
      <c r="I41" s="32">
        <v>92</v>
      </c>
      <c r="J41" s="29"/>
      <c r="K41" s="32">
        <v>92</v>
      </c>
      <c r="L41" s="33">
        <v>1146.3630000000001</v>
      </c>
      <c r="M41" s="63">
        <v>4807852</v>
      </c>
      <c r="N41" s="31">
        <v>6.4</v>
      </c>
      <c r="O41" s="62">
        <v>12.1</v>
      </c>
      <c r="P41" s="35">
        <v>929.1</v>
      </c>
      <c r="Q41" s="35">
        <v>8.1</v>
      </c>
      <c r="R41" s="35">
        <v>18.8</v>
      </c>
      <c r="S41" s="35">
        <f t="shared" si="0"/>
        <v>0</v>
      </c>
      <c r="T41" s="35">
        <f t="shared" si="1"/>
        <v>0</v>
      </c>
      <c r="U41" s="35">
        <f t="shared" si="2"/>
        <v>0</v>
      </c>
      <c r="V41" s="95">
        <f t="shared" si="3"/>
        <v>0</v>
      </c>
    </row>
    <row r="42" spans="1:22" ht="15" customHeight="1" x14ac:dyDescent="0.25">
      <c r="A42" s="27" t="s">
        <v>64</v>
      </c>
      <c r="B42" s="35">
        <v>2015</v>
      </c>
      <c r="C42" s="29" t="s">
        <v>31</v>
      </c>
      <c r="D42" s="30">
        <v>78</v>
      </c>
      <c r="E42" s="28">
        <v>95</v>
      </c>
      <c r="F42" s="31">
        <v>9.89</v>
      </c>
      <c r="G42" s="28">
        <v>0</v>
      </c>
      <c r="H42" s="30">
        <v>63.7</v>
      </c>
      <c r="I42" s="32">
        <v>92</v>
      </c>
      <c r="J42" s="29"/>
      <c r="K42" s="32">
        <v>92</v>
      </c>
      <c r="L42" s="33">
        <v>11579.666999999999</v>
      </c>
      <c r="M42" s="63">
        <v>4203604</v>
      </c>
      <c r="N42" s="31">
        <v>8.8000000000000007</v>
      </c>
      <c r="O42" s="62">
        <v>36.700000000000003</v>
      </c>
      <c r="P42" s="35">
        <v>852.1</v>
      </c>
      <c r="Q42" s="35">
        <v>7.4</v>
      </c>
      <c r="R42" s="35">
        <v>11.7</v>
      </c>
      <c r="S42" s="35">
        <f t="shared" si="0"/>
        <v>1</v>
      </c>
      <c r="T42" s="35">
        <f t="shared" si="1"/>
        <v>95</v>
      </c>
      <c r="U42" s="35">
        <f t="shared" si="2"/>
        <v>63.7</v>
      </c>
      <c r="V42" s="95">
        <f t="shared" si="3"/>
        <v>8.8000000000000007</v>
      </c>
    </row>
    <row r="43" spans="1:22" ht="15" customHeight="1" x14ac:dyDescent="0.25">
      <c r="A43" s="27" t="s">
        <v>65</v>
      </c>
      <c r="B43" s="35">
        <v>2015</v>
      </c>
      <c r="C43" s="29" t="s">
        <v>19</v>
      </c>
      <c r="D43" s="30">
        <v>79.099999999999994</v>
      </c>
      <c r="E43" s="28">
        <v>92</v>
      </c>
      <c r="F43" s="31">
        <v>4.5999999999999996</v>
      </c>
      <c r="G43" s="28">
        <v>0</v>
      </c>
      <c r="H43" s="30">
        <v>61.4</v>
      </c>
      <c r="I43" s="32">
        <v>92</v>
      </c>
      <c r="J43" s="29"/>
      <c r="K43" s="32">
        <v>92</v>
      </c>
      <c r="L43" s="28">
        <v>762.26099999999997</v>
      </c>
      <c r="M43" s="63">
        <v>11461432</v>
      </c>
      <c r="N43" s="31">
        <v>11.2</v>
      </c>
      <c r="O43" s="62">
        <v>35.9</v>
      </c>
      <c r="P43" s="35">
        <v>826.3</v>
      </c>
      <c r="Q43" s="35">
        <v>10.9</v>
      </c>
      <c r="R43" s="35" t="s">
        <v>25</v>
      </c>
      <c r="S43" s="35">
        <f t="shared" si="0"/>
        <v>0</v>
      </c>
      <c r="T43" s="35">
        <f t="shared" si="1"/>
        <v>0</v>
      </c>
      <c r="U43" s="35">
        <f t="shared" si="2"/>
        <v>0</v>
      </c>
      <c r="V43" s="95">
        <f t="shared" si="3"/>
        <v>0</v>
      </c>
    </row>
    <row r="44" spans="1:22" ht="15" customHeight="1" x14ac:dyDescent="0.25">
      <c r="A44" s="27" t="s">
        <v>66</v>
      </c>
      <c r="B44" s="35">
        <v>2015</v>
      </c>
      <c r="C44" s="29" t="s">
        <v>31</v>
      </c>
      <c r="D44" s="30">
        <v>85</v>
      </c>
      <c r="E44" s="28">
        <v>52</v>
      </c>
      <c r="F44" s="31">
        <v>9.5500000000000007</v>
      </c>
      <c r="G44" s="28">
        <v>0</v>
      </c>
      <c r="H44" s="30">
        <v>6.3</v>
      </c>
      <c r="I44" s="32">
        <v>92</v>
      </c>
      <c r="J44" s="29"/>
      <c r="K44" s="32">
        <v>92</v>
      </c>
      <c r="L44" s="33">
        <v>2375.1129999999998</v>
      </c>
      <c r="M44" s="63">
        <v>1160985</v>
      </c>
      <c r="N44" s="31">
        <v>11.4</v>
      </c>
      <c r="O44" s="62">
        <v>36.700000000000003</v>
      </c>
      <c r="P44" s="35">
        <v>1563.3</v>
      </c>
      <c r="Q44" s="35">
        <v>6.8</v>
      </c>
      <c r="R44" s="35">
        <v>7.1</v>
      </c>
      <c r="S44" s="35">
        <f t="shared" si="0"/>
        <v>1</v>
      </c>
      <c r="T44" s="35">
        <f t="shared" si="1"/>
        <v>52</v>
      </c>
      <c r="U44" s="35">
        <f t="shared" si="2"/>
        <v>6.3</v>
      </c>
      <c r="V44" s="95">
        <f t="shared" si="3"/>
        <v>11.4</v>
      </c>
    </row>
    <row r="45" spans="1:22" ht="15" customHeight="1" x14ac:dyDescent="0.25">
      <c r="A45" s="27" t="s">
        <v>67</v>
      </c>
      <c r="B45" s="35">
        <v>2015</v>
      </c>
      <c r="C45" s="29" t="s">
        <v>31</v>
      </c>
      <c r="D45" s="30">
        <v>78.8</v>
      </c>
      <c r="E45" s="28">
        <v>86</v>
      </c>
      <c r="F45" s="31">
        <v>12.82</v>
      </c>
      <c r="G45" s="28">
        <v>0</v>
      </c>
      <c r="H45" s="30">
        <v>66.099999999999994</v>
      </c>
      <c r="I45" s="32">
        <v>92</v>
      </c>
      <c r="J45" s="29"/>
      <c r="K45" s="32">
        <v>92</v>
      </c>
      <c r="L45" s="33">
        <v>17715.62</v>
      </c>
      <c r="M45" s="63">
        <v>10546059</v>
      </c>
      <c r="N45" s="31">
        <v>11.9</v>
      </c>
      <c r="O45" s="62">
        <v>34.299999999999997</v>
      </c>
      <c r="P45" s="35">
        <v>1284</v>
      </c>
      <c r="Q45" s="35">
        <v>7.3</v>
      </c>
      <c r="R45" s="35">
        <v>14.3</v>
      </c>
      <c r="S45" s="35">
        <f t="shared" si="0"/>
        <v>1</v>
      </c>
      <c r="T45" s="35">
        <f t="shared" si="1"/>
        <v>86</v>
      </c>
      <c r="U45" s="35">
        <f t="shared" si="2"/>
        <v>66.099999999999994</v>
      </c>
      <c r="V45" s="95">
        <f t="shared" si="3"/>
        <v>11.9</v>
      </c>
    </row>
    <row r="46" spans="1:22" ht="15" customHeight="1" x14ac:dyDescent="0.25">
      <c r="A46" s="27" t="s">
        <v>68</v>
      </c>
      <c r="B46" s="35">
        <v>2015</v>
      </c>
      <c r="C46" s="29" t="s">
        <v>19</v>
      </c>
      <c r="D46" s="30">
        <v>76</v>
      </c>
      <c r="E46" s="28">
        <v>139</v>
      </c>
      <c r="F46" s="31">
        <v>3.35</v>
      </c>
      <c r="G46" s="28">
        <v>0</v>
      </c>
      <c r="H46" s="30">
        <v>32.9</v>
      </c>
      <c r="I46" s="32">
        <v>97</v>
      </c>
      <c r="J46" s="29"/>
      <c r="K46" s="32">
        <v>97</v>
      </c>
      <c r="L46" s="33">
        <v>8036</v>
      </c>
      <c r="M46" s="63">
        <v>25243917</v>
      </c>
      <c r="N46" s="31">
        <v>12.7</v>
      </c>
      <c r="O46" s="62">
        <v>0</v>
      </c>
      <c r="P46" s="35" t="s">
        <v>25</v>
      </c>
      <c r="Q46" s="35" t="s">
        <v>25</v>
      </c>
      <c r="R46" s="35" t="s">
        <v>25</v>
      </c>
      <c r="S46" s="35">
        <f t="shared" si="0"/>
        <v>0</v>
      </c>
      <c r="T46" s="35">
        <f t="shared" si="1"/>
        <v>0</v>
      </c>
      <c r="U46" s="35">
        <f t="shared" si="2"/>
        <v>0</v>
      </c>
      <c r="V46" s="95">
        <f t="shared" si="3"/>
        <v>0</v>
      </c>
    </row>
    <row r="47" spans="1:22" ht="15" customHeight="1" x14ac:dyDescent="0.25">
      <c r="A47" s="27" t="s">
        <v>69</v>
      </c>
      <c r="B47" s="35">
        <v>2015</v>
      </c>
      <c r="C47" s="29" t="s">
        <v>19</v>
      </c>
      <c r="D47" s="30">
        <v>59.8</v>
      </c>
      <c r="E47" s="28">
        <v>258</v>
      </c>
      <c r="F47" s="31">
        <v>1.39</v>
      </c>
      <c r="G47" s="28">
        <v>0</v>
      </c>
      <c r="H47" s="30">
        <v>21.6</v>
      </c>
      <c r="I47" s="32">
        <v>96</v>
      </c>
      <c r="J47" s="29"/>
      <c r="K47" s="32">
        <v>99</v>
      </c>
      <c r="L47" s="28">
        <v>497.63</v>
      </c>
      <c r="M47" s="63">
        <v>76196619</v>
      </c>
      <c r="N47" s="31">
        <v>6.4</v>
      </c>
      <c r="O47" s="62">
        <v>0</v>
      </c>
      <c r="P47" s="35">
        <v>19.8</v>
      </c>
      <c r="Q47" s="35">
        <v>4.3</v>
      </c>
      <c r="R47" s="35">
        <v>5</v>
      </c>
      <c r="S47" s="35">
        <f t="shared" si="0"/>
        <v>0</v>
      </c>
      <c r="T47" s="35">
        <f t="shared" si="1"/>
        <v>0</v>
      </c>
      <c r="U47" s="35">
        <f t="shared" si="2"/>
        <v>0</v>
      </c>
      <c r="V47" s="95">
        <f t="shared" si="3"/>
        <v>0</v>
      </c>
    </row>
    <row r="48" spans="1:22" ht="15" customHeight="1" x14ac:dyDescent="0.25">
      <c r="A48" s="27" t="s">
        <v>70</v>
      </c>
      <c r="B48" s="35">
        <v>2015</v>
      </c>
      <c r="C48" s="29" t="s">
        <v>31</v>
      </c>
      <c r="D48" s="30">
        <v>86</v>
      </c>
      <c r="E48" s="28">
        <v>71</v>
      </c>
      <c r="F48" s="31">
        <v>9.3800000000000008</v>
      </c>
      <c r="G48" s="28">
        <v>0</v>
      </c>
      <c r="H48" s="30">
        <v>58.8</v>
      </c>
      <c r="I48" s="32">
        <v>93</v>
      </c>
      <c r="J48" s="29"/>
      <c r="K48" s="32">
        <v>93</v>
      </c>
      <c r="L48" s="33">
        <v>5314.6440000000002</v>
      </c>
      <c r="M48" s="63">
        <v>5683483</v>
      </c>
      <c r="N48" s="31">
        <v>12.5</v>
      </c>
      <c r="O48" s="62">
        <v>19.899999999999999</v>
      </c>
      <c r="P48" s="35">
        <v>5497.4</v>
      </c>
      <c r="Q48" s="35">
        <v>10.3</v>
      </c>
      <c r="R48" s="35">
        <v>15.8</v>
      </c>
      <c r="S48" s="35">
        <f t="shared" si="0"/>
        <v>1</v>
      </c>
      <c r="T48" s="35">
        <f t="shared" si="1"/>
        <v>71</v>
      </c>
      <c r="U48" s="35">
        <f t="shared" si="2"/>
        <v>58.8</v>
      </c>
      <c r="V48" s="95">
        <f t="shared" si="3"/>
        <v>12.5</v>
      </c>
    </row>
    <row r="49" spans="1:22" ht="15" customHeight="1" x14ac:dyDescent="0.25">
      <c r="A49" s="27" t="s">
        <v>71</v>
      </c>
      <c r="B49" s="35">
        <v>2015</v>
      </c>
      <c r="C49" s="29" t="s">
        <v>19</v>
      </c>
      <c r="D49" s="30">
        <v>63.5</v>
      </c>
      <c r="E49" s="28">
        <v>241</v>
      </c>
      <c r="F49" s="31">
        <v>0.37</v>
      </c>
      <c r="G49" s="28">
        <v>0</v>
      </c>
      <c r="H49" s="30">
        <v>35</v>
      </c>
      <c r="I49" s="32">
        <v>84</v>
      </c>
      <c r="J49" s="29"/>
      <c r="K49" s="32">
        <v>84</v>
      </c>
      <c r="L49" s="33">
        <v>1862.1669999999999</v>
      </c>
      <c r="M49" s="63">
        <v>927414</v>
      </c>
      <c r="N49" s="31">
        <v>4.0999999999999996</v>
      </c>
      <c r="O49" s="62">
        <v>13.3</v>
      </c>
      <c r="P49" s="35">
        <v>81.7</v>
      </c>
      <c r="Q49" s="35">
        <v>4.4000000000000004</v>
      </c>
      <c r="R49" s="35">
        <v>4.0999999999999996</v>
      </c>
      <c r="S49" s="35">
        <f t="shared" si="0"/>
        <v>0</v>
      </c>
      <c r="T49" s="35">
        <f t="shared" si="1"/>
        <v>0</v>
      </c>
      <c r="U49" s="35">
        <f t="shared" si="2"/>
        <v>0</v>
      </c>
      <c r="V49" s="95">
        <f t="shared" si="3"/>
        <v>0</v>
      </c>
    </row>
    <row r="50" spans="1:22" ht="15" customHeight="1" x14ac:dyDescent="0.25">
      <c r="A50" s="27" t="s">
        <v>72</v>
      </c>
      <c r="B50" s="35">
        <v>2015</v>
      </c>
      <c r="C50" s="29" t="s">
        <v>19</v>
      </c>
      <c r="D50" s="30">
        <v>73.900000000000006</v>
      </c>
      <c r="E50" s="28">
        <v>152</v>
      </c>
      <c r="F50" s="31">
        <v>6.14</v>
      </c>
      <c r="G50" s="28">
        <v>0</v>
      </c>
      <c r="H50" s="30">
        <v>58.9</v>
      </c>
      <c r="I50" s="32">
        <v>98</v>
      </c>
      <c r="J50" s="29"/>
      <c r="K50" s="32">
        <v>98</v>
      </c>
      <c r="L50" s="33">
        <v>6468.4719999999998</v>
      </c>
      <c r="M50" s="63">
        <v>10528394</v>
      </c>
      <c r="N50" s="31">
        <v>7.8</v>
      </c>
      <c r="O50" s="62">
        <v>13.9</v>
      </c>
      <c r="P50" s="35">
        <v>396.7</v>
      </c>
      <c r="Q50" s="35">
        <v>6.2</v>
      </c>
      <c r="R50" s="35">
        <v>9.5</v>
      </c>
      <c r="S50" s="35">
        <f t="shared" si="0"/>
        <v>0</v>
      </c>
      <c r="T50" s="35">
        <f t="shared" si="1"/>
        <v>0</v>
      </c>
      <c r="U50" s="35">
        <f t="shared" si="2"/>
        <v>0</v>
      </c>
      <c r="V50" s="95">
        <f t="shared" si="3"/>
        <v>0</v>
      </c>
    </row>
    <row r="51" spans="1:22" ht="15" customHeight="1" x14ac:dyDescent="0.25">
      <c r="A51" s="27" t="s">
        <v>73</v>
      </c>
      <c r="B51" s="35">
        <v>2015</v>
      </c>
      <c r="C51" s="29" t="s">
        <v>19</v>
      </c>
      <c r="D51" s="30">
        <v>76.2</v>
      </c>
      <c r="E51" s="28">
        <v>118</v>
      </c>
      <c r="F51" s="31">
        <v>3.67</v>
      </c>
      <c r="G51" s="28">
        <v>0</v>
      </c>
      <c r="H51" s="30">
        <v>54.2</v>
      </c>
      <c r="I51" s="32">
        <v>78</v>
      </c>
      <c r="J51" s="29"/>
      <c r="K51" s="32">
        <v>84</v>
      </c>
      <c r="L51" s="28">
        <v>625.62199999999996</v>
      </c>
      <c r="M51" s="63">
        <v>16144368</v>
      </c>
      <c r="N51" s="31">
        <v>8.4</v>
      </c>
      <c r="O51" s="62">
        <v>7.4</v>
      </c>
      <c r="P51" s="35">
        <v>530.1</v>
      </c>
      <c r="Q51" s="35">
        <v>8.5</v>
      </c>
      <c r="R51" s="35">
        <v>11</v>
      </c>
      <c r="S51" s="35">
        <f t="shared" si="0"/>
        <v>0</v>
      </c>
      <c r="T51" s="35">
        <f t="shared" si="1"/>
        <v>0</v>
      </c>
      <c r="U51" s="35">
        <f t="shared" si="2"/>
        <v>0</v>
      </c>
      <c r="V51" s="95">
        <f t="shared" si="3"/>
        <v>0</v>
      </c>
    </row>
    <row r="52" spans="1:22" ht="15" customHeight="1" x14ac:dyDescent="0.25">
      <c r="A52" s="27" t="s">
        <v>74</v>
      </c>
      <c r="B52" s="35">
        <v>2015</v>
      </c>
      <c r="C52" s="29" t="s">
        <v>19</v>
      </c>
      <c r="D52" s="30">
        <v>79</v>
      </c>
      <c r="E52" s="28">
        <v>159</v>
      </c>
      <c r="F52" s="31">
        <v>0.18</v>
      </c>
      <c r="G52" s="28">
        <v>0</v>
      </c>
      <c r="H52" s="30">
        <v>61.1</v>
      </c>
      <c r="I52" s="32">
        <v>93</v>
      </c>
      <c r="J52" s="29"/>
      <c r="K52" s="32">
        <v>93</v>
      </c>
      <c r="L52" s="33">
        <v>3547.71</v>
      </c>
      <c r="M52" s="63">
        <v>93778172</v>
      </c>
      <c r="N52" s="31">
        <v>7.1</v>
      </c>
      <c r="O52" s="62">
        <v>24.6</v>
      </c>
      <c r="P52" s="35">
        <v>156.6</v>
      </c>
      <c r="Q52" s="35">
        <v>4.2</v>
      </c>
      <c r="R52" s="35">
        <v>4.2</v>
      </c>
      <c r="S52" s="35">
        <f t="shared" si="0"/>
        <v>0</v>
      </c>
      <c r="T52" s="35">
        <f t="shared" si="1"/>
        <v>0</v>
      </c>
      <c r="U52" s="35">
        <f t="shared" si="2"/>
        <v>0</v>
      </c>
      <c r="V52" s="95">
        <f t="shared" si="3"/>
        <v>0</v>
      </c>
    </row>
    <row r="53" spans="1:22" ht="15" customHeight="1" x14ac:dyDescent="0.25">
      <c r="A53" s="27" t="s">
        <v>75</v>
      </c>
      <c r="B53" s="35">
        <v>2015</v>
      </c>
      <c r="C53" s="29" t="s">
        <v>19</v>
      </c>
      <c r="D53" s="30">
        <v>73.5</v>
      </c>
      <c r="E53" s="28">
        <v>178</v>
      </c>
      <c r="F53" s="31">
        <v>2.57</v>
      </c>
      <c r="G53" s="28">
        <v>0</v>
      </c>
      <c r="H53" s="30">
        <v>56.1</v>
      </c>
      <c r="I53" s="32">
        <v>91</v>
      </c>
      <c r="J53" s="29"/>
      <c r="K53" s="32">
        <v>92</v>
      </c>
      <c r="L53" s="33">
        <v>4127.1180000000004</v>
      </c>
      <c r="M53" s="63">
        <v>6312478</v>
      </c>
      <c r="N53" s="31">
        <v>6.6</v>
      </c>
      <c r="O53" s="62">
        <v>10.1</v>
      </c>
      <c r="P53" s="35">
        <v>283.2</v>
      </c>
      <c r="Q53" s="35">
        <v>6.9</v>
      </c>
      <c r="R53" s="35">
        <v>19.100000000000001</v>
      </c>
      <c r="S53" s="35">
        <f t="shared" si="0"/>
        <v>0</v>
      </c>
      <c r="T53" s="35">
        <f t="shared" si="1"/>
        <v>0</v>
      </c>
      <c r="U53" s="35">
        <f t="shared" si="2"/>
        <v>0</v>
      </c>
      <c r="V53" s="95">
        <f t="shared" si="3"/>
        <v>0</v>
      </c>
    </row>
    <row r="54" spans="1:22" ht="15" customHeight="1" x14ac:dyDescent="0.25">
      <c r="A54" s="27" t="s">
        <v>76</v>
      </c>
      <c r="B54" s="35">
        <v>2015</v>
      </c>
      <c r="C54" s="29" t="s">
        <v>19</v>
      </c>
      <c r="D54" s="30">
        <v>58.2</v>
      </c>
      <c r="E54" s="28">
        <v>32</v>
      </c>
      <c r="F54" s="31">
        <v>9.85</v>
      </c>
      <c r="G54" s="28">
        <v>0</v>
      </c>
      <c r="H54" s="30">
        <v>24.5</v>
      </c>
      <c r="I54" s="32">
        <v>16</v>
      </c>
      <c r="J54" s="29"/>
      <c r="K54" s="32">
        <v>17</v>
      </c>
      <c r="L54" s="33">
        <v>1347.3130000000001</v>
      </c>
      <c r="M54" s="63">
        <v>1175389</v>
      </c>
      <c r="N54" s="31">
        <v>5.5</v>
      </c>
      <c r="O54" s="62">
        <v>0</v>
      </c>
      <c r="P54" s="35">
        <v>280</v>
      </c>
      <c r="Q54" s="35">
        <v>2.7</v>
      </c>
      <c r="R54" s="35">
        <v>1.3</v>
      </c>
      <c r="S54" s="35">
        <f t="shared" si="0"/>
        <v>0</v>
      </c>
      <c r="T54" s="35">
        <f t="shared" si="1"/>
        <v>0</v>
      </c>
      <c r="U54" s="35">
        <f t="shared" si="2"/>
        <v>0</v>
      </c>
      <c r="V54" s="95">
        <f t="shared" si="3"/>
        <v>0</v>
      </c>
    </row>
    <row r="55" spans="1:22" ht="15" customHeight="1" x14ac:dyDescent="0.25">
      <c r="A55" s="27" t="s">
        <v>77</v>
      </c>
      <c r="B55" s="35">
        <v>2015</v>
      </c>
      <c r="C55" s="29" t="s">
        <v>19</v>
      </c>
      <c r="D55" s="30">
        <v>64.7</v>
      </c>
      <c r="E55" s="28">
        <v>255</v>
      </c>
      <c r="F55" s="31">
        <v>0</v>
      </c>
      <c r="G55" s="28">
        <v>0</v>
      </c>
      <c r="H55" s="30">
        <v>18.600000000000001</v>
      </c>
      <c r="I55" s="32">
        <v>95</v>
      </c>
      <c r="J55" s="29"/>
      <c r="K55" s="32">
        <v>95</v>
      </c>
      <c r="L55" s="28">
        <v>987</v>
      </c>
      <c r="M55" s="63">
        <v>40567864</v>
      </c>
      <c r="N55" s="31">
        <v>3.9</v>
      </c>
      <c r="O55" s="62">
        <v>5.9</v>
      </c>
      <c r="P55" s="35">
        <v>30.9</v>
      </c>
      <c r="Q55" s="35">
        <v>3.3</v>
      </c>
      <c r="R55" s="35">
        <v>1.8</v>
      </c>
      <c r="S55" s="35">
        <f t="shared" si="0"/>
        <v>0</v>
      </c>
      <c r="T55" s="35">
        <f t="shared" si="1"/>
        <v>0</v>
      </c>
      <c r="U55" s="35">
        <f t="shared" si="2"/>
        <v>0</v>
      </c>
      <c r="V55" s="95">
        <f t="shared" si="3"/>
        <v>0</v>
      </c>
    </row>
    <row r="56" spans="1:22" ht="15" customHeight="1" x14ac:dyDescent="0.25">
      <c r="A56" s="27" t="s">
        <v>78</v>
      </c>
      <c r="B56" s="35">
        <v>2015</v>
      </c>
      <c r="C56" s="29" t="s">
        <v>19</v>
      </c>
      <c r="D56" s="30">
        <v>77.599999999999994</v>
      </c>
      <c r="E56" s="28">
        <v>119</v>
      </c>
      <c r="F56" s="31">
        <v>16.64</v>
      </c>
      <c r="G56" s="28">
        <v>0</v>
      </c>
      <c r="H56" s="30">
        <v>59.9</v>
      </c>
      <c r="I56" s="32">
        <v>93</v>
      </c>
      <c r="J56" s="29"/>
      <c r="K56" s="32">
        <v>93</v>
      </c>
      <c r="L56" s="33">
        <v>1774.9290000000001</v>
      </c>
      <c r="M56" s="63">
        <v>1315407</v>
      </c>
      <c r="N56" s="31">
        <v>12.7</v>
      </c>
      <c r="O56" s="62">
        <v>31.8</v>
      </c>
      <c r="P56" s="35">
        <v>1112</v>
      </c>
      <c r="Q56" s="35">
        <v>6.5</v>
      </c>
      <c r="R56" s="35">
        <v>12.2</v>
      </c>
      <c r="S56" s="35">
        <f t="shared" si="0"/>
        <v>0</v>
      </c>
      <c r="T56" s="35">
        <f t="shared" si="1"/>
        <v>0</v>
      </c>
      <c r="U56" s="35">
        <f t="shared" si="2"/>
        <v>0</v>
      </c>
      <c r="V56" s="95">
        <f t="shared" si="3"/>
        <v>0</v>
      </c>
    </row>
    <row r="57" spans="1:22" ht="15" customHeight="1" x14ac:dyDescent="0.25">
      <c r="A57" s="27" t="s">
        <v>79</v>
      </c>
      <c r="B57" s="35">
        <v>2015</v>
      </c>
      <c r="C57" s="29" t="s">
        <v>19</v>
      </c>
      <c r="D57" s="30">
        <v>64.8</v>
      </c>
      <c r="E57" s="28">
        <v>225</v>
      </c>
      <c r="F57" s="31">
        <v>1.43</v>
      </c>
      <c r="G57" s="28">
        <v>0</v>
      </c>
      <c r="H57" s="30">
        <v>17.600000000000001</v>
      </c>
      <c r="I57" s="32">
        <v>73</v>
      </c>
      <c r="J57" s="29"/>
      <c r="K57" s="32">
        <v>78</v>
      </c>
      <c r="L57" s="28">
        <v>645.46400000000006</v>
      </c>
      <c r="M57" s="63">
        <v>99873033</v>
      </c>
      <c r="N57" s="31">
        <v>2.6</v>
      </c>
      <c r="O57" s="62">
        <v>4.4000000000000004</v>
      </c>
      <c r="P57" s="35">
        <v>24.3</v>
      </c>
      <c r="Q57" s="35">
        <v>4</v>
      </c>
      <c r="R57" s="35">
        <v>6</v>
      </c>
      <c r="S57" s="35">
        <f t="shared" si="0"/>
        <v>0</v>
      </c>
      <c r="T57" s="35">
        <f t="shared" si="1"/>
        <v>0</v>
      </c>
      <c r="U57" s="35">
        <f t="shared" si="2"/>
        <v>0</v>
      </c>
      <c r="V57" s="95">
        <f t="shared" si="3"/>
        <v>0</v>
      </c>
    </row>
    <row r="58" spans="1:22" ht="15" customHeight="1" x14ac:dyDescent="0.25">
      <c r="A58" s="27" t="s">
        <v>80</v>
      </c>
      <c r="B58" s="35">
        <v>2015</v>
      </c>
      <c r="C58" s="29" t="s">
        <v>19</v>
      </c>
      <c r="D58" s="30">
        <v>69.900000000000006</v>
      </c>
      <c r="E58" s="28">
        <v>188</v>
      </c>
      <c r="F58" s="31">
        <v>2.21</v>
      </c>
      <c r="G58" s="28">
        <v>0</v>
      </c>
      <c r="H58" s="30">
        <v>62.7</v>
      </c>
      <c r="I58" s="32">
        <v>99</v>
      </c>
      <c r="J58" s="29"/>
      <c r="K58" s="32">
        <v>99</v>
      </c>
      <c r="L58" s="33">
        <v>4921.8959999999997</v>
      </c>
      <c r="M58" s="63">
        <v>892149</v>
      </c>
      <c r="N58" s="31">
        <v>10.8</v>
      </c>
      <c r="O58" s="62">
        <v>23.2</v>
      </c>
      <c r="P58" s="35">
        <v>174.9</v>
      </c>
      <c r="Q58" s="35">
        <v>3.6</v>
      </c>
      <c r="R58" s="35">
        <v>7.2</v>
      </c>
      <c r="S58" s="35">
        <f t="shared" si="0"/>
        <v>0</v>
      </c>
      <c r="T58" s="35">
        <f t="shared" si="1"/>
        <v>0</v>
      </c>
      <c r="U58" s="35">
        <f t="shared" si="2"/>
        <v>0</v>
      </c>
      <c r="V58" s="95">
        <f t="shared" si="3"/>
        <v>0</v>
      </c>
    </row>
    <row r="59" spans="1:22" ht="15" customHeight="1" x14ac:dyDescent="0.25">
      <c r="A59" s="27" t="s">
        <v>81</v>
      </c>
      <c r="B59" s="35">
        <v>2015</v>
      </c>
      <c r="C59" s="29" t="s">
        <v>19</v>
      </c>
      <c r="D59" s="30">
        <v>81.099999999999994</v>
      </c>
      <c r="E59" s="28">
        <v>76</v>
      </c>
      <c r="F59" s="31">
        <v>8.51</v>
      </c>
      <c r="G59" s="28">
        <v>0</v>
      </c>
      <c r="H59" s="30">
        <v>62.1</v>
      </c>
      <c r="I59" s="32">
        <v>97</v>
      </c>
      <c r="J59" s="29"/>
      <c r="K59" s="32">
        <v>97</v>
      </c>
      <c r="L59" s="33">
        <v>4245.3969999999999</v>
      </c>
      <c r="M59" s="63">
        <v>5479531</v>
      </c>
      <c r="N59" s="31">
        <v>12.4</v>
      </c>
      <c r="O59" s="62">
        <v>20.9</v>
      </c>
      <c r="P59" s="35">
        <v>4005.5</v>
      </c>
      <c r="Q59" s="35">
        <v>9.4</v>
      </c>
      <c r="R59" s="35">
        <v>12.8</v>
      </c>
      <c r="S59" s="35">
        <f t="shared" si="0"/>
        <v>0</v>
      </c>
      <c r="T59" s="35">
        <f t="shared" si="1"/>
        <v>0</v>
      </c>
      <c r="U59" s="35">
        <f t="shared" si="2"/>
        <v>0</v>
      </c>
      <c r="V59" s="95">
        <f t="shared" si="3"/>
        <v>0</v>
      </c>
    </row>
    <row r="60" spans="1:22" ht="15" customHeight="1" x14ac:dyDescent="0.25">
      <c r="A60" s="27" t="s">
        <v>82</v>
      </c>
      <c r="B60" s="35">
        <v>2015</v>
      </c>
      <c r="C60" s="29" t="s">
        <v>19</v>
      </c>
      <c r="D60" s="30">
        <v>82.4</v>
      </c>
      <c r="E60" s="28">
        <v>78</v>
      </c>
      <c r="F60" s="31">
        <v>11.87</v>
      </c>
      <c r="G60" s="28">
        <v>0</v>
      </c>
      <c r="H60" s="30">
        <v>62.5</v>
      </c>
      <c r="I60" s="32">
        <v>97</v>
      </c>
      <c r="J60" s="29"/>
      <c r="K60" s="32">
        <v>97</v>
      </c>
      <c r="L60" s="33">
        <v>36526.771000000001</v>
      </c>
      <c r="M60" s="63">
        <v>66593366</v>
      </c>
      <c r="N60" s="31">
        <v>11.5</v>
      </c>
      <c r="O60" s="62">
        <v>32.799999999999997</v>
      </c>
      <c r="P60" s="35">
        <v>4026.1</v>
      </c>
      <c r="Q60" s="35">
        <v>11.1</v>
      </c>
      <c r="R60" s="35">
        <v>15.3</v>
      </c>
      <c r="S60" s="35">
        <f t="shared" si="0"/>
        <v>0</v>
      </c>
      <c r="T60" s="35">
        <f t="shared" si="1"/>
        <v>0</v>
      </c>
      <c r="U60" s="35">
        <f t="shared" si="2"/>
        <v>0</v>
      </c>
      <c r="V60" s="95">
        <f t="shared" si="3"/>
        <v>0</v>
      </c>
    </row>
    <row r="61" spans="1:22" ht="15" customHeight="1" x14ac:dyDescent="0.25">
      <c r="A61" s="27" t="s">
        <v>83</v>
      </c>
      <c r="B61" s="35">
        <v>2015</v>
      </c>
      <c r="C61" s="29" t="s">
        <v>19</v>
      </c>
      <c r="D61" s="30">
        <v>66</v>
      </c>
      <c r="E61" s="28">
        <v>229</v>
      </c>
      <c r="F61" s="31">
        <v>9.5399999999999991</v>
      </c>
      <c r="G61" s="28">
        <v>0</v>
      </c>
      <c r="H61" s="30">
        <v>36.299999999999997</v>
      </c>
      <c r="I61" s="32">
        <v>80</v>
      </c>
      <c r="J61" s="29"/>
      <c r="K61" s="32">
        <v>79</v>
      </c>
      <c r="L61" s="33">
        <v>7388.9840000000004</v>
      </c>
      <c r="M61" s="63">
        <v>1930175</v>
      </c>
      <c r="N61" s="31">
        <v>8.1</v>
      </c>
      <c r="O61" s="62">
        <v>0</v>
      </c>
      <c r="P61" s="35">
        <v>197.9</v>
      </c>
      <c r="Q61" s="35">
        <v>2.7</v>
      </c>
      <c r="R61" s="35">
        <v>7</v>
      </c>
      <c r="S61" s="35">
        <f t="shared" si="0"/>
        <v>0</v>
      </c>
      <c r="T61" s="35">
        <f t="shared" si="1"/>
        <v>0</v>
      </c>
      <c r="U61" s="35">
        <f t="shared" si="2"/>
        <v>0</v>
      </c>
      <c r="V61" s="95">
        <f t="shared" si="3"/>
        <v>0</v>
      </c>
    </row>
    <row r="62" spans="1:22" ht="15" customHeight="1" x14ac:dyDescent="0.25">
      <c r="A62" s="27" t="s">
        <v>84</v>
      </c>
      <c r="B62" s="35">
        <v>2015</v>
      </c>
      <c r="C62" s="29" t="s">
        <v>19</v>
      </c>
      <c r="D62" s="30">
        <v>61.1</v>
      </c>
      <c r="E62" s="28">
        <v>262</v>
      </c>
      <c r="F62" s="31">
        <v>2.96</v>
      </c>
      <c r="G62" s="28">
        <v>0</v>
      </c>
      <c r="H62" s="30">
        <v>27.3</v>
      </c>
      <c r="I62" s="32">
        <v>97</v>
      </c>
      <c r="J62" s="29"/>
      <c r="K62" s="32">
        <v>96</v>
      </c>
      <c r="L62" s="28">
        <v>458.97</v>
      </c>
      <c r="M62" s="63">
        <v>1977590</v>
      </c>
      <c r="N62" s="31">
        <v>3.4</v>
      </c>
      <c r="O62" s="62">
        <v>15.8</v>
      </c>
      <c r="P62" s="35">
        <v>31.9</v>
      </c>
      <c r="Q62" s="35">
        <v>6.7</v>
      </c>
      <c r="R62" s="35">
        <v>10.6</v>
      </c>
      <c r="S62" s="35">
        <f t="shared" si="0"/>
        <v>0</v>
      </c>
      <c r="T62" s="35">
        <f t="shared" si="1"/>
        <v>0</v>
      </c>
      <c r="U62" s="35">
        <f t="shared" si="2"/>
        <v>0</v>
      </c>
      <c r="V62" s="95">
        <f t="shared" si="3"/>
        <v>0</v>
      </c>
    </row>
    <row r="63" spans="1:22" ht="15" customHeight="1" x14ac:dyDescent="0.25">
      <c r="A63" s="27" t="s">
        <v>85</v>
      </c>
      <c r="B63" s="35">
        <v>2015</v>
      </c>
      <c r="C63" s="29" t="s">
        <v>19</v>
      </c>
      <c r="D63" s="30">
        <v>74.400000000000006</v>
      </c>
      <c r="E63" s="28">
        <v>129</v>
      </c>
      <c r="F63" s="31">
        <v>7.44</v>
      </c>
      <c r="G63" s="28">
        <v>0</v>
      </c>
      <c r="H63" s="30">
        <v>56.2</v>
      </c>
      <c r="I63" s="32">
        <v>94</v>
      </c>
      <c r="J63" s="29"/>
      <c r="K63" s="32">
        <v>91</v>
      </c>
      <c r="L63" s="33">
        <v>3764.6489999999999</v>
      </c>
      <c r="M63" s="63">
        <v>3717100</v>
      </c>
      <c r="N63" s="31">
        <v>12.7</v>
      </c>
      <c r="O63" s="62">
        <v>28.8</v>
      </c>
      <c r="P63" s="35">
        <v>280.89999999999998</v>
      </c>
      <c r="Q63" s="35">
        <v>7.9</v>
      </c>
      <c r="R63" s="35">
        <v>10.5</v>
      </c>
      <c r="S63" s="35">
        <f t="shared" si="0"/>
        <v>0</v>
      </c>
      <c r="T63" s="35">
        <f t="shared" si="1"/>
        <v>0</v>
      </c>
      <c r="U63" s="35">
        <f t="shared" si="2"/>
        <v>0</v>
      </c>
      <c r="V63" s="95">
        <f t="shared" si="3"/>
        <v>0</v>
      </c>
    </row>
    <row r="64" spans="1:22" ht="15" customHeight="1" x14ac:dyDescent="0.25">
      <c r="A64" s="27" t="s">
        <v>86</v>
      </c>
      <c r="B64" s="35">
        <v>2015</v>
      </c>
      <c r="C64" s="29" t="s">
        <v>31</v>
      </c>
      <c r="D64" s="30">
        <v>81</v>
      </c>
      <c r="E64" s="28">
        <v>68</v>
      </c>
      <c r="F64" s="31">
        <v>11.99</v>
      </c>
      <c r="G64" s="28">
        <v>0</v>
      </c>
      <c r="H64" s="30">
        <v>62.3</v>
      </c>
      <c r="I64" s="32">
        <v>95</v>
      </c>
      <c r="J64" s="29"/>
      <c r="K64" s="32">
        <v>94</v>
      </c>
      <c r="L64" s="33">
        <v>41176.881999999998</v>
      </c>
      <c r="M64" s="63">
        <v>81686611</v>
      </c>
      <c r="N64" s="31">
        <v>14.1</v>
      </c>
      <c r="O64" s="62">
        <v>30.9</v>
      </c>
      <c r="P64" s="35">
        <v>4591.8</v>
      </c>
      <c r="Q64" s="35">
        <v>11.2</v>
      </c>
      <c r="R64" s="35">
        <v>21.4</v>
      </c>
      <c r="S64" s="35">
        <f t="shared" si="0"/>
        <v>1</v>
      </c>
      <c r="T64" s="35">
        <f t="shared" si="1"/>
        <v>68</v>
      </c>
      <c r="U64" s="35">
        <f t="shared" si="2"/>
        <v>62.3</v>
      </c>
      <c r="V64" s="95">
        <f t="shared" si="3"/>
        <v>14.1</v>
      </c>
    </row>
    <row r="65" spans="1:22" ht="15" customHeight="1" x14ac:dyDescent="0.25">
      <c r="A65" s="27" t="s">
        <v>87</v>
      </c>
      <c r="B65" s="35">
        <v>2015</v>
      </c>
      <c r="C65" s="29" t="s">
        <v>19</v>
      </c>
      <c r="D65" s="30">
        <v>62.4</v>
      </c>
      <c r="E65" s="28">
        <v>249</v>
      </c>
      <c r="F65" s="31">
        <v>1.56</v>
      </c>
      <c r="G65" s="28">
        <v>0</v>
      </c>
      <c r="H65" s="30">
        <v>28.6</v>
      </c>
      <c r="I65" s="32">
        <v>88</v>
      </c>
      <c r="J65" s="29"/>
      <c r="K65" s="32">
        <v>88</v>
      </c>
      <c r="L65" s="33">
        <v>1361.114</v>
      </c>
      <c r="M65" s="63">
        <v>27582821</v>
      </c>
      <c r="N65" s="31">
        <v>6.9</v>
      </c>
      <c r="O65" s="62">
        <v>4</v>
      </c>
      <c r="P65" s="35">
        <v>79.599999999999994</v>
      </c>
      <c r="Q65" s="35">
        <v>5.9</v>
      </c>
      <c r="R65" s="35">
        <v>7.1</v>
      </c>
      <c r="S65" s="35">
        <f t="shared" si="0"/>
        <v>0</v>
      </c>
      <c r="T65" s="35">
        <f t="shared" si="1"/>
        <v>0</v>
      </c>
      <c r="U65" s="35">
        <f t="shared" si="2"/>
        <v>0</v>
      </c>
      <c r="V65" s="95">
        <f t="shared" si="3"/>
        <v>0</v>
      </c>
    </row>
    <row r="66" spans="1:22" ht="15" customHeight="1" x14ac:dyDescent="0.25">
      <c r="A66" s="27" t="s">
        <v>88</v>
      </c>
      <c r="B66" s="35">
        <v>2015</v>
      </c>
      <c r="C66" s="29" t="s">
        <v>19</v>
      </c>
      <c r="D66" s="30">
        <v>81</v>
      </c>
      <c r="E66" s="28">
        <v>72</v>
      </c>
      <c r="F66" s="31">
        <v>6.64</v>
      </c>
      <c r="G66" s="28">
        <v>0</v>
      </c>
      <c r="H66" s="30">
        <v>66.5</v>
      </c>
      <c r="I66" s="32">
        <v>99</v>
      </c>
      <c r="J66" s="29"/>
      <c r="K66" s="32">
        <v>99</v>
      </c>
      <c r="L66" s="28">
        <v>187.79</v>
      </c>
      <c r="M66" s="63">
        <v>10820883</v>
      </c>
      <c r="N66" s="31">
        <v>10.6</v>
      </c>
      <c r="O66" s="62">
        <v>43.8</v>
      </c>
      <c r="P66" s="35">
        <v>1504.8</v>
      </c>
      <c r="Q66" s="35">
        <v>8.4</v>
      </c>
      <c r="R66" s="35">
        <v>9.1</v>
      </c>
      <c r="S66" s="35">
        <f t="shared" si="0"/>
        <v>0</v>
      </c>
      <c r="T66" s="35">
        <f t="shared" si="1"/>
        <v>0</v>
      </c>
      <c r="U66" s="35">
        <f t="shared" si="2"/>
        <v>0</v>
      </c>
      <c r="V66" s="95">
        <f t="shared" si="3"/>
        <v>0</v>
      </c>
    </row>
    <row r="67" spans="1:22" ht="15" customHeight="1" x14ac:dyDescent="0.25">
      <c r="A67" s="27" t="s">
        <v>89</v>
      </c>
      <c r="B67" s="35">
        <v>2015</v>
      </c>
      <c r="C67" s="29" t="s">
        <v>19</v>
      </c>
      <c r="D67" s="30">
        <v>73.599999999999994</v>
      </c>
      <c r="E67" s="28">
        <v>142</v>
      </c>
      <c r="F67" s="31">
        <v>8.67</v>
      </c>
      <c r="G67" s="28">
        <v>0</v>
      </c>
      <c r="H67" s="30">
        <v>48.4</v>
      </c>
      <c r="I67" s="32">
        <v>92</v>
      </c>
      <c r="J67" s="29"/>
      <c r="K67" s="32">
        <v>99</v>
      </c>
      <c r="L67" s="33">
        <v>9212.1929999999993</v>
      </c>
      <c r="M67" s="63">
        <v>56114</v>
      </c>
      <c r="N67" s="31">
        <v>8.6999999999999993</v>
      </c>
      <c r="O67" s="62">
        <v>0</v>
      </c>
      <c r="P67" s="35">
        <v>460.3</v>
      </c>
      <c r="Q67" s="35">
        <v>5</v>
      </c>
      <c r="R67" s="35">
        <v>7.4</v>
      </c>
      <c r="S67" s="35">
        <f t="shared" ref="S67:S130" si="4">IF(C67="Developing",0,1)</f>
        <v>0</v>
      </c>
      <c r="T67" s="35">
        <f t="shared" ref="T67:T130" si="5">S67*E67</f>
        <v>0</v>
      </c>
      <c r="U67" s="35">
        <f t="shared" ref="U67:U130" si="6">S67*H67</f>
        <v>0</v>
      </c>
      <c r="V67" s="95">
        <f t="shared" ref="V67:V130" si="7">S67*N67</f>
        <v>0</v>
      </c>
    </row>
    <row r="68" spans="1:22" ht="15" customHeight="1" x14ac:dyDescent="0.25">
      <c r="A68" s="27" t="s">
        <v>90</v>
      </c>
      <c r="B68" s="35">
        <v>2015</v>
      </c>
      <c r="C68" s="29" t="s">
        <v>19</v>
      </c>
      <c r="D68" s="30">
        <v>71.900000000000006</v>
      </c>
      <c r="E68" s="28">
        <v>186</v>
      </c>
      <c r="F68" s="31">
        <v>1.62</v>
      </c>
      <c r="G68" s="28">
        <v>0</v>
      </c>
      <c r="H68" s="30">
        <v>5.6</v>
      </c>
      <c r="I68" s="32">
        <v>74</v>
      </c>
      <c r="J68" s="29"/>
      <c r="K68" s="32">
        <v>90</v>
      </c>
      <c r="L68" s="33">
        <v>3923.5729999999999</v>
      </c>
      <c r="M68" s="63">
        <v>16252429</v>
      </c>
      <c r="N68" s="31">
        <v>6.3</v>
      </c>
      <c r="O68" s="62">
        <v>0</v>
      </c>
      <c r="P68" s="35">
        <v>224.4</v>
      </c>
      <c r="Q68" s="35">
        <v>5.7</v>
      </c>
      <c r="R68" s="35">
        <v>14.9</v>
      </c>
      <c r="S68" s="35">
        <f t="shared" si="4"/>
        <v>0</v>
      </c>
      <c r="T68" s="35">
        <f t="shared" si="5"/>
        <v>0</v>
      </c>
      <c r="U68" s="35">
        <f t="shared" si="6"/>
        <v>0</v>
      </c>
      <c r="V68" s="95">
        <f t="shared" si="7"/>
        <v>0</v>
      </c>
    </row>
    <row r="69" spans="1:22" ht="15" customHeight="1" x14ac:dyDescent="0.25">
      <c r="A69" s="27" t="s">
        <v>91</v>
      </c>
      <c r="B69" s="35">
        <v>2015</v>
      </c>
      <c r="C69" s="29" t="s">
        <v>19</v>
      </c>
      <c r="D69" s="30">
        <v>59</v>
      </c>
      <c r="E69" s="28">
        <v>284</v>
      </c>
      <c r="F69" s="31">
        <v>0.34</v>
      </c>
      <c r="G69" s="28">
        <v>0</v>
      </c>
      <c r="H69" s="30">
        <v>23.3</v>
      </c>
      <c r="I69" s="32">
        <v>45</v>
      </c>
      <c r="J69" s="29"/>
      <c r="K69" s="32">
        <v>45</v>
      </c>
      <c r="L69" s="28">
        <v>554.48800000000006</v>
      </c>
      <c r="M69" s="63">
        <v>12091533</v>
      </c>
      <c r="N69" s="31">
        <v>2.6</v>
      </c>
      <c r="O69" s="62">
        <v>0</v>
      </c>
      <c r="P69" s="35">
        <v>25.1</v>
      </c>
      <c r="Q69" s="35">
        <v>4.5</v>
      </c>
      <c r="R69" s="35">
        <v>2.7</v>
      </c>
      <c r="S69" s="35">
        <f t="shared" si="4"/>
        <v>0</v>
      </c>
      <c r="T69" s="35">
        <f t="shared" si="5"/>
        <v>0</v>
      </c>
      <c r="U69" s="35">
        <f t="shared" si="6"/>
        <v>0</v>
      </c>
      <c r="V69" s="95">
        <f t="shared" si="7"/>
        <v>0</v>
      </c>
    </row>
    <row r="70" spans="1:22" ht="15" customHeight="1" x14ac:dyDescent="0.25">
      <c r="A70" s="27" t="s">
        <v>92</v>
      </c>
      <c r="B70" s="35">
        <v>2015</v>
      </c>
      <c r="C70" s="29" t="s">
        <v>19</v>
      </c>
      <c r="D70" s="30">
        <v>58.9</v>
      </c>
      <c r="E70" s="28">
        <v>275</v>
      </c>
      <c r="F70" s="31">
        <v>2.81</v>
      </c>
      <c r="G70" s="28">
        <v>0</v>
      </c>
      <c r="H70" s="30">
        <v>26.3</v>
      </c>
      <c r="I70" s="32">
        <v>87</v>
      </c>
      <c r="J70" s="29"/>
      <c r="K70" s="32">
        <v>87</v>
      </c>
      <c r="L70" s="28">
        <v>596.87199999999996</v>
      </c>
      <c r="M70" s="63">
        <v>1770526</v>
      </c>
      <c r="N70" s="31">
        <v>2.9</v>
      </c>
      <c r="O70" s="62">
        <v>0</v>
      </c>
      <c r="P70" s="35">
        <v>39.5</v>
      </c>
      <c r="Q70" s="35">
        <v>6.9</v>
      </c>
      <c r="R70" s="35">
        <v>9.5</v>
      </c>
      <c r="S70" s="35">
        <f t="shared" si="4"/>
        <v>0</v>
      </c>
      <c r="T70" s="35">
        <f t="shared" si="5"/>
        <v>0</v>
      </c>
      <c r="U70" s="35">
        <f t="shared" si="6"/>
        <v>0</v>
      </c>
      <c r="V70" s="95">
        <f t="shared" si="7"/>
        <v>0</v>
      </c>
    </row>
    <row r="71" spans="1:22" ht="15" customHeight="1" x14ac:dyDescent="0.25">
      <c r="A71" s="27" t="s">
        <v>93</v>
      </c>
      <c r="B71" s="35">
        <v>2015</v>
      </c>
      <c r="C71" s="29" t="s">
        <v>19</v>
      </c>
      <c r="D71" s="30">
        <v>66.2</v>
      </c>
      <c r="E71" s="28">
        <v>215</v>
      </c>
      <c r="F71" s="31">
        <v>4.75</v>
      </c>
      <c r="G71" s="28">
        <v>0</v>
      </c>
      <c r="H71" s="30">
        <v>46.7</v>
      </c>
      <c r="I71" s="32">
        <v>95</v>
      </c>
      <c r="J71" s="29"/>
      <c r="K71" s="32">
        <v>92</v>
      </c>
      <c r="L71" s="33">
        <v>4136.6899999999996</v>
      </c>
      <c r="M71" s="63">
        <v>768514</v>
      </c>
      <c r="N71" s="31">
        <v>8.4</v>
      </c>
      <c r="O71" s="62">
        <v>0</v>
      </c>
      <c r="P71" s="35">
        <v>184.5</v>
      </c>
      <c r="Q71" s="35">
        <v>4.5</v>
      </c>
      <c r="R71" s="35">
        <v>7.8</v>
      </c>
      <c r="S71" s="35">
        <f t="shared" si="4"/>
        <v>0</v>
      </c>
      <c r="T71" s="35">
        <f t="shared" si="5"/>
        <v>0</v>
      </c>
      <c r="U71" s="35">
        <f t="shared" si="6"/>
        <v>0</v>
      </c>
      <c r="V71" s="95">
        <f t="shared" si="7"/>
        <v>0</v>
      </c>
    </row>
    <row r="72" spans="1:22" ht="15" customHeight="1" x14ac:dyDescent="0.25">
      <c r="A72" s="27" t="s">
        <v>94</v>
      </c>
      <c r="B72" s="35">
        <v>2015</v>
      </c>
      <c r="C72" s="29" t="s">
        <v>19</v>
      </c>
      <c r="D72" s="30">
        <v>63.5</v>
      </c>
      <c r="E72" s="28">
        <v>24</v>
      </c>
      <c r="F72" s="31">
        <v>5.81</v>
      </c>
      <c r="G72" s="28">
        <v>0</v>
      </c>
      <c r="H72" s="30">
        <v>49.9</v>
      </c>
      <c r="I72" s="32">
        <v>60</v>
      </c>
      <c r="J72" s="29"/>
      <c r="K72" s="32">
        <v>56</v>
      </c>
      <c r="L72" s="28">
        <v>814.54600000000005</v>
      </c>
      <c r="M72" s="63">
        <v>10711061</v>
      </c>
      <c r="N72" s="31">
        <v>5.2</v>
      </c>
      <c r="O72" s="62">
        <v>12.7</v>
      </c>
      <c r="P72" s="35">
        <v>53.6</v>
      </c>
      <c r="Q72" s="35">
        <v>6.9</v>
      </c>
      <c r="R72" s="35">
        <v>3.3</v>
      </c>
      <c r="S72" s="35">
        <f t="shared" si="4"/>
        <v>0</v>
      </c>
      <c r="T72" s="35">
        <f t="shared" si="5"/>
        <v>0</v>
      </c>
      <c r="U72" s="35">
        <f t="shared" si="6"/>
        <v>0</v>
      </c>
      <c r="V72" s="95">
        <f t="shared" si="7"/>
        <v>0</v>
      </c>
    </row>
    <row r="73" spans="1:22" ht="15" customHeight="1" x14ac:dyDescent="0.25">
      <c r="A73" s="27" t="s">
        <v>95</v>
      </c>
      <c r="B73" s="35">
        <v>2015</v>
      </c>
      <c r="C73" s="29" t="s">
        <v>19</v>
      </c>
      <c r="D73" s="30">
        <v>74.599999999999994</v>
      </c>
      <c r="E73" s="28">
        <v>147</v>
      </c>
      <c r="F73" s="31">
        <v>2.84</v>
      </c>
      <c r="G73" s="28">
        <v>0</v>
      </c>
      <c r="H73" s="30">
        <v>51</v>
      </c>
      <c r="I73" s="32">
        <v>97</v>
      </c>
      <c r="J73" s="29"/>
      <c r="K73" s="32">
        <v>97</v>
      </c>
      <c r="L73" s="33">
        <v>2326.1590000000001</v>
      </c>
      <c r="M73" s="63">
        <v>8960829</v>
      </c>
      <c r="N73" s="31">
        <v>6.3</v>
      </c>
      <c r="O73" s="62">
        <v>2.1</v>
      </c>
      <c r="P73" s="35">
        <v>176.6</v>
      </c>
      <c r="Q73" s="35">
        <v>7.6</v>
      </c>
      <c r="R73" s="35">
        <v>11.3</v>
      </c>
      <c r="S73" s="35">
        <f t="shared" si="4"/>
        <v>0</v>
      </c>
      <c r="T73" s="35">
        <f t="shared" si="5"/>
        <v>0</v>
      </c>
      <c r="U73" s="35">
        <f t="shared" si="6"/>
        <v>0</v>
      </c>
      <c r="V73" s="95">
        <f t="shared" si="7"/>
        <v>0</v>
      </c>
    </row>
    <row r="74" spans="1:22" ht="15" customHeight="1" x14ac:dyDescent="0.25">
      <c r="A74" s="27" t="s">
        <v>96</v>
      </c>
      <c r="B74" s="35">
        <v>2015</v>
      </c>
      <c r="C74" s="29" t="s">
        <v>31</v>
      </c>
      <c r="D74" s="30">
        <v>75.8</v>
      </c>
      <c r="E74" s="28">
        <v>134</v>
      </c>
      <c r="F74" s="31">
        <v>10.9</v>
      </c>
      <c r="G74" s="28">
        <v>0</v>
      </c>
      <c r="H74" s="30">
        <v>64.8</v>
      </c>
      <c r="I74" s="32">
        <v>99</v>
      </c>
      <c r="J74" s="29"/>
      <c r="K74" s="32">
        <v>99</v>
      </c>
      <c r="L74" s="33">
        <v>12365.626</v>
      </c>
      <c r="M74" s="63">
        <v>9843028</v>
      </c>
      <c r="N74" s="31">
        <v>11.8</v>
      </c>
      <c r="O74" s="62">
        <v>31.1</v>
      </c>
      <c r="P74" s="35">
        <v>893.7</v>
      </c>
      <c r="Q74" s="35">
        <v>7.2</v>
      </c>
      <c r="R74" s="35">
        <v>9.6999999999999993</v>
      </c>
      <c r="S74" s="35">
        <f t="shared" si="4"/>
        <v>1</v>
      </c>
      <c r="T74" s="35">
        <f t="shared" si="5"/>
        <v>134</v>
      </c>
      <c r="U74" s="35">
        <f t="shared" si="6"/>
        <v>64.8</v>
      </c>
      <c r="V74" s="95">
        <f t="shared" si="7"/>
        <v>11.8</v>
      </c>
    </row>
    <row r="75" spans="1:22" ht="15" customHeight="1" x14ac:dyDescent="0.25">
      <c r="A75" s="27" t="s">
        <v>97</v>
      </c>
      <c r="B75" s="35">
        <v>2015</v>
      </c>
      <c r="C75" s="29" t="s">
        <v>31</v>
      </c>
      <c r="D75" s="30">
        <v>82.7</v>
      </c>
      <c r="E75" s="28">
        <v>49</v>
      </c>
      <c r="F75" s="31">
        <v>7.66</v>
      </c>
      <c r="G75" s="28">
        <v>0</v>
      </c>
      <c r="H75" s="30">
        <v>61</v>
      </c>
      <c r="I75" s="32">
        <v>92</v>
      </c>
      <c r="J75" s="29"/>
      <c r="K75" s="32">
        <v>92</v>
      </c>
      <c r="L75" s="33">
        <v>5734.4440000000004</v>
      </c>
      <c r="M75" s="63">
        <v>330815</v>
      </c>
      <c r="N75" s="31">
        <v>12.2</v>
      </c>
      <c r="O75" s="62">
        <v>15.4</v>
      </c>
      <c r="P75" s="35">
        <v>4375.3999999999996</v>
      </c>
      <c r="Q75" s="35">
        <v>8.6</v>
      </c>
      <c r="R75" s="35">
        <v>16.399999999999999</v>
      </c>
      <c r="S75" s="35">
        <f t="shared" si="4"/>
        <v>1</v>
      </c>
      <c r="T75" s="35">
        <f t="shared" si="5"/>
        <v>49</v>
      </c>
      <c r="U75" s="35">
        <f t="shared" si="6"/>
        <v>61</v>
      </c>
      <c r="V75" s="95">
        <f t="shared" si="7"/>
        <v>12.2</v>
      </c>
    </row>
    <row r="76" spans="1:22" ht="15" customHeight="1" x14ac:dyDescent="0.25">
      <c r="A76" s="27" t="s">
        <v>98</v>
      </c>
      <c r="B76" s="35">
        <v>2015</v>
      </c>
      <c r="C76" s="29" t="s">
        <v>19</v>
      </c>
      <c r="D76" s="30">
        <v>68.3</v>
      </c>
      <c r="E76" s="28">
        <v>181</v>
      </c>
      <c r="F76" s="31">
        <v>3</v>
      </c>
      <c r="G76" s="28">
        <v>0</v>
      </c>
      <c r="H76" s="30">
        <v>18.7</v>
      </c>
      <c r="I76" s="32">
        <v>87</v>
      </c>
      <c r="J76" s="29"/>
      <c r="K76" s="32">
        <v>86</v>
      </c>
      <c r="L76" s="33">
        <v>1613.1890000000001</v>
      </c>
      <c r="M76" s="63">
        <v>1309053980</v>
      </c>
      <c r="N76" s="31">
        <v>6.3</v>
      </c>
      <c r="O76" s="62">
        <v>11.9</v>
      </c>
      <c r="P76" s="35">
        <v>63.3</v>
      </c>
      <c r="Q76" s="35">
        <v>3.9</v>
      </c>
      <c r="R76" s="35">
        <v>3.4</v>
      </c>
      <c r="S76" s="35">
        <f t="shared" si="4"/>
        <v>0</v>
      </c>
      <c r="T76" s="35">
        <f t="shared" si="5"/>
        <v>0</v>
      </c>
      <c r="U76" s="35">
        <f t="shared" si="6"/>
        <v>0</v>
      </c>
      <c r="V76" s="95">
        <f t="shared" si="7"/>
        <v>0</v>
      </c>
    </row>
    <row r="77" spans="1:22" ht="15" customHeight="1" x14ac:dyDescent="0.25">
      <c r="A77" s="27" t="s">
        <v>99</v>
      </c>
      <c r="B77" s="35">
        <v>2015</v>
      </c>
      <c r="C77" s="29" t="s">
        <v>19</v>
      </c>
      <c r="D77" s="30">
        <v>69.099999999999994</v>
      </c>
      <c r="E77" s="28">
        <v>176</v>
      </c>
      <c r="F77" s="31">
        <v>0.28000000000000003</v>
      </c>
      <c r="G77" s="28">
        <v>0</v>
      </c>
      <c r="H77" s="30">
        <v>27.4</v>
      </c>
      <c r="I77" s="32">
        <v>78</v>
      </c>
      <c r="J77" s="29"/>
      <c r="K77" s="32">
        <v>80</v>
      </c>
      <c r="L77" s="33">
        <v>3336.1669999999999</v>
      </c>
      <c r="M77" s="63">
        <v>258162113</v>
      </c>
      <c r="N77" s="31">
        <v>7.9</v>
      </c>
      <c r="O77" s="62">
        <v>39</v>
      </c>
      <c r="P77" s="35">
        <v>111.8</v>
      </c>
      <c r="Q77" s="35">
        <v>3.3</v>
      </c>
      <c r="R77" s="35">
        <v>7.4</v>
      </c>
      <c r="S77" s="35">
        <f t="shared" si="4"/>
        <v>0</v>
      </c>
      <c r="T77" s="35">
        <f t="shared" si="5"/>
        <v>0</v>
      </c>
      <c r="U77" s="35">
        <f t="shared" si="6"/>
        <v>0</v>
      </c>
      <c r="V77" s="95">
        <f t="shared" si="7"/>
        <v>0</v>
      </c>
    </row>
    <row r="78" spans="1:22" ht="15" customHeight="1" x14ac:dyDescent="0.25">
      <c r="A78" s="27" t="s">
        <v>100</v>
      </c>
      <c r="B78" s="35">
        <v>2015</v>
      </c>
      <c r="C78" s="29" t="s">
        <v>19</v>
      </c>
      <c r="D78" s="30">
        <v>75.5</v>
      </c>
      <c r="E78" s="28">
        <v>83</v>
      </c>
      <c r="F78" s="31">
        <v>0.01</v>
      </c>
      <c r="G78" s="28">
        <v>0</v>
      </c>
      <c r="H78" s="30">
        <v>59.7</v>
      </c>
      <c r="I78" s="32">
        <v>98</v>
      </c>
      <c r="J78" s="29"/>
      <c r="K78" s="32">
        <v>98</v>
      </c>
      <c r="L78" s="33">
        <v>4862.3</v>
      </c>
      <c r="M78" s="63">
        <v>79360487</v>
      </c>
      <c r="N78" s="31">
        <v>9.8000000000000007</v>
      </c>
      <c r="O78" s="62">
        <v>11.3</v>
      </c>
      <c r="P78" s="35">
        <v>366</v>
      </c>
      <c r="Q78" s="35">
        <v>7.6</v>
      </c>
      <c r="R78" s="35">
        <v>22.6</v>
      </c>
      <c r="S78" s="35">
        <f t="shared" si="4"/>
        <v>0</v>
      </c>
      <c r="T78" s="35">
        <f t="shared" si="5"/>
        <v>0</v>
      </c>
      <c r="U78" s="35">
        <f t="shared" si="6"/>
        <v>0</v>
      </c>
      <c r="V78" s="95">
        <f t="shared" si="7"/>
        <v>0</v>
      </c>
    </row>
    <row r="79" spans="1:22" ht="15" customHeight="1" x14ac:dyDescent="0.25">
      <c r="A79" s="27" t="s">
        <v>101</v>
      </c>
      <c r="B79" s="35">
        <v>2015</v>
      </c>
      <c r="C79" s="29" t="s">
        <v>19</v>
      </c>
      <c r="D79" s="30">
        <v>68.900000000000006</v>
      </c>
      <c r="E79" s="28">
        <v>182</v>
      </c>
      <c r="F79" s="31">
        <v>0.17</v>
      </c>
      <c r="G79" s="28">
        <v>0</v>
      </c>
      <c r="H79" s="30">
        <v>59.1</v>
      </c>
      <c r="I79" s="32">
        <v>58</v>
      </c>
      <c r="J79" s="29"/>
      <c r="K79" s="32">
        <v>63</v>
      </c>
      <c r="L79" s="33">
        <v>4974.2690000000002</v>
      </c>
      <c r="M79" s="63">
        <v>36115649</v>
      </c>
      <c r="N79" s="31">
        <v>6.6</v>
      </c>
      <c r="O79" s="62">
        <v>0</v>
      </c>
      <c r="P79" s="35">
        <v>154.5</v>
      </c>
      <c r="Q79" s="35">
        <v>3.4</v>
      </c>
      <c r="R79" s="35">
        <v>1.7</v>
      </c>
      <c r="S79" s="35">
        <f t="shared" si="4"/>
        <v>0</v>
      </c>
      <c r="T79" s="35">
        <f t="shared" si="5"/>
        <v>0</v>
      </c>
      <c r="U79" s="35">
        <f t="shared" si="6"/>
        <v>0</v>
      </c>
      <c r="V79" s="95">
        <f t="shared" si="7"/>
        <v>0</v>
      </c>
    </row>
    <row r="80" spans="1:22" ht="15" customHeight="1" x14ac:dyDescent="0.25">
      <c r="A80" s="27" t="s">
        <v>102</v>
      </c>
      <c r="B80" s="35">
        <v>2015</v>
      </c>
      <c r="C80" s="29" t="s">
        <v>31</v>
      </c>
      <c r="D80" s="30">
        <v>81.400000000000006</v>
      </c>
      <c r="E80" s="28">
        <v>64</v>
      </c>
      <c r="F80" s="31">
        <v>10.93</v>
      </c>
      <c r="G80" s="28">
        <v>0</v>
      </c>
      <c r="H80" s="30">
        <v>62.8</v>
      </c>
      <c r="I80" s="32">
        <v>95</v>
      </c>
      <c r="J80" s="29"/>
      <c r="K80" s="32">
        <v>95</v>
      </c>
      <c r="L80" s="33">
        <v>6664.1440000000002</v>
      </c>
      <c r="M80" s="63">
        <v>4701957</v>
      </c>
      <c r="N80" s="31">
        <v>12.3</v>
      </c>
      <c r="O80" s="62">
        <v>25</v>
      </c>
      <c r="P80" s="35">
        <v>4757.1000000000004</v>
      </c>
      <c r="Q80" s="35">
        <v>7.8</v>
      </c>
      <c r="R80" s="35">
        <v>18.399999999999999</v>
      </c>
      <c r="S80" s="35">
        <f t="shared" si="4"/>
        <v>1</v>
      </c>
      <c r="T80" s="35">
        <f t="shared" si="5"/>
        <v>64</v>
      </c>
      <c r="U80" s="35">
        <f t="shared" si="6"/>
        <v>62.8</v>
      </c>
      <c r="V80" s="95">
        <f t="shared" si="7"/>
        <v>12.3</v>
      </c>
    </row>
    <row r="81" spans="1:22" ht="15" customHeight="1" x14ac:dyDescent="0.25">
      <c r="A81" s="27" t="s">
        <v>103</v>
      </c>
      <c r="B81" s="35">
        <v>2015</v>
      </c>
      <c r="C81" s="29" t="s">
        <v>19</v>
      </c>
      <c r="D81" s="30">
        <v>82.5</v>
      </c>
      <c r="E81" s="28">
        <v>58</v>
      </c>
      <c r="F81" s="31">
        <v>2.61</v>
      </c>
      <c r="G81" s="28">
        <v>0</v>
      </c>
      <c r="H81" s="30">
        <v>64.900000000000006</v>
      </c>
      <c r="I81" s="32">
        <v>95</v>
      </c>
      <c r="J81" s="29"/>
      <c r="K81" s="32">
        <v>95</v>
      </c>
      <c r="L81" s="33">
        <v>35729.373</v>
      </c>
      <c r="M81" s="63">
        <v>8380100</v>
      </c>
      <c r="N81" s="31">
        <v>13</v>
      </c>
      <c r="O81" s="62">
        <v>25.6</v>
      </c>
      <c r="P81" s="35">
        <v>2756.1</v>
      </c>
      <c r="Q81" s="35">
        <v>7.4</v>
      </c>
      <c r="R81" s="35" t="s">
        <v>25</v>
      </c>
      <c r="S81" s="35">
        <f t="shared" si="4"/>
        <v>0</v>
      </c>
      <c r="T81" s="35">
        <f t="shared" si="5"/>
        <v>0</v>
      </c>
      <c r="U81" s="35">
        <f t="shared" si="6"/>
        <v>0</v>
      </c>
      <c r="V81" s="95">
        <f t="shared" si="7"/>
        <v>0</v>
      </c>
    </row>
    <row r="82" spans="1:22" ht="15" customHeight="1" x14ac:dyDescent="0.25">
      <c r="A82" s="27" t="s">
        <v>104</v>
      </c>
      <c r="B82" s="35">
        <v>2015</v>
      </c>
      <c r="C82" s="29" t="s">
        <v>31</v>
      </c>
      <c r="D82" s="30">
        <v>82.7</v>
      </c>
      <c r="E82" s="28">
        <v>56</v>
      </c>
      <c r="F82" s="31">
        <v>7.14</v>
      </c>
      <c r="G82" s="28">
        <v>0</v>
      </c>
      <c r="H82" s="30">
        <v>63.6</v>
      </c>
      <c r="I82" s="32">
        <v>93</v>
      </c>
      <c r="J82" s="29"/>
      <c r="K82" s="32">
        <v>93</v>
      </c>
      <c r="L82" s="28">
        <v>349.14800000000002</v>
      </c>
      <c r="M82" s="63">
        <v>60730582</v>
      </c>
      <c r="N82" s="31">
        <v>10.199999999999999</v>
      </c>
      <c r="O82" s="62">
        <v>23.8</v>
      </c>
      <c r="P82" s="35">
        <v>2700.4</v>
      </c>
      <c r="Q82" s="35">
        <v>9</v>
      </c>
      <c r="R82" s="35">
        <v>13.4</v>
      </c>
      <c r="S82" s="35">
        <f t="shared" si="4"/>
        <v>1</v>
      </c>
      <c r="T82" s="35">
        <f t="shared" si="5"/>
        <v>56</v>
      </c>
      <c r="U82" s="35">
        <f t="shared" si="6"/>
        <v>63.6</v>
      </c>
      <c r="V82" s="95">
        <f t="shared" si="7"/>
        <v>10.199999999999999</v>
      </c>
    </row>
    <row r="83" spans="1:22" ht="15" customHeight="1" x14ac:dyDescent="0.25">
      <c r="A83" s="27" t="s">
        <v>105</v>
      </c>
      <c r="B83" s="35">
        <v>2015</v>
      </c>
      <c r="C83" s="29" t="s">
        <v>19</v>
      </c>
      <c r="D83" s="30">
        <v>76.2</v>
      </c>
      <c r="E83" s="28">
        <v>125</v>
      </c>
      <c r="F83" s="31">
        <v>3.33</v>
      </c>
      <c r="G83" s="28">
        <v>0</v>
      </c>
      <c r="H83" s="30">
        <v>54.2</v>
      </c>
      <c r="I83" s="32">
        <v>91</v>
      </c>
      <c r="J83" s="29"/>
      <c r="K83" s="32">
        <v>91</v>
      </c>
      <c r="L83" s="33">
        <v>4965.99</v>
      </c>
      <c r="M83" s="63">
        <v>2871934</v>
      </c>
      <c r="N83" s="31">
        <v>9.6</v>
      </c>
      <c r="O83" s="62">
        <v>16.8</v>
      </c>
      <c r="P83" s="35">
        <v>294.3</v>
      </c>
      <c r="Q83" s="35">
        <v>5.9</v>
      </c>
      <c r="R83" s="35">
        <v>12.6</v>
      </c>
      <c r="S83" s="35">
        <f t="shared" si="4"/>
        <v>0</v>
      </c>
      <c r="T83" s="35">
        <f t="shared" si="5"/>
        <v>0</v>
      </c>
      <c r="U83" s="35">
        <f t="shared" si="6"/>
        <v>0</v>
      </c>
      <c r="V83" s="95">
        <f t="shared" si="7"/>
        <v>0</v>
      </c>
    </row>
    <row r="84" spans="1:22" ht="15" customHeight="1" x14ac:dyDescent="0.25">
      <c r="A84" s="27" t="s">
        <v>106</v>
      </c>
      <c r="B84" s="35">
        <v>2015</v>
      </c>
      <c r="C84" s="29" t="s">
        <v>31</v>
      </c>
      <c r="D84" s="30">
        <v>83.7</v>
      </c>
      <c r="E84" s="28">
        <v>55</v>
      </c>
      <c r="F84" s="31">
        <v>6.86</v>
      </c>
      <c r="G84" s="28">
        <v>0</v>
      </c>
      <c r="H84" s="30">
        <v>29</v>
      </c>
      <c r="I84" s="32">
        <v>96</v>
      </c>
      <c r="J84" s="29"/>
      <c r="K84" s="32">
        <v>99</v>
      </c>
      <c r="L84" s="33">
        <v>34474.137000000002</v>
      </c>
      <c r="M84" s="63">
        <v>127141000</v>
      </c>
      <c r="N84" s="31">
        <v>12.5</v>
      </c>
      <c r="O84" s="62">
        <v>22.6</v>
      </c>
      <c r="P84" s="35">
        <v>3732.6</v>
      </c>
      <c r="Q84" s="35">
        <v>10.9</v>
      </c>
      <c r="R84" s="35">
        <v>22.950399999999998</v>
      </c>
      <c r="S84" s="35">
        <f t="shared" si="4"/>
        <v>1</v>
      </c>
      <c r="T84" s="35">
        <f t="shared" si="5"/>
        <v>55</v>
      </c>
      <c r="U84" s="35">
        <f t="shared" si="6"/>
        <v>29</v>
      </c>
      <c r="V84" s="95">
        <f t="shared" si="7"/>
        <v>12.5</v>
      </c>
    </row>
    <row r="85" spans="1:22" ht="15" customHeight="1" x14ac:dyDescent="0.25">
      <c r="A85" s="27" t="s">
        <v>107</v>
      </c>
      <c r="B85" s="35">
        <v>2015</v>
      </c>
      <c r="C85" s="29" t="s">
        <v>19</v>
      </c>
      <c r="D85" s="30">
        <v>74.099999999999994</v>
      </c>
      <c r="E85" s="28">
        <v>112</v>
      </c>
      <c r="F85" s="31">
        <v>0.37</v>
      </c>
      <c r="G85" s="28">
        <v>0</v>
      </c>
      <c r="H85" s="30">
        <v>65.599999999999994</v>
      </c>
      <c r="I85" s="32">
        <v>99</v>
      </c>
      <c r="J85" s="29"/>
      <c r="K85" s="32">
        <v>99</v>
      </c>
      <c r="L85" s="28">
        <v>496.99299999999999</v>
      </c>
      <c r="M85" s="63">
        <v>9159302</v>
      </c>
      <c r="N85" s="31">
        <v>10.3</v>
      </c>
      <c r="O85" s="62">
        <v>0</v>
      </c>
      <c r="P85" s="35">
        <v>257.39999999999998</v>
      </c>
      <c r="Q85" s="35">
        <v>6.3</v>
      </c>
      <c r="R85" s="35">
        <v>12.4</v>
      </c>
      <c r="S85" s="35">
        <f t="shared" si="4"/>
        <v>0</v>
      </c>
      <c r="T85" s="35">
        <f t="shared" si="5"/>
        <v>0</v>
      </c>
      <c r="U85" s="35">
        <f t="shared" si="6"/>
        <v>0</v>
      </c>
      <c r="V85" s="95">
        <f t="shared" si="7"/>
        <v>0</v>
      </c>
    </row>
    <row r="86" spans="1:22" ht="15" customHeight="1" x14ac:dyDescent="0.25">
      <c r="A86" s="27" t="s">
        <v>108</v>
      </c>
      <c r="B86" s="35">
        <v>2015</v>
      </c>
      <c r="C86" s="29" t="s">
        <v>19</v>
      </c>
      <c r="D86" s="30">
        <v>72</v>
      </c>
      <c r="E86" s="28">
        <v>198</v>
      </c>
      <c r="F86" s="31">
        <v>5.92</v>
      </c>
      <c r="G86" s="28">
        <v>0</v>
      </c>
      <c r="H86" s="30">
        <v>53.1</v>
      </c>
      <c r="I86" s="32">
        <v>98</v>
      </c>
      <c r="J86" s="29"/>
      <c r="K86" s="32">
        <v>98</v>
      </c>
      <c r="L86" s="28">
        <v>159.982</v>
      </c>
      <c r="M86" s="63">
        <v>17542806</v>
      </c>
      <c r="N86" s="31">
        <v>11.7</v>
      </c>
      <c r="O86" s="62">
        <v>24.5</v>
      </c>
      <c r="P86" s="35">
        <v>379.1</v>
      </c>
      <c r="Q86" s="35">
        <v>3.9</v>
      </c>
      <c r="R86" s="35">
        <v>10.9</v>
      </c>
      <c r="S86" s="35">
        <f t="shared" si="4"/>
        <v>0</v>
      </c>
      <c r="T86" s="35">
        <f t="shared" si="5"/>
        <v>0</v>
      </c>
      <c r="U86" s="35">
        <f t="shared" si="6"/>
        <v>0</v>
      </c>
      <c r="V86" s="95">
        <f t="shared" si="7"/>
        <v>0</v>
      </c>
    </row>
    <row r="87" spans="1:22" ht="15" customHeight="1" x14ac:dyDescent="0.25">
      <c r="A87" s="27" t="s">
        <v>109</v>
      </c>
      <c r="B87" s="35">
        <v>2015</v>
      </c>
      <c r="C87" s="29" t="s">
        <v>19</v>
      </c>
      <c r="D87" s="30">
        <v>63.4</v>
      </c>
      <c r="E87" s="28">
        <v>249</v>
      </c>
      <c r="F87" s="31">
        <v>1.86</v>
      </c>
      <c r="G87" s="28">
        <v>0</v>
      </c>
      <c r="H87" s="30">
        <v>22</v>
      </c>
      <c r="I87" s="32">
        <v>89</v>
      </c>
      <c r="J87" s="29"/>
      <c r="K87" s="32">
        <v>83</v>
      </c>
      <c r="L87" s="33">
        <v>1349.971</v>
      </c>
      <c r="M87" s="63">
        <v>47236259</v>
      </c>
      <c r="N87" s="31">
        <v>6.3</v>
      </c>
      <c r="O87" s="62">
        <v>11</v>
      </c>
      <c r="P87" s="35">
        <v>70.099999999999994</v>
      </c>
      <c r="Q87" s="35">
        <v>5.2</v>
      </c>
      <c r="R87" s="35">
        <v>6.3</v>
      </c>
      <c r="S87" s="35">
        <f t="shared" si="4"/>
        <v>0</v>
      </c>
      <c r="T87" s="35">
        <f t="shared" si="5"/>
        <v>0</v>
      </c>
      <c r="U87" s="35">
        <f t="shared" si="6"/>
        <v>0</v>
      </c>
      <c r="V87" s="95">
        <f t="shared" si="7"/>
        <v>0</v>
      </c>
    </row>
    <row r="88" spans="1:22" ht="15" customHeight="1" x14ac:dyDescent="0.25">
      <c r="A88" s="27" t="s">
        <v>110</v>
      </c>
      <c r="B88" s="35">
        <v>2015</v>
      </c>
      <c r="C88" s="29" t="s">
        <v>19</v>
      </c>
      <c r="D88" s="30">
        <v>66.3</v>
      </c>
      <c r="E88" s="28">
        <v>198</v>
      </c>
      <c r="F88" s="31">
        <v>0.36</v>
      </c>
      <c r="G88" s="28">
        <v>0</v>
      </c>
      <c r="H88" s="30">
        <v>77.599999999999994</v>
      </c>
      <c r="I88" s="32">
        <v>78</v>
      </c>
      <c r="J88" s="29"/>
      <c r="K88" s="32">
        <v>80</v>
      </c>
      <c r="L88" s="33">
        <v>1424.4839999999999</v>
      </c>
      <c r="M88" s="63">
        <v>112407</v>
      </c>
      <c r="N88" s="31">
        <v>7.9</v>
      </c>
      <c r="O88" s="62">
        <v>48.3</v>
      </c>
      <c r="P88" s="35">
        <v>108.4</v>
      </c>
      <c r="Q88" s="35">
        <v>7.6</v>
      </c>
      <c r="R88" s="35">
        <v>6.3</v>
      </c>
      <c r="S88" s="35">
        <f t="shared" si="4"/>
        <v>0</v>
      </c>
      <c r="T88" s="35">
        <f t="shared" si="5"/>
        <v>0</v>
      </c>
      <c r="U88" s="35">
        <f t="shared" si="6"/>
        <v>0</v>
      </c>
      <c r="V88" s="95">
        <f t="shared" si="7"/>
        <v>0</v>
      </c>
    </row>
    <row r="89" spans="1:22" ht="15" customHeight="1" x14ac:dyDescent="0.25">
      <c r="A89" s="27" t="s">
        <v>111</v>
      </c>
      <c r="B89" s="35">
        <v>2015</v>
      </c>
      <c r="C89" s="29" t="s">
        <v>19</v>
      </c>
      <c r="D89" s="30">
        <v>74.7</v>
      </c>
      <c r="E89" s="28">
        <v>81</v>
      </c>
      <c r="F89" s="31">
        <v>0.01</v>
      </c>
      <c r="G89" s="28">
        <v>0</v>
      </c>
      <c r="H89" s="30">
        <v>71.400000000000006</v>
      </c>
      <c r="I89" s="32">
        <v>99</v>
      </c>
      <c r="J89" s="29"/>
      <c r="K89" s="32">
        <v>99</v>
      </c>
      <c r="L89" s="33">
        <v>28975.418000000001</v>
      </c>
      <c r="M89" s="63">
        <v>3935794</v>
      </c>
      <c r="N89" s="31">
        <v>7.1</v>
      </c>
      <c r="O89" s="62">
        <v>22.5</v>
      </c>
      <c r="P89" s="35">
        <v>1168.8</v>
      </c>
      <c r="Q89" s="35">
        <v>4</v>
      </c>
      <c r="R89" s="35">
        <v>6.2</v>
      </c>
      <c r="S89" s="35">
        <f t="shared" si="4"/>
        <v>0</v>
      </c>
      <c r="T89" s="35">
        <f t="shared" si="5"/>
        <v>0</v>
      </c>
      <c r="U89" s="35">
        <f t="shared" si="6"/>
        <v>0</v>
      </c>
      <c r="V89" s="95">
        <f t="shared" si="7"/>
        <v>0</v>
      </c>
    </row>
    <row r="90" spans="1:22" ht="15" customHeight="1" x14ac:dyDescent="0.25">
      <c r="A90" s="27" t="s">
        <v>112</v>
      </c>
      <c r="B90" s="35">
        <v>2015</v>
      </c>
      <c r="C90" s="29" t="s">
        <v>19</v>
      </c>
      <c r="D90" s="30">
        <v>71.099999999999994</v>
      </c>
      <c r="E90" s="28">
        <v>166</v>
      </c>
      <c r="F90" s="31">
        <v>4.7</v>
      </c>
      <c r="G90" s="28">
        <v>0</v>
      </c>
      <c r="H90" s="30">
        <v>44.9</v>
      </c>
      <c r="I90" s="32">
        <v>97</v>
      </c>
      <c r="J90" s="29"/>
      <c r="K90" s="32">
        <v>97</v>
      </c>
      <c r="L90" s="33">
        <v>1139</v>
      </c>
      <c r="M90" s="63">
        <v>5956900</v>
      </c>
      <c r="N90" s="31">
        <v>10.8</v>
      </c>
      <c r="O90" s="62">
        <v>26.5</v>
      </c>
      <c r="P90" s="35">
        <v>92.1</v>
      </c>
      <c r="Q90" s="35">
        <v>8.1999999999999993</v>
      </c>
      <c r="R90" s="35">
        <v>9.9</v>
      </c>
      <c r="S90" s="35">
        <f t="shared" si="4"/>
        <v>0</v>
      </c>
      <c r="T90" s="35">
        <f t="shared" si="5"/>
        <v>0</v>
      </c>
      <c r="U90" s="35">
        <f t="shared" si="6"/>
        <v>0</v>
      </c>
      <c r="V90" s="95">
        <f t="shared" si="7"/>
        <v>0</v>
      </c>
    </row>
    <row r="91" spans="1:22" ht="15" customHeight="1" x14ac:dyDescent="0.25">
      <c r="A91" s="27" t="s">
        <v>113</v>
      </c>
      <c r="B91" s="35">
        <v>2015</v>
      </c>
      <c r="C91" s="29" t="s">
        <v>19</v>
      </c>
      <c r="D91" s="30">
        <v>65.7</v>
      </c>
      <c r="E91" s="28">
        <v>194</v>
      </c>
      <c r="F91" s="31">
        <v>6.81</v>
      </c>
      <c r="G91" s="28">
        <v>0</v>
      </c>
      <c r="H91" s="30">
        <v>21.7</v>
      </c>
      <c r="I91" s="32">
        <v>97</v>
      </c>
      <c r="J91" s="29"/>
      <c r="K91" s="32">
        <v>97</v>
      </c>
      <c r="L91" s="33">
        <v>2159.4299999999998</v>
      </c>
      <c r="M91" s="63">
        <v>6663967</v>
      </c>
      <c r="N91" s="31">
        <v>5.0999999999999996</v>
      </c>
      <c r="O91" s="62">
        <v>29.5</v>
      </c>
      <c r="P91" s="35">
        <v>53</v>
      </c>
      <c r="Q91" s="35">
        <v>2.8</v>
      </c>
      <c r="R91" s="35">
        <v>3.8</v>
      </c>
      <c r="S91" s="35">
        <f t="shared" si="4"/>
        <v>0</v>
      </c>
      <c r="T91" s="35">
        <f t="shared" si="5"/>
        <v>0</v>
      </c>
      <c r="U91" s="35">
        <f t="shared" si="6"/>
        <v>0</v>
      </c>
      <c r="V91" s="95">
        <f t="shared" si="7"/>
        <v>0</v>
      </c>
    </row>
    <row r="92" spans="1:22" ht="15" customHeight="1" x14ac:dyDescent="0.25">
      <c r="A92" s="27" t="s">
        <v>114</v>
      </c>
      <c r="B92" s="35">
        <v>2015</v>
      </c>
      <c r="C92" s="29" t="s">
        <v>31</v>
      </c>
      <c r="D92" s="30">
        <v>74.599999999999994</v>
      </c>
      <c r="E92" s="28">
        <v>153</v>
      </c>
      <c r="F92" s="31">
        <v>10.82</v>
      </c>
      <c r="G92" s="28">
        <v>0</v>
      </c>
      <c r="H92" s="30">
        <v>61.2</v>
      </c>
      <c r="I92" s="32">
        <v>95</v>
      </c>
      <c r="J92" s="29"/>
      <c r="K92" s="32">
        <v>95</v>
      </c>
      <c r="L92" s="33">
        <v>13666.583000000001</v>
      </c>
      <c r="M92" s="63">
        <v>1977527</v>
      </c>
      <c r="N92" s="31">
        <v>12.8</v>
      </c>
      <c r="O92" s="62">
        <v>37</v>
      </c>
      <c r="P92" s="35">
        <v>783.8</v>
      </c>
      <c r="Q92" s="35">
        <v>5.8</v>
      </c>
      <c r="R92" s="35">
        <v>8.9</v>
      </c>
      <c r="S92" s="35">
        <f t="shared" si="4"/>
        <v>1</v>
      </c>
      <c r="T92" s="35">
        <f t="shared" si="5"/>
        <v>153</v>
      </c>
      <c r="U92" s="35">
        <f t="shared" si="6"/>
        <v>61.2</v>
      </c>
      <c r="V92" s="95">
        <f t="shared" si="7"/>
        <v>12.8</v>
      </c>
    </row>
    <row r="93" spans="1:22" ht="15" customHeight="1" x14ac:dyDescent="0.25">
      <c r="A93" s="27" t="s">
        <v>115</v>
      </c>
      <c r="B93" s="35">
        <v>2015</v>
      </c>
      <c r="C93" s="29" t="s">
        <v>19</v>
      </c>
      <c r="D93" s="30">
        <v>74.900000000000006</v>
      </c>
      <c r="E93" s="28">
        <v>98</v>
      </c>
      <c r="F93" s="31">
        <v>1.18</v>
      </c>
      <c r="G93" s="28">
        <v>0</v>
      </c>
      <c r="H93" s="30">
        <v>66.099999999999994</v>
      </c>
      <c r="I93" s="32">
        <v>79</v>
      </c>
      <c r="J93" s="29"/>
      <c r="K93" s="32">
        <v>80</v>
      </c>
      <c r="L93" s="28">
        <v>846.63300000000004</v>
      </c>
      <c r="M93" s="63">
        <v>5851479</v>
      </c>
      <c r="N93" s="31">
        <v>8.5</v>
      </c>
      <c r="O93" s="62">
        <v>33.9</v>
      </c>
      <c r="P93" s="35">
        <v>645.20000000000005</v>
      </c>
      <c r="Q93" s="35">
        <v>7.4</v>
      </c>
      <c r="R93" s="35">
        <v>14.3</v>
      </c>
      <c r="S93" s="35">
        <f t="shared" si="4"/>
        <v>0</v>
      </c>
      <c r="T93" s="35">
        <f t="shared" si="5"/>
        <v>0</v>
      </c>
      <c r="U93" s="35">
        <f t="shared" si="6"/>
        <v>0</v>
      </c>
      <c r="V93" s="95">
        <f t="shared" si="7"/>
        <v>0</v>
      </c>
    </row>
    <row r="94" spans="1:22" ht="15" customHeight="1" x14ac:dyDescent="0.25">
      <c r="A94" s="27" t="s">
        <v>116</v>
      </c>
      <c r="B94" s="35">
        <v>2015</v>
      </c>
      <c r="C94" s="29" t="s">
        <v>19</v>
      </c>
      <c r="D94" s="30">
        <v>53.7</v>
      </c>
      <c r="E94" s="28">
        <v>484</v>
      </c>
      <c r="F94" s="31">
        <v>2.88</v>
      </c>
      <c r="G94" s="28">
        <v>0</v>
      </c>
      <c r="H94" s="30">
        <v>32.6</v>
      </c>
      <c r="I94" s="32">
        <v>93</v>
      </c>
      <c r="J94" s="29"/>
      <c r="K94" s="32">
        <v>90</v>
      </c>
      <c r="L94" s="28">
        <v>173.82900000000001</v>
      </c>
      <c r="M94" s="63">
        <v>2174645</v>
      </c>
      <c r="N94" s="31">
        <v>6.1</v>
      </c>
      <c r="O94" s="62">
        <v>26</v>
      </c>
      <c r="P94" s="35">
        <v>90.9</v>
      </c>
      <c r="Q94" s="35">
        <v>8.4</v>
      </c>
      <c r="R94" s="35">
        <v>9.3000000000000007</v>
      </c>
      <c r="S94" s="35">
        <f t="shared" si="4"/>
        <v>0</v>
      </c>
      <c r="T94" s="35">
        <f t="shared" si="5"/>
        <v>0</v>
      </c>
      <c r="U94" s="35">
        <f t="shared" si="6"/>
        <v>0</v>
      </c>
      <c r="V94" s="95">
        <f t="shared" si="7"/>
        <v>0</v>
      </c>
    </row>
    <row r="95" spans="1:22" ht="15" customHeight="1" x14ac:dyDescent="0.25">
      <c r="A95" s="27" t="s">
        <v>117</v>
      </c>
      <c r="B95" s="35">
        <v>2015</v>
      </c>
      <c r="C95" s="29" t="s">
        <v>19</v>
      </c>
      <c r="D95" s="30">
        <v>61.4</v>
      </c>
      <c r="E95" s="28">
        <v>259</v>
      </c>
      <c r="F95" s="31">
        <v>3.51</v>
      </c>
      <c r="G95" s="28">
        <v>0</v>
      </c>
      <c r="H95" s="30">
        <v>27.3</v>
      </c>
      <c r="I95" s="32">
        <v>52</v>
      </c>
      <c r="J95" s="29"/>
      <c r="K95" s="32">
        <v>52</v>
      </c>
      <c r="L95" s="28">
        <v>452.387</v>
      </c>
      <c r="M95" s="63">
        <v>4499621</v>
      </c>
      <c r="N95" s="31">
        <v>4.4000000000000004</v>
      </c>
      <c r="O95" s="62">
        <v>9.9</v>
      </c>
      <c r="P95" s="35">
        <v>69.3</v>
      </c>
      <c r="Q95" s="35">
        <v>15.2</v>
      </c>
      <c r="R95" s="35">
        <v>2.7</v>
      </c>
      <c r="S95" s="35">
        <f t="shared" si="4"/>
        <v>0</v>
      </c>
      <c r="T95" s="35">
        <f t="shared" si="5"/>
        <v>0</v>
      </c>
      <c r="U95" s="35">
        <f t="shared" si="6"/>
        <v>0</v>
      </c>
      <c r="V95" s="95">
        <f t="shared" si="7"/>
        <v>0</v>
      </c>
    </row>
    <row r="96" spans="1:22" ht="15" customHeight="1" x14ac:dyDescent="0.25">
      <c r="A96" s="27" t="s">
        <v>118</v>
      </c>
      <c r="B96" s="35">
        <v>2015</v>
      </c>
      <c r="C96" s="29" t="s">
        <v>19</v>
      </c>
      <c r="D96" s="30">
        <v>72.7</v>
      </c>
      <c r="E96" s="28">
        <v>138</v>
      </c>
      <c r="F96" s="31">
        <v>0</v>
      </c>
      <c r="G96" s="28">
        <v>0</v>
      </c>
      <c r="H96" s="30">
        <v>64.8</v>
      </c>
      <c r="I96" s="32">
        <v>97</v>
      </c>
      <c r="J96" s="29"/>
      <c r="K96" s="32">
        <v>97</v>
      </c>
      <c r="L96" s="33">
        <v>4695.2700000000004</v>
      </c>
      <c r="M96" s="63">
        <v>6234955</v>
      </c>
      <c r="N96" s="31">
        <v>7.3</v>
      </c>
      <c r="O96" s="62">
        <v>0</v>
      </c>
      <c r="P96" s="35" t="s">
        <v>25</v>
      </c>
      <c r="Q96" s="35" t="s">
        <v>25</v>
      </c>
      <c r="R96" s="35" t="s">
        <v>25</v>
      </c>
      <c r="S96" s="35">
        <f t="shared" si="4"/>
        <v>0</v>
      </c>
      <c r="T96" s="35">
        <f t="shared" si="5"/>
        <v>0</v>
      </c>
      <c r="U96" s="35">
        <f t="shared" si="6"/>
        <v>0</v>
      </c>
      <c r="V96" s="95">
        <f t="shared" si="7"/>
        <v>0</v>
      </c>
    </row>
    <row r="97" spans="1:22" ht="15" customHeight="1" x14ac:dyDescent="0.25">
      <c r="A97" s="27" t="s">
        <v>119</v>
      </c>
      <c r="B97" s="35">
        <v>2015</v>
      </c>
      <c r="C97" s="29" t="s">
        <v>31</v>
      </c>
      <c r="D97" s="30">
        <v>73.599999999999994</v>
      </c>
      <c r="E97" s="28">
        <v>165</v>
      </c>
      <c r="F97" s="31">
        <v>14.42</v>
      </c>
      <c r="G97" s="28">
        <v>0</v>
      </c>
      <c r="H97" s="30">
        <v>62.4</v>
      </c>
      <c r="I97" s="32">
        <v>93</v>
      </c>
      <c r="J97" s="29"/>
      <c r="K97" s="32">
        <v>93</v>
      </c>
      <c r="L97" s="33">
        <v>14252.429</v>
      </c>
      <c r="M97" s="63">
        <v>2904910</v>
      </c>
      <c r="N97" s="31">
        <v>13</v>
      </c>
      <c r="O97" s="62">
        <v>29.2</v>
      </c>
      <c r="P97" s="35">
        <v>923.3</v>
      </c>
      <c r="Q97" s="35">
        <v>6.5</v>
      </c>
      <c r="R97" s="35">
        <v>12.2</v>
      </c>
      <c r="S97" s="35">
        <f t="shared" si="4"/>
        <v>1</v>
      </c>
      <c r="T97" s="35">
        <f t="shared" si="5"/>
        <v>165</v>
      </c>
      <c r="U97" s="35">
        <f t="shared" si="6"/>
        <v>62.4</v>
      </c>
      <c r="V97" s="95">
        <f t="shared" si="7"/>
        <v>13</v>
      </c>
    </row>
    <row r="98" spans="1:22" ht="15" customHeight="1" x14ac:dyDescent="0.25">
      <c r="A98" s="27" t="s">
        <v>120</v>
      </c>
      <c r="B98" s="35">
        <v>2015</v>
      </c>
      <c r="C98" s="29" t="s">
        <v>31</v>
      </c>
      <c r="D98" s="30">
        <v>82</v>
      </c>
      <c r="E98" s="28">
        <v>63</v>
      </c>
      <c r="F98" s="31">
        <v>11.83</v>
      </c>
      <c r="G98" s="28">
        <v>0</v>
      </c>
      <c r="H98" s="30">
        <v>61.3</v>
      </c>
      <c r="I98" s="32">
        <v>99</v>
      </c>
      <c r="J98" s="29"/>
      <c r="K98" s="32">
        <v>99</v>
      </c>
      <c r="L98" s="33">
        <v>1199.8219999999999</v>
      </c>
      <c r="M98" s="63">
        <v>569604</v>
      </c>
      <c r="N98" s="31">
        <v>12</v>
      </c>
      <c r="O98" s="62">
        <v>24.1</v>
      </c>
      <c r="P98" s="35">
        <v>6236</v>
      </c>
      <c r="Q98" s="35">
        <v>6</v>
      </c>
      <c r="R98" s="35">
        <v>12.1</v>
      </c>
      <c r="S98" s="35">
        <f t="shared" si="4"/>
        <v>1</v>
      </c>
      <c r="T98" s="35">
        <f t="shared" si="5"/>
        <v>63</v>
      </c>
      <c r="U98" s="35">
        <f t="shared" si="6"/>
        <v>61.3</v>
      </c>
      <c r="V98" s="95">
        <f t="shared" si="7"/>
        <v>12</v>
      </c>
    </row>
    <row r="99" spans="1:22" ht="15" customHeight="1" x14ac:dyDescent="0.25">
      <c r="A99" s="27" t="s">
        <v>121</v>
      </c>
      <c r="B99" s="35">
        <v>2015</v>
      </c>
      <c r="C99" s="29" t="s">
        <v>19</v>
      </c>
      <c r="D99" s="30">
        <v>65.5</v>
      </c>
      <c r="E99" s="28">
        <v>22</v>
      </c>
      <c r="F99" s="31">
        <v>0.87</v>
      </c>
      <c r="G99" s="28">
        <v>0</v>
      </c>
      <c r="H99" s="30">
        <v>2.5</v>
      </c>
      <c r="I99" s="32">
        <v>69</v>
      </c>
      <c r="J99" s="29"/>
      <c r="K99" s="32">
        <v>71</v>
      </c>
      <c r="L99" s="28">
        <v>41.857999999999997</v>
      </c>
      <c r="M99" s="63">
        <v>24234088</v>
      </c>
      <c r="N99" s="31">
        <v>6.1</v>
      </c>
      <c r="O99" s="62">
        <v>0</v>
      </c>
      <c r="P99" s="35">
        <v>21</v>
      </c>
      <c r="Q99" s="35">
        <v>5.2</v>
      </c>
      <c r="R99" s="35">
        <v>15.6</v>
      </c>
      <c r="S99" s="35">
        <f t="shared" si="4"/>
        <v>0</v>
      </c>
      <c r="T99" s="35">
        <f t="shared" si="5"/>
        <v>0</v>
      </c>
      <c r="U99" s="35">
        <f t="shared" si="6"/>
        <v>0</v>
      </c>
      <c r="V99" s="95">
        <f t="shared" si="7"/>
        <v>0</v>
      </c>
    </row>
    <row r="100" spans="1:22" ht="15" customHeight="1" x14ac:dyDescent="0.25">
      <c r="A100" s="27" t="s">
        <v>122</v>
      </c>
      <c r="B100" s="35">
        <v>2015</v>
      </c>
      <c r="C100" s="29" t="s">
        <v>19</v>
      </c>
      <c r="D100" s="30">
        <v>58.3</v>
      </c>
      <c r="E100" s="28">
        <v>365</v>
      </c>
      <c r="F100" s="31">
        <v>2</v>
      </c>
      <c r="G100" s="28">
        <v>0</v>
      </c>
      <c r="H100" s="30">
        <v>19.600000000000001</v>
      </c>
      <c r="I100" s="32">
        <v>88</v>
      </c>
      <c r="J100" s="29"/>
      <c r="K100" s="32">
        <v>88</v>
      </c>
      <c r="L100" s="28">
        <v>362.65800000000002</v>
      </c>
      <c r="M100" s="63">
        <v>17573607</v>
      </c>
      <c r="N100" s="31">
        <v>4.4000000000000004</v>
      </c>
      <c r="O100" s="62">
        <v>14.7</v>
      </c>
      <c r="P100" s="35">
        <v>34.200000000000003</v>
      </c>
      <c r="Q100" s="35">
        <v>9.3000000000000007</v>
      </c>
      <c r="R100" s="35">
        <v>10.8</v>
      </c>
      <c r="S100" s="35">
        <f t="shared" si="4"/>
        <v>0</v>
      </c>
      <c r="T100" s="35">
        <f t="shared" si="5"/>
        <v>0</v>
      </c>
      <c r="U100" s="35">
        <f t="shared" si="6"/>
        <v>0</v>
      </c>
      <c r="V100" s="95">
        <f t="shared" si="7"/>
        <v>0</v>
      </c>
    </row>
    <row r="101" spans="1:22" ht="15" customHeight="1" x14ac:dyDescent="0.25">
      <c r="A101" s="27" t="s">
        <v>123</v>
      </c>
      <c r="B101" s="35">
        <v>2015</v>
      </c>
      <c r="C101" s="29" t="s">
        <v>19</v>
      </c>
      <c r="D101" s="30">
        <v>75</v>
      </c>
      <c r="E101" s="28">
        <v>123</v>
      </c>
      <c r="F101" s="31">
        <v>0.64</v>
      </c>
      <c r="G101" s="28">
        <v>0</v>
      </c>
      <c r="H101" s="30">
        <v>4.5999999999999996</v>
      </c>
      <c r="I101" s="32">
        <v>99</v>
      </c>
      <c r="J101" s="29"/>
      <c r="K101" s="32">
        <v>99</v>
      </c>
      <c r="L101" s="33">
        <v>9643.6450000000004</v>
      </c>
      <c r="M101" s="63">
        <v>30723155</v>
      </c>
      <c r="N101" s="31">
        <v>10.199999999999999</v>
      </c>
      <c r="O101" s="62">
        <v>21.8</v>
      </c>
      <c r="P101" s="35">
        <v>385.6</v>
      </c>
      <c r="Q101" s="35">
        <v>4</v>
      </c>
      <c r="R101" s="35">
        <v>8.3000000000000007</v>
      </c>
      <c r="S101" s="35">
        <f t="shared" si="4"/>
        <v>0</v>
      </c>
      <c r="T101" s="35">
        <f t="shared" si="5"/>
        <v>0</v>
      </c>
      <c r="U101" s="35">
        <f t="shared" si="6"/>
        <v>0</v>
      </c>
      <c r="V101" s="95">
        <f t="shared" si="7"/>
        <v>0</v>
      </c>
    </row>
    <row r="102" spans="1:22" ht="15" customHeight="1" x14ac:dyDescent="0.25">
      <c r="A102" s="27" t="s">
        <v>124</v>
      </c>
      <c r="B102" s="35">
        <v>2015</v>
      </c>
      <c r="C102" s="29" t="s">
        <v>19</v>
      </c>
      <c r="D102" s="30">
        <v>78.5</v>
      </c>
      <c r="E102" s="28">
        <v>61</v>
      </c>
      <c r="F102" s="31">
        <v>1.32</v>
      </c>
      <c r="G102" s="28">
        <v>0</v>
      </c>
      <c r="H102" s="30">
        <v>27.4</v>
      </c>
      <c r="I102" s="32">
        <v>99</v>
      </c>
      <c r="J102" s="29"/>
      <c r="K102" s="32">
        <v>99</v>
      </c>
      <c r="L102" s="33">
        <v>8395.7849999999999</v>
      </c>
      <c r="M102" s="63">
        <v>418403</v>
      </c>
      <c r="N102" s="31">
        <v>6.3</v>
      </c>
      <c r="O102" s="62">
        <v>28.7</v>
      </c>
      <c r="P102" s="35">
        <v>943.9</v>
      </c>
      <c r="Q102" s="35">
        <v>11.5</v>
      </c>
      <c r="R102" s="35">
        <v>22.8</v>
      </c>
      <c r="S102" s="35">
        <f t="shared" si="4"/>
        <v>0</v>
      </c>
      <c r="T102" s="35">
        <f t="shared" si="5"/>
        <v>0</v>
      </c>
      <c r="U102" s="35">
        <f t="shared" si="6"/>
        <v>0</v>
      </c>
      <c r="V102" s="95">
        <f t="shared" si="7"/>
        <v>0</v>
      </c>
    </row>
    <row r="103" spans="1:22" ht="15" customHeight="1" x14ac:dyDescent="0.25">
      <c r="A103" s="27" t="s">
        <v>125</v>
      </c>
      <c r="B103" s="35">
        <v>2015</v>
      </c>
      <c r="C103" s="29" t="s">
        <v>19</v>
      </c>
      <c r="D103" s="30">
        <v>58.2</v>
      </c>
      <c r="E103" s="28">
        <v>266</v>
      </c>
      <c r="F103" s="31">
        <v>0.57999999999999996</v>
      </c>
      <c r="G103" s="28">
        <v>0</v>
      </c>
      <c r="H103" s="30">
        <v>23.8</v>
      </c>
      <c r="I103" s="32">
        <v>66</v>
      </c>
      <c r="J103" s="29"/>
      <c r="K103" s="32">
        <v>62</v>
      </c>
      <c r="L103" s="28">
        <v>729.72500000000002</v>
      </c>
      <c r="M103" s="63">
        <v>17467905</v>
      </c>
      <c r="N103" s="31">
        <v>2.2999999999999998</v>
      </c>
      <c r="O103" s="62">
        <v>12.3</v>
      </c>
      <c r="P103" s="35">
        <v>42.3</v>
      </c>
      <c r="Q103" s="35">
        <v>5.8</v>
      </c>
      <c r="R103" s="35">
        <v>4.5</v>
      </c>
      <c r="S103" s="35">
        <f t="shared" si="4"/>
        <v>0</v>
      </c>
      <c r="T103" s="35">
        <f t="shared" si="5"/>
        <v>0</v>
      </c>
      <c r="U103" s="35">
        <f t="shared" si="6"/>
        <v>0</v>
      </c>
      <c r="V103" s="95">
        <f t="shared" si="7"/>
        <v>0</v>
      </c>
    </row>
    <row r="104" spans="1:22" ht="15" customHeight="1" x14ac:dyDescent="0.25">
      <c r="A104" s="27" t="s">
        <v>126</v>
      </c>
      <c r="B104" s="35">
        <v>2015</v>
      </c>
      <c r="C104" s="29" t="s">
        <v>31</v>
      </c>
      <c r="D104" s="30">
        <v>81.7</v>
      </c>
      <c r="E104" s="28">
        <v>54</v>
      </c>
      <c r="F104" s="31">
        <v>7.75</v>
      </c>
      <c r="G104" s="28">
        <v>0</v>
      </c>
      <c r="H104" s="30">
        <v>69.599999999999994</v>
      </c>
      <c r="I104" s="32">
        <v>97</v>
      </c>
      <c r="J104" s="29"/>
      <c r="K104" s="32">
        <v>97</v>
      </c>
      <c r="L104" s="33">
        <v>23819.464</v>
      </c>
      <c r="M104" s="63">
        <v>445053</v>
      </c>
      <c r="N104" s="31">
        <v>11.2</v>
      </c>
      <c r="O104" s="62">
        <v>26</v>
      </c>
      <c r="P104" s="35">
        <v>2304.1999999999998</v>
      </c>
      <c r="Q104" s="35">
        <v>9.6</v>
      </c>
      <c r="R104" s="35">
        <v>14.2</v>
      </c>
      <c r="S104" s="35">
        <f t="shared" si="4"/>
        <v>1</v>
      </c>
      <c r="T104" s="35">
        <f t="shared" si="5"/>
        <v>54</v>
      </c>
      <c r="U104" s="35">
        <f t="shared" si="6"/>
        <v>69.599999999999994</v>
      </c>
      <c r="V104" s="95">
        <f t="shared" si="7"/>
        <v>11.2</v>
      </c>
    </row>
    <row r="105" spans="1:22" ht="15" customHeight="1" x14ac:dyDescent="0.25">
      <c r="A105" s="27" t="s">
        <v>127</v>
      </c>
      <c r="B105" s="35">
        <v>2015</v>
      </c>
      <c r="C105" s="29" t="s">
        <v>19</v>
      </c>
      <c r="D105" s="30">
        <v>63.1</v>
      </c>
      <c r="E105" s="28">
        <v>25</v>
      </c>
      <c r="F105" s="31">
        <v>0</v>
      </c>
      <c r="G105" s="28">
        <v>0</v>
      </c>
      <c r="H105" s="30">
        <v>3.8</v>
      </c>
      <c r="I105" s="32">
        <v>73</v>
      </c>
      <c r="J105" s="29"/>
      <c r="K105" s="32">
        <v>67</v>
      </c>
      <c r="L105" s="33">
        <v>1158.2560000000001</v>
      </c>
      <c r="M105" s="63">
        <v>4182341</v>
      </c>
      <c r="N105" s="31">
        <v>4.3</v>
      </c>
      <c r="O105" s="62">
        <v>15.8</v>
      </c>
      <c r="P105" s="35">
        <v>53.6</v>
      </c>
      <c r="Q105" s="35">
        <v>4.5999999999999996</v>
      </c>
      <c r="R105" s="35">
        <v>5.5</v>
      </c>
      <c r="S105" s="35">
        <f t="shared" si="4"/>
        <v>0</v>
      </c>
      <c r="T105" s="35">
        <f t="shared" si="5"/>
        <v>0</v>
      </c>
      <c r="U105" s="35">
        <f t="shared" si="6"/>
        <v>0</v>
      </c>
      <c r="V105" s="95">
        <f t="shared" si="7"/>
        <v>0</v>
      </c>
    </row>
    <row r="106" spans="1:22" ht="15" customHeight="1" x14ac:dyDescent="0.25">
      <c r="A106" s="27" t="s">
        <v>128</v>
      </c>
      <c r="B106" s="35">
        <v>2015</v>
      </c>
      <c r="C106" s="29" t="s">
        <v>19</v>
      </c>
      <c r="D106" s="30">
        <v>74.599999999999994</v>
      </c>
      <c r="E106" s="28">
        <v>146</v>
      </c>
      <c r="F106" s="31">
        <v>2.58</v>
      </c>
      <c r="G106" s="28">
        <v>0</v>
      </c>
      <c r="H106" s="30">
        <v>33.299999999999997</v>
      </c>
      <c r="I106" s="32">
        <v>97</v>
      </c>
      <c r="J106" s="29"/>
      <c r="K106" s="32">
        <v>98</v>
      </c>
      <c r="L106" s="33">
        <v>9252.1170000000002</v>
      </c>
      <c r="M106" s="63">
        <v>1262605</v>
      </c>
      <c r="N106" s="31">
        <v>9.1</v>
      </c>
      <c r="O106" s="62">
        <v>21.8</v>
      </c>
      <c r="P106" s="35">
        <v>506.1</v>
      </c>
      <c r="Q106" s="35">
        <v>5.5</v>
      </c>
      <c r="R106" s="35">
        <v>9.9</v>
      </c>
      <c r="S106" s="35">
        <f t="shared" si="4"/>
        <v>0</v>
      </c>
      <c r="T106" s="35">
        <f t="shared" si="5"/>
        <v>0</v>
      </c>
      <c r="U106" s="35">
        <f t="shared" si="6"/>
        <v>0</v>
      </c>
      <c r="V106" s="95">
        <f t="shared" si="7"/>
        <v>0</v>
      </c>
    </row>
    <row r="107" spans="1:22" ht="15" customHeight="1" x14ac:dyDescent="0.25">
      <c r="A107" s="27" t="s">
        <v>129</v>
      </c>
      <c r="B107" s="35">
        <v>2015</v>
      </c>
      <c r="C107" s="29" t="s">
        <v>19</v>
      </c>
      <c r="D107" s="30">
        <v>76.7</v>
      </c>
      <c r="E107" s="28">
        <v>122</v>
      </c>
      <c r="F107" s="31">
        <v>5.28</v>
      </c>
      <c r="G107" s="28">
        <v>0</v>
      </c>
      <c r="H107" s="30">
        <v>63.5</v>
      </c>
      <c r="I107" s="32">
        <v>87</v>
      </c>
      <c r="J107" s="29"/>
      <c r="K107" s="32">
        <v>87</v>
      </c>
      <c r="L107" s="33">
        <v>9143.1280000000006</v>
      </c>
      <c r="M107" s="63">
        <v>125890949</v>
      </c>
      <c r="N107" s="31">
        <v>8.6</v>
      </c>
      <c r="O107" s="62">
        <v>14.5</v>
      </c>
      <c r="P107" s="35">
        <v>534.79999999999995</v>
      </c>
      <c r="Q107" s="35">
        <v>5.9</v>
      </c>
      <c r="R107" s="35">
        <v>11.3</v>
      </c>
      <c r="S107" s="35">
        <f t="shared" si="4"/>
        <v>0</v>
      </c>
      <c r="T107" s="35">
        <f t="shared" si="5"/>
        <v>0</v>
      </c>
      <c r="U107" s="35">
        <f t="shared" si="6"/>
        <v>0</v>
      </c>
      <c r="V107" s="95">
        <f t="shared" si="7"/>
        <v>0</v>
      </c>
    </row>
    <row r="108" spans="1:22" ht="15" customHeight="1" x14ac:dyDescent="0.25">
      <c r="A108" s="27" t="s">
        <v>130</v>
      </c>
      <c r="B108" s="35">
        <v>2015</v>
      </c>
      <c r="C108" s="29" t="s">
        <v>19</v>
      </c>
      <c r="D108" s="30">
        <v>69.400000000000006</v>
      </c>
      <c r="E108" s="28">
        <v>166</v>
      </c>
      <c r="F108" s="31">
        <v>1.59</v>
      </c>
      <c r="G108" s="28">
        <v>0</v>
      </c>
      <c r="H108" s="30">
        <v>69.400000000000006</v>
      </c>
      <c r="I108" s="32">
        <v>72</v>
      </c>
      <c r="J108" s="29"/>
      <c r="K108" s="32">
        <v>71</v>
      </c>
      <c r="L108" s="33">
        <v>3018.01</v>
      </c>
      <c r="M108" s="63">
        <v>104433</v>
      </c>
      <c r="N108" s="31">
        <v>8</v>
      </c>
      <c r="O108" s="62">
        <v>0</v>
      </c>
      <c r="P108" s="35">
        <v>394.9</v>
      </c>
      <c r="Q108" s="35">
        <v>13.1</v>
      </c>
      <c r="R108" s="35">
        <v>6.1</v>
      </c>
      <c r="S108" s="35">
        <f t="shared" si="4"/>
        <v>0</v>
      </c>
      <c r="T108" s="35">
        <f t="shared" si="5"/>
        <v>0</v>
      </c>
      <c r="U108" s="35">
        <f t="shared" si="6"/>
        <v>0</v>
      </c>
      <c r="V108" s="95">
        <f t="shared" si="7"/>
        <v>0</v>
      </c>
    </row>
    <row r="109" spans="1:22" ht="15" customHeight="1" x14ac:dyDescent="0.25">
      <c r="A109" s="27" t="s">
        <v>131</v>
      </c>
      <c r="B109" s="35">
        <v>2015</v>
      </c>
      <c r="C109" s="29" t="s">
        <v>19</v>
      </c>
      <c r="D109" s="30">
        <v>68.8</v>
      </c>
      <c r="E109" s="28">
        <v>222</v>
      </c>
      <c r="F109" s="31">
        <v>5.66</v>
      </c>
      <c r="G109" s="28">
        <v>0</v>
      </c>
      <c r="H109" s="30">
        <v>52.7</v>
      </c>
      <c r="I109" s="32">
        <v>99</v>
      </c>
      <c r="J109" s="29"/>
      <c r="K109" s="32">
        <v>99</v>
      </c>
      <c r="L109" s="33">
        <v>3944.1840000000002</v>
      </c>
      <c r="M109" s="63">
        <v>2976877</v>
      </c>
      <c r="N109" s="31">
        <v>10.1</v>
      </c>
      <c r="O109" s="62">
        <v>26.2</v>
      </c>
      <c r="P109" s="35">
        <v>152.5</v>
      </c>
      <c r="Q109" s="35">
        <v>3.9</v>
      </c>
      <c r="R109" s="35">
        <v>6</v>
      </c>
      <c r="S109" s="35">
        <f t="shared" si="4"/>
        <v>0</v>
      </c>
      <c r="T109" s="35">
        <f t="shared" si="5"/>
        <v>0</v>
      </c>
      <c r="U109" s="35">
        <f t="shared" si="6"/>
        <v>0</v>
      </c>
      <c r="V109" s="95">
        <f t="shared" si="7"/>
        <v>0</v>
      </c>
    </row>
    <row r="110" spans="1:22" ht="15" customHeight="1" x14ac:dyDescent="0.25">
      <c r="A110" s="27" t="s">
        <v>132</v>
      </c>
      <c r="B110" s="35">
        <v>2015</v>
      </c>
      <c r="C110" s="29" t="s">
        <v>19</v>
      </c>
      <c r="D110" s="30">
        <v>76.099999999999994</v>
      </c>
      <c r="E110" s="28">
        <v>16</v>
      </c>
      <c r="F110" s="31">
        <v>6.41</v>
      </c>
      <c r="G110" s="28">
        <v>0</v>
      </c>
      <c r="H110" s="30">
        <v>61.8</v>
      </c>
      <c r="I110" s="32">
        <v>89</v>
      </c>
      <c r="J110" s="29"/>
      <c r="K110" s="32">
        <v>89</v>
      </c>
      <c r="L110" s="33">
        <v>6461.1930000000002</v>
      </c>
      <c r="M110" s="63">
        <v>622159</v>
      </c>
      <c r="N110" s="31">
        <v>11.3</v>
      </c>
      <c r="O110" s="62">
        <v>46.1</v>
      </c>
      <c r="P110" s="35">
        <v>382.1</v>
      </c>
      <c r="Q110" s="35">
        <v>6</v>
      </c>
      <c r="R110" s="35">
        <v>8.8000000000000007</v>
      </c>
      <c r="S110" s="35">
        <f t="shared" si="4"/>
        <v>0</v>
      </c>
      <c r="T110" s="35">
        <f t="shared" si="5"/>
        <v>0</v>
      </c>
      <c r="U110" s="35">
        <f t="shared" si="6"/>
        <v>0</v>
      </c>
      <c r="V110" s="95">
        <f t="shared" si="7"/>
        <v>0</v>
      </c>
    </row>
    <row r="111" spans="1:22" ht="15" customHeight="1" x14ac:dyDescent="0.25">
      <c r="A111" s="27" t="s">
        <v>133</v>
      </c>
      <c r="B111" s="35">
        <v>2015</v>
      </c>
      <c r="C111" s="29" t="s">
        <v>19</v>
      </c>
      <c r="D111" s="30">
        <v>74.3</v>
      </c>
      <c r="E111" s="28">
        <v>95</v>
      </c>
      <c r="F111" s="31">
        <v>0.38</v>
      </c>
      <c r="G111" s="28">
        <v>0</v>
      </c>
      <c r="H111" s="30">
        <v>58.5</v>
      </c>
      <c r="I111" s="32">
        <v>99</v>
      </c>
      <c r="J111" s="29"/>
      <c r="K111" s="32">
        <v>99</v>
      </c>
      <c r="L111" s="33">
        <v>2847.2860000000001</v>
      </c>
      <c r="M111" s="63">
        <v>34803322</v>
      </c>
      <c r="N111" s="31">
        <v>5</v>
      </c>
      <c r="O111" s="62">
        <v>22.9</v>
      </c>
      <c r="P111" s="35">
        <v>159.80000000000001</v>
      </c>
      <c r="Q111" s="35">
        <v>5.5</v>
      </c>
      <c r="R111" s="35">
        <v>7.7</v>
      </c>
      <c r="S111" s="35">
        <f t="shared" si="4"/>
        <v>0</v>
      </c>
      <c r="T111" s="35">
        <f t="shared" si="5"/>
        <v>0</v>
      </c>
      <c r="U111" s="35">
        <f t="shared" si="6"/>
        <v>0</v>
      </c>
      <c r="V111" s="95">
        <f t="shared" si="7"/>
        <v>0</v>
      </c>
    </row>
    <row r="112" spans="1:22" ht="15" customHeight="1" x14ac:dyDescent="0.25">
      <c r="A112" s="27" t="s">
        <v>134</v>
      </c>
      <c r="B112" s="35">
        <v>2015</v>
      </c>
      <c r="C112" s="29" t="s">
        <v>19</v>
      </c>
      <c r="D112" s="30">
        <v>57.6</v>
      </c>
      <c r="E112" s="28">
        <v>355</v>
      </c>
      <c r="F112" s="31">
        <v>1.23</v>
      </c>
      <c r="G112" s="28">
        <v>0</v>
      </c>
      <c r="H112" s="30">
        <v>22.6</v>
      </c>
      <c r="I112" s="32">
        <v>80</v>
      </c>
      <c r="J112" s="29"/>
      <c r="K112" s="32">
        <v>80</v>
      </c>
      <c r="L112" s="28">
        <v>528.31299999999999</v>
      </c>
      <c r="M112" s="63">
        <v>28010691</v>
      </c>
      <c r="N112" s="31">
        <v>3.5</v>
      </c>
      <c r="O112" s="62">
        <v>16.899999999999999</v>
      </c>
      <c r="P112" s="35">
        <v>28.3</v>
      </c>
      <c r="Q112" s="35">
        <v>5.4</v>
      </c>
      <c r="R112" s="35">
        <v>1.2</v>
      </c>
      <c r="S112" s="35">
        <f t="shared" si="4"/>
        <v>0</v>
      </c>
      <c r="T112" s="35">
        <f t="shared" si="5"/>
        <v>0</v>
      </c>
      <c r="U112" s="35">
        <f t="shared" si="6"/>
        <v>0</v>
      </c>
      <c r="V112" s="95">
        <f t="shared" si="7"/>
        <v>0</v>
      </c>
    </row>
    <row r="113" spans="1:22" ht="15" customHeight="1" x14ac:dyDescent="0.25">
      <c r="A113" s="27" t="s">
        <v>135</v>
      </c>
      <c r="B113" s="35">
        <v>2015</v>
      </c>
      <c r="C113" s="29" t="s">
        <v>19</v>
      </c>
      <c r="D113" s="30">
        <v>66.599999999999994</v>
      </c>
      <c r="E113" s="28">
        <v>199</v>
      </c>
      <c r="F113" s="31">
        <v>1.6</v>
      </c>
      <c r="G113" s="28">
        <v>0</v>
      </c>
      <c r="H113" s="30">
        <v>23.8</v>
      </c>
      <c r="I113" s="32">
        <v>89</v>
      </c>
      <c r="J113" s="29"/>
      <c r="K113" s="32">
        <v>89</v>
      </c>
      <c r="L113" s="33">
        <v>1194.5909999999999</v>
      </c>
      <c r="M113" s="63">
        <v>52403669</v>
      </c>
      <c r="N113" s="31">
        <v>4.9000000000000004</v>
      </c>
      <c r="O113" s="62">
        <v>20.8</v>
      </c>
      <c r="P113" s="35">
        <v>59.1</v>
      </c>
      <c r="Q113" s="35">
        <v>4.9000000000000004</v>
      </c>
      <c r="R113" s="35">
        <v>4.9000000000000004</v>
      </c>
      <c r="S113" s="35">
        <f t="shared" si="4"/>
        <v>0</v>
      </c>
      <c r="T113" s="35">
        <f t="shared" si="5"/>
        <v>0</v>
      </c>
      <c r="U113" s="35">
        <f t="shared" si="6"/>
        <v>0</v>
      </c>
      <c r="V113" s="95">
        <f t="shared" si="7"/>
        <v>0</v>
      </c>
    </row>
    <row r="114" spans="1:22" ht="15" customHeight="1" x14ac:dyDescent="0.25">
      <c r="A114" s="27" t="s">
        <v>136</v>
      </c>
      <c r="B114" s="35">
        <v>2015</v>
      </c>
      <c r="C114" s="29" t="s">
        <v>19</v>
      </c>
      <c r="D114" s="30">
        <v>65.8</v>
      </c>
      <c r="E114" s="28">
        <v>248</v>
      </c>
      <c r="F114" s="31">
        <v>7.83</v>
      </c>
      <c r="G114" s="28">
        <v>0</v>
      </c>
      <c r="H114" s="30">
        <v>35.700000000000003</v>
      </c>
      <c r="I114" s="32">
        <v>92</v>
      </c>
      <c r="J114" s="29"/>
      <c r="K114" s="32">
        <v>92</v>
      </c>
      <c r="L114" s="33">
        <v>4737.67</v>
      </c>
      <c r="M114" s="63">
        <v>2425561</v>
      </c>
      <c r="N114" s="31">
        <v>6.7</v>
      </c>
      <c r="O114" s="62">
        <v>21.5</v>
      </c>
      <c r="P114" s="35">
        <v>423.1</v>
      </c>
      <c r="Q114" s="35">
        <v>8.9</v>
      </c>
      <c r="R114" s="35">
        <v>12.9</v>
      </c>
      <c r="S114" s="35">
        <f t="shared" si="4"/>
        <v>0</v>
      </c>
      <c r="T114" s="35">
        <f t="shared" si="5"/>
        <v>0</v>
      </c>
      <c r="U114" s="35">
        <f t="shared" si="6"/>
        <v>0</v>
      </c>
      <c r="V114" s="95">
        <f t="shared" si="7"/>
        <v>0</v>
      </c>
    </row>
    <row r="115" spans="1:22" ht="15" customHeight="1" x14ac:dyDescent="0.25">
      <c r="A115" s="27" t="s">
        <v>137</v>
      </c>
      <c r="B115" s="35">
        <v>2015</v>
      </c>
      <c r="C115" s="29" t="s">
        <v>19</v>
      </c>
      <c r="D115" s="30">
        <v>69.2</v>
      </c>
      <c r="E115" s="28">
        <v>165</v>
      </c>
      <c r="F115" s="31">
        <v>0.57999999999999996</v>
      </c>
      <c r="G115" s="28">
        <v>0</v>
      </c>
      <c r="H115" s="30">
        <v>19.100000000000001</v>
      </c>
      <c r="I115" s="32">
        <v>91</v>
      </c>
      <c r="J115" s="29"/>
      <c r="K115" s="32">
        <v>90</v>
      </c>
      <c r="L115" s="28">
        <v>743.76499999999999</v>
      </c>
      <c r="M115" s="63">
        <v>28656282</v>
      </c>
      <c r="N115" s="31">
        <v>4.7</v>
      </c>
      <c r="O115" s="62">
        <v>23.3</v>
      </c>
      <c r="P115" s="35">
        <v>44.4</v>
      </c>
      <c r="Q115" s="35">
        <v>6.1</v>
      </c>
      <c r="R115" s="35">
        <v>5.5</v>
      </c>
      <c r="S115" s="35">
        <f t="shared" si="4"/>
        <v>0</v>
      </c>
      <c r="T115" s="35">
        <f t="shared" si="5"/>
        <v>0</v>
      </c>
      <c r="U115" s="35">
        <f t="shared" si="6"/>
        <v>0</v>
      </c>
      <c r="V115" s="95">
        <f t="shared" si="7"/>
        <v>0</v>
      </c>
    </row>
    <row r="116" spans="1:22" ht="15" customHeight="1" x14ac:dyDescent="0.25">
      <c r="A116" s="27" t="s">
        <v>138</v>
      </c>
      <c r="B116" s="35">
        <v>2015</v>
      </c>
      <c r="C116" s="29" t="s">
        <v>31</v>
      </c>
      <c r="D116" s="30">
        <v>81.900000000000006</v>
      </c>
      <c r="E116" s="28">
        <v>57</v>
      </c>
      <c r="F116" s="31">
        <v>8.0299999999999994</v>
      </c>
      <c r="G116" s="28">
        <v>0</v>
      </c>
      <c r="H116" s="30">
        <v>62.1</v>
      </c>
      <c r="I116" s="32">
        <v>91</v>
      </c>
      <c r="J116" s="29"/>
      <c r="K116" s="32">
        <v>90</v>
      </c>
      <c r="L116" s="33">
        <v>44292.885000000002</v>
      </c>
      <c r="M116" s="63">
        <v>16939923</v>
      </c>
      <c r="N116" s="31">
        <v>12.1</v>
      </c>
      <c r="O116" s="62">
        <v>26.4</v>
      </c>
      <c r="P116" s="35">
        <v>4746</v>
      </c>
      <c r="Q116" s="35">
        <v>10.7</v>
      </c>
      <c r="R116" s="35">
        <v>19</v>
      </c>
      <c r="S116" s="35">
        <f t="shared" si="4"/>
        <v>1</v>
      </c>
      <c r="T116" s="35">
        <f t="shared" si="5"/>
        <v>57</v>
      </c>
      <c r="U116" s="35">
        <f t="shared" si="6"/>
        <v>62.1</v>
      </c>
      <c r="V116" s="95">
        <f t="shared" si="7"/>
        <v>12.1</v>
      </c>
    </row>
    <row r="117" spans="1:22" ht="15" customHeight="1" x14ac:dyDescent="0.25">
      <c r="A117" s="27" t="s">
        <v>139</v>
      </c>
      <c r="B117" s="35">
        <v>2015</v>
      </c>
      <c r="C117" s="29" t="s">
        <v>31</v>
      </c>
      <c r="D117" s="30">
        <v>81.599999999999994</v>
      </c>
      <c r="E117" s="28">
        <v>66</v>
      </c>
      <c r="F117" s="31">
        <v>8.8699999999999992</v>
      </c>
      <c r="G117" s="28">
        <v>0</v>
      </c>
      <c r="H117" s="30">
        <v>67.5</v>
      </c>
      <c r="I117" s="32">
        <v>92</v>
      </c>
      <c r="J117" s="29"/>
      <c r="K117" s="32">
        <v>92</v>
      </c>
      <c r="L117" s="33">
        <v>3821.8939999999998</v>
      </c>
      <c r="M117" s="63">
        <v>4595700</v>
      </c>
      <c r="N117" s="31">
        <v>12.4</v>
      </c>
      <c r="O117" s="62">
        <v>16.5</v>
      </c>
      <c r="P117" s="35">
        <v>3553.6</v>
      </c>
      <c r="Q117" s="35">
        <v>9.3000000000000007</v>
      </c>
      <c r="R117" s="35" t="s">
        <v>25</v>
      </c>
      <c r="S117" s="35">
        <f t="shared" si="4"/>
        <v>1</v>
      </c>
      <c r="T117" s="35">
        <f t="shared" si="5"/>
        <v>66</v>
      </c>
      <c r="U117" s="35">
        <f t="shared" si="6"/>
        <v>67.5</v>
      </c>
      <c r="V117" s="95">
        <f t="shared" si="7"/>
        <v>12.4</v>
      </c>
    </row>
    <row r="118" spans="1:22" ht="15" customHeight="1" x14ac:dyDescent="0.25">
      <c r="A118" s="27" t="s">
        <v>140</v>
      </c>
      <c r="B118" s="35">
        <v>2015</v>
      </c>
      <c r="C118" s="29" t="s">
        <v>19</v>
      </c>
      <c r="D118" s="30">
        <v>74.8</v>
      </c>
      <c r="E118" s="28">
        <v>145</v>
      </c>
      <c r="F118" s="31">
        <v>3.73</v>
      </c>
      <c r="G118" s="28">
        <v>0</v>
      </c>
      <c r="H118" s="30">
        <v>54</v>
      </c>
      <c r="I118" s="32">
        <v>98</v>
      </c>
      <c r="J118" s="29"/>
      <c r="K118" s="32">
        <v>99</v>
      </c>
      <c r="L118" s="28">
        <v>295.96600000000001</v>
      </c>
      <c r="M118" s="63">
        <v>6082035</v>
      </c>
      <c r="N118" s="31">
        <v>6.5</v>
      </c>
      <c r="O118" s="62">
        <v>0</v>
      </c>
      <c r="P118" s="35">
        <v>162.9</v>
      </c>
      <c r="Q118" s="35">
        <v>7.8</v>
      </c>
      <c r="R118" s="35">
        <v>17.399999999999999</v>
      </c>
      <c r="S118" s="35">
        <f t="shared" si="4"/>
        <v>0</v>
      </c>
      <c r="T118" s="35">
        <f t="shared" si="5"/>
        <v>0</v>
      </c>
      <c r="U118" s="35">
        <f t="shared" si="6"/>
        <v>0</v>
      </c>
      <c r="V118" s="95">
        <f t="shared" si="7"/>
        <v>0</v>
      </c>
    </row>
    <row r="119" spans="1:22" ht="15" customHeight="1" x14ac:dyDescent="0.25">
      <c r="A119" s="27" t="s">
        <v>141</v>
      </c>
      <c r="B119" s="35">
        <v>2015</v>
      </c>
      <c r="C119" s="29" t="s">
        <v>19</v>
      </c>
      <c r="D119" s="30">
        <v>61.8</v>
      </c>
      <c r="E119" s="28">
        <v>22</v>
      </c>
      <c r="F119" s="31">
        <v>0.11</v>
      </c>
      <c r="G119" s="28">
        <v>0</v>
      </c>
      <c r="H119" s="30">
        <v>19.3</v>
      </c>
      <c r="I119" s="32">
        <v>98</v>
      </c>
      <c r="J119" s="29"/>
      <c r="K119" s="32">
        <v>99</v>
      </c>
      <c r="L119" s="28">
        <v>358.99700000000001</v>
      </c>
      <c r="M119" s="63">
        <v>19896965</v>
      </c>
      <c r="N119" s="31">
        <v>1.8</v>
      </c>
      <c r="O119" s="62">
        <v>7.6</v>
      </c>
      <c r="P119" s="35">
        <v>25.7</v>
      </c>
      <c r="Q119" s="35">
        <v>7.2</v>
      </c>
      <c r="R119" s="35">
        <v>4.5999999999999996</v>
      </c>
      <c r="S119" s="35">
        <f t="shared" si="4"/>
        <v>0</v>
      </c>
      <c r="T119" s="35">
        <f t="shared" si="5"/>
        <v>0</v>
      </c>
      <c r="U119" s="35">
        <f t="shared" si="6"/>
        <v>0</v>
      </c>
      <c r="V119" s="95">
        <f t="shared" si="7"/>
        <v>0</v>
      </c>
    </row>
    <row r="120" spans="1:22" ht="15" customHeight="1" x14ac:dyDescent="0.25">
      <c r="A120" s="27" t="s">
        <v>142</v>
      </c>
      <c r="B120" s="35">
        <v>2015</v>
      </c>
      <c r="C120" s="29" t="s">
        <v>19</v>
      </c>
      <c r="D120" s="30">
        <v>54.5</v>
      </c>
      <c r="E120" s="28">
        <v>344</v>
      </c>
      <c r="F120" s="31">
        <v>9.6199999999999992</v>
      </c>
      <c r="G120" s="28">
        <v>0</v>
      </c>
      <c r="H120" s="30">
        <v>25.4</v>
      </c>
      <c r="I120" s="32">
        <v>42</v>
      </c>
      <c r="J120" s="29"/>
      <c r="K120" s="32">
        <v>40</v>
      </c>
      <c r="L120" s="33">
        <v>2655.1579999999999</v>
      </c>
      <c r="M120" s="63">
        <v>181181744</v>
      </c>
      <c r="N120" s="31">
        <v>6</v>
      </c>
      <c r="O120" s="62">
        <v>5.8</v>
      </c>
      <c r="P120" s="35">
        <v>97.3</v>
      </c>
      <c r="Q120" s="35">
        <v>3.6</v>
      </c>
      <c r="R120" s="35">
        <v>5.3</v>
      </c>
      <c r="S120" s="35">
        <f t="shared" si="4"/>
        <v>0</v>
      </c>
      <c r="T120" s="35">
        <f t="shared" si="5"/>
        <v>0</v>
      </c>
      <c r="U120" s="35">
        <f t="shared" si="6"/>
        <v>0</v>
      </c>
      <c r="V120" s="95">
        <f t="shared" si="7"/>
        <v>0</v>
      </c>
    </row>
    <row r="121" spans="1:22" ht="15" customHeight="1" x14ac:dyDescent="0.25">
      <c r="A121" s="27" t="s">
        <v>143</v>
      </c>
      <c r="B121" s="35">
        <v>2015</v>
      </c>
      <c r="C121" s="29" t="s">
        <v>31</v>
      </c>
      <c r="D121" s="30">
        <v>81.8</v>
      </c>
      <c r="E121" s="28">
        <v>59</v>
      </c>
      <c r="F121" s="31">
        <v>5.97</v>
      </c>
      <c r="G121" s="28">
        <v>0</v>
      </c>
      <c r="H121" s="30">
        <v>61.2</v>
      </c>
      <c r="I121" s="32">
        <v>95</v>
      </c>
      <c r="J121" s="29"/>
      <c r="K121" s="32">
        <v>95</v>
      </c>
      <c r="L121" s="33">
        <v>7455.2470000000003</v>
      </c>
      <c r="M121" s="63">
        <v>5190239</v>
      </c>
      <c r="N121" s="31">
        <v>12.5</v>
      </c>
      <c r="O121" s="62">
        <v>21.2</v>
      </c>
      <c r="P121" s="35">
        <v>7464.1</v>
      </c>
      <c r="Q121" s="35">
        <v>10</v>
      </c>
      <c r="R121" s="35">
        <v>17.5</v>
      </c>
      <c r="S121" s="35">
        <f t="shared" si="4"/>
        <v>1</v>
      </c>
      <c r="T121" s="35">
        <f t="shared" si="5"/>
        <v>59</v>
      </c>
      <c r="U121" s="35">
        <f t="shared" si="6"/>
        <v>61.2</v>
      </c>
      <c r="V121" s="95">
        <f t="shared" si="7"/>
        <v>12.5</v>
      </c>
    </row>
    <row r="122" spans="1:22" ht="15" customHeight="1" x14ac:dyDescent="0.25">
      <c r="A122" s="27" t="s">
        <v>144</v>
      </c>
      <c r="B122" s="35">
        <v>2015</v>
      </c>
      <c r="C122" s="29" t="s">
        <v>19</v>
      </c>
      <c r="D122" s="30">
        <v>76.599999999999994</v>
      </c>
      <c r="E122" s="28">
        <v>99</v>
      </c>
      <c r="F122" s="31">
        <v>0.39</v>
      </c>
      <c r="G122" s="28">
        <v>0</v>
      </c>
      <c r="H122" s="30">
        <v>54.6</v>
      </c>
      <c r="I122" s="32">
        <v>99</v>
      </c>
      <c r="J122" s="29"/>
      <c r="K122" s="32">
        <v>99</v>
      </c>
      <c r="L122" s="33">
        <v>16627.364000000001</v>
      </c>
      <c r="M122" s="63">
        <v>4199810</v>
      </c>
      <c r="N122" s="31">
        <v>9.5</v>
      </c>
      <c r="O122" s="62">
        <v>11.1</v>
      </c>
      <c r="P122" s="35">
        <v>636.5</v>
      </c>
      <c r="Q122" s="35">
        <v>3.8</v>
      </c>
      <c r="R122" s="35">
        <v>6.7</v>
      </c>
      <c r="S122" s="35">
        <f t="shared" si="4"/>
        <v>0</v>
      </c>
      <c r="T122" s="35">
        <f t="shared" si="5"/>
        <v>0</v>
      </c>
      <c r="U122" s="35">
        <f t="shared" si="6"/>
        <v>0</v>
      </c>
      <c r="V122" s="95">
        <f t="shared" si="7"/>
        <v>0</v>
      </c>
    </row>
    <row r="123" spans="1:22" ht="15" customHeight="1" x14ac:dyDescent="0.25">
      <c r="A123" s="27" t="s">
        <v>145</v>
      </c>
      <c r="B123" s="35">
        <v>2015</v>
      </c>
      <c r="C123" s="29" t="s">
        <v>19</v>
      </c>
      <c r="D123" s="30">
        <v>66.400000000000006</v>
      </c>
      <c r="E123" s="28">
        <v>161</v>
      </c>
      <c r="F123" s="31">
        <v>0.04</v>
      </c>
      <c r="G123" s="28">
        <v>0</v>
      </c>
      <c r="H123" s="30">
        <v>25.4</v>
      </c>
      <c r="I123" s="32">
        <v>72</v>
      </c>
      <c r="J123" s="29"/>
      <c r="K123" s="32">
        <v>72</v>
      </c>
      <c r="L123" s="33">
        <v>1431.2449999999999</v>
      </c>
      <c r="M123" s="63">
        <v>189380513</v>
      </c>
      <c r="N123" s="31">
        <v>5.0999999999999996</v>
      </c>
      <c r="O123" s="62">
        <v>20.3</v>
      </c>
      <c r="P123" s="35">
        <v>38</v>
      </c>
      <c r="Q123" s="35">
        <v>2.7</v>
      </c>
      <c r="R123" s="35">
        <v>3.7</v>
      </c>
      <c r="S123" s="35">
        <f t="shared" si="4"/>
        <v>0</v>
      </c>
      <c r="T123" s="35">
        <f t="shared" si="5"/>
        <v>0</v>
      </c>
      <c r="U123" s="35">
        <f t="shared" si="6"/>
        <v>0</v>
      </c>
      <c r="V123" s="95">
        <f t="shared" si="7"/>
        <v>0</v>
      </c>
    </row>
    <row r="124" spans="1:22" ht="15" customHeight="1" x14ac:dyDescent="0.25">
      <c r="A124" s="27" t="s">
        <v>146</v>
      </c>
      <c r="B124" s="35">
        <v>2015</v>
      </c>
      <c r="C124" s="29" t="s">
        <v>19</v>
      </c>
      <c r="D124" s="30">
        <v>77.8</v>
      </c>
      <c r="E124" s="28">
        <v>118</v>
      </c>
      <c r="F124" s="31">
        <v>6.92</v>
      </c>
      <c r="G124" s="28">
        <v>0</v>
      </c>
      <c r="H124" s="30">
        <v>57.8</v>
      </c>
      <c r="I124" s="32">
        <v>73</v>
      </c>
      <c r="J124" s="29"/>
      <c r="K124" s="32">
        <v>72</v>
      </c>
      <c r="L124" s="33">
        <v>13134.437</v>
      </c>
      <c r="M124" s="63">
        <v>3969249</v>
      </c>
      <c r="N124" s="31">
        <v>9.9</v>
      </c>
      <c r="O124" s="62">
        <v>6.5</v>
      </c>
      <c r="P124" s="35">
        <v>920.6</v>
      </c>
      <c r="Q124" s="35">
        <v>7</v>
      </c>
      <c r="R124" s="35">
        <v>11.3</v>
      </c>
      <c r="S124" s="35">
        <f t="shared" si="4"/>
        <v>0</v>
      </c>
      <c r="T124" s="35">
        <f t="shared" si="5"/>
        <v>0</v>
      </c>
      <c r="U124" s="35">
        <f t="shared" si="6"/>
        <v>0</v>
      </c>
      <c r="V124" s="95">
        <f t="shared" si="7"/>
        <v>0</v>
      </c>
    </row>
    <row r="125" spans="1:22" ht="15" customHeight="1" x14ac:dyDescent="0.25">
      <c r="A125" s="27" t="s">
        <v>147</v>
      </c>
      <c r="B125" s="35">
        <v>2015</v>
      </c>
      <c r="C125" s="29" t="s">
        <v>19</v>
      </c>
      <c r="D125" s="30">
        <v>62.9</v>
      </c>
      <c r="E125" s="28">
        <v>275</v>
      </c>
      <c r="F125" s="31">
        <v>0.71</v>
      </c>
      <c r="G125" s="28">
        <v>0</v>
      </c>
      <c r="H125" s="30">
        <v>48.6</v>
      </c>
      <c r="I125" s="32">
        <v>73</v>
      </c>
      <c r="J125" s="29"/>
      <c r="K125" s="32">
        <v>74</v>
      </c>
      <c r="L125" s="33">
        <v>2605.9499999999998</v>
      </c>
      <c r="M125" s="63">
        <v>7919825</v>
      </c>
      <c r="N125" s="31">
        <v>4.3</v>
      </c>
      <c r="O125" s="62">
        <v>37.4</v>
      </c>
      <c r="P125" s="35">
        <v>77.3</v>
      </c>
      <c r="Q125" s="35">
        <v>3.8</v>
      </c>
      <c r="R125" s="35">
        <v>8.6999999999999993</v>
      </c>
      <c r="S125" s="35">
        <f t="shared" si="4"/>
        <v>0</v>
      </c>
      <c r="T125" s="35">
        <f t="shared" si="5"/>
        <v>0</v>
      </c>
      <c r="U125" s="35">
        <f t="shared" si="6"/>
        <v>0</v>
      </c>
      <c r="V125" s="95">
        <f t="shared" si="7"/>
        <v>0</v>
      </c>
    </row>
    <row r="126" spans="1:22" ht="15" customHeight="1" x14ac:dyDescent="0.25">
      <c r="A126" s="27" t="s">
        <v>148</v>
      </c>
      <c r="B126" s="35">
        <v>2015</v>
      </c>
      <c r="C126" s="29" t="s">
        <v>19</v>
      </c>
      <c r="D126" s="30">
        <v>74</v>
      </c>
      <c r="E126" s="28">
        <v>146</v>
      </c>
      <c r="F126" s="31">
        <v>5.63</v>
      </c>
      <c r="G126" s="28">
        <v>0</v>
      </c>
      <c r="H126" s="30">
        <v>5.2</v>
      </c>
      <c r="I126" s="32">
        <v>92</v>
      </c>
      <c r="J126" s="29"/>
      <c r="K126" s="32">
        <v>93</v>
      </c>
      <c r="L126" s="28">
        <v>419.36799999999999</v>
      </c>
      <c r="M126" s="63">
        <v>6639119</v>
      </c>
      <c r="N126" s="31">
        <v>8.5</v>
      </c>
      <c r="O126" s="62">
        <v>14.1</v>
      </c>
      <c r="P126" s="35">
        <v>321.3</v>
      </c>
      <c r="Q126" s="35">
        <v>7.8</v>
      </c>
      <c r="R126" s="35">
        <v>10.8</v>
      </c>
      <c r="S126" s="35">
        <f t="shared" si="4"/>
        <v>0</v>
      </c>
      <c r="T126" s="35">
        <f t="shared" si="5"/>
        <v>0</v>
      </c>
      <c r="U126" s="35">
        <f t="shared" si="6"/>
        <v>0</v>
      </c>
      <c r="V126" s="95">
        <f t="shared" si="7"/>
        <v>0</v>
      </c>
    </row>
    <row r="127" spans="1:22" ht="15" customHeight="1" x14ac:dyDescent="0.25">
      <c r="A127" s="27" t="s">
        <v>149</v>
      </c>
      <c r="B127" s="35">
        <v>2015</v>
      </c>
      <c r="C127" s="29" t="s">
        <v>19</v>
      </c>
      <c r="D127" s="30">
        <v>75.5</v>
      </c>
      <c r="E127" s="28">
        <v>123</v>
      </c>
      <c r="F127" s="31">
        <v>5.0999999999999996</v>
      </c>
      <c r="G127" s="28">
        <v>0</v>
      </c>
      <c r="H127" s="30">
        <v>55.6</v>
      </c>
      <c r="I127" s="32">
        <v>90</v>
      </c>
      <c r="J127" s="29"/>
      <c r="K127" s="32">
        <v>88</v>
      </c>
      <c r="L127" s="28">
        <v>63.343000000000004</v>
      </c>
      <c r="M127" s="63">
        <v>31376671</v>
      </c>
      <c r="N127" s="31">
        <v>9.1</v>
      </c>
      <c r="O127" s="62">
        <v>5</v>
      </c>
      <c r="P127" s="35">
        <v>323</v>
      </c>
      <c r="Q127" s="35">
        <v>5.3</v>
      </c>
      <c r="R127" s="35">
        <v>14.4</v>
      </c>
      <c r="S127" s="35">
        <f t="shared" si="4"/>
        <v>0</v>
      </c>
      <c r="T127" s="35">
        <f t="shared" si="5"/>
        <v>0</v>
      </c>
      <c r="U127" s="35">
        <f t="shared" si="6"/>
        <v>0</v>
      </c>
      <c r="V127" s="95">
        <f t="shared" si="7"/>
        <v>0</v>
      </c>
    </row>
    <row r="128" spans="1:22" ht="15" customHeight="1" x14ac:dyDescent="0.25">
      <c r="A128" s="27" t="s">
        <v>150</v>
      </c>
      <c r="B128" s="35">
        <v>2015</v>
      </c>
      <c r="C128" s="29" t="s">
        <v>19</v>
      </c>
      <c r="D128" s="30">
        <v>68.5</v>
      </c>
      <c r="E128" s="28">
        <v>211</v>
      </c>
      <c r="F128" s="31">
        <v>4.41</v>
      </c>
      <c r="G128" s="28">
        <v>0</v>
      </c>
      <c r="H128" s="30">
        <v>25.4</v>
      </c>
      <c r="I128" s="32">
        <v>90</v>
      </c>
      <c r="J128" s="29"/>
      <c r="K128" s="32">
        <v>88</v>
      </c>
      <c r="L128" s="33">
        <v>2878.3380000000002</v>
      </c>
      <c r="M128" s="63">
        <v>101716359</v>
      </c>
      <c r="N128" s="31">
        <v>9.3000000000000007</v>
      </c>
      <c r="O128" s="62">
        <v>24.7</v>
      </c>
      <c r="P128" s="35">
        <v>126.9</v>
      </c>
      <c r="Q128" s="35">
        <v>4.4000000000000004</v>
      </c>
      <c r="R128" s="35">
        <v>7.4</v>
      </c>
      <c r="S128" s="35">
        <f t="shared" si="4"/>
        <v>0</v>
      </c>
      <c r="T128" s="35">
        <f t="shared" si="5"/>
        <v>0</v>
      </c>
      <c r="U128" s="35">
        <f t="shared" si="6"/>
        <v>0</v>
      </c>
      <c r="V128" s="95">
        <f t="shared" si="7"/>
        <v>0</v>
      </c>
    </row>
    <row r="129" spans="1:22" ht="15" customHeight="1" x14ac:dyDescent="0.25">
      <c r="A129" s="27" t="s">
        <v>151</v>
      </c>
      <c r="B129" s="35">
        <v>2015</v>
      </c>
      <c r="C129" s="29" t="s">
        <v>31</v>
      </c>
      <c r="D129" s="30">
        <v>77.5</v>
      </c>
      <c r="E129" s="28">
        <v>117</v>
      </c>
      <c r="F129" s="31">
        <v>10.48</v>
      </c>
      <c r="G129" s="28">
        <v>0</v>
      </c>
      <c r="H129" s="30">
        <v>61.7</v>
      </c>
      <c r="I129" s="32">
        <v>98</v>
      </c>
      <c r="J129" s="29"/>
      <c r="K129" s="32">
        <v>92</v>
      </c>
      <c r="L129" s="33">
        <v>12565.987999999999</v>
      </c>
      <c r="M129" s="63">
        <v>37986412</v>
      </c>
      <c r="N129" s="31">
        <v>12.1</v>
      </c>
      <c r="O129" s="62">
        <v>28.6</v>
      </c>
      <c r="P129" s="35">
        <v>796.7</v>
      </c>
      <c r="Q129" s="35">
        <v>6.3</v>
      </c>
      <c r="R129" s="35">
        <v>10.7</v>
      </c>
      <c r="S129" s="35">
        <f t="shared" si="4"/>
        <v>1</v>
      </c>
      <c r="T129" s="35">
        <f t="shared" si="5"/>
        <v>117</v>
      </c>
      <c r="U129" s="35">
        <f t="shared" si="6"/>
        <v>61.7</v>
      </c>
      <c r="V129" s="95">
        <f t="shared" si="7"/>
        <v>12.1</v>
      </c>
    </row>
    <row r="130" spans="1:22" ht="15" customHeight="1" x14ac:dyDescent="0.25">
      <c r="A130" s="27" t="s">
        <v>152</v>
      </c>
      <c r="B130" s="35">
        <v>2015</v>
      </c>
      <c r="C130" s="29" t="s">
        <v>31</v>
      </c>
      <c r="D130" s="30">
        <v>81.099999999999994</v>
      </c>
      <c r="E130" s="28">
        <v>76</v>
      </c>
      <c r="F130" s="31">
        <v>10.54</v>
      </c>
      <c r="G130" s="28">
        <v>0</v>
      </c>
      <c r="H130" s="30">
        <v>61.6</v>
      </c>
      <c r="I130" s="32">
        <v>98</v>
      </c>
      <c r="J130" s="29"/>
      <c r="K130" s="32">
        <v>98</v>
      </c>
      <c r="L130" s="33">
        <v>1922.681</v>
      </c>
      <c r="M130" s="63">
        <v>10358076</v>
      </c>
      <c r="N130" s="31">
        <v>9.1</v>
      </c>
      <c r="O130" s="62">
        <v>22.9</v>
      </c>
      <c r="P130" s="35">
        <v>1721.7</v>
      </c>
      <c r="Q130" s="35">
        <v>9</v>
      </c>
      <c r="R130" s="35">
        <v>12.3</v>
      </c>
      <c r="S130" s="35">
        <f t="shared" si="4"/>
        <v>1</v>
      </c>
      <c r="T130" s="35">
        <f t="shared" si="5"/>
        <v>76</v>
      </c>
      <c r="U130" s="35">
        <f t="shared" si="6"/>
        <v>61.6</v>
      </c>
      <c r="V130" s="95">
        <f t="shared" si="7"/>
        <v>9.1</v>
      </c>
    </row>
    <row r="131" spans="1:22" ht="15" customHeight="1" x14ac:dyDescent="0.25">
      <c r="A131" s="27" t="s">
        <v>153</v>
      </c>
      <c r="B131" s="35">
        <v>2015</v>
      </c>
      <c r="C131" s="29" t="s">
        <v>19</v>
      </c>
      <c r="D131" s="30">
        <v>78.2</v>
      </c>
      <c r="E131" s="28">
        <v>68</v>
      </c>
      <c r="F131" s="31">
        <v>1.26</v>
      </c>
      <c r="G131" s="28">
        <v>0</v>
      </c>
      <c r="H131" s="30">
        <v>69.3</v>
      </c>
      <c r="I131" s="32">
        <v>99</v>
      </c>
      <c r="J131" s="29"/>
      <c r="K131" s="32">
        <v>99</v>
      </c>
      <c r="L131" s="33">
        <v>66346.523000000001</v>
      </c>
      <c r="M131" s="63">
        <v>2481539</v>
      </c>
      <c r="N131" s="31">
        <v>9.8000000000000007</v>
      </c>
      <c r="O131" s="62">
        <v>20.399999999999999</v>
      </c>
      <c r="P131" s="35">
        <v>2029.5</v>
      </c>
      <c r="Q131" s="35">
        <v>3.1</v>
      </c>
      <c r="R131" s="35">
        <v>6.3</v>
      </c>
      <c r="S131" s="35">
        <f t="shared" ref="S131:S184" si="8">IF(C131="Developing",0,1)</f>
        <v>0</v>
      </c>
      <c r="T131" s="35">
        <f t="shared" ref="T131:T184" si="9">S131*E131</f>
        <v>0</v>
      </c>
      <c r="U131" s="35">
        <f t="shared" ref="U131:U184" si="10">S131*H131</f>
        <v>0</v>
      </c>
      <c r="V131" s="95">
        <f t="shared" ref="V131:V184" si="11">S131*N131</f>
        <v>0</v>
      </c>
    </row>
    <row r="132" spans="1:22" ht="15" customHeight="1" x14ac:dyDescent="0.25">
      <c r="A132" s="27" t="s">
        <v>154</v>
      </c>
      <c r="B132" s="35">
        <v>2015</v>
      </c>
      <c r="C132" s="29" t="s">
        <v>19</v>
      </c>
      <c r="D132" s="30">
        <v>82.3</v>
      </c>
      <c r="E132" s="28">
        <v>64</v>
      </c>
      <c r="F132" s="31">
        <v>9.06</v>
      </c>
      <c r="G132" s="28">
        <v>0</v>
      </c>
      <c r="H132" s="30">
        <v>31.7</v>
      </c>
      <c r="I132" s="32">
        <v>99</v>
      </c>
      <c r="J132" s="29"/>
      <c r="K132" s="32">
        <v>99</v>
      </c>
      <c r="L132" s="33">
        <v>27105.08</v>
      </c>
      <c r="M132" s="63">
        <v>51014947</v>
      </c>
      <c r="N132" s="31">
        <v>12.1</v>
      </c>
      <c r="O132" s="62">
        <v>23.9</v>
      </c>
      <c r="P132" s="35">
        <v>2012.7</v>
      </c>
      <c r="Q132" s="35">
        <v>7.4</v>
      </c>
      <c r="R132" s="35">
        <v>12.9</v>
      </c>
      <c r="S132" s="35">
        <f t="shared" si="8"/>
        <v>0</v>
      </c>
      <c r="T132" s="35">
        <f t="shared" si="9"/>
        <v>0</v>
      </c>
      <c r="U132" s="35">
        <f t="shared" si="10"/>
        <v>0</v>
      </c>
      <c r="V132" s="95">
        <f t="shared" si="11"/>
        <v>0</v>
      </c>
    </row>
    <row r="133" spans="1:22" ht="15" customHeight="1" x14ac:dyDescent="0.25">
      <c r="A133" s="27" t="s">
        <v>155</v>
      </c>
      <c r="B133" s="35">
        <v>2015</v>
      </c>
      <c r="C133" s="29" t="s">
        <v>19</v>
      </c>
      <c r="D133" s="30">
        <v>72.099999999999994</v>
      </c>
      <c r="E133" s="28">
        <v>157</v>
      </c>
      <c r="F133" s="31">
        <v>9.39</v>
      </c>
      <c r="G133" s="28">
        <v>0</v>
      </c>
      <c r="H133" s="30">
        <v>53.4</v>
      </c>
      <c r="I133" s="32">
        <v>98</v>
      </c>
      <c r="J133" s="29"/>
      <c r="K133" s="32">
        <v>98</v>
      </c>
      <c r="L133" s="33">
        <v>1832.5</v>
      </c>
      <c r="M133" s="63">
        <v>3554108</v>
      </c>
      <c r="N133" s="31">
        <v>11.6</v>
      </c>
      <c r="O133" s="62">
        <v>24.2</v>
      </c>
      <c r="P133" s="35">
        <v>186.4</v>
      </c>
      <c r="Q133" s="35">
        <v>10.199999999999999</v>
      </c>
      <c r="R133" s="35">
        <v>12.2</v>
      </c>
      <c r="S133" s="35">
        <f t="shared" si="8"/>
        <v>0</v>
      </c>
      <c r="T133" s="35">
        <f t="shared" si="9"/>
        <v>0</v>
      </c>
      <c r="U133" s="35">
        <f t="shared" si="10"/>
        <v>0</v>
      </c>
      <c r="V133" s="95">
        <f t="shared" si="11"/>
        <v>0</v>
      </c>
    </row>
    <row r="134" spans="1:22" ht="15" customHeight="1" x14ac:dyDescent="0.25">
      <c r="A134" s="27" t="s">
        <v>156</v>
      </c>
      <c r="B134" s="35">
        <v>2015</v>
      </c>
      <c r="C134" s="29" t="s">
        <v>31</v>
      </c>
      <c r="D134" s="30">
        <v>75</v>
      </c>
      <c r="E134" s="28">
        <v>133</v>
      </c>
      <c r="F134" s="31">
        <v>10.4</v>
      </c>
      <c r="G134" s="28">
        <v>0</v>
      </c>
      <c r="H134" s="30">
        <v>6.7</v>
      </c>
      <c r="I134" s="32">
        <v>89</v>
      </c>
      <c r="J134" s="29"/>
      <c r="K134" s="32">
        <v>89</v>
      </c>
      <c r="L134" s="33">
        <v>8958.7890000000007</v>
      </c>
      <c r="M134" s="63">
        <v>19815481</v>
      </c>
      <c r="N134" s="31">
        <v>10.9</v>
      </c>
      <c r="O134" s="62">
        <v>30.1</v>
      </c>
      <c r="P134" s="35">
        <v>442.4</v>
      </c>
      <c r="Q134" s="35">
        <v>5</v>
      </c>
      <c r="R134" s="35">
        <v>10.8</v>
      </c>
      <c r="S134" s="35">
        <f t="shared" si="8"/>
        <v>1</v>
      </c>
      <c r="T134" s="35">
        <f t="shared" si="9"/>
        <v>133</v>
      </c>
      <c r="U134" s="35">
        <f t="shared" si="10"/>
        <v>6.7</v>
      </c>
      <c r="V134" s="95">
        <f t="shared" si="11"/>
        <v>10.9</v>
      </c>
    </row>
    <row r="135" spans="1:22" ht="15" customHeight="1" x14ac:dyDescent="0.25">
      <c r="A135" s="27" t="s">
        <v>157</v>
      </c>
      <c r="B135" s="35">
        <v>2015</v>
      </c>
      <c r="C135" s="29" t="s">
        <v>19</v>
      </c>
      <c r="D135" s="30">
        <v>75</v>
      </c>
      <c r="E135" s="28">
        <v>222</v>
      </c>
      <c r="F135" s="31">
        <v>8.41</v>
      </c>
      <c r="G135" s="28">
        <v>0</v>
      </c>
      <c r="H135" s="30">
        <v>6.5</v>
      </c>
      <c r="I135" s="32">
        <v>89</v>
      </c>
      <c r="J135" s="29"/>
      <c r="K135" s="32">
        <v>89</v>
      </c>
      <c r="L135" s="33">
        <v>9329.2980000000007</v>
      </c>
      <c r="M135" s="63">
        <v>144096870</v>
      </c>
      <c r="N135" s="31">
        <v>12</v>
      </c>
      <c r="O135" s="62">
        <v>39.5</v>
      </c>
      <c r="P135" s="35">
        <v>523.79999999999995</v>
      </c>
      <c r="Q135" s="35">
        <v>5.6</v>
      </c>
      <c r="R135" s="35">
        <v>9.6</v>
      </c>
      <c r="S135" s="35">
        <f t="shared" si="8"/>
        <v>0</v>
      </c>
      <c r="T135" s="35">
        <f t="shared" si="9"/>
        <v>0</v>
      </c>
      <c r="U135" s="35">
        <f t="shared" si="10"/>
        <v>0</v>
      </c>
      <c r="V135" s="95">
        <f t="shared" si="11"/>
        <v>0</v>
      </c>
    </row>
    <row r="136" spans="1:22" ht="15" customHeight="1" x14ac:dyDescent="0.25">
      <c r="A136" s="27" t="s">
        <v>158</v>
      </c>
      <c r="B136" s="35">
        <v>2015</v>
      </c>
      <c r="C136" s="29" t="s">
        <v>19</v>
      </c>
      <c r="D136" s="30">
        <v>66.099999999999994</v>
      </c>
      <c r="E136" s="28">
        <v>227</v>
      </c>
      <c r="F136" s="31">
        <v>6.91</v>
      </c>
      <c r="G136" s="28">
        <v>0</v>
      </c>
      <c r="H136" s="30">
        <v>21.4</v>
      </c>
      <c r="I136" s="32">
        <v>98</v>
      </c>
      <c r="J136" s="29"/>
      <c r="K136" s="32">
        <v>99</v>
      </c>
      <c r="L136" s="28">
        <v>71.347999999999999</v>
      </c>
      <c r="M136" s="63">
        <v>11629553</v>
      </c>
      <c r="N136" s="31">
        <v>4</v>
      </c>
      <c r="O136" s="62">
        <v>12.5</v>
      </c>
      <c r="P136" s="35">
        <v>56.7</v>
      </c>
      <c r="Q136" s="35">
        <v>7.9</v>
      </c>
      <c r="R136" s="35">
        <v>6.2</v>
      </c>
      <c r="S136" s="35">
        <f t="shared" si="8"/>
        <v>0</v>
      </c>
      <c r="T136" s="35">
        <f t="shared" si="9"/>
        <v>0</v>
      </c>
      <c r="U136" s="35">
        <f t="shared" si="10"/>
        <v>0</v>
      </c>
      <c r="V136" s="95">
        <f t="shared" si="11"/>
        <v>0</v>
      </c>
    </row>
    <row r="137" spans="1:22" ht="15" customHeight="1" x14ac:dyDescent="0.25">
      <c r="A137" s="27" t="s">
        <v>159</v>
      </c>
      <c r="B137" s="35">
        <v>2015</v>
      </c>
      <c r="C137" s="29" t="s">
        <v>19</v>
      </c>
      <c r="D137" s="30">
        <v>75.2</v>
      </c>
      <c r="E137" s="28">
        <v>138</v>
      </c>
      <c r="F137" s="31">
        <v>9.66</v>
      </c>
      <c r="G137" s="28">
        <v>0</v>
      </c>
      <c r="H137" s="30">
        <v>47.5</v>
      </c>
      <c r="I137" s="32">
        <v>99</v>
      </c>
      <c r="J137" s="29"/>
      <c r="K137" s="32">
        <v>99</v>
      </c>
      <c r="L137" s="33">
        <v>9306.36</v>
      </c>
      <c r="M137" s="63">
        <v>177206</v>
      </c>
      <c r="N137" s="31">
        <v>8.9</v>
      </c>
      <c r="O137" s="62">
        <v>0</v>
      </c>
      <c r="P137" s="35">
        <v>481.6</v>
      </c>
      <c r="Q137" s="35">
        <v>6</v>
      </c>
      <c r="R137" s="35">
        <v>8.5</v>
      </c>
      <c r="S137" s="35">
        <f t="shared" si="8"/>
        <v>0</v>
      </c>
      <c r="T137" s="35">
        <f t="shared" si="9"/>
        <v>0</v>
      </c>
      <c r="U137" s="35">
        <f t="shared" si="10"/>
        <v>0</v>
      </c>
      <c r="V137" s="95">
        <f t="shared" si="11"/>
        <v>0</v>
      </c>
    </row>
    <row r="138" spans="1:22" ht="15" customHeight="1" x14ac:dyDescent="0.25">
      <c r="A138" s="27" t="s">
        <v>160</v>
      </c>
      <c r="B138" s="35">
        <v>2015</v>
      </c>
      <c r="C138" s="29" t="s">
        <v>19</v>
      </c>
      <c r="D138" s="30">
        <v>73.2</v>
      </c>
      <c r="E138" s="28">
        <v>156</v>
      </c>
      <c r="F138" s="31">
        <v>7.25</v>
      </c>
      <c r="G138" s="28">
        <v>0</v>
      </c>
      <c r="H138" s="30">
        <v>54.1</v>
      </c>
      <c r="I138" s="32">
        <v>99</v>
      </c>
      <c r="J138" s="29"/>
      <c r="K138" s="32">
        <v>99</v>
      </c>
      <c r="L138" s="33">
        <v>6913.04</v>
      </c>
      <c r="M138" s="63">
        <v>109455</v>
      </c>
      <c r="N138" s="31">
        <v>8.6</v>
      </c>
      <c r="O138" s="62">
        <v>0</v>
      </c>
      <c r="P138" s="35">
        <v>284</v>
      </c>
      <c r="Q138" s="35">
        <v>4.2</v>
      </c>
      <c r="R138" s="35">
        <v>10</v>
      </c>
      <c r="S138" s="35">
        <f t="shared" si="8"/>
        <v>0</v>
      </c>
      <c r="T138" s="35">
        <f t="shared" si="9"/>
        <v>0</v>
      </c>
      <c r="U138" s="35">
        <f t="shared" si="10"/>
        <v>0</v>
      </c>
      <c r="V138" s="95">
        <f t="shared" si="11"/>
        <v>0</v>
      </c>
    </row>
    <row r="139" spans="1:22" ht="15" customHeight="1" x14ac:dyDescent="0.25">
      <c r="A139" s="27" t="s">
        <v>161</v>
      </c>
      <c r="B139" s="35">
        <v>2015</v>
      </c>
      <c r="C139" s="29" t="s">
        <v>19</v>
      </c>
      <c r="D139" s="30">
        <v>74</v>
      </c>
      <c r="E139" s="28">
        <v>125</v>
      </c>
      <c r="F139" s="31">
        <v>1.97</v>
      </c>
      <c r="G139" s="28">
        <v>0</v>
      </c>
      <c r="H139" s="30">
        <v>74.7</v>
      </c>
      <c r="I139" s="32">
        <v>84</v>
      </c>
      <c r="J139" s="29"/>
      <c r="K139" s="32">
        <v>81</v>
      </c>
      <c r="L139" s="33">
        <v>4149.3630000000003</v>
      </c>
      <c r="M139" s="63">
        <v>193759</v>
      </c>
      <c r="N139" s="31">
        <v>10.3</v>
      </c>
      <c r="O139" s="62">
        <v>28.5</v>
      </c>
      <c r="P139" s="35">
        <v>222.9</v>
      </c>
      <c r="Q139" s="35">
        <v>5.6</v>
      </c>
      <c r="R139" s="35">
        <v>11.5</v>
      </c>
      <c r="S139" s="35">
        <f t="shared" si="8"/>
        <v>0</v>
      </c>
      <c r="T139" s="35">
        <f t="shared" si="9"/>
        <v>0</v>
      </c>
      <c r="U139" s="35">
        <f t="shared" si="10"/>
        <v>0</v>
      </c>
      <c r="V139" s="95">
        <f t="shared" si="11"/>
        <v>0</v>
      </c>
    </row>
    <row r="140" spans="1:22" ht="15" customHeight="1" x14ac:dyDescent="0.25">
      <c r="A140" s="27" t="s">
        <v>162</v>
      </c>
      <c r="B140" s="35">
        <v>2015</v>
      </c>
      <c r="C140" s="29" t="s">
        <v>19</v>
      </c>
      <c r="D140" s="30">
        <v>67.5</v>
      </c>
      <c r="E140" s="28">
        <v>19</v>
      </c>
      <c r="F140" s="31">
        <v>4.8499999999999996</v>
      </c>
      <c r="G140" s="28">
        <v>0</v>
      </c>
      <c r="H140" s="30">
        <v>3.9</v>
      </c>
      <c r="I140" s="32">
        <v>96</v>
      </c>
      <c r="J140" s="29"/>
      <c r="K140" s="32">
        <v>96</v>
      </c>
      <c r="L140" s="33">
        <v>1624.64</v>
      </c>
      <c r="M140" s="63">
        <v>195553</v>
      </c>
      <c r="N140" s="31">
        <v>5.6</v>
      </c>
      <c r="O140" s="62">
        <v>0</v>
      </c>
      <c r="P140" s="35">
        <v>159.9</v>
      </c>
      <c r="Q140" s="35">
        <v>9.8000000000000007</v>
      </c>
      <c r="R140" s="35">
        <v>10.7</v>
      </c>
      <c r="S140" s="35">
        <f t="shared" si="8"/>
        <v>0</v>
      </c>
      <c r="T140" s="35">
        <f t="shared" si="9"/>
        <v>0</v>
      </c>
      <c r="U140" s="35">
        <f t="shared" si="10"/>
        <v>0</v>
      </c>
      <c r="V140" s="95">
        <f t="shared" si="11"/>
        <v>0</v>
      </c>
    </row>
    <row r="141" spans="1:22" ht="15" customHeight="1" x14ac:dyDescent="0.25">
      <c r="A141" s="27" t="s">
        <v>163</v>
      </c>
      <c r="B141" s="35">
        <v>2015</v>
      </c>
      <c r="C141" s="29" t="s">
        <v>19</v>
      </c>
      <c r="D141" s="30">
        <v>74.5</v>
      </c>
      <c r="E141" s="28">
        <v>88</v>
      </c>
      <c r="F141" s="31">
        <v>0.08</v>
      </c>
      <c r="G141" s="28">
        <v>0</v>
      </c>
      <c r="H141" s="30">
        <v>68.2</v>
      </c>
      <c r="I141" s="32">
        <v>98</v>
      </c>
      <c r="J141" s="29"/>
      <c r="K141" s="32">
        <v>97</v>
      </c>
      <c r="L141" s="33">
        <v>2732.8620000000001</v>
      </c>
      <c r="M141" s="63">
        <v>31557144</v>
      </c>
      <c r="N141" s="31">
        <v>9.5</v>
      </c>
      <c r="O141" s="62">
        <v>15.6</v>
      </c>
      <c r="P141" s="35">
        <v>1194.0999999999999</v>
      </c>
      <c r="Q141" s="35">
        <v>5.8</v>
      </c>
      <c r="R141" s="35">
        <v>10.1</v>
      </c>
      <c r="S141" s="35">
        <f t="shared" si="8"/>
        <v>0</v>
      </c>
      <c r="T141" s="35">
        <f t="shared" si="9"/>
        <v>0</v>
      </c>
      <c r="U141" s="35">
        <f t="shared" si="10"/>
        <v>0</v>
      </c>
      <c r="V141" s="95">
        <f t="shared" si="11"/>
        <v>0</v>
      </c>
    </row>
    <row r="142" spans="1:22" ht="15" customHeight="1" x14ac:dyDescent="0.25">
      <c r="A142" s="27" t="s">
        <v>164</v>
      </c>
      <c r="B142" s="35">
        <v>2015</v>
      </c>
      <c r="C142" s="29" t="s">
        <v>19</v>
      </c>
      <c r="D142" s="30">
        <v>66.7</v>
      </c>
      <c r="E142" s="28">
        <v>188</v>
      </c>
      <c r="F142" s="31">
        <v>0.25</v>
      </c>
      <c r="G142" s="28">
        <v>0</v>
      </c>
      <c r="H142" s="30">
        <v>24.3</v>
      </c>
      <c r="I142" s="32">
        <v>89</v>
      </c>
      <c r="J142" s="29"/>
      <c r="K142" s="32">
        <v>85</v>
      </c>
      <c r="L142" s="28">
        <v>98.725999999999999</v>
      </c>
      <c r="M142" s="63">
        <v>14976994</v>
      </c>
      <c r="N142" s="31">
        <v>2.9</v>
      </c>
      <c r="O142" s="62">
        <v>8.3000000000000007</v>
      </c>
      <c r="P142" s="35">
        <v>36.1</v>
      </c>
      <c r="Q142" s="35">
        <v>4</v>
      </c>
      <c r="R142" s="35">
        <v>4.2</v>
      </c>
      <c r="S142" s="35">
        <f t="shared" si="8"/>
        <v>0</v>
      </c>
      <c r="T142" s="35">
        <f t="shared" si="9"/>
        <v>0</v>
      </c>
      <c r="U142" s="35">
        <f t="shared" si="10"/>
        <v>0</v>
      </c>
      <c r="V142" s="95">
        <f t="shared" si="11"/>
        <v>0</v>
      </c>
    </row>
    <row r="143" spans="1:22" ht="15" customHeight="1" x14ac:dyDescent="0.25">
      <c r="A143" s="27" t="s">
        <v>165</v>
      </c>
      <c r="B143" s="35">
        <v>2015</v>
      </c>
      <c r="C143" s="29" t="s">
        <v>19</v>
      </c>
      <c r="D143" s="30">
        <v>75.599999999999994</v>
      </c>
      <c r="E143" s="28">
        <v>121</v>
      </c>
      <c r="F143" s="31">
        <v>9.1300000000000008</v>
      </c>
      <c r="G143" s="28">
        <v>0</v>
      </c>
      <c r="H143" s="30">
        <v>6</v>
      </c>
      <c r="I143" s="32">
        <v>95</v>
      </c>
      <c r="J143" s="29"/>
      <c r="K143" s="32">
        <v>95</v>
      </c>
      <c r="L143" s="33">
        <v>5237.2550000000001</v>
      </c>
      <c r="M143" s="63">
        <v>7095383</v>
      </c>
      <c r="N143" s="31">
        <v>11</v>
      </c>
      <c r="O143" s="62">
        <v>39.4</v>
      </c>
      <c r="P143" s="35">
        <v>491.3</v>
      </c>
      <c r="Q143" s="35">
        <v>9.4</v>
      </c>
      <c r="R143" s="35">
        <v>12.3</v>
      </c>
      <c r="S143" s="35">
        <f t="shared" si="8"/>
        <v>0</v>
      </c>
      <c r="T143" s="35">
        <f t="shared" si="9"/>
        <v>0</v>
      </c>
      <c r="U143" s="35">
        <f t="shared" si="10"/>
        <v>0</v>
      </c>
      <c r="V143" s="95">
        <f t="shared" si="11"/>
        <v>0</v>
      </c>
    </row>
    <row r="144" spans="1:22" ht="15" customHeight="1" x14ac:dyDescent="0.25">
      <c r="A144" s="27" t="s">
        <v>166</v>
      </c>
      <c r="B144" s="35">
        <v>2015</v>
      </c>
      <c r="C144" s="29" t="s">
        <v>19</v>
      </c>
      <c r="D144" s="30">
        <v>73.2</v>
      </c>
      <c r="E144" s="28">
        <v>168</v>
      </c>
      <c r="F144" s="31">
        <v>11.5</v>
      </c>
      <c r="G144" s="28">
        <v>0</v>
      </c>
      <c r="H144" s="30">
        <v>37.4</v>
      </c>
      <c r="I144" s="32">
        <v>97</v>
      </c>
      <c r="J144" s="29"/>
      <c r="K144" s="32">
        <v>97</v>
      </c>
      <c r="L144" s="33">
        <v>1539.4639999999999</v>
      </c>
      <c r="M144" s="63">
        <v>93419</v>
      </c>
      <c r="N144" s="31">
        <v>9.5</v>
      </c>
      <c r="O144" s="62">
        <v>21.7</v>
      </c>
      <c r="P144" s="35">
        <v>491.8</v>
      </c>
      <c r="Q144" s="35">
        <v>3.4</v>
      </c>
      <c r="R144" s="35">
        <v>10</v>
      </c>
      <c r="S144" s="35">
        <f t="shared" si="8"/>
        <v>0</v>
      </c>
      <c r="T144" s="35">
        <f t="shared" si="9"/>
        <v>0</v>
      </c>
      <c r="U144" s="35">
        <f t="shared" si="10"/>
        <v>0</v>
      </c>
      <c r="V144" s="95">
        <f t="shared" si="11"/>
        <v>0</v>
      </c>
    </row>
    <row r="145" spans="1:22" ht="15" customHeight="1" x14ac:dyDescent="0.25">
      <c r="A145" s="27" t="s">
        <v>167</v>
      </c>
      <c r="B145" s="35">
        <v>2015</v>
      </c>
      <c r="C145" s="29" t="s">
        <v>19</v>
      </c>
      <c r="D145" s="30">
        <v>51</v>
      </c>
      <c r="E145" s="28">
        <v>413</v>
      </c>
      <c r="F145" s="31">
        <v>3.42</v>
      </c>
      <c r="G145" s="28">
        <v>0</v>
      </c>
      <c r="H145" s="30">
        <v>24.4</v>
      </c>
      <c r="I145" s="32">
        <v>86</v>
      </c>
      <c r="J145" s="29"/>
      <c r="K145" s="32">
        <v>86</v>
      </c>
      <c r="L145" s="28">
        <v>587.53800000000001</v>
      </c>
      <c r="M145" s="63">
        <v>7237025</v>
      </c>
      <c r="N145" s="31">
        <v>3.4</v>
      </c>
      <c r="O145" s="62">
        <v>25.4</v>
      </c>
      <c r="P145" s="35">
        <v>106.7</v>
      </c>
      <c r="Q145" s="35">
        <v>18.3</v>
      </c>
      <c r="R145" s="35">
        <v>7.9</v>
      </c>
      <c r="S145" s="35">
        <f t="shared" si="8"/>
        <v>0</v>
      </c>
      <c r="T145" s="35">
        <f t="shared" si="9"/>
        <v>0</v>
      </c>
      <c r="U145" s="35">
        <f t="shared" si="10"/>
        <v>0</v>
      </c>
      <c r="V145" s="95">
        <f t="shared" si="11"/>
        <v>0</v>
      </c>
    </row>
    <row r="146" spans="1:22" ht="15" customHeight="1" x14ac:dyDescent="0.25">
      <c r="A146" s="27" t="s">
        <v>168</v>
      </c>
      <c r="B146" s="35">
        <v>2015</v>
      </c>
      <c r="C146" s="29" t="s">
        <v>31</v>
      </c>
      <c r="D146" s="30">
        <v>83.1</v>
      </c>
      <c r="E146" s="28">
        <v>55</v>
      </c>
      <c r="F146" s="31">
        <v>1.8</v>
      </c>
      <c r="G146" s="28">
        <v>0</v>
      </c>
      <c r="H146" s="30">
        <v>33.200000000000003</v>
      </c>
      <c r="I146" s="32">
        <v>96</v>
      </c>
      <c r="J146" s="29"/>
      <c r="K146" s="32">
        <v>96</v>
      </c>
      <c r="L146" s="33">
        <v>53629.737000000001</v>
      </c>
      <c r="M146" s="63">
        <v>5535002</v>
      </c>
      <c r="N146" s="31">
        <v>11.5</v>
      </c>
      <c r="O146" s="62">
        <v>16.5</v>
      </c>
      <c r="P146" s="35">
        <v>2280.3000000000002</v>
      </c>
      <c r="Q146" s="35">
        <v>4.3</v>
      </c>
      <c r="R146" s="35">
        <v>12</v>
      </c>
      <c r="S146" s="35">
        <f t="shared" si="8"/>
        <v>1</v>
      </c>
      <c r="T146" s="35">
        <f t="shared" si="9"/>
        <v>55</v>
      </c>
      <c r="U146" s="35">
        <f t="shared" si="10"/>
        <v>33.200000000000003</v>
      </c>
      <c r="V146" s="95">
        <f t="shared" si="11"/>
        <v>11.5</v>
      </c>
    </row>
    <row r="147" spans="1:22" ht="15" customHeight="1" x14ac:dyDescent="0.25">
      <c r="A147" s="27" t="s">
        <v>169</v>
      </c>
      <c r="B147" s="35">
        <v>2015</v>
      </c>
      <c r="C147" s="29" t="s">
        <v>31</v>
      </c>
      <c r="D147" s="30">
        <v>76.7</v>
      </c>
      <c r="E147" s="28">
        <v>19</v>
      </c>
      <c r="F147" s="31">
        <v>10.78</v>
      </c>
      <c r="G147" s="28">
        <v>0</v>
      </c>
      <c r="H147" s="30">
        <v>59.1</v>
      </c>
      <c r="I147" s="32">
        <v>96</v>
      </c>
      <c r="J147" s="29"/>
      <c r="K147" s="32">
        <v>96</v>
      </c>
      <c r="L147" s="33">
        <v>16132.86</v>
      </c>
      <c r="M147" s="63">
        <v>5423801</v>
      </c>
      <c r="N147" s="31">
        <v>12.5</v>
      </c>
      <c r="O147" s="62">
        <v>30.1</v>
      </c>
      <c r="P147" s="35">
        <v>1108.4000000000001</v>
      </c>
      <c r="Q147" s="35">
        <v>6.9</v>
      </c>
      <c r="R147" s="35">
        <v>12</v>
      </c>
      <c r="S147" s="35">
        <f t="shared" si="8"/>
        <v>1</v>
      </c>
      <c r="T147" s="35">
        <f t="shared" si="9"/>
        <v>19</v>
      </c>
      <c r="U147" s="35">
        <f t="shared" si="10"/>
        <v>59.1</v>
      </c>
      <c r="V147" s="95">
        <f t="shared" si="11"/>
        <v>12.5</v>
      </c>
    </row>
    <row r="148" spans="1:22" ht="15" customHeight="1" x14ac:dyDescent="0.25">
      <c r="A148" s="27" t="s">
        <v>170</v>
      </c>
      <c r="B148" s="35">
        <v>2015</v>
      </c>
      <c r="C148" s="29" t="s">
        <v>31</v>
      </c>
      <c r="D148" s="30">
        <v>88</v>
      </c>
      <c r="E148" s="28">
        <v>74</v>
      </c>
      <c r="F148" s="31">
        <v>11.49</v>
      </c>
      <c r="G148" s="28">
        <v>0</v>
      </c>
      <c r="H148" s="30">
        <v>6.1</v>
      </c>
      <c r="I148" s="32">
        <v>95</v>
      </c>
      <c r="J148" s="29"/>
      <c r="K148" s="32">
        <v>95</v>
      </c>
      <c r="L148" s="33">
        <v>2729.864</v>
      </c>
      <c r="M148" s="63">
        <v>2063531</v>
      </c>
      <c r="N148" s="31">
        <v>12</v>
      </c>
      <c r="O148" s="62">
        <v>22.8</v>
      </c>
      <c r="P148" s="35">
        <v>1771.6</v>
      </c>
      <c r="Q148" s="35">
        <v>8.5</v>
      </c>
      <c r="R148" s="35">
        <v>12.7</v>
      </c>
      <c r="S148" s="35">
        <f t="shared" si="8"/>
        <v>1</v>
      </c>
      <c r="T148" s="35">
        <f t="shared" si="9"/>
        <v>74</v>
      </c>
      <c r="U148" s="35">
        <f t="shared" si="10"/>
        <v>6.1</v>
      </c>
      <c r="V148" s="95">
        <f t="shared" si="11"/>
        <v>12</v>
      </c>
    </row>
    <row r="149" spans="1:22" ht="15" customHeight="1" x14ac:dyDescent="0.25">
      <c r="A149" s="27" t="s">
        <v>171</v>
      </c>
      <c r="B149" s="35">
        <v>2015</v>
      </c>
      <c r="C149" s="29" t="s">
        <v>19</v>
      </c>
      <c r="D149" s="30">
        <v>69.2</v>
      </c>
      <c r="E149" s="28">
        <v>177</v>
      </c>
      <c r="F149" s="31">
        <v>0.98</v>
      </c>
      <c r="G149" s="28">
        <v>0</v>
      </c>
      <c r="H149" s="30">
        <v>5.5</v>
      </c>
      <c r="I149" s="32">
        <v>87</v>
      </c>
      <c r="J149" s="29"/>
      <c r="K149" s="32">
        <v>85</v>
      </c>
      <c r="L149" s="33">
        <v>1922.414</v>
      </c>
      <c r="M149" s="63">
        <v>587482</v>
      </c>
      <c r="N149" s="31">
        <v>5.4</v>
      </c>
      <c r="O149" s="62">
        <v>0</v>
      </c>
      <c r="P149" s="35">
        <v>152.1</v>
      </c>
      <c r="Q149" s="35">
        <v>8</v>
      </c>
      <c r="R149" s="35">
        <v>10.6</v>
      </c>
      <c r="S149" s="35">
        <f t="shared" si="8"/>
        <v>0</v>
      </c>
      <c r="T149" s="35">
        <f t="shared" si="9"/>
        <v>0</v>
      </c>
      <c r="U149" s="35">
        <f t="shared" si="10"/>
        <v>0</v>
      </c>
      <c r="V149" s="95">
        <f t="shared" si="11"/>
        <v>0</v>
      </c>
    </row>
    <row r="150" spans="1:22" ht="15" customHeight="1" x14ac:dyDescent="0.25">
      <c r="A150" s="27" t="s">
        <v>172</v>
      </c>
      <c r="B150" s="35">
        <v>2015</v>
      </c>
      <c r="C150" s="29" t="s">
        <v>19</v>
      </c>
      <c r="D150" s="30">
        <v>55</v>
      </c>
      <c r="E150" s="28">
        <v>312</v>
      </c>
      <c r="F150" s="31">
        <v>0</v>
      </c>
      <c r="G150" s="28">
        <v>0</v>
      </c>
      <c r="H150" s="30">
        <v>24.3</v>
      </c>
      <c r="I150" s="32">
        <v>42</v>
      </c>
      <c r="J150" s="29"/>
      <c r="K150" s="32">
        <v>47</v>
      </c>
      <c r="L150" s="28">
        <v>426.98500000000001</v>
      </c>
      <c r="M150" s="63">
        <v>13908129</v>
      </c>
      <c r="N150" s="31">
        <v>0</v>
      </c>
      <c r="O150" s="62">
        <v>0</v>
      </c>
      <c r="P150" s="35" t="s">
        <v>25</v>
      </c>
      <c r="Q150" s="35" t="s">
        <v>25</v>
      </c>
      <c r="R150" s="35" t="s">
        <v>25</v>
      </c>
      <c r="S150" s="35">
        <f t="shared" si="8"/>
        <v>0</v>
      </c>
      <c r="T150" s="35">
        <f t="shared" si="9"/>
        <v>0</v>
      </c>
      <c r="U150" s="35">
        <f t="shared" si="10"/>
        <v>0</v>
      </c>
      <c r="V150" s="95">
        <f t="shared" si="11"/>
        <v>0</v>
      </c>
    </row>
    <row r="151" spans="1:22" ht="15" customHeight="1" x14ac:dyDescent="0.25">
      <c r="A151" s="27" t="s">
        <v>173</v>
      </c>
      <c r="B151" s="35">
        <v>2015</v>
      </c>
      <c r="C151" s="29" t="s">
        <v>19</v>
      </c>
      <c r="D151" s="30">
        <v>62.9</v>
      </c>
      <c r="E151" s="28">
        <v>328</v>
      </c>
      <c r="F151" s="31">
        <v>7.12</v>
      </c>
      <c r="G151" s="28">
        <v>0</v>
      </c>
      <c r="H151" s="30">
        <v>51.1</v>
      </c>
      <c r="I151" s="32">
        <v>75</v>
      </c>
      <c r="J151" s="29"/>
      <c r="K151" s="32">
        <v>75</v>
      </c>
      <c r="L151" s="33">
        <v>5769.7730000000001</v>
      </c>
      <c r="M151" s="63">
        <v>55291225</v>
      </c>
      <c r="N151" s="31">
        <v>10.1</v>
      </c>
      <c r="O151" s="62">
        <v>20.5</v>
      </c>
      <c r="P151" s="35">
        <v>470.8</v>
      </c>
      <c r="Q151" s="35">
        <v>8.1999999999999993</v>
      </c>
      <c r="R151" s="35">
        <v>14.1</v>
      </c>
      <c r="S151" s="35">
        <f t="shared" si="8"/>
        <v>0</v>
      </c>
      <c r="T151" s="35">
        <f t="shared" si="9"/>
        <v>0</v>
      </c>
      <c r="U151" s="35">
        <f t="shared" si="10"/>
        <v>0</v>
      </c>
      <c r="V151" s="95">
        <f t="shared" si="11"/>
        <v>0</v>
      </c>
    </row>
    <row r="152" spans="1:22" ht="15" customHeight="1" x14ac:dyDescent="0.25">
      <c r="A152" s="27" t="s">
        <v>174</v>
      </c>
      <c r="B152" s="35">
        <v>2015</v>
      </c>
      <c r="C152" s="29" t="s">
        <v>19</v>
      </c>
      <c r="D152" s="30">
        <v>57.3</v>
      </c>
      <c r="E152" s="28">
        <v>332</v>
      </c>
      <c r="F152" s="31" t="e">
        <v>#N/A</v>
      </c>
      <c r="G152" s="28">
        <v>0</v>
      </c>
      <c r="H152" s="30">
        <v>24.7</v>
      </c>
      <c r="I152" s="32">
        <v>31</v>
      </c>
      <c r="J152" s="29"/>
      <c r="K152" s="32">
        <v>41</v>
      </c>
      <c r="L152" s="28">
        <v>758.726</v>
      </c>
      <c r="M152" s="63">
        <v>11882136</v>
      </c>
      <c r="N152" s="31">
        <v>4.8</v>
      </c>
      <c r="O152" s="62">
        <v>0</v>
      </c>
      <c r="P152" s="35">
        <v>28</v>
      </c>
      <c r="Q152" s="35">
        <v>2.5</v>
      </c>
      <c r="R152" s="35">
        <v>1.6</v>
      </c>
      <c r="S152" s="35">
        <f t="shared" si="8"/>
        <v>0</v>
      </c>
      <c r="T152" s="35">
        <f t="shared" si="9"/>
        <v>0</v>
      </c>
      <c r="U152" s="35">
        <f t="shared" si="10"/>
        <v>0</v>
      </c>
      <c r="V152" s="95">
        <f t="shared" si="11"/>
        <v>0</v>
      </c>
    </row>
    <row r="153" spans="1:22" ht="15" customHeight="1" x14ac:dyDescent="0.25">
      <c r="A153" s="27" t="s">
        <v>175</v>
      </c>
      <c r="B153" s="35">
        <v>2015</v>
      </c>
      <c r="C153" s="29" t="s">
        <v>31</v>
      </c>
      <c r="D153" s="30">
        <v>82.8</v>
      </c>
      <c r="E153" s="28">
        <v>56</v>
      </c>
      <c r="F153" s="31">
        <v>8.26</v>
      </c>
      <c r="G153" s="28">
        <v>0</v>
      </c>
      <c r="H153" s="30">
        <v>66.599999999999994</v>
      </c>
      <c r="I153" s="32">
        <v>97</v>
      </c>
      <c r="J153" s="29"/>
      <c r="K153" s="32">
        <v>97</v>
      </c>
      <c r="L153" s="33">
        <v>25683.846000000001</v>
      </c>
      <c r="M153" s="63">
        <v>46444832</v>
      </c>
      <c r="N153" s="31">
        <v>9.6999999999999993</v>
      </c>
      <c r="O153" s="62">
        <v>29.7</v>
      </c>
      <c r="P153" s="35">
        <v>2353.9</v>
      </c>
      <c r="Q153" s="35">
        <v>9.1999999999999993</v>
      </c>
      <c r="R153" s="35">
        <v>14.9</v>
      </c>
      <c r="S153" s="35">
        <f t="shared" si="8"/>
        <v>1</v>
      </c>
      <c r="T153" s="35">
        <f t="shared" si="9"/>
        <v>56</v>
      </c>
      <c r="U153" s="35">
        <f t="shared" si="10"/>
        <v>66.599999999999994</v>
      </c>
      <c r="V153" s="95">
        <f t="shared" si="11"/>
        <v>9.6999999999999993</v>
      </c>
    </row>
    <row r="154" spans="1:22" ht="15" customHeight="1" x14ac:dyDescent="0.25">
      <c r="A154" s="27" t="s">
        <v>176</v>
      </c>
      <c r="B154" s="35">
        <v>2015</v>
      </c>
      <c r="C154" s="29" t="s">
        <v>19</v>
      </c>
      <c r="D154" s="30">
        <v>74.900000000000006</v>
      </c>
      <c r="E154" s="28">
        <v>138</v>
      </c>
      <c r="F154" s="31">
        <v>2.72</v>
      </c>
      <c r="G154" s="28">
        <v>0</v>
      </c>
      <c r="H154" s="30">
        <v>23.4</v>
      </c>
      <c r="I154" s="32">
        <v>99</v>
      </c>
      <c r="J154" s="29"/>
      <c r="K154" s="32">
        <v>99</v>
      </c>
      <c r="L154" s="33">
        <v>3844.8910000000001</v>
      </c>
      <c r="M154" s="63">
        <v>20966000</v>
      </c>
      <c r="N154" s="31">
        <v>10.9</v>
      </c>
      <c r="O154" s="62">
        <v>13.2</v>
      </c>
      <c r="P154" s="35">
        <v>117.9</v>
      </c>
      <c r="Q154" s="35">
        <v>3</v>
      </c>
      <c r="R154" s="35">
        <v>7.9</v>
      </c>
      <c r="S154" s="35">
        <f t="shared" si="8"/>
        <v>0</v>
      </c>
      <c r="T154" s="35">
        <f t="shared" si="9"/>
        <v>0</v>
      </c>
      <c r="U154" s="35">
        <f t="shared" si="10"/>
        <v>0</v>
      </c>
      <c r="V154" s="95">
        <f t="shared" si="11"/>
        <v>0</v>
      </c>
    </row>
    <row r="155" spans="1:22" ht="15" customHeight="1" x14ac:dyDescent="0.25">
      <c r="A155" s="27" t="s">
        <v>177</v>
      </c>
      <c r="B155" s="35">
        <v>2015</v>
      </c>
      <c r="C155" s="29" t="s">
        <v>19</v>
      </c>
      <c r="D155" s="30">
        <v>64.099999999999994</v>
      </c>
      <c r="E155" s="28">
        <v>225</v>
      </c>
      <c r="F155" s="31">
        <v>0</v>
      </c>
      <c r="G155" s="28">
        <v>0</v>
      </c>
      <c r="H155" s="30">
        <v>24.7</v>
      </c>
      <c r="I155" s="32">
        <v>99</v>
      </c>
      <c r="J155" s="29"/>
      <c r="K155" s="32">
        <v>99</v>
      </c>
      <c r="L155" s="33">
        <v>2513.8850000000002</v>
      </c>
      <c r="M155" s="63">
        <v>38647803</v>
      </c>
      <c r="N155" s="31">
        <v>3.6</v>
      </c>
      <c r="O155" s="62">
        <v>0</v>
      </c>
      <c r="P155" s="35">
        <v>151.80000000000001</v>
      </c>
      <c r="Q155" s="35">
        <v>6.3</v>
      </c>
      <c r="R155" s="35">
        <v>18.100000000000001</v>
      </c>
      <c r="S155" s="35">
        <f t="shared" si="8"/>
        <v>0</v>
      </c>
      <c r="T155" s="35">
        <f t="shared" si="9"/>
        <v>0</v>
      </c>
      <c r="U155" s="35">
        <f t="shared" si="10"/>
        <v>0</v>
      </c>
      <c r="V155" s="95">
        <f t="shared" si="11"/>
        <v>0</v>
      </c>
    </row>
    <row r="156" spans="1:22" ht="15" customHeight="1" x14ac:dyDescent="0.25">
      <c r="A156" s="27" t="s">
        <v>178</v>
      </c>
      <c r="B156" s="35">
        <v>2015</v>
      </c>
      <c r="C156" s="29" t="s">
        <v>19</v>
      </c>
      <c r="D156" s="30">
        <v>71.599999999999994</v>
      </c>
      <c r="E156" s="28">
        <v>176</v>
      </c>
      <c r="F156" s="31">
        <v>4.6900000000000004</v>
      </c>
      <c r="G156" s="28">
        <v>0</v>
      </c>
      <c r="H156" s="30">
        <v>58.3</v>
      </c>
      <c r="I156" s="32">
        <v>89</v>
      </c>
      <c r="J156" s="29"/>
      <c r="K156" s="32">
        <v>89</v>
      </c>
      <c r="L156" s="33">
        <v>8818.9830000000002</v>
      </c>
      <c r="M156" s="63">
        <v>553208</v>
      </c>
      <c r="N156" s="31">
        <v>8.4</v>
      </c>
      <c r="O156" s="62">
        <v>26.2</v>
      </c>
      <c r="P156" s="35">
        <v>577.5</v>
      </c>
      <c r="Q156" s="35">
        <v>6.5</v>
      </c>
      <c r="R156" s="35">
        <v>10.5</v>
      </c>
      <c r="S156" s="35">
        <f t="shared" si="8"/>
        <v>0</v>
      </c>
      <c r="T156" s="35">
        <f t="shared" si="9"/>
        <v>0</v>
      </c>
      <c r="U156" s="35">
        <f t="shared" si="10"/>
        <v>0</v>
      </c>
      <c r="V156" s="95">
        <f t="shared" si="11"/>
        <v>0</v>
      </c>
    </row>
    <row r="157" spans="1:22" ht="15" customHeight="1" x14ac:dyDescent="0.25">
      <c r="A157" s="27" t="s">
        <v>179</v>
      </c>
      <c r="B157" s="35">
        <v>2015</v>
      </c>
      <c r="C157" s="29" t="s">
        <v>19</v>
      </c>
      <c r="D157" s="30">
        <v>58.9</v>
      </c>
      <c r="E157" s="28">
        <v>373</v>
      </c>
      <c r="F157" s="31">
        <v>7.38</v>
      </c>
      <c r="G157" s="28">
        <v>0</v>
      </c>
      <c r="H157" s="30">
        <v>32.299999999999997</v>
      </c>
      <c r="I157" s="32">
        <v>89</v>
      </c>
      <c r="J157" s="29"/>
      <c r="K157" s="32">
        <v>89</v>
      </c>
      <c r="L157" s="33">
        <v>3136.9250000000002</v>
      </c>
      <c r="M157" s="63">
        <v>1319011</v>
      </c>
      <c r="N157" s="31">
        <v>6.5</v>
      </c>
      <c r="O157" s="62">
        <v>9</v>
      </c>
      <c r="P157" s="35" t="s">
        <v>180</v>
      </c>
      <c r="Q157" s="35" t="s">
        <v>25</v>
      </c>
      <c r="R157" s="35" t="s">
        <v>180</v>
      </c>
      <c r="S157" s="35">
        <f t="shared" si="8"/>
        <v>0</v>
      </c>
      <c r="T157" s="35">
        <f t="shared" si="9"/>
        <v>0</v>
      </c>
      <c r="U157" s="35">
        <f t="shared" si="10"/>
        <v>0</v>
      </c>
      <c r="V157" s="95">
        <f t="shared" si="11"/>
        <v>0</v>
      </c>
    </row>
    <row r="158" spans="1:22" ht="15" customHeight="1" x14ac:dyDescent="0.25">
      <c r="A158" s="27" t="s">
        <v>181</v>
      </c>
      <c r="B158" s="35">
        <v>2015</v>
      </c>
      <c r="C158" s="29" t="s">
        <v>31</v>
      </c>
      <c r="D158" s="30">
        <v>82.4</v>
      </c>
      <c r="E158" s="28">
        <v>53</v>
      </c>
      <c r="F158" s="31">
        <v>7.16</v>
      </c>
      <c r="G158" s="28">
        <v>0</v>
      </c>
      <c r="H158" s="30">
        <v>59.5</v>
      </c>
      <c r="I158" s="32">
        <v>97</v>
      </c>
      <c r="J158" s="29"/>
      <c r="K158" s="32">
        <v>97</v>
      </c>
      <c r="L158" s="33">
        <v>5585.2579999999998</v>
      </c>
      <c r="M158" s="63">
        <v>9799186</v>
      </c>
      <c r="N158" s="31">
        <v>12.4</v>
      </c>
      <c r="O158" s="62">
        <v>19.5</v>
      </c>
      <c r="P158" s="35">
        <v>5600.1</v>
      </c>
      <c r="Q158" s="35">
        <v>11</v>
      </c>
      <c r="R158" s="35">
        <v>18.399999999999999</v>
      </c>
      <c r="S158" s="35">
        <f t="shared" si="8"/>
        <v>1</v>
      </c>
      <c r="T158" s="35">
        <f t="shared" si="9"/>
        <v>53</v>
      </c>
      <c r="U158" s="35">
        <f t="shared" si="10"/>
        <v>59.5</v>
      </c>
      <c r="V158" s="95">
        <f t="shared" si="11"/>
        <v>12.4</v>
      </c>
    </row>
    <row r="159" spans="1:22" ht="15" customHeight="1" x14ac:dyDescent="0.25">
      <c r="A159" s="27" t="s">
        <v>182</v>
      </c>
      <c r="B159" s="35">
        <v>2015</v>
      </c>
      <c r="C159" s="29" t="s">
        <v>31</v>
      </c>
      <c r="D159" s="30">
        <v>83.4</v>
      </c>
      <c r="E159" s="28">
        <v>49</v>
      </c>
      <c r="F159" s="31">
        <v>9.6199999999999992</v>
      </c>
      <c r="G159" s="28">
        <v>0</v>
      </c>
      <c r="H159" s="30">
        <v>57.4</v>
      </c>
      <c r="I159" s="32">
        <v>96</v>
      </c>
      <c r="J159" s="29"/>
      <c r="K159" s="32">
        <v>96</v>
      </c>
      <c r="L159" s="33">
        <v>8989.8420000000006</v>
      </c>
      <c r="M159" s="63">
        <v>8282396</v>
      </c>
      <c r="N159" s="31">
        <v>13.4</v>
      </c>
      <c r="O159" s="62">
        <v>26.1</v>
      </c>
      <c r="P159" s="35">
        <v>9818</v>
      </c>
      <c r="Q159" s="35">
        <v>12.1</v>
      </c>
      <c r="R159" s="35">
        <v>25.2</v>
      </c>
      <c r="S159" s="35">
        <f t="shared" si="8"/>
        <v>1</v>
      </c>
      <c r="T159" s="35">
        <f t="shared" si="9"/>
        <v>49</v>
      </c>
      <c r="U159" s="35">
        <f t="shared" si="10"/>
        <v>57.4</v>
      </c>
      <c r="V159" s="95">
        <f t="shared" si="11"/>
        <v>13.4</v>
      </c>
    </row>
    <row r="160" spans="1:22" ht="15" customHeight="1" x14ac:dyDescent="0.25">
      <c r="A160" s="27" t="s">
        <v>183</v>
      </c>
      <c r="B160" s="35">
        <v>2015</v>
      </c>
      <c r="C160" s="29" t="s">
        <v>19</v>
      </c>
      <c r="D160" s="30">
        <v>64.5</v>
      </c>
      <c r="E160" s="28">
        <v>293</v>
      </c>
      <c r="F160" s="31">
        <v>0.23</v>
      </c>
      <c r="G160" s="28">
        <v>0</v>
      </c>
      <c r="H160" s="30">
        <v>57.1</v>
      </c>
      <c r="I160" s="32">
        <v>96</v>
      </c>
      <c r="J160" s="29"/>
      <c r="K160" s="32">
        <v>96</v>
      </c>
      <c r="L160" s="33">
        <v>1515</v>
      </c>
      <c r="M160" s="63">
        <v>18734987</v>
      </c>
      <c r="N160" s="31">
        <v>5.0999999999999996</v>
      </c>
      <c r="O160" s="62">
        <v>0</v>
      </c>
      <c r="P160" s="35" t="s">
        <v>25</v>
      </c>
      <c r="Q160" s="35" t="s">
        <v>25</v>
      </c>
      <c r="R160" s="35" t="s">
        <v>25</v>
      </c>
      <c r="S160" s="35">
        <f t="shared" si="8"/>
        <v>0</v>
      </c>
      <c r="T160" s="35">
        <f t="shared" si="9"/>
        <v>0</v>
      </c>
      <c r="U160" s="35">
        <f t="shared" si="10"/>
        <v>0</v>
      </c>
      <c r="V160" s="95">
        <f t="shared" si="11"/>
        <v>0</v>
      </c>
    </row>
    <row r="161" spans="1:22" ht="15" customHeight="1" x14ac:dyDescent="0.25">
      <c r="A161" s="27" t="s">
        <v>184</v>
      </c>
      <c r="B161" s="35">
        <v>2015</v>
      </c>
      <c r="C161" s="29" t="s">
        <v>19</v>
      </c>
      <c r="D161" s="30">
        <v>69.7</v>
      </c>
      <c r="E161" s="28">
        <v>161</v>
      </c>
      <c r="F161" s="31">
        <v>0.9</v>
      </c>
      <c r="G161" s="28">
        <v>0</v>
      </c>
      <c r="H161" s="30">
        <v>4.7</v>
      </c>
      <c r="I161" s="32">
        <v>96</v>
      </c>
      <c r="J161" s="29"/>
      <c r="K161" s="32">
        <v>96</v>
      </c>
      <c r="L161" s="28">
        <v>918.67700000000002</v>
      </c>
      <c r="M161" s="63">
        <v>8548651</v>
      </c>
      <c r="N161" s="31">
        <v>10.5</v>
      </c>
      <c r="O161" s="62">
        <v>0</v>
      </c>
      <c r="P161" s="35">
        <v>63</v>
      </c>
      <c r="Q161" s="35">
        <v>6.9</v>
      </c>
      <c r="R161" s="35">
        <v>6.1</v>
      </c>
      <c r="S161" s="35">
        <f t="shared" si="8"/>
        <v>0</v>
      </c>
      <c r="T161" s="35">
        <f t="shared" si="9"/>
        <v>0</v>
      </c>
      <c r="U161" s="35">
        <f t="shared" si="10"/>
        <v>0</v>
      </c>
      <c r="V161" s="95">
        <f t="shared" si="11"/>
        <v>0</v>
      </c>
    </row>
    <row r="162" spans="1:22" ht="15" customHeight="1" x14ac:dyDescent="0.25">
      <c r="A162" s="27" t="s">
        <v>185</v>
      </c>
      <c r="B162" s="35">
        <v>2015</v>
      </c>
      <c r="C162" s="29" t="s">
        <v>19</v>
      </c>
      <c r="D162" s="30">
        <v>74.900000000000006</v>
      </c>
      <c r="E162" s="28">
        <v>148</v>
      </c>
      <c r="F162" s="31">
        <v>6.57</v>
      </c>
      <c r="G162" s="28">
        <v>0</v>
      </c>
      <c r="H162" s="30">
        <v>33.6</v>
      </c>
      <c r="I162" s="32">
        <v>99</v>
      </c>
      <c r="J162" s="29"/>
      <c r="K162" s="32">
        <v>99</v>
      </c>
      <c r="L162" s="33">
        <v>5814.8630000000003</v>
      </c>
      <c r="M162" s="63">
        <v>68657600</v>
      </c>
      <c r="N162" s="31">
        <v>7.6</v>
      </c>
      <c r="O162" s="62">
        <v>20.100000000000001</v>
      </c>
      <c r="P162" s="35">
        <v>217.1</v>
      </c>
      <c r="Q162" s="35">
        <v>3.8</v>
      </c>
      <c r="R162" s="35">
        <v>16.600000000000001</v>
      </c>
      <c r="S162" s="35">
        <f t="shared" si="8"/>
        <v>0</v>
      </c>
      <c r="T162" s="35">
        <f t="shared" si="9"/>
        <v>0</v>
      </c>
      <c r="U162" s="35">
        <f t="shared" si="10"/>
        <v>0</v>
      </c>
      <c r="V162" s="95">
        <f t="shared" si="11"/>
        <v>0</v>
      </c>
    </row>
    <row r="163" spans="1:22" ht="15" customHeight="1" x14ac:dyDescent="0.25">
      <c r="A163" s="27" t="s">
        <v>186</v>
      </c>
      <c r="B163" s="35">
        <v>2015</v>
      </c>
      <c r="C163" s="29" t="s">
        <v>19</v>
      </c>
      <c r="D163" s="30">
        <v>75.7</v>
      </c>
      <c r="E163" s="28">
        <v>12</v>
      </c>
      <c r="F163" s="31">
        <v>4.68</v>
      </c>
      <c r="G163" s="28">
        <v>0</v>
      </c>
      <c r="H163" s="30">
        <v>6.3</v>
      </c>
      <c r="I163" s="32">
        <v>91</v>
      </c>
      <c r="J163" s="29"/>
      <c r="K163" s="32">
        <v>92</v>
      </c>
      <c r="L163" s="33">
        <v>4834.1400000000003</v>
      </c>
      <c r="M163" s="63">
        <v>2079308</v>
      </c>
      <c r="N163" s="31">
        <v>9.6</v>
      </c>
      <c r="O163" s="62">
        <v>0</v>
      </c>
      <c r="P163" s="35">
        <v>295.39999999999998</v>
      </c>
      <c r="Q163" s="35">
        <v>6.1</v>
      </c>
      <c r="R163" s="35">
        <v>12.1</v>
      </c>
      <c r="S163" s="35">
        <f t="shared" si="8"/>
        <v>0</v>
      </c>
      <c r="T163" s="35">
        <f t="shared" si="9"/>
        <v>0</v>
      </c>
      <c r="U163" s="35">
        <f t="shared" si="10"/>
        <v>0</v>
      </c>
      <c r="V163" s="95">
        <f t="shared" si="11"/>
        <v>0</v>
      </c>
    </row>
    <row r="164" spans="1:22" ht="15" customHeight="1" x14ac:dyDescent="0.25">
      <c r="A164" s="27" t="s">
        <v>187</v>
      </c>
      <c r="B164" s="35">
        <v>2015</v>
      </c>
      <c r="C164" s="29" t="s">
        <v>19</v>
      </c>
      <c r="D164" s="30">
        <v>68.3</v>
      </c>
      <c r="E164" s="28">
        <v>152</v>
      </c>
      <c r="F164" s="31">
        <v>0.56000000000000005</v>
      </c>
      <c r="G164" s="28">
        <v>0</v>
      </c>
      <c r="H164" s="30">
        <v>17.399999999999999</v>
      </c>
      <c r="I164" s="32">
        <v>76</v>
      </c>
      <c r="J164" s="29"/>
      <c r="K164" s="32">
        <v>75</v>
      </c>
      <c r="L164" s="33">
        <v>1161.769</v>
      </c>
      <c r="M164" s="63">
        <v>1240977</v>
      </c>
      <c r="N164" s="31">
        <v>4.5</v>
      </c>
      <c r="O164" s="62">
        <v>43.2</v>
      </c>
      <c r="P164" s="35">
        <v>71.7</v>
      </c>
      <c r="Q164" s="35">
        <v>3.1</v>
      </c>
      <c r="R164" s="35">
        <v>4.2</v>
      </c>
      <c r="S164" s="35">
        <f t="shared" si="8"/>
        <v>0</v>
      </c>
      <c r="T164" s="35">
        <f t="shared" si="9"/>
        <v>0</v>
      </c>
      <c r="U164" s="35">
        <f t="shared" si="10"/>
        <v>0</v>
      </c>
      <c r="V164" s="95">
        <f t="shared" si="11"/>
        <v>0</v>
      </c>
    </row>
    <row r="165" spans="1:22" ht="15" customHeight="1" x14ac:dyDescent="0.25">
      <c r="A165" s="27" t="s">
        <v>188</v>
      </c>
      <c r="B165" s="35">
        <v>2015</v>
      </c>
      <c r="C165" s="29" t="s">
        <v>19</v>
      </c>
      <c r="D165" s="30">
        <v>59.9</v>
      </c>
      <c r="E165" s="28">
        <v>287</v>
      </c>
      <c r="F165" s="31">
        <v>1.66</v>
      </c>
      <c r="G165" s="28">
        <v>0</v>
      </c>
      <c r="H165" s="30">
        <v>24.3</v>
      </c>
      <c r="I165" s="32">
        <v>88</v>
      </c>
      <c r="J165" s="29"/>
      <c r="K165" s="32">
        <v>88</v>
      </c>
      <c r="L165" s="28">
        <v>551.13800000000003</v>
      </c>
      <c r="M165" s="63">
        <v>7416802</v>
      </c>
      <c r="N165" s="31">
        <v>4.7</v>
      </c>
      <c r="O165" s="62">
        <v>7.4</v>
      </c>
      <c r="P165" s="35">
        <v>36.6</v>
      </c>
      <c r="Q165" s="35">
        <v>6.6</v>
      </c>
      <c r="R165" s="35">
        <v>5.7</v>
      </c>
      <c r="S165" s="35">
        <f t="shared" si="8"/>
        <v>0</v>
      </c>
      <c r="T165" s="35">
        <f t="shared" si="9"/>
        <v>0</v>
      </c>
      <c r="U165" s="35">
        <f t="shared" si="10"/>
        <v>0</v>
      </c>
      <c r="V165" s="95">
        <f t="shared" si="11"/>
        <v>0</v>
      </c>
    </row>
    <row r="166" spans="1:22" ht="15" customHeight="1" x14ac:dyDescent="0.25">
      <c r="A166" s="27" t="s">
        <v>189</v>
      </c>
      <c r="B166" s="35">
        <v>2015</v>
      </c>
      <c r="C166" s="29" t="s">
        <v>19</v>
      </c>
      <c r="D166" s="30">
        <v>73.5</v>
      </c>
      <c r="E166" s="28">
        <v>133</v>
      </c>
      <c r="F166" s="31">
        <v>0</v>
      </c>
      <c r="G166" s="28">
        <v>0</v>
      </c>
      <c r="H166" s="30">
        <v>75.2</v>
      </c>
      <c r="I166" s="32">
        <v>78</v>
      </c>
      <c r="J166" s="29"/>
      <c r="K166" s="32">
        <v>80</v>
      </c>
      <c r="L166" s="28">
        <v>493.77499999999998</v>
      </c>
      <c r="M166" s="63">
        <v>106364</v>
      </c>
      <c r="N166" s="31">
        <v>11.2</v>
      </c>
      <c r="O166" s="62">
        <v>28.3</v>
      </c>
      <c r="P166" s="35">
        <v>221.4</v>
      </c>
      <c r="Q166" s="35">
        <v>5.9</v>
      </c>
      <c r="R166" s="35">
        <v>8.4</v>
      </c>
      <c r="S166" s="35">
        <f t="shared" si="8"/>
        <v>0</v>
      </c>
      <c r="T166" s="35">
        <f t="shared" si="9"/>
        <v>0</v>
      </c>
      <c r="U166" s="35">
        <f t="shared" si="10"/>
        <v>0</v>
      </c>
      <c r="V166" s="95">
        <f t="shared" si="11"/>
        <v>0</v>
      </c>
    </row>
    <row r="167" spans="1:22" ht="15" customHeight="1" x14ac:dyDescent="0.25">
      <c r="A167" s="27" t="s">
        <v>190</v>
      </c>
      <c r="B167" s="35">
        <v>2015</v>
      </c>
      <c r="C167" s="29" t="s">
        <v>19</v>
      </c>
      <c r="D167" s="30">
        <v>71.2</v>
      </c>
      <c r="E167" s="28">
        <v>17</v>
      </c>
      <c r="F167" s="31">
        <v>6.87</v>
      </c>
      <c r="G167" s="28">
        <v>0</v>
      </c>
      <c r="H167" s="30">
        <v>47.1</v>
      </c>
      <c r="I167" s="32">
        <v>96</v>
      </c>
      <c r="J167" s="29"/>
      <c r="K167" s="32">
        <v>88</v>
      </c>
      <c r="L167" s="33">
        <v>17321.833999999999</v>
      </c>
      <c r="M167" s="63">
        <v>1360092</v>
      </c>
      <c r="N167" s="31">
        <v>10.8</v>
      </c>
      <c r="O167" s="62">
        <v>0</v>
      </c>
      <c r="P167" s="35">
        <v>1146.2</v>
      </c>
      <c r="Q167" s="35">
        <v>6</v>
      </c>
      <c r="R167" s="35">
        <v>8.5</v>
      </c>
      <c r="S167" s="35">
        <f t="shared" si="8"/>
        <v>0</v>
      </c>
      <c r="T167" s="35">
        <f t="shared" si="9"/>
        <v>0</v>
      </c>
      <c r="U167" s="35">
        <f t="shared" si="10"/>
        <v>0</v>
      </c>
      <c r="V167" s="95">
        <f t="shared" si="11"/>
        <v>0</v>
      </c>
    </row>
    <row r="168" spans="1:22" ht="15" customHeight="1" x14ac:dyDescent="0.25">
      <c r="A168" s="27" t="s">
        <v>191</v>
      </c>
      <c r="B168" s="35">
        <v>2015</v>
      </c>
      <c r="C168" s="29" t="s">
        <v>19</v>
      </c>
      <c r="D168" s="30">
        <v>75.3</v>
      </c>
      <c r="E168" s="28">
        <v>1</v>
      </c>
      <c r="F168" s="31">
        <v>1.42</v>
      </c>
      <c r="G168" s="28">
        <v>0</v>
      </c>
      <c r="H168" s="30">
        <v>61.2</v>
      </c>
      <c r="I168" s="32">
        <v>98</v>
      </c>
      <c r="J168" s="29"/>
      <c r="K168" s="32">
        <v>98</v>
      </c>
      <c r="L168" s="33">
        <v>3828.9160000000002</v>
      </c>
      <c r="M168" s="63">
        <v>11273661</v>
      </c>
      <c r="N168" s="31">
        <v>7</v>
      </c>
      <c r="O168" s="62">
        <v>32.6</v>
      </c>
      <c r="P168" s="35">
        <v>258</v>
      </c>
      <c r="Q168" s="35">
        <v>6.7</v>
      </c>
      <c r="R168" s="35">
        <v>13.6</v>
      </c>
      <c r="S168" s="35">
        <f t="shared" si="8"/>
        <v>0</v>
      </c>
      <c r="T168" s="35">
        <f t="shared" si="9"/>
        <v>0</v>
      </c>
      <c r="U168" s="35">
        <f t="shared" si="10"/>
        <v>0</v>
      </c>
      <c r="V168" s="95">
        <f t="shared" si="11"/>
        <v>0</v>
      </c>
    </row>
    <row r="169" spans="1:22" ht="15" customHeight="1" x14ac:dyDescent="0.25">
      <c r="A169" s="27" t="s">
        <v>192</v>
      </c>
      <c r="B169" s="35">
        <v>2015</v>
      </c>
      <c r="C169" s="29" t="s">
        <v>19</v>
      </c>
      <c r="D169" s="30">
        <v>75.8</v>
      </c>
      <c r="E169" s="28">
        <v>16</v>
      </c>
      <c r="F169" s="31">
        <v>1.4</v>
      </c>
      <c r="G169" s="28">
        <v>0</v>
      </c>
      <c r="H169" s="30">
        <v>66.099999999999994</v>
      </c>
      <c r="I169" s="32">
        <v>97</v>
      </c>
      <c r="J169" s="29"/>
      <c r="K169" s="32">
        <v>97</v>
      </c>
      <c r="L169" s="33">
        <v>1979.5260000000001</v>
      </c>
      <c r="M169" s="63">
        <v>78271472</v>
      </c>
      <c r="N169" s="31">
        <v>7.8</v>
      </c>
      <c r="O169" s="62">
        <v>27.7</v>
      </c>
      <c r="P169" s="35">
        <v>454.6</v>
      </c>
      <c r="Q169" s="35">
        <v>4.0999999999999996</v>
      </c>
      <c r="R169" s="35">
        <v>10.1</v>
      </c>
      <c r="S169" s="35">
        <f t="shared" si="8"/>
        <v>0</v>
      </c>
      <c r="T169" s="35">
        <f t="shared" si="9"/>
        <v>0</v>
      </c>
      <c r="U169" s="35">
        <f t="shared" si="10"/>
        <v>0</v>
      </c>
      <c r="V169" s="95">
        <f t="shared" si="11"/>
        <v>0</v>
      </c>
    </row>
    <row r="170" spans="1:22" ht="15" customHeight="1" x14ac:dyDescent="0.25">
      <c r="A170" s="27" t="s">
        <v>193</v>
      </c>
      <c r="B170" s="35">
        <v>2015</v>
      </c>
      <c r="C170" s="29" t="s">
        <v>19</v>
      </c>
      <c r="D170" s="30">
        <v>66.3</v>
      </c>
      <c r="E170" s="28">
        <v>215</v>
      </c>
      <c r="F170" s="31">
        <v>3.39</v>
      </c>
      <c r="G170" s="28">
        <v>0</v>
      </c>
      <c r="H170" s="30">
        <v>48.6</v>
      </c>
      <c r="I170" s="32">
        <v>99</v>
      </c>
      <c r="J170" s="29"/>
      <c r="K170" s="32">
        <v>99</v>
      </c>
      <c r="L170" s="33">
        <v>6432.6689999999999</v>
      </c>
      <c r="M170" s="63">
        <v>5565284</v>
      </c>
      <c r="N170" s="31">
        <v>9.8000000000000007</v>
      </c>
      <c r="O170" s="62">
        <v>0</v>
      </c>
      <c r="P170" s="35">
        <v>405.1</v>
      </c>
      <c r="Q170" s="35">
        <v>6.3</v>
      </c>
      <c r="R170" s="35">
        <v>8.6999999999999993</v>
      </c>
      <c r="S170" s="35">
        <f t="shared" si="8"/>
        <v>0</v>
      </c>
      <c r="T170" s="35">
        <f t="shared" si="9"/>
        <v>0</v>
      </c>
      <c r="U170" s="35">
        <f t="shared" si="10"/>
        <v>0</v>
      </c>
      <c r="V170" s="95">
        <f t="shared" si="11"/>
        <v>0</v>
      </c>
    </row>
    <row r="171" spans="1:22" ht="15" customHeight="1" x14ac:dyDescent="0.25">
      <c r="A171" s="27" t="s">
        <v>194</v>
      </c>
      <c r="B171" s="35">
        <v>2015</v>
      </c>
      <c r="C171" s="29" t="s">
        <v>19</v>
      </c>
      <c r="D171" s="30">
        <v>62.3</v>
      </c>
      <c r="E171" s="28">
        <v>291</v>
      </c>
      <c r="F171" s="31">
        <v>7.63</v>
      </c>
      <c r="G171" s="28">
        <v>0</v>
      </c>
      <c r="H171" s="30">
        <v>18.5</v>
      </c>
      <c r="I171" s="32">
        <v>85</v>
      </c>
      <c r="J171" s="29"/>
      <c r="K171" s="32">
        <v>80</v>
      </c>
      <c r="L171" s="28">
        <v>693.89599999999996</v>
      </c>
      <c r="M171" s="63">
        <v>40144870</v>
      </c>
      <c r="N171" s="31">
        <v>5.7</v>
      </c>
      <c r="O171" s="62">
        <v>10.3</v>
      </c>
      <c r="P171" s="35">
        <v>46.1</v>
      </c>
      <c r="Q171" s="35">
        <v>7.3</v>
      </c>
      <c r="R171" s="35">
        <v>5.6</v>
      </c>
      <c r="S171" s="35">
        <f t="shared" si="8"/>
        <v>0</v>
      </c>
      <c r="T171" s="35">
        <f t="shared" si="9"/>
        <v>0</v>
      </c>
      <c r="U171" s="35">
        <f t="shared" si="10"/>
        <v>0</v>
      </c>
      <c r="V171" s="95">
        <f t="shared" si="11"/>
        <v>0</v>
      </c>
    </row>
    <row r="172" spans="1:22" ht="15" customHeight="1" x14ac:dyDescent="0.25">
      <c r="A172" s="27" t="s">
        <v>195</v>
      </c>
      <c r="B172" s="35">
        <v>2015</v>
      </c>
      <c r="C172" s="29" t="s">
        <v>19</v>
      </c>
      <c r="D172" s="30">
        <v>71.3</v>
      </c>
      <c r="E172" s="28">
        <v>195</v>
      </c>
      <c r="F172" s="31">
        <v>5.75</v>
      </c>
      <c r="G172" s="28">
        <v>0</v>
      </c>
      <c r="H172" s="30">
        <v>61.3</v>
      </c>
      <c r="I172" s="32">
        <v>23</v>
      </c>
      <c r="J172" s="29"/>
      <c r="K172" s="32">
        <v>51</v>
      </c>
      <c r="L172" s="33">
        <v>2124.663</v>
      </c>
      <c r="M172" s="63">
        <v>45154029</v>
      </c>
      <c r="N172" s="31">
        <v>11.3</v>
      </c>
      <c r="O172" s="62">
        <v>29.4</v>
      </c>
      <c r="P172" s="35">
        <v>125</v>
      </c>
      <c r="Q172" s="35">
        <v>6.1</v>
      </c>
      <c r="R172" s="35">
        <v>8.3000000000000007</v>
      </c>
      <c r="S172" s="35">
        <f t="shared" si="8"/>
        <v>0</v>
      </c>
      <c r="T172" s="35">
        <f t="shared" si="9"/>
        <v>0</v>
      </c>
      <c r="U172" s="35">
        <f t="shared" si="10"/>
        <v>0</v>
      </c>
      <c r="V172" s="95">
        <f t="shared" si="11"/>
        <v>0</v>
      </c>
    </row>
    <row r="173" spans="1:22" ht="15" customHeight="1" x14ac:dyDescent="0.25">
      <c r="A173" s="27" t="s">
        <v>196</v>
      </c>
      <c r="B173" s="35">
        <v>2015</v>
      </c>
      <c r="C173" s="29" t="s">
        <v>19</v>
      </c>
      <c r="D173" s="30">
        <v>77.099999999999994</v>
      </c>
      <c r="E173" s="28">
        <v>75</v>
      </c>
      <c r="F173" s="31">
        <v>2.0299999999999998</v>
      </c>
      <c r="G173" s="28">
        <v>0</v>
      </c>
      <c r="H173" s="30">
        <v>64.2</v>
      </c>
      <c r="I173" s="32">
        <v>23</v>
      </c>
      <c r="J173" s="29"/>
      <c r="K173" s="32">
        <v>51</v>
      </c>
      <c r="L173" s="33">
        <v>3911.7469999999998</v>
      </c>
      <c r="M173" s="63">
        <v>9154302</v>
      </c>
      <c r="N173" s="31">
        <v>10.6</v>
      </c>
      <c r="O173" s="62">
        <v>28.6</v>
      </c>
      <c r="P173" s="35">
        <v>1402</v>
      </c>
      <c r="Q173" s="35">
        <v>3.5</v>
      </c>
      <c r="R173" s="35">
        <v>8</v>
      </c>
      <c r="S173" s="35">
        <f t="shared" si="8"/>
        <v>0</v>
      </c>
      <c r="T173" s="35">
        <f t="shared" si="9"/>
        <v>0</v>
      </c>
      <c r="U173" s="35">
        <f t="shared" si="10"/>
        <v>0</v>
      </c>
      <c r="V173" s="95">
        <f t="shared" si="11"/>
        <v>0</v>
      </c>
    </row>
    <row r="174" spans="1:22" ht="15" customHeight="1" x14ac:dyDescent="0.25">
      <c r="A174" s="27" t="s">
        <v>197</v>
      </c>
      <c r="B174" s="35">
        <v>2015</v>
      </c>
      <c r="C174" s="29" t="s">
        <v>31</v>
      </c>
      <c r="D174" s="30">
        <v>81.2</v>
      </c>
      <c r="E174" s="28">
        <v>69</v>
      </c>
      <c r="F174" s="31">
        <v>9.82</v>
      </c>
      <c r="G174" s="28">
        <v>0</v>
      </c>
      <c r="H174" s="30">
        <v>66.599999999999994</v>
      </c>
      <c r="I174" s="32">
        <v>99</v>
      </c>
      <c r="J174" s="29"/>
      <c r="K174" s="32">
        <v>99</v>
      </c>
      <c r="L174" s="33">
        <v>44305.55</v>
      </c>
      <c r="M174" s="63">
        <v>65128861</v>
      </c>
      <c r="N174" s="31">
        <v>12.8</v>
      </c>
      <c r="O174" s="62">
        <v>23.1</v>
      </c>
      <c r="P174" s="35">
        <v>4355.8</v>
      </c>
      <c r="Q174" s="35">
        <v>9.9</v>
      </c>
      <c r="R174" s="35">
        <v>18.5</v>
      </c>
      <c r="S174" s="35">
        <f t="shared" si="8"/>
        <v>1</v>
      </c>
      <c r="T174" s="35">
        <f t="shared" si="9"/>
        <v>69</v>
      </c>
      <c r="U174" s="35">
        <f t="shared" si="10"/>
        <v>66.599999999999994</v>
      </c>
      <c r="V174" s="95">
        <f t="shared" si="11"/>
        <v>12.8</v>
      </c>
    </row>
    <row r="175" spans="1:22" ht="15" customHeight="1" x14ac:dyDescent="0.25">
      <c r="A175" s="27" t="s">
        <v>198</v>
      </c>
      <c r="B175" s="35">
        <v>2015</v>
      </c>
      <c r="C175" s="29" t="s">
        <v>19</v>
      </c>
      <c r="D175" s="30">
        <v>61.8</v>
      </c>
      <c r="E175" s="28">
        <v>279</v>
      </c>
      <c r="F175" s="31">
        <v>6.16</v>
      </c>
      <c r="G175" s="28">
        <v>0</v>
      </c>
      <c r="H175" s="30">
        <v>23.8</v>
      </c>
      <c r="I175" s="32">
        <v>98</v>
      </c>
      <c r="J175" s="29"/>
      <c r="K175" s="32">
        <v>96</v>
      </c>
      <c r="L175" s="28">
        <v>872.3</v>
      </c>
      <c r="M175" s="63">
        <v>53879957</v>
      </c>
      <c r="N175" s="31">
        <v>5.8</v>
      </c>
      <c r="O175" s="62">
        <v>15.2</v>
      </c>
      <c r="P175" s="35">
        <v>31.7</v>
      </c>
      <c r="Q175" s="35">
        <v>6.1</v>
      </c>
      <c r="R175" s="35">
        <v>7.4</v>
      </c>
      <c r="S175" s="35">
        <f t="shared" si="8"/>
        <v>0</v>
      </c>
      <c r="T175" s="35">
        <f t="shared" si="9"/>
        <v>0</v>
      </c>
      <c r="U175" s="35">
        <f t="shared" si="10"/>
        <v>0</v>
      </c>
      <c r="V175" s="95">
        <f t="shared" si="11"/>
        <v>0</v>
      </c>
    </row>
    <row r="176" spans="1:22" ht="15" customHeight="1" x14ac:dyDescent="0.25">
      <c r="A176" s="27" t="s">
        <v>199</v>
      </c>
      <c r="B176" s="35">
        <v>2015</v>
      </c>
      <c r="C176" s="29" t="s">
        <v>31</v>
      </c>
      <c r="D176" s="30">
        <v>79.3</v>
      </c>
      <c r="E176" s="28">
        <v>13</v>
      </c>
      <c r="F176" s="31">
        <v>8.7799999999999994</v>
      </c>
      <c r="G176" s="28">
        <v>0</v>
      </c>
      <c r="H176" s="30">
        <v>69.599999999999994</v>
      </c>
      <c r="I176" s="32">
        <v>98</v>
      </c>
      <c r="J176" s="29"/>
      <c r="K176" s="32">
        <v>96</v>
      </c>
      <c r="L176" s="33">
        <v>56443.82</v>
      </c>
      <c r="M176" s="63">
        <v>321039839</v>
      </c>
      <c r="N176" s="31">
        <v>13.3</v>
      </c>
      <c r="O176" s="62">
        <v>22.3</v>
      </c>
      <c r="P176" s="35">
        <v>9535.9</v>
      </c>
      <c r="Q176" s="35">
        <v>16.8</v>
      </c>
      <c r="R176" s="35">
        <v>22.6</v>
      </c>
      <c r="S176" s="35">
        <f t="shared" si="8"/>
        <v>1</v>
      </c>
      <c r="T176" s="35">
        <f t="shared" si="9"/>
        <v>13</v>
      </c>
      <c r="U176" s="35">
        <f t="shared" si="10"/>
        <v>69.599999999999994</v>
      </c>
      <c r="V176" s="95">
        <f t="shared" si="11"/>
        <v>13.3</v>
      </c>
    </row>
    <row r="177" spans="1:22" ht="15" customHeight="1" x14ac:dyDescent="0.25">
      <c r="A177" s="27" t="s">
        <v>200</v>
      </c>
      <c r="B177" s="35">
        <v>2015</v>
      </c>
      <c r="C177" s="29" t="s">
        <v>19</v>
      </c>
      <c r="D177" s="30">
        <v>77</v>
      </c>
      <c r="E177" s="28">
        <v>116</v>
      </c>
      <c r="F177" s="31">
        <v>9.0299999999999994</v>
      </c>
      <c r="G177" s="28">
        <v>0</v>
      </c>
      <c r="H177" s="30">
        <v>64</v>
      </c>
      <c r="I177" s="32">
        <v>95</v>
      </c>
      <c r="J177" s="29"/>
      <c r="K177" s="32">
        <v>95</v>
      </c>
      <c r="L177" s="33">
        <v>15524.842000000001</v>
      </c>
      <c r="M177" s="63">
        <v>3431552</v>
      </c>
      <c r="N177" s="31">
        <v>8.6999999999999993</v>
      </c>
      <c r="O177" s="62">
        <v>18.100000000000001</v>
      </c>
      <c r="P177" s="35">
        <v>1281.3</v>
      </c>
      <c r="Q177" s="35">
        <v>9.1999999999999993</v>
      </c>
      <c r="R177" s="35">
        <v>20</v>
      </c>
      <c r="S177" s="35">
        <f t="shared" si="8"/>
        <v>0</v>
      </c>
      <c r="T177" s="35">
        <f t="shared" si="9"/>
        <v>0</v>
      </c>
      <c r="U177" s="35">
        <f t="shared" si="10"/>
        <v>0</v>
      </c>
      <c r="V177" s="95">
        <f t="shared" si="11"/>
        <v>0</v>
      </c>
    </row>
    <row r="178" spans="1:22" ht="15" customHeight="1" x14ac:dyDescent="0.25">
      <c r="A178" s="27" t="s">
        <v>201</v>
      </c>
      <c r="B178" s="35">
        <v>2015</v>
      </c>
      <c r="C178" s="29" t="s">
        <v>19</v>
      </c>
      <c r="D178" s="30">
        <v>69.400000000000006</v>
      </c>
      <c r="E178" s="28">
        <v>184</v>
      </c>
      <c r="F178" s="31">
        <v>1.61</v>
      </c>
      <c r="G178" s="28">
        <v>0</v>
      </c>
      <c r="H178" s="30">
        <v>44.7</v>
      </c>
      <c r="I178" s="32">
        <v>99</v>
      </c>
      <c r="J178" s="29"/>
      <c r="K178" s="32">
        <v>99</v>
      </c>
      <c r="L178" s="33">
        <v>2137.5770000000002</v>
      </c>
      <c r="M178" s="63">
        <v>31298900</v>
      </c>
      <c r="N178" s="31">
        <v>11.4</v>
      </c>
      <c r="O178" s="62">
        <v>12.8</v>
      </c>
      <c r="P178" s="35">
        <v>133.9</v>
      </c>
      <c r="Q178" s="35">
        <v>6.2</v>
      </c>
      <c r="R178" s="35">
        <v>9.3000000000000007</v>
      </c>
      <c r="S178" s="35">
        <f t="shared" si="8"/>
        <v>0</v>
      </c>
      <c r="T178" s="35">
        <f t="shared" si="9"/>
        <v>0</v>
      </c>
      <c r="U178" s="35">
        <f t="shared" si="10"/>
        <v>0</v>
      </c>
      <c r="V178" s="95">
        <f t="shared" si="11"/>
        <v>0</v>
      </c>
    </row>
    <row r="179" spans="1:22" ht="15" customHeight="1" x14ac:dyDescent="0.25">
      <c r="A179" s="27" t="s">
        <v>202</v>
      </c>
      <c r="B179" s="35">
        <v>2015</v>
      </c>
      <c r="C179" s="29" t="s">
        <v>19</v>
      </c>
      <c r="D179" s="30">
        <v>72</v>
      </c>
      <c r="E179" s="28">
        <v>13</v>
      </c>
      <c r="F179" s="31">
        <v>0.85</v>
      </c>
      <c r="G179" s="28">
        <v>0</v>
      </c>
      <c r="H179" s="30">
        <v>53.3</v>
      </c>
      <c r="I179" s="32">
        <v>80</v>
      </c>
      <c r="J179" s="29"/>
      <c r="K179" s="32">
        <v>80</v>
      </c>
      <c r="L179" s="28">
        <v>285.834</v>
      </c>
      <c r="M179" s="63">
        <v>264603</v>
      </c>
      <c r="N179" s="31">
        <v>6.8</v>
      </c>
      <c r="O179" s="62">
        <v>19.2</v>
      </c>
      <c r="P179" s="35">
        <v>99</v>
      </c>
      <c r="Q179" s="35">
        <v>3.5</v>
      </c>
      <c r="R179" s="35">
        <v>11.8</v>
      </c>
      <c r="S179" s="35">
        <f t="shared" si="8"/>
        <v>0</v>
      </c>
      <c r="T179" s="35">
        <f t="shared" si="9"/>
        <v>0</v>
      </c>
      <c r="U179" s="35">
        <f t="shared" si="10"/>
        <v>0</v>
      </c>
      <c r="V179" s="95">
        <f t="shared" si="11"/>
        <v>0</v>
      </c>
    </row>
    <row r="180" spans="1:22" ht="15" customHeight="1" x14ac:dyDescent="0.25">
      <c r="A180" s="27" t="s">
        <v>203</v>
      </c>
      <c r="B180" s="35">
        <v>2015</v>
      </c>
      <c r="C180" s="29" t="s">
        <v>19</v>
      </c>
      <c r="D180" s="30">
        <v>74.099999999999994</v>
      </c>
      <c r="E180" s="28">
        <v>157</v>
      </c>
      <c r="F180" s="31">
        <v>5.98</v>
      </c>
      <c r="G180" s="28">
        <v>0</v>
      </c>
      <c r="H180" s="30">
        <v>62.1</v>
      </c>
      <c r="I180" s="32">
        <v>87</v>
      </c>
      <c r="J180" s="29"/>
      <c r="K180" s="32">
        <v>87</v>
      </c>
      <c r="L180" s="33">
        <v>11054</v>
      </c>
      <c r="M180" s="63">
        <v>31155134</v>
      </c>
      <c r="N180" s="31">
        <v>10.1</v>
      </c>
      <c r="O180" s="62">
        <v>0</v>
      </c>
      <c r="P180" s="35">
        <v>973</v>
      </c>
      <c r="Q180" s="35">
        <v>3.2</v>
      </c>
      <c r="R180" s="35">
        <v>3.1</v>
      </c>
      <c r="S180" s="35">
        <f t="shared" si="8"/>
        <v>0</v>
      </c>
      <c r="T180" s="35">
        <f t="shared" si="9"/>
        <v>0</v>
      </c>
      <c r="U180" s="35">
        <f t="shared" si="10"/>
        <v>0</v>
      </c>
      <c r="V180" s="95">
        <f t="shared" si="11"/>
        <v>0</v>
      </c>
    </row>
    <row r="181" spans="1:22" ht="15" customHeight="1" x14ac:dyDescent="0.25">
      <c r="A181" s="27" t="s">
        <v>204</v>
      </c>
      <c r="B181" s="35">
        <v>2015</v>
      </c>
      <c r="C181" s="29" t="s">
        <v>19</v>
      </c>
      <c r="D181" s="30">
        <v>76</v>
      </c>
      <c r="E181" s="28">
        <v>127</v>
      </c>
      <c r="F181" s="31">
        <v>2.92</v>
      </c>
      <c r="G181" s="28">
        <v>0</v>
      </c>
      <c r="H181" s="30">
        <v>17.5</v>
      </c>
      <c r="I181" s="32">
        <v>97</v>
      </c>
      <c r="J181" s="29"/>
      <c r="K181" s="32">
        <v>97</v>
      </c>
      <c r="L181" s="33">
        <v>2065.17</v>
      </c>
      <c r="M181" s="63">
        <v>93571567</v>
      </c>
      <c r="N181" s="31">
        <v>8</v>
      </c>
      <c r="O181" s="62">
        <v>23.1</v>
      </c>
      <c r="P181" s="35">
        <v>116.7</v>
      </c>
      <c r="Q181" s="35">
        <v>5.7</v>
      </c>
      <c r="R181" s="35">
        <v>7.9</v>
      </c>
      <c r="S181" s="35">
        <f t="shared" si="8"/>
        <v>0</v>
      </c>
      <c r="T181" s="35">
        <f t="shared" si="9"/>
        <v>0</v>
      </c>
      <c r="U181" s="35">
        <f t="shared" si="10"/>
        <v>0</v>
      </c>
      <c r="V181" s="95">
        <f t="shared" si="11"/>
        <v>0</v>
      </c>
    </row>
    <row r="182" spans="1:22" ht="15" customHeight="1" x14ac:dyDescent="0.25">
      <c r="A182" s="27" t="s">
        <v>205</v>
      </c>
      <c r="B182" s="35">
        <v>2015</v>
      </c>
      <c r="C182" s="29" t="s">
        <v>19</v>
      </c>
      <c r="D182" s="30">
        <v>65.7</v>
      </c>
      <c r="E182" s="28">
        <v>224</v>
      </c>
      <c r="F182" s="31">
        <v>0.04</v>
      </c>
      <c r="G182" s="28">
        <v>0</v>
      </c>
      <c r="H182" s="30">
        <v>41.3</v>
      </c>
      <c r="I182" s="32">
        <v>69</v>
      </c>
      <c r="J182" s="29"/>
      <c r="K182" s="32">
        <v>63</v>
      </c>
      <c r="L182" s="33">
        <v>1285.56</v>
      </c>
      <c r="M182" s="63">
        <v>26916207</v>
      </c>
      <c r="N182" s="31">
        <v>3</v>
      </c>
      <c r="O182" s="62">
        <v>18.7</v>
      </c>
      <c r="P182" s="35">
        <v>72</v>
      </c>
      <c r="Q182" s="35">
        <v>6</v>
      </c>
      <c r="R182" s="35">
        <v>2.2000000000000002</v>
      </c>
      <c r="S182" s="35">
        <f t="shared" si="8"/>
        <v>0</v>
      </c>
      <c r="T182" s="35">
        <f t="shared" si="9"/>
        <v>0</v>
      </c>
      <c r="U182" s="35">
        <f t="shared" si="10"/>
        <v>0</v>
      </c>
      <c r="V182" s="95">
        <f t="shared" si="11"/>
        <v>0</v>
      </c>
    </row>
    <row r="183" spans="1:22" ht="15" customHeight="1" x14ac:dyDescent="0.25">
      <c r="A183" s="27" t="s">
        <v>206</v>
      </c>
      <c r="B183" s="35">
        <v>2015</v>
      </c>
      <c r="C183" s="29" t="s">
        <v>19</v>
      </c>
      <c r="D183" s="30">
        <v>61.8</v>
      </c>
      <c r="E183" s="28">
        <v>33</v>
      </c>
      <c r="F183" s="31">
        <v>2.89</v>
      </c>
      <c r="G183" s="28">
        <v>0</v>
      </c>
      <c r="H183" s="30">
        <v>23.4</v>
      </c>
      <c r="I183" s="32">
        <v>90</v>
      </c>
      <c r="J183" s="29"/>
      <c r="K183" s="32">
        <v>90</v>
      </c>
      <c r="L183" s="33">
        <v>1313.89</v>
      </c>
      <c r="M183" s="63">
        <v>16100587</v>
      </c>
      <c r="N183" s="31">
        <v>6.9</v>
      </c>
      <c r="O183" s="62">
        <v>14</v>
      </c>
      <c r="P183" s="35">
        <v>69.400000000000006</v>
      </c>
      <c r="Q183" s="35">
        <v>5.4</v>
      </c>
      <c r="R183" s="35">
        <v>6.8</v>
      </c>
      <c r="S183" s="35">
        <f t="shared" si="8"/>
        <v>0</v>
      </c>
      <c r="T183" s="35">
        <f t="shared" si="9"/>
        <v>0</v>
      </c>
      <c r="U183" s="35">
        <f t="shared" si="10"/>
        <v>0</v>
      </c>
      <c r="V183" s="95">
        <f t="shared" si="11"/>
        <v>0</v>
      </c>
    </row>
    <row r="184" spans="1:22" ht="15" customHeight="1" thickBot="1" x14ac:dyDescent="0.3">
      <c r="A184" s="39" t="s">
        <v>207</v>
      </c>
      <c r="B184" s="46">
        <v>2015</v>
      </c>
      <c r="C184" s="41" t="s">
        <v>19</v>
      </c>
      <c r="D184" s="42">
        <v>67</v>
      </c>
      <c r="E184" s="40">
        <v>336</v>
      </c>
      <c r="F184" s="43">
        <v>3.55</v>
      </c>
      <c r="G184" s="40">
        <v>0</v>
      </c>
      <c r="H184" s="42">
        <v>31.8</v>
      </c>
      <c r="I184" s="44">
        <v>87</v>
      </c>
      <c r="J184" s="41"/>
      <c r="K184" s="44">
        <v>88</v>
      </c>
      <c r="L184" s="40">
        <v>118.694</v>
      </c>
      <c r="M184" s="64">
        <v>15777451</v>
      </c>
      <c r="N184" s="43">
        <v>8.1999999999999993</v>
      </c>
      <c r="O184" s="65">
        <v>15.9</v>
      </c>
      <c r="P184" s="46">
        <v>94.3</v>
      </c>
      <c r="Q184" s="46">
        <v>10.3</v>
      </c>
      <c r="R184" s="46">
        <v>8.1</v>
      </c>
      <c r="S184" s="46">
        <f t="shared" si="8"/>
        <v>0</v>
      </c>
      <c r="T184" s="46">
        <f t="shared" si="9"/>
        <v>0</v>
      </c>
      <c r="U184" s="46">
        <f t="shared" si="10"/>
        <v>0</v>
      </c>
      <c r="V184" s="97">
        <f t="shared" si="11"/>
        <v>0</v>
      </c>
    </row>
    <row r="185" spans="1:22" ht="15" customHeight="1" thickTop="1" x14ac:dyDescent="0.25">
      <c r="B185" s="4"/>
      <c r="D185" s="3"/>
      <c r="E185" s="3"/>
      <c r="H185" s="3"/>
      <c r="O185" s="4"/>
      <c r="P185" s="1"/>
      <c r="Q185" s="1"/>
      <c r="R185" s="1"/>
      <c r="S185" s="1"/>
      <c r="T185" s="1"/>
      <c r="U185" s="1"/>
    </row>
    <row r="186" spans="1:22" ht="15" customHeight="1" x14ac:dyDescent="0.25">
      <c r="B186" s="4"/>
      <c r="D186" s="3"/>
      <c r="E186" s="3"/>
      <c r="H186" s="3"/>
      <c r="O186" s="4"/>
      <c r="P186" s="1"/>
      <c r="Q186" s="1"/>
      <c r="R186" s="1"/>
      <c r="S186" s="1"/>
      <c r="T186" s="1"/>
      <c r="U186" s="1"/>
    </row>
    <row r="187" spans="1:22" ht="15" customHeight="1" x14ac:dyDescent="0.25">
      <c r="B187" s="4"/>
      <c r="D187" s="3"/>
      <c r="E187" s="3"/>
      <c r="H187" s="3"/>
      <c r="O187" s="4"/>
      <c r="P187" s="1"/>
      <c r="Q187" s="1"/>
      <c r="R187" s="1"/>
      <c r="S187" s="1"/>
      <c r="T187" s="1"/>
      <c r="U187" s="1"/>
    </row>
    <row r="188" spans="1:22" ht="15" customHeight="1" x14ac:dyDescent="0.25">
      <c r="B188" s="4"/>
      <c r="D188" s="3"/>
      <c r="E188" s="3"/>
      <c r="H188" s="3"/>
      <c r="O188" s="4"/>
      <c r="P188" s="1"/>
      <c r="Q188" s="1"/>
      <c r="R188" s="1"/>
      <c r="S188" s="1"/>
      <c r="T188" s="1"/>
      <c r="U188" s="1"/>
    </row>
    <row r="189" spans="1:22" ht="15" x14ac:dyDescent="0.25">
      <c r="B189" s="4"/>
      <c r="D189" s="3"/>
      <c r="E189" s="3"/>
      <c r="H189" s="3"/>
      <c r="O189" s="4"/>
      <c r="P189" s="1"/>
      <c r="Q189" s="1"/>
      <c r="R189" s="1"/>
      <c r="S189" s="1"/>
      <c r="T189" s="1"/>
      <c r="U189" s="1"/>
    </row>
    <row r="190" spans="1:22" ht="15" x14ac:dyDescent="0.25">
      <c r="B190" s="4"/>
      <c r="D190" s="3"/>
      <c r="E190" s="3"/>
      <c r="H190" s="3"/>
      <c r="O190" s="4"/>
      <c r="P190" s="1"/>
      <c r="Q190" s="1"/>
      <c r="R190" s="1"/>
      <c r="S190" s="1"/>
      <c r="T190" s="1"/>
      <c r="U190" s="1"/>
    </row>
    <row r="191" spans="1:22" ht="15" x14ac:dyDescent="0.25">
      <c r="B191" s="4"/>
      <c r="D191" s="3"/>
      <c r="E191" s="3"/>
      <c r="H191" s="3"/>
      <c r="O191" s="4"/>
      <c r="P191" s="1"/>
      <c r="Q191" s="1"/>
      <c r="R191" s="1"/>
      <c r="S191" s="1"/>
      <c r="T191" s="1"/>
      <c r="U191" s="1"/>
    </row>
    <row r="192" spans="1:22" ht="15" x14ac:dyDescent="0.25">
      <c r="B192" s="4"/>
      <c r="D192" s="3"/>
      <c r="E192" s="3"/>
      <c r="H192" s="3"/>
      <c r="O192" s="4"/>
      <c r="P192" s="1"/>
      <c r="Q192" s="1"/>
      <c r="R192" s="1"/>
      <c r="S192" s="1"/>
      <c r="T192" s="1"/>
      <c r="U192" s="1"/>
    </row>
    <row r="193" spans="2:21" ht="15" x14ac:dyDescent="0.25">
      <c r="B193" s="4"/>
      <c r="D193" s="3"/>
      <c r="E193" s="3"/>
      <c r="H193" s="3"/>
      <c r="O193" s="4"/>
      <c r="P193" s="1"/>
      <c r="Q193" s="1"/>
      <c r="R193" s="1"/>
      <c r="S193" s="1"/>
      <c r="T193" s="1"/>
      <c r="U193" s="1"/>
    </row>
    <row r="194" spans="2:21" ht="15" x14ac:dyDescent="0.25">
      <c r="B194" s="4"/>
      <c r="D194" s="3"/>
      <c r="E194" s="3"/>
      <c r="H194" s="3"/>
      <c r="O194" s="4"/>
      <c r="P194" s="4"/>
      <c r="Q194" s="4"/>
      <c r="R194" s="4"/>
      <c r="S194" s="4"/>
      <c r="T194" s="4"/>
      <c r="U194" s="4"/>
    </row>
    <row r="195" spans="2:21" ht="15" x14ac:dyDescent="0.25">
      <c r="B195" s="4"/>
      <c r="D195" s="3"/>
      <c r="E195" s="3"/>
      <c r="H195" s="3"/>
      <c r="O195" s="4"/>
      <c r="P195" s="4"/>
      <c r="Q195" s="4"/>
      <c r="R195" s="4"/>
      <c r="S195" s="4"/>
      <c r="T195" s="4"/>
      <c r="U195" s="4"/>
    </row>
    <row r="196" spans="2:21" ht="15" x14ac:dyDescent="0.25">
      <c r="B196" s="4"/>
      <c r="D196" s="3"/>
      <c r="E196" s="3"/>
      <c r="H196" s="3"/>
      <c r="O196" s="4"/>
      <c r="P196" s="4"/>
      <c r="Q196" s="4"/>
      <c r="R196" s="4"/>
      <c r="S196" s="4"/>
      <c r="T196" s="4"/>
      <c r="U196" s="4"/>
    </row>
    <row r="197" spans="2:21" ht="15" x14ac:dyDescent="0.25">
      <c r="B197" s="4"/>
      <c r="D197" s="3"/>
      <c r="E197" s="3"/>
      <c r="H197" s="3"/>
      <c r="O197" s="4"/>
      <c r="P197" s="4"/>
      <c r="Q197" s="4"/>
      <c r="R197" s="4"/>
      <c r="S197" s="4"/>
      <c r="T197" s="4"/>
      <c r="U197" s="4"/>
    </row>
    <row r="198" spans="2:21" ht="15" x14ac:dyDescent="0.25">
      <c r="B198" s="4"/>
      <c r="D198" s="3"/>
      <c r="E198" s="3"/>
      <c r="H198" s="3"/>
      <c r="O198" s="4"/>
      <c r="P198" s="4"/>
      <c r="Q198" s="4"/>
      <c r="R198" s="4"/>
      <c r="S198" s="4"/>
      <c r="T198" s="4"/>
      <c r="U198" s="4"/>
    </row>
    <row r="199" spans="2:21" ht="15" x14ac:dyDescent="0.25">
      <c r="B199" s="4"/>
      <c r="D199" s="3"/>
      <c r="E199" s="3"/>
      <c r="H199" s="3"/>
      <c r="O199" s="4"/>
      <c r="P199" s="4"/>
      <c r="Q199" s="4"/>
      <c r="R199" s="4"/>
      <c r="S199" s="4"/>
      <c r="T199" s="4"/>
      <c r="U199" s="4"/>
    </row>
    <row r="200" spans="2:21" ht="15" x14ac:dyDescent="0.25">
      <c r="B200" s="4"/>
      <c r="D200" s="3"/>
      <c r="E200" s="3"/>
      <c r="H200" s="3"/>
      <c r="O200" s="4"/>
      <c r="P200" s="4"/>
      <c r="Q200" s="4"/>
      <c r="R200" s="4"/>
      <c r="S200" s="4"/>
      <c r="T200" s="4"/>
      <c r="U200" s="4"/>
    </row>
    <row r="201" spans="2:21" ht="15" x14ac:dyDescent="0.25">
      <c r="B201" s="4"/>
      <c r="D201" s="3"/>
      <c r="E201" s="3"/>
      <c r="H201" s="3"/>
      <c r="O201" s="4"/>
      <c r="P201" s="4"/>
      <c r="Q201" s="4"/>
      <c r="R201" s="4"/>
      <c r="S201" s="4"/>
      <c r="T201" s="4"/>
      <c r="U201" s="4"/>
    </row>
    <row r="202" spans="2:21" ht="15" x14ac:dyDescent="0.25">
      <c r="B202" s="4"/>
      <c r="D202" s="3"/>
      <c r="E202" s="3"/>
      <c r="H202" s="3"/>
      <c r="O202" s="4"/>
      <c r="P202" s="4"/>
      <c r="Q202" s="4"/>
      <c r="R202" s="4"/>
      <c r="S202" s="4"/>
      <c r="T202" s="4"/>
      <c r="U202" s="4"/>
    </row>
    <row r="203" spans="2:21" ht="15" x14ac:dyDescent="0.25">
      <c r="B203" s="4"/>
      <c r="D203" s="3"/>
      <c r="E203" s="3"/>
      <c r="H203" s="3"/>
      <c r="O203" s="4"/>
      <c r="P203" s="4"/>
      <c r="Q203" s="4"/>
      <c r="R203" s="4"/>
      <c r="S203" s="4"/>
      <c r="T203" s="4"/>
      <c r="U203" s="4"/>
    </row>
    <row r="204" spans="2:21" ht="15" x14ac:dyDescent="0.25">
      <c r="B204" s="4"/>
      <c r="D204" s="3"/>
      <c r="E204" s="3"/>
      <c r="H204" s="3"/>
      <c r="O204" s="4"/>
      <c r="P204" s="4"/>
      <c r="Q204" s="4"/>
      <c r="R204" s="4"/>
      <c r="S204" s="4"/>
      <c r="T204" s="4"/>
      <c r="U204" s="4"/>
    </row>
    <row r="205" spans="2:21" ht="15" x14ac:dyDescent="0.25">
      <c r="B205" s="4"/>
      <c r="D205" s="3"/>
      <c r="E205" s="3"/>
      <c r="H205" s="3"/>
      <c r="O205" s="4"/>
      <c r="P205" s="4"/>
      <c r="Q205" s="4"/>
      <c r="R205" s="4"/>
      <c r="S205" s="4"/>
      <c r="T205" s="4"/>
      <c r="U205" s="4"/>
    </row>
    <row r="206" spans="2:21" ht="15" x14ac:dyDescent="0.25">
      <c r="B206" s="4"/>
      <c r="D206" s="3"/>
      <c r="E206" s="3"/>
      <c r="H206" s="3"/>
      <c r="O206" s="4"/>
      <c r="P206" s="4"/>
      <c r="Q206" s="4"/>
      <c r="R206" s="4"/>
      <c r="S206" s="4"/>
      <c r="T206" s="4"/>
      <c r="U206" s="4"/>
    </row>
    <row r="207" spans="2:21" ht="15" x14ac:dyDescent="0.25">
      <c r="B207" s="4"/>
      <c r="D207" s="3"/>
      <c r="E207" s="3"/>
      <c r="H207" s="3"/>
      <c r="O207" s="4"/>
      <c r="P207" s="4"/>
      <c r="Q207" s="4"/>
      <c r="R207" s="4"/>
      <c r="S207" s="4"/>
      <c r="T207" s="4"/>
      <c r="U207" s="4"/>
    </row>
    <row r="208" spans="2:21" ht="15" x14ac:dyDescent="0.25">
      <c r="B208" s="4"/>
      <c r="D208" s="3"/>
      <c r="E208" s="3"/>
      <c r="H208" s="3"/>
      <c r="O208" s="4"/>
      <c r="P208" s="4"/>
      <c r="Q208" s="4"/>
      <c r="R208" s="4"/>
      <c r="S208" s="4"/>
      <c r="T208" s="4"/>
      <c r="U208" s="4"/>
    </row>
    <row r="209" spans="2:21" ht="15" x14ac:dyDescent="0.25">
      <c r="B209" s="4"/>
      <c r="D209" s="3"/>
      <c r="E209" s="3"/>
      <c r="H209" s="3"/>
      <c r="O209" s="4"/>
      <c r="P209" s="4"/>
      <c r="Q209" s="4"/>
      <c r="R209" s="4"/>
      <c r="S209" s="4"/>
      <c r="T209" s="4"/>
      <c r="U209" s="4"/>
    </row>
    <row r="210" spans="2:21" ht="15" x14ac:dyDescent="0.25">
      <c r="B210" s="4"/>
      <c r="D210" s="3"/>
      <c r="E210" s="3"/>
      <c r="H210" s="3"/>
      <c r="O210" s="4"/>
      <c r="P210" s="4"/>
      <c r="Q210" s="4"/>
      <c r="R210" s="4"/>
      <c r="S210" s="4"/>
      <c r="T210" s="4"/>
      <c r="U210" s="4"/>
    </row>
    <row r="211" spans="2:21" ht="15" x14ac:dyDescent="0.25">
      <c r="B211" s="4"/>
      <c r="D211" s="3"/>
      <c r="E211" s="3"/>
      <c r="H211" s="3"/>
      <c r="O211" s="4"/>
      <c r="P211" s="4"/>
      <c r="Q211" s="4"/>
      <c r="R211" s="4"/>
      <c r="S211" s="4"/>
      <c r="T211" s="4"/>
      <c r="U211" s="4"/>
    </row>
    <row r="212" spans="2:21" ht="15" x14ac:dyDescent="0.25">
      <c r="B212" s="4"/>
      <c r="D212" s="3"/>
      <c r="E212" s="3"/>
      <c r="H212" s="3"/>
      <c r="O212" s="4"/>
      <c r="P212" s="4"/>
      <c r="Q212" s="4"/>
      <c r="R212" s="4"/>
      <c r="S212" s="4"/>
      <c r="T212" s="4"/>
      <c r="U212" s="4"/>
    </row>
    <row r="213" spans="2:21" ht="15" x14ac:dyDescent="0.25">
      <c r="B213" s="4"/>
      <c r="D213" s="3"/>
      <c r="E213" s="3"/>
      <c r="H213" s="3"/>
      <c r="O213" s="4"/>
      <c r="P213" s="4"/>
      <c r="Q213" s="4"/>
      <c r="R213" s="4"/>
      <c r="S213" s="4"/>
      <c r="T213" s="4"/>
      <c r="U213" s="4"/>
    </row>
    <row r="214" spans="2:21" ht="15" x14ac:dyDescent="0.25">
      <c r="B214" s="4"/>
      <c r="D214" s="3"/>
      <c r="E214" s="3"/>
      <c r="H214" s="3"/>
      <c r="O214" s="4"/>
      <c r="P214" s="4"/>
      <c r="Q214" s="4"/>
      <c r="R214" s="4"/>
      <c r="S214" s="4"/>
      <c r="T214" s="4"/>
      <c r="U214" s="4"/>
    </row>
    <row r="215" spans="2:21" ht="15" x14ac:dyDescent="0.25">
      <c r="B215" s="4"/>
      <c r="D215" s="3"/>
      <c r="E215" s="3"/>
      <c r="H215" s="3"/>
      <c r="O215" s="4"/>
      <c r="P215" s="4"/>
      <c r="Q215" s="4"/>
      <c r="R215" s="4"/>
      <c r="S215" s="4"/>
      <c r="T215" s="4"/>
      <c r="U215" s="4"/>
    </row>
    <row r="216" spans="2:21" ht="15" x14ac:dyDescent="0.25">
      <c r="B216" s="4"/>
      <c r="D216" s="3"/>
      <c r="E216" s="3"/>
      <c r="H216" s="3"/>
      <c r="O216" s="4"/>
      <c r="P216" s="4"/>
      <c r="Q216" s="4"/>
      <c r="R216" s="4"/>
      <c r="S216" s="4"/>
      <c r="T216" s="4"/>
      <c r="U216" s="4"/>
    </row>
    <row r="217" spans="2:21" ht="15" x14ac:dyDescent="0.25">
      <c r="B217" s="4"/>
      <c r="D217" s="3"/>
      <c r="E217" s="3"/>
      <c r="H217" s="3"/>
      <c r="O217" s="4"/>
      <c r="P217" s="4"/>
      <c r="Q217" s="4"/>
      <c r="R217" s="4"/>
      <c r="S217" s="4"/>
      <c r="T217" s="4"/>
      <c r="U217" s="4"/>
    </row>
    <row r="218" spans="2:21" ht="15" x14ac:dyDescent="0.25">
      <c r="B218" s="4"/>
      <c r="D218" s="3"/>
      <c r="E218" s="3"/>
      <c r="H218" s="3"/>
      <c r="O218" s="4"/>
      <c r="P218" s="4"/>
      <c r="Q218" s="4"/>
      <c r="R218" s="4"/>
      <c r="S218" s="4"/>
      <c r="T218" s="4"/>
      <c r="U218" s="4"/>
    </row>
    <row r="219" spans="2:21" ht="15" x14ac:dyDescent="0.25">
      <c r="B219" s="4"/>
      <c r="D219" s="3"/>
      <c r="E219" s="3"/>
      <c r="H219" s="3"/>
      <c r="O219" s="4"/>
      <c r="P219" s="4"/>
      <c r="Q219" s="4"/>
      <c r="R219" s="4"/>
      <c r="S219" s="4"/>
      <c r="T219" s="4"/>
      <c r="U219" s="4"/>
    </row>
    <row r="220" spans="2:21" ht="15" x14ac:dyDescent="0.25">
      <c r="B220" s="4"/>
      <c r="D220" s="3"/>
      <c r="E220" s="3"/>
      <c r="H220" s="3"/>
      <c r="O220" s="4"/>
      <c r="P220" s="4"/>
      <c r="Q220" s="4"/>
      <c r="R220" s="4"/>
      <c r="S220" s="4"/>
      <c r="T220" s="4"/>
      <c r="U220" s="4"/>
    </row>
    <row r="221" spans="2:21" ht="15" x14ac:dyDescent="0.25">
      <c r="B221" s="4"/>
      <c r="D221" s="3"/>
      <c r="E221" s="3"/>
      <c r="H221" s="3"/>
      <c r="O221" s="4"/>
      <c r="P221" s="4"/>
      <c r="Q221" s="4"/>
      <c r="R221" s="4"/>
      <c r="S221" s="4"/>
      <c r="T221" s="4"/>
      <c r="U221" s="4"/>
    </row>
    <row r="222" spans="2:21" ht="15" x14ac:dyDescent="0.25">
      <c r="B222" s="4"/>
      <c r="D222" s="3"/>
      <c r="E222" s="3"/>
      <c r="H222" s="3"/>
      <c r="O222" s="4"/>
      <c r="P222" s="4"/>
      <c r="Q222" s="4"/>
      <c r="R222" s="4"/>
      <c r="S222" s="4"/>
      <c r="T222" s="4"/>
      <c r="U222" s="4"/>
    </row>
    <row r="223" spans="2:21" ht="15" x14ac:dyDescent="0.25">
      <c r="B223" s="4"/>
      <c r="D223" s="3"/>
      <c r="E223" s="3"/>
      <c r="H223" s="3"/>
      <c r="O223" s="4"/>
      <c r="P223" s="4"/>
      <c r="Q223" s="4"/>
      <c r="R223" s="4"/>
      <c r="S223" s="4"/>
      <c r="T223" s="4"/>
      <c r="U223" s="4"/>
    </row>
    <row r="224" spans="2:21" ht="15" x14ac:dyDescent="0.25">
      <c r="B224" s="4"/>
      <c r="D224" s="3"/>
      <c r="E224" s="3"/>
      <c r="H224" s="3"/>
      <c r="O224" s="4"/>
      <c r="P224" s="4"/>
      <c r="Q224" s="4"/>
      <c r="R224" s="4"/>
      <c r="S224" s="4"/>
      <c r="T224" s="4"/>
      <c r="U224" s="4"/>
    </row>
    <row r="225" spans="2:21" ht="15" x14ac:dyDescent="0.25">
      <c r="B225" s="4"/>
      <c r="D225" s="3"/>
      <c r="E225" s="3"/>
      <c r="H225" s="3"/>
      <c r="O225" s="4"/>
      <c r="P225" s="4"/>
      <c r="Q225" s="4"/>
      <c r="R225" s="4"/>
      <c r="S225" s="4"/>
      <c r="T225" s="4"/>
      <c r="U225" s="4"/>
    </row>
    <row r="226" spans="2:21" ht="15" x14ac:dyDescent="0.25">
      <c r="B226" s="4"/>
      <c r="D226" s="3"/>
      <c r="E226" s="3"/>
      <c r="H226" s="3"/>
      <c r="O226" s="4"/>
      <c r="P226" s="4"/>
      <c r="Q226" s="4"/>
      <c r="R226" s="4"/>
      <c r="S226" s="4"/>
      <c r="T226" s="4"/>
      <c r="U226" s="4"/>
    </row>
    <row r="227" spans="2:21" ht="15" x14ac:dyDescent="0.25">
      <c r="B227" s="4"/>
      <c r="D227" s="3"/>
      <c r="E227" s="3"/>
      <c r="H227" s="3"/>
      <c r="O227" s="4"/>
      <c r="P227" s="4"/>
      <c r="Q227" s="4"/>
      <c r="R227" s="4"/>
      <c r="S227" s="4"/>
      <c r="T227" s="4"/>
      <c r="U227" s="4"/>
    </row>
    <row r="228" spans="2:21" ht="15" x14ac:dyDescent="0.25">
      <c r="B228" s="4"/>
      <c r="D228" s="3"/>
      <c r="E228" s="3"/>
      <c r="H228" s="3"/>
      <c r="O228" s="4"/>
      <c r="P228" s="4"/>
      <c r="Q228" s="4"/>
      <c r="R228" s="4"/>
      <c r="S228" s="4"/>
      <c r="T228" s="4"/>
      <c r="U228" s="4"/>
    </row>
    <row r="229" spans="2:21" ht="15" x14ac:dyDescent="0.25">
      <c r="B229" s="4"/>
      <c r="D229" s="3"/>
      <c r="E229" s="3"/>
      <c r="H229" s="3"/>
      <c r="O229" s="4"/>
      <c r="P229" s="4"/>
      <c r="Q229" s="4"/>
      <c r="R229" s="4"/>
      <c r="S229" s="4"/>
      <c r="T229" s="4"/>
      <c r="U229" s="4"/>
    </row>
    <row r="230" spans="2:21" ht="15" x14ac:dyDescent="0.25">
      <c r="B230" s="4"/>
      <c r="D230" s="3"/>
      <c r="E230" s="3"/>
      <c r="H230" s="3"/>
      <c r="O230" s="4"/>
      <c r="P230" s="4"/>
      <c r="Q230" s="4"/>
      <c r="R230" s="4"/>
      <c r="S230" s="4"/>
      <c r="T230" s="4"/>
      <c r="U230" s="4"/>
    </row>
    <row r="231" spans="2:21" ht="15" x14ac:dyDescent="0.25">
      <c r="B231" s="4"/>
      <c r="D231" s="3"/>
      <c r="E231" s="3"/>
      <c r="H231" s="3"/>
      <c r="O231" s="4"/>
      <c r="P231" s="4"/>
      <c r="Q231" s="4"/>
      <c r="R231" s="4"/>
      <c r="S231" s="4"/>
      <c r="T231" s="4"/>
      <c r="U231" s="4"/>
    </row>
    <row r="232" spans="2:21" ht="15" x14ac:dyDescent="0.25">
      <c r="B232" s="4"/>
      <c r="D232" s="3"/>
      <c r="E232" s="3"/>
      <c r="H232" s="3"/>
      <c r="O232" s="4"/>
      <c r="P232" s="4"/>
      <c r="Q232" s="4"/>
      <c r="R232" s="4"/>
      <c r="S232" s="4"/>
      <c r="T232" s="4"/>
      <c r="U232" s="4"/>
    </row>
    <row r="233" spans="2:21" ht="15" x14ac:dyDescent="0.25">
      <c r="B233" s="4"/>
      <c r="D233" s="3"/>
      <c r="E233" s="3"/>
      <c r="H233" s="3"/>
      <c r="O233" s="4"/>
      <c r="P233" s="4"/>
      <c r="Q233" s="4"/>
      <c r="R233" s="4"/>
      <c r="S233" s="4"/>
      <c r="T233" s="4"/>
      <c r="U233" s="4"/>
    </row>
    <row r="234" spans="2:21" ht="15" x14ac:dyDescent="0.25">
      <c r="B234" s="4"/>
      <c r="D234" s="3"/>
      <c r="E234" s="3"/>
      <c r="H234" s="3"/>
      <c r="O234" s="4"/>
      <c r="P234" s="4"/>
      <c r="Q234" s="4"/>
      <c r="R234" s="4"/>
      <c r="S234" s="4"/>
      <c r="T234" s="4"/>
      <c r="U234" s="4"/>
    </row>
    <row r="235" spans="2:21" ht="15" x14ac:dyDescent="0.25">
      <c r="B235" s="4"/>
      <c r="D235" s="3"/>
      <c r="E235" s="3"/>
      <c r="H235" s="3"/>
      <c r="O235" s="4"/>
      <c r="P235" s="4"/>
      <c r="Q235" s="4"/>
      <c r="R235" s="4"/>
      <c r="S235" s="4"/>
      <c r="T235" s="4"/>
      <c r="U235" s="4"/>
    </row>
    <row r="236" spans="2:21" ht="15" x14ac:dyDescent="0.25">
      <c r="B236" s="4"/>
      <c r="D236" s="3"/>
      <c r="E236" s="3"/>
      <c r="H236" s="3"/>
      <c r="O236" s="4"/>
      <c r="P236" s="4"/>
      <c r="Q236" s="4"/>
      <c r="R236" s="4"/>
      <c r="S236" s="4"/>
      <c r="T236" s="4"/>
      <c r="U236" s="4"/>
    </row>
    <row r="237" spans="2:21" ht="15" x14ac:dyDescent="0.25">
      <c r="B237" s="4"/>
      <c r="D237" s="3"/>
      <c r="E237" s="3"/>
      <c r="H237" s="3"/>
      <c r="O237" s="4"/>
      <c r="P237" s="4"/>
      <c r="Q237" s="4"/>
      <c r="R237" s="4"/>
      <c r="S237" s="4"/>
      <c r="T237" s="4"/>
      <c r="U237" s="4"/>
    </row>
    <row r="238" spans="2:21" ht="15" x14ac:dyDescent="0.25">
      <c r="B238" s="4"/>
      <c r="D238" s="3"/>
      <c r="E238" s="3"/>
      <c r="H238" s="3"/>
      <c r="O238" s="4"/>
      <c r="P238" s="4"/>
      <c r="Q238" s="4"/>
      <c r="R238" s="4"/>
      <c r="S238" s="4"/>
      <c r="T238" s="4"/>
      <c r="U238" s="4"/>
    </row>
    <row r="239" spans="2:21" ht="15" x14ac:dyDescent="0.25">
      <c r="B239" s="4"/>
      <c r="D239" s="3"/>
      <c r="E239" s="3"/>
      <c r="H239" s="3"/>
      <c r="O239" s="4"/>
      <c r="P239" s="4"/>
      <c r="Q239" s="4"/>
      <c r="R239" s="4"/>
      <c r="S239" s="4"/>
      <c r="T239" s="4"/>
      <c r="U239" s="4"/>
    </row>
    <row r="240" spans="2:21" ht="15" x14ac:dyDescent="0.25">
      <c r="B240" s="4"/>
      <c r="D240" s="3"/>
      <c r="E240" s="3"/>
      <c r="H240" s="3"/>
      <c r="O240" s="4"/>
      <c r="P240" s="4"/>
      <c r="Q240" s="4"/>
      <c r="R240" s="4"/>
      <c r="S240" s="4"/>
      <c r="T240" s="4"/>
      <c r="U240" s="4"/>
    </row>
    <row r="241" spans="2:21" ht="15" x14ac:dyDescent="0.25">
      <c r="B241" s="4"/>
      <c r="D241" s="3"/>
      <c r="E241" s="3"/>
      <c r="H241" s="3"/>
      <c r="O241" s="4"/>
      <c r="P241" s="4"/>
      <c r="Q241" s="4"/>
      <c r="R241" s="4"/>
      <c r="S241" s="4"/>
      <c r="T241" s="4"/>
      <c r="U241" s="4"/>
    </row>
    <row r="242" spans="2:21" ht="15" x14ac:dyDescent="0.25">
      <c r="B242" s="4"/>
      <c r="D242" s="3"/>
      <c r="E242" s="3"/>
      <c r="H242" s="3"/>
      <c r="O242" s="4"/>
      <c r="P242" s="4"/>
      <c r="Q242" s="4"/>
      <c r="R242" s="4"/>
      <c r="S242" s="4"/>
      <c r="T242" s="4"/>
      <c r="U242" s="4"/>
    </row>
    <row r="243" spans="2:21" ht="15" x14ac:dyDescent="0.25">
      <c r="B243" s="4"/>
      <c r="D243" s="3"/>
      <c r="E243" s="3"/>
      <c r="H243" s="3"/>
      <c r="O243" s="4"/>
      <c r="P243" s="4"/>
      <c r="Q243" s="4"/>
      <c r="R243" s="4"/>
      <c r="S243" s="4"/>
      <c r="T243" s="4"/>
      <c r="U243" s="4"/>
    </row>
    <row r="244" spans="2:21" ht="15" x14ac:dyDescent="0.25">
      <c r="B244" s="4"/>
      <c r="D244" s="3"/>
      <c r="E244" s="3"/>
      <c r="H244" s="3"/>
      <c r="O244" s="4"/>
      <c r="P244" s="4"/>
      <c r="Q244" s="4"/>
      <c r="R244" s="4"/>
      <c r="S244" s="4"/>
      <c r="T244" s="4"/>
      <c r="U244" s="4"/>
    </row>
    <row r="245" spans="2:21" ht="15" x14ac:dyDescent="0.25">
      <c r="B245" s="4"/>
      <c r="D245" s="3"/>
      <c r="E245" s="3"/>
      <c r="H245" s="3"/>
      <c r="O245" s="4"/>
      <c r="P245" s="4"/>
      <c r="Q245" s="4"/>
      <c r="R245" s="4"/>
      <c r="S245" s="4"/>
      <c r="T245" s="4"/>
      <c r="U245" s="4"/>
    </row>
    <row r="246" spans="2:21" ht="15" x14ac:dyDescent="0.25">
      <c r="B246" s="4"/>
      <c r="D246" s="3"/>
      <c r="E246" s="3"/>
      <c r="H246" s="3"/>
      <c r="O246" s="4"/>
      <c r="P246" s="4"/>
      <c r="Q246" s="4"/>
      <c r="R246" s="4"/>
      <c r="S246" s="4"/>
      <c r="T246" s="4"/>
      <c r="U246" s="4"/>
    </row>
    <row r="247" spans="2:21" ht="15" x14ac:dyDescent="0.25">
      <c r="B247" s="4"/>
      <c r="D247" s="3"/>
      <c r="E247" s="3"/>
      <c r="H247" s="3"/>
      <c r="O247" s="4"/>
      <c r="P247" s="4"/>
      <c r="Q247" s="4"/>
      <c r="R247" s="4"/>
      <c r="S247" s="4"/>
      <c r="T247" s="4"/>
      <c r="U247" s="4"/>
    </row>
    <row r="248" spans="2:21" ht="15" x14ac:dyDescent="0.25">
      <c r="B248" s="4"/>
      <c r="D248" s="3"/>
      <c r="E248" s="3"/>
      <c r="H248" s="3"/>
      <c r="O248" s="4"/>
      <c r="P248" s="4"/>
      <c r="Q248" s="4"/>
      <c r="R248" s="4"/>
      <c r="S248" s="4"/>
      <c r="T248" s="4"/>
      <c r="U248" s="4"/>
    </row>
    <row r="249" spans="2:21" ht="15" x14ac:dyDescent="0.25">
      <c r="B249" s="4"/>
      <c r="D249" s="3"/>
      <c r="E249" s="3"/>
      <c r="H249" s="3"/>
      <c r="O249" s="4"/>
      <c r="P249" s="4"/>
      <c r="Q249" s="4"/>
      <c r="R249" s="4"/>
      <c r="S249" s="4"/>
      <c r="T249" s="4"/>
      <c r="U249" s="4"/>
    </row>
    <row r="250" spans="2:21" ht="15" x14ac:dyDescent="0.25">
      <c r="B250" s="4"/>
      <c r="D250" s="3"/>
      <c r="E250" s="3"/>
      <c r="H250" s="3"/>
      <c r="O250" s="4"/>
      <c r="P250" s="4"/>
      <c r="Q250" s="4"/>
      <c r="R250" s="4"/>
      <c r="S250" s="4"/>
      <c r="T250" s="4"/>
      <c r="U250" s="4"/>
    </row>
    <row r="251" spans="2:21" ht="15" x14ac:dyDescent="0.25">
      <c r="B251" s="4"/>
      <c r="D251" s="3"/>
      <c r="E251" s="3"/>
      <c r="H251" s="3"/>
      <c r="O251" s="4"/>
      <c r="P251" s="4"/>
      <c r="Q251" s="4"/>
      <c r="R251" s="4"/>
      <c r="S251" s="4"/>
      <c r="T251" s="4"/>
      <c r="U251" s="4"/>
    </row>
    <row r="252" spans="2:21" ht="15" x14ac:dyDescent="0.25">
      <c r="B252" s="4"/>
      <c r="D252" s="3"/>
      <c r="E252" s="3"/>
      <c r="H252" s="3"/>
      <c r="O252" s="4"/>
      <c r="P252" s="4"/>
      <c r="Q252" s="4"/>
      <c r="R252" s="4"/>
      <c r="S252" s="4"/>
      <c r="T252" s="4"/>
      <c r="U252" s="4"/>
    </row>
    <row r="253" spans="2:21" ht="15" x14ac:dyDescent="0.25">
      <c r="B253" s="4"/>
      <c r="D253" s="3"/>
      <c r="E253" s="3"/>
      <c r="H253" s="3"/>
      <c r="O253" s="4"/>
      <c r="P253" s="4"/>
      <c r="Q253" s="4"/>
      <c r="R253" s="4"/>
      <c r="S253" s="4"/>
      <c r="T253" s="4"/>
      <c r="U253" s="4"/>
    </row>
    <row r="254" spans="2:21" ht="15" x14ac:dyDescent="0.25">
      <c r="B254" s="4"/>
      <c r="D254" s="3"/>
      <c r="E254" s="3"/>
      <c r="H254" s="3"/>
      <c r="O254" s="4"/>
      <c r="P254" s="4"/>
      <c r="Q254" s="4"/>
      <c r="R254" s="4"/>
      <c r="S254" s="4"/>
      <c r="T254" s="4"/>
      <c r="U254" s="4"/>
    </row>
    <row r="255" spans="2:21" ht="15" x14ac:dyDescent="0.25">
      <c r="B255" s="4"/>
      <c r="D255" s="3"/>
      <c r="E255" s="3"/>
      <c r="H255" s="3"/>
      <c r="O255" s="4"/>
      <c r="P255" s="4"/>
      <c r="Q255" s="4"/>
      <c r="R255" s="4"/>
      <c r="S255" s="4"/>
      <c r="T255" s="4"/>
      <c r="U255" s="4"/>
    </row>
    <row r="256" spans="2:21" ht="15" x14ac:dyDescent="0.25">
      <c r="B256" s="4"/>
      <c r="D256" s="3"/>
      <c r="E256" s="3"/>
      <c r="H256" s="3"/>
      <c r="O256" s="4"/>
      <c r="P256" s="4"/>
      <c r="Q256" s="4"/>
      <c r="R256" s="4"/>
      <c r="S256" s="4"/>
      <c r="T256" s="4"/>
      <c r="U256" s="4"/>
    </row>
    <row r="257" spans="2:21" ht="15" x14ac:dyDescent="0.25">
      <c r="B257" s="4"/>
      <c r="D257" s="3"/>
      <c r="E257" s="3"/>
      <c r="H257" s="3"/>
      <c r="O257" s="4"/>
      <c r="P257" s="4"/>
      <c r="Q257" s="4"/>
      <c r="R257" s="4"/>
      <c r="S257" s="4"/>
      <c r="T257" s="4"/>
      <c r="U257" s="4"/>
    </row>
    <row r="258" spans="2:21" ht="15" x14ac:dyDescent="0.25">
      <c r="B258" s="4"/>
      <c r="D258" s="3"/>
      <c r="E258" s="3"/>
      <c r="H258" s="3"/>
      <c r="O258" s="4"/>
      <c r="P258" s="4"/>
      <c r="Q258" s="4"/>
      <c r="R258" s="4"/>
      <c r="S258" s="4"/>
      <c r="T258" s="4"/>
      <c r="U258" s="4"/>
    </row>
    <row r="259" spans="2:21" ht="15" x14ac:dyDescent="0.25">
      <c r="B259" s="4"/>
      <c r="D259" s="3"/>
      <c r="E259" s="3"/>
      <c r="H259" s="3"/>
      <c r="O259" s="4"/>
      <c r="P259" s="4"/>
      <c r="Q259" s="4"/>
      <c r="R259" s="4"/>
      <c r="S259" s="4"/>
      <c r="T259" s="4"/>
      <c r="U259" s="4"/>
    </row>
    <row r="260" spans="2:21" ht="15" x14ac:dyDescent="0.25">
      <c r="B260" s="4"/>
      <c r="D260" s="3"/>
      <c r="E260" s="3"/>
      <c r="H260" s="3"/>
      <c r="O260" s="4"/>
      <c r="P260" s="4"/>
      <c r="Q260" s="4"/>
      <c r="R260" s="4"/>
      <c r="S260" s="4"/>
      <c r="T260" s="4"/>
      <c r="U260" s="4"/>
    </row>
    <row r="261" spans="2:21" ht="15" x14ac:dyDescent="0.25">
      <c r="B261" s="4"/>
      <c r="D261" s="3"/>
      <c r="E261" s="3"/>
      <c r="H261" s="3"/>
      <c r="O261" s="4"/>
      <c r="P261" s="4"/>
      <c r="Q261" s="4"/>
      <c r="R261" s="4"/>
      <c r="S261" s="4"/>
      <c r="T261" s="4"/>
      <c r="U261" s="4"/>
    </row>
    <row r="262" spans="2:21" ht="15" x14ac:dyDescent="0.25">
      <c r="B262" s="4"/>
      <c r="D262" s="3"/>
      <c r="E262" s="3"/>
      <c r="H262" s="3"/>
      <c r="O262" s="4"/>
      <c r="P262" s="4"/>
      <c r="Q262" s="4"/>
      <c r="R262" s="4"/>
      <c r="S262" s="4"/>
      <c r="T262" s="4"/>
      <c r="U262" s="4"/>
    </row>
    <row r="263" spans="2:21" ht="15" x14ac:dyDescent="0.25">
      <c r="B263" s="4"/>
      <c r="D263" s="3"/>
      <c r="E263" s="3"/>
      <c r="H263" s="3"/>
      <c r="O263" s="4"/>
      <c r="P263" s="4"/>
      <c r="Q263" s="4"/>
      <c r="R263" s="4"/>
      <c r="S263" s="4"/>
      <c r="T263" s="4"/>
      <c r="U263" s="4"/>
    </row>
    <row r="264" spans="2:21" ht="15" x14ac:dyDescent="0.25">
      <c r="B264" s="4"/>
      <c r="D264" s="3"/>
      <c r="E264" s="3"/>
      <c r="H264" s="3"/>
      <c r="O264" s="4"/>
      <c r="P264" s="4"/>
      <c r="Q264" s="4"/>
      <c r="R264" s="4"/>
      <c r="S264" s="4"/>
      <c r="T264" s="4"/>
      <c r="U264" s="4"/>
    </row>
    <row r="265" spans="2:21" ht="15" x14ac:dyDescent="0.25">
      <c r="B265" s="4"/>
      <c r="D265" s="3"/>
      <c r="E265" s="3"/>
      <c r="H265" s="3"/>
      <c r="O265" s="4"/>
      <c r="P265" s="4"/>
      <c r="Q265" s="4"/>
      <c r="R265" s="4"/>
      <c r="S265" s="4"/>
      <c r="T265" s="4"/>
      <c r="U265" s="4"/>
    </row>
    <row r="266" spans="2:21" ht="15" x14ac:dyDescent="0.25">
      <c r="B266" s="4"/>
      <c r="D266" s="3"/>
      <c r="E266" s="3"/>
      <c r="H266" s="3"/>
      <c r="O266" s="4"/>
      <c r="P266" s="4"/>
      <c r="Q266" s="4"/>
      <c r="R266" s="4"/>
      <c r="S266" s="4"/>
      <c r="T266" s="4"/>
      <c r="U266" s="4"/>
    </row>
    <row r="267" spans="2:21" ht="15" x14ac:dyDescent="0.25">
      <c r="B267" s="4"/>
      <c r="D267" s="3"/>
      <c r="E267" s="3"/>
      <c r="H267" s="3"/>
      <c r="O267" s="4"/>
      <c r="P267" s="4"/>
      <c r="Q267" s="4"/>
      <c r="R267" s="4"/>
      <c r="S267" s="4"/>
      <c r="T267" s="4"/>
      <c r="U267" s="4"/>
    </row>
    <row r="268" spans="2:21" ht="15" x14ac:dyDescent="0.25">
      <c r="B268" s="4"/>
      <c r="D268" s="3"/>
      <c r="E268" s="3"/>
      <c r="H268" s="3"/>
      <c r="O268" s="4"/>
      <c r="P268" s="4"/>
      <c r="Q268" s="4"/>
      <c r="R268" s="4"/>
      <c r="S268" s="4"/>
      <c r="T268" s="4"/>
      <c r="U268" s="4"/>
    </row>
    <row r="269" spans="2:21" ht="15" x14ac:dyDescent="0.25">
      <c r="B269" s="4"/>
      <c r="D269" s="3"/>
      <c r="E269" s="3"/>
      <c r="H269" s="3"/>
      <c r="O269" s="4"/>
      <c r="P269" s="4"/>
      <c r="Q269" s="4"/>
      <c r="R269" s="4"/>
      <c r="S269" s="4"/>
      <c r="T269" s="4"/>
      <c r="U269" s="4"/>
    </row>
    <row r="270" spans="2:21" ht="15" x14ac:dyDescent="0.25">
      <c r="B270" s="4"/>
      <c r="D270" s="3"/>
      <c r="E270" s="3"/>
      <c r="H270" s="3"/>
      <c r="O270" s="4"/>
      <c r="P270" s="4"/>
      <c r="Q270" s="4"/>
      <c r="R270" s="4"/>
      <c r="S270" s="4"/>
      <c r="T270" s="4"/>
      <c r="U270" s="4"/>
    </row>
    <row r="271" spans="2:21" ht="15" x14ac:dyDescent="0.25">
      <c r="B271" s="4"/>
      <c r="D271" s="3"/>
      <c r="E271" s="3"/>
      <c r="H271" s="3"/>
      <c r="O271" s="4"/>
      <c r="P271" s="4"/>
      <c r="Q271" s="4"/>
      <c r="R271" s="4"/>
      <c r="S271" s="4"/>
      <c r="T271" s="4"/>
      <c r="U271" s="4"/>
    </row>
    <row r="272" spans="2:21" ht="15" x14ac:dyDescent="0.25">
      <c r="B272" s="4"/>
      <c r="D272" s="3"/>
      <c r="E272" s="3"/>
      <c r="H272" s="3"/>
      <c r="O272" s="4"/>
      <c r="P272" s="4"/>
      <c r="Q272" s="4"/>
      <c r="R272" s="4"/>
      <c r="S272" s="4"/>
      <c r="T272" s="4"/>
      <c r="U272" s="4"/>
    </row>
    <row r="273" spans="2:21" ht="15" x14ac:dyDescent="0.25">
      <c r="B273" s="4"/>
      <c r="D273" s="3"/>
      <c r="E273" s="3"/>
      <c r="H273" s="3"/>
      <c r="O273" s="4"/>
      <c r="P273" s="4"/>
      <c r="Q273" s="4"/>
      <c r="R273" s="4"/>
      <c r="S273" s="4"/>
      <c r="T273" s="4"/>
      <c r="U273" s="4"/>
    </row>
    <row r="274" spans="2:21" ht="15" x14ac:dyDescent="0.25">
      <c r="B274" s="4"/>
      <c r="D274" s="3"/>
      <c r="E274" s="3"/>
      <c r="H274" s="3"/>
      <c r="O274" s="4"/>
      <c r="P274" s="4"/>
      <c r="Q274" s="4"/>
      <c r="R274" s="4"/>
      <c r="S274" s="4"/>
      <c r="T274" s="4"/>
      <c r="U274" s="4"/>
    </row>
    <row r="275" spans="2:21" ht="15" x14ac:dyDescent="0.25">
      <c r="B275" s="4"/>
      <c r="D275" s="3"/>
      <c r="E275" s="3"/>
      <c r="H275" s="3"/>
      <c r="O275" s="4"/>
      <c r="P275" s="4"/>
      <c r="Q275" s="4"/>
      <c r="R275" s="4"/>
      <c r="S275" s="4"/>
      <c r="T275" s="4"/>
      <c r="U275" s="4"/>
    </row>
    <row r="276" spans="2:21" ht="15" x14ac:dyDescent="0.25">
      <c r="B276" s="4"/>
      <c r="D276" s="3"/>
      <c r="E276" s="3"/>
      <c r="H276" s="3"/>
      <c r="O276" s="4"/>
      <c r="P276" s="4"/>
      <c r="Q276" s="4"/>
      <c r="R276" s="4"/>
      <c r="S276" s="4"/>
      <c r="T276" s="4"/>
      <c r="U276" s="4"/>
    </row>
    <row r="277" spans="2:21" ht="15" x14ac:dyDescent="0.25">
      <c r="B277" s="4"/>
      <c r="D277" s="3"/>
      <c r="E277" s="3"/>
      <c r="H277" s="3"/>
      <c r="O277" s="4"/>
      <c r="P277" s="4"/>
      <c r="Q277" s="4"/>
      <c r="R277" s="4"/>
      <c r="S277" s="4"/>
      <c r="T277" s="4"/>
      <c r="U277" s="4"/>
    </row>
    <row r="278" spans="2:21" ht="15" x14ac:dyDescent="0.25">
      <c r="B278" s="4"/>
      <c r="D278" s="3"/>
      <c r="E278" s="3"/>
      <c r="H278" s="3"/>
      <c r="O278" s="4"/>
      <c r="P278" s="4"/>
      <c r="Q278" s="4"/>
      <c r="R278" s="4"/>
      <c r="S278" s="4"/>
      <c r="T278" s="4"/>
      <c r="U278" s="4"/>
    </row>
    <row r="279" spans="2:21" ht="15" x14ac:dyDescent="0.25">
      <c r="B279" s="4"/>
      <c r="D279" s="3"/>
      <c r="E279" s="3"/>
      <c r="H279" s="3"/>
      <c r="O279" s="4"/>
      <c r="P279" s="4"/>
      <c r="Q279" s="4"/>
      <c r="R279" s="4"/>
      <c r="S279" s="4"/>
      <c r="T279" s="4"/>
      <c r="U279" s="4"/>
    </row>
    <row r="280" spans="2:21" ht="15" x14ac:dyDescent="0.25">
      <c r="B280" s="4"/>
      <c r="D280" s="3"/>
      <c r="E280" s="3"/>
      <c r="H280" s="3"/>
      <c r="O280" s="4"/>
      <c r="P280" s="4"/>
      <c r="Q280" s="4"/>
      <c r="R280" s="4"/>
      <c r="S280" s="4"/>
      <c r="T280" s="4"/>
      <c r="U280" s="4"/>
    </row>
    <row r="281" spans="2:21" ht="15" x14ac:dyDescent="0.25">
      <c r="B281" s="4"/>
      <c r="D281" s="3"/>
      <c r="E281" s="3"/>
      <c r="H281" s="3"/>
      <c r="O281" s="4"/>
      <c r="P281" s="4"/>
      <c r="Q281" s="4"/>
      <c r="R281" s="4"/>
      <c r="S281" s="4"/>
      <c r="T281" s="4"/>
      <c r="U281" s="4"/>
    </row>
    <row r="282" spans="2:21" ht="15" x14ac:dyDescent="0.25">
      <c r="B282" s="4"/>
      <c r="D282" s="3"/>
      <c r="E282" s="3"/>
      <c r="H282" s="3"/>
      <c r="O282" s="4"/>
      <c r="P282" s="4"/>
      <c r="Q282" s="4"/>
      <c r="R282" s="4"/>
      <c r="S282" s="4"/>
      <c r="T282" s="4"/>
      <c r="U282" s="4"/>
    </row>
    <row r="283" spans="2:21" ht="15" x14ac:dyDescent="0.25">
      <c r="B283" s="4"/>
      <c r="D283" s="3"/>
      <c r="E283" s="3"/>
      <c r="H283" s="3"/>
      <c r="O283" s="4"/>
      <c r="P283" s="4"/>
      <c r="Q283" s="4"/>
      <c r="R283" s="4"/>
      <c r="S283" s="4"/>
      <c r="T283" s="4"/>
      <c r="U283" s="4"/>
    </row>
    <row r="284" spans="2:21" ht="15" x14ac:dyDescent="0.25">
      <c r="B284" s="4"/>
      <c r="D284" s="3"/>
      <c r="E284" s="3"/>
      <c r="H284" s="3"/>
      <c r="O284" s="4"/>
      <c r="P284" s="4"/>
      <c r="Q284" s="4"/>
      <c r="R284" s="4"/>
      <c r="S284" s="4"/>
      <c r="T284" s="4"/>
      <c r="U284" s="4"/>
    </row>
    <row r="285" spans="2:21" ht="15" x14ac:dyDescent="0.25">
      <c r="B285" s="4"/>
      <c r="D285" s="3"/>
      <c r="E285" s="3"/>
      <c r="H285" s="3"/>
      <c r="O285" s="4"/>
      <c r="P285" s="4"/>
      <c r="Q285" s="4"/>
      <c r="R285" s="4"/>
      <c r="S285" s="4"/>
      <c r="T285" s="4"/>
      <c r="U285" s="4"/>
    </row>
    <row r="286" spans="2:21" ht="15" x14ac:dyDescent="0.25">
      <c r="B286" s="4"/>
      <c r="D286" s="3"/>
      <c r="E286" s="3"/>
      <c r="H286" s="3"/>
      <c r="O286" s="4"/>
      <c r="P286" s="4"/>
      <c r="Q286" s="4"/>
      <c r="R286" s="4"/>
      <c r="S286" s="4"/>
      <c r="T286" s="4"/>
      <c r="U286" s="4"/>
    </row>
    <row r="287" spans="2:21" ht="15" x14ac:dyDescent="0.25">
      <c r="B287" s="4"/>
      <c r="D287" s="3"/>
      <c r="E287" s="3"/>
      <c r="H287" s="3"/>
      <c r="O287" s="4"/>
      <c r="P287" s="4"/>
      <c r="Q287" s="4"/>
      <c r="R287" s="4"/>
      <c r="S287" s="4"/>
      <c r="T287" s="4"/>
      <c r="U287" s="4"/>
    </row>
    <row r="288" spans="2:21" ht="15" x14ac:dyDescent="0.25">
      <c r="B288" s="4"/>
      <c r="D288" s="3"/>
      <c r="E288" s="3"/>
      <c r="H288" s="3"/>
      <c r="O288" s="4"/>
      <c r="P288" s="4"/>
      <c r="Q288" s="4"/>
      <c r="R288" s="4"/>
      <c r="S288" s="4"/>
      <c r="T288" s="4"/>
      <c r="U288" s="4"/>
    </row>
    <row r="289" spans="2:21" ht="15" x14ac:dyDescent="0.25">
      <c r="B289" s="4"/>
      <c r="D289" s="3"/>
      <c r="E289" s="3"/>
      <c r="H289" s="3"/>
      <c r="O289" s="4"/>
      <c r="P289" s="4"/>
      <c r="Q289" s="4"/>
      <c r="R289" s="4"/>
      <c r="S289" s="4"/>
      <c r="T289" s="4"/>
      <c r="U289" s="4"/>
    </row>
    <row r="290" spans="2:21" ht="15" x14ac:dyDescent="0.25">
      <c r="B290" s="4"/>
      <c r="D290" s="3"/>
      <c r="E290" s="3"/>
      <c r="H290" s="3"/>
      <c r="O290" s="4"/>
      <c r="P290" s="4"/>
      <c r="Q290" s="4"/>
      <c r="R290" s="4"/>
      <c r="S290" s="4"/>
      <c r="T290" s="4"/>
      <c r="U290" s="4"/>
    </row>
    <row r="291" spans="2:21" ht="15" x14ac:dyDescent="0.25">
      <c r="B291" s="4"/>
      <c r="D291" s="3"/>
      <c r="E291" s="3"/>
      <c r="H291" s="3"/>
      <c r="O291" s="4"/>
      <c r="P291" s="4"/>
      <c r="Q291" s="4"/>
      <c r="R291" s="4"/>
      <c r="S291" s="4"/>
      <c r="T291" s="4"/>
      <c r="U291" s="4"/>
    </row>
    <row r="292" spans="2:21" ht="15" x14ac:dyDescent="0.25">
      <c r="B292" s="4"/>
      <c r="D292" s="3"/>
      <c r="E292" s="3"/>
      <c r="H292" s="3"/>
      <c r="O292" s="4"/>
      <c r="P292" s="4"/>
      <c r="Q292" s="4"/>
      <c r="R292" s="4"/>
      <c r="S292" s="4"/>
      <c r="T292" s="4"/>
      <c r="U292" s="4"/>
    </row>
    <row r="293" spans="2:21" ht="15" x14ac:dyDescent="0.25">
      <c r="B293" s="4"/>
      <c r="D293" s="3"/>
      <c r="E293" s="3"/>
      <c r="H293" s="3"/>
      <c r="O293" s="4"/>
      <c r="P293" s="4"/>
      <c r="Q293" s="4"/>
      <c r="R293" s="4"/>
      <c r="S293" s="4"/>
      <c r="T293" s="4"/>
      <c r="U293" s="4"/>
    </row>
    <row r="294" spans="2:21" ht="15" x14ac:dyDescent="0.25">
      <c r="B294" s="4"/>
      <c r="D294" s="3"/>
      <c r="E294" s="3"/>
      <c r="H294" s="3"/>
      <c r="O294" s="4"/>
      <c r="P294" s="4"/>
      <c r="Q294" s="4"/>
      <c r="R294" s="4"/>
      <c r="S294" s="4"/>
      <c r="T294" s="4"/>
      <c r="U294" s="4"/>
    </row>
    <row r="295" spans="2:21" ht="15" x14ac:dyDescent="0.25">
      <c r="B295" s="4"/>
      <c r="D295" s="3"/>
      <c r="E295" s="3"/>
      <c r="H295" s="3"/>
      <c r="O295" s="4"/>
      <c r="P295" s="4"/>
      <c r="Q295" s="4"/>
      <c r="R295" s="4"/>
      <c r="S295" s="4"/>
      <c r="T295" s="4"/>
      <c r="U295" s="4"/>
    </row>
    <row r="296" spans="2:21" ht="15" x14ac:dyDescent="0.25">
      <c r="B296" s="4"/>
      <c r="D296" s="3"/>
      <c r="E296" s="3"/>
      <c r="H296" s="3"/>
      <c r="O296" s="4"/>
      <c r="P296" s="4"/>
      <c r="Q296" s="4"/>
      <c r="R296" s="4"/>
      <c r="S296" s="4"/>
      <c r="T296" s="4"/>
      <c r="U296" s="4"/>
    </row>
    <row r="297" spans="2:21" ht="15" x14ac:dyDescent="0.25">
      <c r="B297" s="4"/>
      <c r="D297" s="3"/>
      <c r="E297" s="3"/>
      <c r="H297" s="3"/>
      <c r="O297" s="4"/>
      <c r="P297" s="4"/>
      <c r="Q297" s="4"/>
      <c r="R297" s="4"/>
      <c r="S297" s="4"/>
      <c r="T297" s="4"/>
      <c r="U297" s="4"/>
    </row>
    <row r="298" spans="2:21" ht="15" x14ac:dyDescent="0.25">
      <c r="B298" s="4"/>
      <c r="D298" s="3"/>
      <c r="E298" s="3"/>
      <c r="H298" s="3"/>
      <c r="O298" s="4"/>
      <c r="P298" s="4"/>
      <c r="Q298" s="4"/>
      <c r="R298" s="4"/>
      <c r="S298" s="4"/>
      <c r="T298" s="4"/>
      <c r="U298" s="4"/>
    </row>
    <row r="299" spans="2:21" ht="15" x14ac:dyDescent="0.25">
      <c r="B299" s="4"/>
      <c r="D299" s="3"/>
      <c r="E299" s="3"/>
      <c r="H299" s="3"/>
      <c r="O299" s="4"/>
      <c r="P299" s="4"/>
      <c r="Q299" s="4"/>
      <c r="R299" s="4"/>
      <c r="S299" s="4"/>
      <c r="T299" s="4"/>
      <c r="U299" s="4"/>
    </row>
    <row r="300" spans="2:21" ht="15" x14ac:dyDescent="0.25">
      <c r="B300" s="4"/>
      <c r="D300" s="3"/>
      <c r="E300" s="3"/>
      <c r="H300" s="3"/>
      <c r="O300" s="4"/>
      <c r="P300" s="4"/>
      <c r="Q300" s="4"/>
      <c r="R300" s="4"/>
      <c r="S300" s="4"/>
      <c r="T300" s="4"/>
      <c r="U300" s="4"/>
    </row>
    <row r="301" spans="2:21" ht="15" x14ac:dyDescent="0.25">
      <c r="B301" s="4"/>
      <c r="D301" s="3"/>
      <c r="E301" s="3"/>
      <c r="H301" s="3"/>
      <c r="O301" s="4"/>
      <c r="P301" s="4"/>
      <c r="Q301" s="4"/>
      <c r="R301" s="4"/>
      <c r="S301" s="4"/>
      <c r="T301" s="4"/>
      <c r="U301" s="4"/>
    </row>
    <row r="302" spans="2:21" ht="15" x14ac:dyDescent="0.25">
      <c r="B302" s="4"/>
      <c r="D302" s="3"/>
      <c r="E302" s="3"/>
      <c r="H302" s="3"/>
      <c r="O302" s="4"/>
      <c r="P302" s="4"/>
      <c r="Q302" s="4"/>
      <c r="R302" s="4"/>
      <c r="S302" s="4"/>
      <c r="T302" s="4"/>
      <c r="U302" s="4"/>
    </row>
    <row r="303" spans="2:21" ht="15" x14ac:dyDescent="0.25">
      <c r="B303" s="4"/>
      <c r="D303" s="3"/>
      <c r="E303" s="3"/>
      <c r="H303" s="3"/>
      <c r="O303" s="4"/>
      <c r="P303" s="4"/>
      <c r="Q303" s="4"/>
      <c r="R303" s="4"/>
      <c r="S303" s="4"/>
      <c r="T303" s="4"/>
      <c r="U303" s="4"/>
    </row>
    <row r="304" spans="2:21" ht="15" x14ac:dyDescent="0.25">
      <c r="B304" s="4"/>
      <c r="D304" s="3"/>
      <c r="E304" s="3"/>
      <c r="H304" s="3"/>
      <c r="O304" s="4"/>
      <c r="P304" s="4"/>
      <c r="Q304" s="4"/>
      <c r="R304" s="4"/>
      <c r="S304" s="4"/>
      <c r="T304" s="4"/>
      <c r="U304" s="4"/>
    </row>
    <row r="305" spans="2:21" ht="15" x14ac:dyDescent="0.25">
      <c r="B305" s="4"/>
      <c r="D305" s="3"/>
      <c r="E305" s="3"/>
      <c r="H305" s="3"/>
      <c r="O305" s="4"/>
      <c r="P305" s="4"/>
      <c r="Q305" s="4"/>
      <c r="R305" s="4"/>
      <c r="S305" s="4"/>
      <c r="T305" s="4"/>
      <c r="U305" s="4"/>
    </row>
    <row r="306" spans="2:21" ht="15" x14ac:dyDescent="0.25">
      <c r="B306" s="4"/>
      <c r="D306" s="3"/>
      <c r="E306" s="3"/>
      <c r="H306" s="3"/>
      <c r="O306" s="4"/>
      <c r="P306" s="4"/>
      <c r="Q306" s="4"/>
      <c r="R306" s="4"/>
      <c r="S306" s="4"/>
      <c r="T306" s="4"/>
      <c r="U306" s="4"/>
    </row>
    <row r="307" spans="2:21" ht="15" x14ac:dyDescent="0.25">
      <c r="B307" s="4"/>
      <c r="D307" s="3"/>
      <c r="E307" s="3"/>
      <c r="H307" s="3"/>
      <c r="O307" s="4"/>
      <c r="P307" s="4"/>
      <c r="Q307" s="4"/>
      <c r="R307" s="4"/>
      <c r="S307" s="4"/>
      <c r="T307" s="4"/>
      <c r="U307" s="4"/>
    </row>
    <row r="308" spans="2:21" ht="15" x14ac:dyDescent="0.25">
      <c r="B308" s="4"/>
      <c r="D308" s="3"/>
      <c r="E308" s="3"/>
      <c r="H308" s="3"/>
      <c r="O308" s="4"/>
      <c r="P308" s="4"/>
      <c r="Q308" s="4"/>
      <c r="R308" s="4"/>
      <c r="S308" s="4"/>
      <c r="T308" s="4"/>
      <c r="U308" s="4"/>
    </row>
    <row r="309" spans="2:21" ht="15" x14ac:dyDescent="0.25">
      <c r="B309" s="4"/>
      <c r="D309" s="3"/>
      <c r="E309" s="3"/>
      <c r="H309" s="3"/>
      <c r="O309" s="4"/>
      <c r="P309" s="4"/>
      <c r="Q309" s="4"/>
      <c r="R309" s="4"/>
      <c r="S309" s="4"/>
      <c r="T309" s="4"/>
      <c r="U309" s="4"/>
    </row>
    <row r="310" spans="2:21" ht="15" x14ac:dyDescent="0.25">
      <c r="B310" s="4"/>
      <c r="D310" s="3"/>
      <c r="E310" s="3"/>
      <c r="H310" s="3"/>
      <c r="O310" s="4"/>
      <c r="P310" s="4"/>
      <c r="Q310" s="4"/>
      <c r="R310" s="4"/>
      <c r="S310" s="4"/>
      <c r="T310" s="4"/>
      <c r="U310" s="4"/>
    </row>
    <row r="311" spans="2:21" ht="15" x14ac:dyDescent="0.25">
      <c r="B311" s="4"/>
      <c r="D311" s="3"/>
      <c r="E311" s="3"/>
      <c r="H311" s="3"/>
      <c r="O311" s="4"/>
      <c r="P311" s="4"/>
      <c r="Q311" s="4"/>
      <c r="R311" s="4"/>
      <c r="S311" s="4"/>
      <c r="T311" s="4"/>
      <c r="U311" s="4"/>
    </row>
    <row r="312" spans="2:21" ht="15" x14ac:dyDescent="0.25">
      <c r="B312" s="4"/>
      <c r="D312" s="3"/>
      <c r="E312" s="3"/>
      <c r="H312" s="3"/>
      <c r="O312" s="4"/>
      <c r="P312" s="4"/>
      <c r="Q312" s="4"/>
      <c r="R312" s="4"/>
      <c r="S312" s="4"/>
      <c r="T312" s="4"/>
      <c r="U312" s="4"/>
    </row>
    <row r="313" spans="2:21" ht="15" x14ac:dyDescent="0.25">
      <c r="B313" s="4"/>
      <c r="D313" s="3"/>
      <c r="E313" s="3"/>
      <c r="H313" s="3"/>
      <c r="O313" s="4"/>
      <c r="P313" s="4"/>
      <c r="Q313" s="4"/>
      <c r="R313" s="4"/>
      <c r="S313" s="4"/>
      <c r="T313" s="4"/>
      <c r="U313" s="4"/>
    </row>
    <row r="314" spans="2:21" ht="15" x14ac:dyDescent="0.25">
      <c r="B314" s="4"/>
      <c r="D314" s="3"/>
      <c r="E314" s="3"/>
      <c r="H314" s="3"/>
      <c r="O314" s="4"/>
      <c r="P314" s="4"/>
      <c r="Q314" s="4"/>
      <c r="R314" s="4"/>
      <c r="S314" s="4"/>
      <c r="T314" s="4"/>
      <c r="U314" s="4"/>
    </row>
    <row r="315" spans="2:21" ht="15" x14ac:dyDescent="0.25">
      <c r="B315" s="4"/>
      <c r="D315" s="3"/>
      <c r="E315" s="3"/>
      <c r="H315" s="3"/>
      <c r="O315" s="4"/>
      <c r="P315" s="4"/>
      <c r="Q315" s="4"/>
      <c r="R315" s="4"/>
      <c r="S315" s="4"/>
      <c r="T315" s="4"/>
      <c r="U315" s="4"/>
    </row>
    <row r="316" spans="2:21" ht="15" x14ac:dyDescent="0.25">
      <c r="B316" s="4"/>
      <c r="D316" s="3"/>
      <c r="E316" s="3"/>
      <c r="H316" s="3"/>
      <c r="O316" s="4"/>
      <c r="P316" s="4"/>
      <c r="Q316" s="4"/>
      <c r="R316" s="4"/>
      <c r="S316" s="4"/>
      <c r="T316" s="4"/>
      <c r="U316" s="4"/>
    </row>
    <row r="317" spans="2:21" ht="15" x14ac:dyDescent="0.25">
      <c r="B317" s="4"/>
      <c r="D317" s="3"/>
      <c r="E317" s="3"/>
      <c r="H317" s="3"/>
      <c r="O317" s="4"/>
      <c r="P317" s="4"/>
      <c r="Q317" s="4"/>
      <c r="R317" s="4"/>
      <c r="S317" s="4"/>
      <c r="T317" s="4"/>
      <c r="U317" s="4"/>
    </row>
    <row r="318" spans="2:21" ht="15" x14ac:dyDescent="0.25">
      <c r="B318" s="4"/>
      <c r="D318" s="3"/>
      <c r="E318" s="3"/>
      <c r="H318" s="3"/>
      <c r="O318" s="4"/>
      <c r="P318" s="4"/>
      <c r="Q318" s="4"/>
      <c r="R318" s="4"/>
      <c r="S318" s="4"/>
      <c r="T318" s="4"/>
      <c r="U318" s="4"/>
    </row>
    <row r="319" spans="2:21" ht="15" x14ac:dyDescent="0.25">
      <c r="B319" s="4"/>
      <c r="D319" s="3"/>
      <c r="E319" s="3"/>
      <c r="H319" s="3"/>
      <c r="O319" s="4"/>
      <c r="P319" s="4"/>
      <c r="Q319" s="4"/>
      <c r="R319" s="4"/>
      <c r="S319" s="4"/>
      <c r="T319" s="4"/>
      <c r="U319" s="4"/>
    </row>
    <row r="320" spans="2:21" ht="15" x14ac:dyDescent="0.25">
      <c r="B320" s="4"/>
      <c r="D320" s="3"/>
      <c r="E320" s="3"/>
      <c r="H320" s="3"/>
      <c r="O320" s="4"/>
      <c r="P320" s="4"/>
      <c r="Q320" s="4"/>
      <c r="R320" s="4"/>
      <c r="S320" s="4"/>
      <c r="T320" s="4"/>
      <c r="U320" s="4"/>
    </row>
    <row r="321" spans="2:21" ht="15" x14ac:dyDescent="0.25">
      <c r="B321" s="4"/>
      <c r="D321" s="3"/>
      <c r="E321" s="3"/>
      <c r="H321" s="3"/>
      <c r="O321" s="4"/>
      <c r="P321" s="4"/>
      <c r="Q321" s="4"/>
      <c r="R321" s="4"/>
      <c r="S321" s="4"/>
      <c r="T321" s="4"/>
      <c r="U321" s="4"/>
    </row>
    <row r="322" spans="2:21" ht="15" x14ac:dyDescent="0.25">
      <c r="B322" s="4"/>
      <c r="D322" s="3"/>
      <c r="E322" s="3"/>
      <c r="H322" s="3"/>
      <c r="O322" s="4"/>
      <c r="P322" s="4"/>
      <c r="Q322" s="4"/>
      <c r="R322" s="4"/>
      <c r="S322" s="4"/>
      <c r="T322" s="4"/>
      <c r="U322" s="4"/>
    </row>
    <row r="323" spans="2:21" ht="15" x14ac:dyDescent="0.25">
      <c r="B323" s="4"/>
      <c r="D323" s="3"/>
      <c r="E323" s="3"/>
      <c r="H323" s="3"/>
      <c r="O323" s="4"/>
      <c r="P323" s="4"/>
      <c r="Q323" s="4"/>
      <c r="R323" s="4"/>
      <c r="S323" s="4"/>
      <c r="T323" s="4"/>
      <c r="U323" s="4"/>
    </row>
    <row r="324" spans="2:21" ht="15" x14ac:dyDescent="0.25">
      <c r="B324" s="4"/>
      <c r="D324" s="3"/>
      <c r="E324" s="3"/>
      <c r="H324" s="3"/>
      <c r="O324" s="4"/>
      <c r="P324" s="4"/>
      <c r="Q324" s="4"/>
      <c r="R324" s="4"/>
      <c r="S324" s="4"/>
      <c r="T324" s="4"/>
      <c r="U324" s="4"/>
    </row>
    <row r="325" spans="2:21" ht="15" x14ac:dyDescent="0.25">
      <c r="B325" s="4"/>
      <c r="D325" s="3"/>
      <c r="E325" s="3"/>
      <c r="H325" s="3"/>
      <c r="O325" s="4"/>
      <c r="P325" s="4"/>
      <c r="Q325" s="4"/>
      <c r="R325" s="4"/>
      <c r="S325" s="4"/>
      <c r="T325" s="4"/>
      <c r="U325" s="4"/>
    </row>
    <row r="326" spans="2:21" ht="15" x14ac:dyDescent="0.25">
      <c r="B326" s="4"/>
      <c r="D326" s="3"/>
      <c r="E326" s="3"/>
      <c r="H326" s="3"/>
      <c r="O326" s="4"/>
      <c r="P326" s="4"/>
      <c r="Q326" s="4"/>
      <c r="R326" s="4"/>
      <c r="S326" s="4"/>
      <c r="T326" s="4"/>
      <c r="U326" s="4"/>
    </row>
    <row r="327" spans="2:21" ht="15" x14ac:dyDescent="0.25">
      <c r="B327" s="4"/>
      <c r="D327" s="3"/>
      <c r="E327" s="3"/>
      <c r="H327" s="3"/>
      <c r="O327" s="4"/>
      <c r="P327" s="4"/>
      <c r="Q327" s="4"/>
      <c r="R327" s="4"/>
      <c r="S327" s="4"/>
      <c r="T327" s="4"/>
      <c r="U327" s="4"/>
    </row>
    <row r="328" spans="2:21" ht="15" x14ac:dyDescent="0.25">
      <c r="B328" s="4"/>
      <c r="D328" s="3"/>
      <c r="E328" s="3"/>
      <c r="H328" s="3"/>
      <c r="O328" s="4"/>
      <c r="P328" s="4"/>
      <c r="Q328" s="4"/>
      <c r="R328" s="4"/>
      <c r="S328" s="4"/>
      <c r="T328" s="4"/>
      <c r="U328" s="4"/>
    </row>
    <row r="329" spans="2:21" ht="15" x14ac:dyDescent="0.25">
      <c r="B329" s="4"/>
      <c r="D329" s="3"/>
      <c r="E329" s="3"/>
      <c r="H329" s="3"/>
      <c r="O329" s="4"/>
      <c r="P329" s="4"/>
      <c r="Q329" s="4"/>
      <c r="R329" s="4"/>
      <c r="S329" s="4"/>
      <c r="T329" s="4"/>
      <c r="U329" s="4"/>
    </row>
    <row r="330" spans="2:21" ht="15" x14ac:dyDescent="0.25">
      <c r="B330" s="4"/>
      <c r="D330" s="3"/>
      <c r="E330" s="3"/>
      <c r="H330" s="3"/>
      <c r="O330" s="4"/>
      <c r="P330" s="4"/>
      <c r="Q330" s="4"/>
      <c r="R330" s="4"/>
      <c r="S330" s="4"/>
      <c r="T330" s="4"/>
      <c r="U330" s="4"/>
    </row>
    <row r="331" spans="2:21" ht="15" x14ac:dyDescent="0.25">
      <c r="B331" s="4"/>
      <c r="D331" s="3"/>
      <c r="E331" s="3"/>
      <c r="H331" s="3"/>
      <c r="O331" s="4"/>
      <c r="P331" s="4"/>
      <c r="Q331" s="4"/>
      <c r="R331" s="4"/>
      <c r="S331" s="4"/>
      <c r="T331" s="4"/>
      <c r="U331" s="4"/>
    </row>
    <row r="332" spans="2:21" ht="15" x14ac:dyDescent="0.25">
      <c r="B332" s="4"/>
      <c r="D332" s="3"/>
      <c r="E332" s="3"/>
      <c r="H332" s="3"/>
      <c r="O332" s="4"/>
      <c r="P332" s="4"/>
      <c r="Q332" s="4"/>
      <c r="R332" s="4"/>
      <c r="S332" s="4"/>
      <c r="T332" s="4"/>
      <c r="U332" s="4"/>
    </row>
    <row r="333" spans="2:21" ht="15" x14ac:dyDescent="0.25">
      <c r="B333" s="4"/>
      <c r="D333" s="3"/>
      <c r="E333" s="3"/>
      <c r="H333" s="3"/>
      <c r="O333" s="4"/>
      <c r="P333" s="4"/>
      <c r="Q333" s="4"/>
      <c r="R333" s="4"/>
      <c r="S333" s="4"/>
      <c r="T333" s="4"/>
      <c r="U333" s="4"/>
    </row>
    <row r="334" spans="2:21" ht="15" x14ac:dyDescent="0.25">
      <c r="B334" s="4"/>
      <c r="D334" s="3"/>
      <c r="E334" s="3"/>
      <c r="H334" s="3"/>
      <c r="O334" s="4"/>
      <c r="P334" s="4"/>
      <c r="Q334" s="4"/>
      <c r="R334" s="4"/>
      <c r="S334" s="4"/>
      <c r="T334" s="4"/>
      <c r="U334" s="4"/>
    </row>
    <row r="335" spans="2:21" ht="15" x14ac:dyDescent="0.25">
      <c r="B335" s="4"/>
      <c r="D335" s="3"/>
      <c r="E335" s="3"/>
      <c r="H335" s="3"/>
      <c r="O335" s="4"/>
      <c r="P335" s="4"/>
      <c r="Q335" s="4"/>
      <c r="R335" s="4"/>
      <c r="S335" s="4"/>
      <c r="T335" s="4"/>
      <c r="U335" s="4"/>
    </row>
    <row r="336" spans="2:21" ht="15" x14ac:dyDescent="0.25">
      <c r="B336" s="4"/>
      <c r="D336" s="3"/>
      <c r="E336" s="3"/>
      <c r="H336" s="3"/>
      <c r="O336" s="4"/>
      <c r="P336" s="4"/>
      <c r="Q336" s="4"/>
      <c r="R336" s="4"/>
      <c r="S336" s="4"/>
      <c r="T336" s="4"/>
      <c r="U336" s="4"/>
    </row>
    <row r="337" spans="2:21" ht="15" x14ac:dyDescent="0.25">
      <c r="B337" s="4"/>
      <c r="D337" s="3"/>
      <c r="E337" s="3"/>
      <c r="H337" s="3"/>
      <c r="O337" s="4"/>
      <c r="P337" s="4"/>
      <c r="Q337" s="4"/>
      <c r="R337" s="4"/>
      <c r="S337" s="4"/>
      <c r="T337" s="4"/>
      <c r="U337" s="4"/>
    </row>
    <row r="338" spans="2:21" ht="15" x14ac:dyDescent="0.25">
      <c r="B338" s="4"/>
      <c r="D338" s="3"/>
      <c r="E338" s="3"/>
      <c r="H338" s="3"/>
      <c r="O338" s="4"/>
      <c r="P338" s="4"/>
      <c r="Q338" s="4"/>
      <c r="R338" s="4"/>
      <c r="S338" s="4"/>
      <c r="T338" s="4"/>
      <c r="U338" s="4"/>
    </row>
    <row r="339" spans="2:21" ht="15" x14ac:dyDescent="0.25">
      <c r="B339" s="4"/>
      <c r="D339" s="3"/>
      <c r="E339" s="3"/>
      <c r="H339" s="3"/>
      <c r="O339" s="4"/>
      <c r="P339" s="4"/>
      <c r="Q339" s="4"/>
      <c r="R339" s="4"/>
      <c r="S339" s="4"/>
      <c r="T339" s="4"/>
      <c r="U339" s="4"/>
    </row>
    <row r="340" spans="2:21" ht="15" x14ac:dyDescent="0.25">
      <c r="B340" s="4"/>
      <c r="D340" s="3"/>
      <c r="E340" s="3"/>
      <c r="H340" s="3"/>
      <c r="O340" s="4"/>
      <c r="P340" s="4"/>
      <c r="Q340" s="4"/>
      <c r="R340" s="4"/>
      <c r="S340" s="4"/>
      <c r="T340" s="4"/>
      <c r="U340" s="4"/>
    </row>
    <row r="341" spans="2:21" ht="15" x14ac:dyDescent="0.25">
      <c r="B341" s="4"/>
      <c r="D341" s="3"/>
      <c r="E341" s="3"/>
      <c r="H341" s="3"/>
      <c r="O341" s="4"/>
      <c r="P341" s="4"/>
      <c r="Q341" s="4"/>
      <c r="R341" s="4"/>
      <c r="S341" s="4"/>
      <c r="T341" s="4"/>
      <c r="U341" s="4"/>
    </row>
    <row r="342" spans="2:21" ht="15" x14ac:dyDescent="0.25">
      <c r="B342" s="4"/>
      <c r="D342" s="3"/>
      <c r="E342" s="3"/>
      <c r="H342" s="3"/>
      <c r="O342" s="4"/>
      <c r="P342" s="4"/>
      <c r="Q342" s="4"/>
      <c r="R342" s="4"/>
      <c r="S342" s="4"/>
      <c r="T342" s="4"/>
      <c r="U342" s="4"/>
    </row>
    <row r="343" spans="2:21" ht="15" x14ac:dyDescent="0.25">
      <c r="B343" s="4"/>
      <c r="D343" s="3"/>
      <c r="E343" s="3"/>
      <c r="H343" s="3"/>
      <c r="O343" s="4"/>
      <c r="P343" s="4"/>
      <c r="Q343" s="4"/>
      <c r="R343" s="4"/>
      <c r="S343" s="4"/>
      <c r="T343" s="4"/>
      <c r="U343" s="4"/>
    </row>
    <row r="344" spans="2:21" ht="15" x14ac:dyDescent="0.25">
      <c r="B344" s="4"/>
      <c r="D344" s="3"/>
      <c r="E344" s="3"/>
      <c r="H344" s="3"/>
      <c r="O344" s="4"/>
      <c r="P344" s="4"/>
      <c r="Q344" s="4"/>
      <c r="R344" s="4"/>
      <c r="S344" s="4"/>
      <c r="T344" s="4"/>
      <c r="U344" s="4"/>
    </row>
    <row r="345" spans="2:21" ht="15" x14ac:dyDescent="0.25">
      <c r="B345" s="4"/>
      <c r="D345" s="3"/>
      <c r="E345" s="3"/>
      <c r="H345" s="3"/>
      <c r="O345" s="4"/>
      <c r="P345" s="4"/>
      <c r="Q345" s="4"/>
      <c r="R345" s="4"/>
      <c r="S345" s="4"/>
      <c r="T345" s="4"/>
      <c r="U345" s="4"/>
    </row>
    <row r="346" spans="2:21" ht="15" x14ac:dyDescent="0.25">
      <c r="B346" s="4"/>
      <c r="D346" s="3"/>
      <c r="E346" s="3"/>
      <c r="H346" s="3"/>
      <c r="O346" s="4"/>
      <c r="P346" s="4"/>
      <c r="Q346" s="4"/>
      <c r="R346" s="4"/>
      <c r="S346" s="4"/>
      <c r="T346" s="4"/>
      <c r="U346" s="4"/>
    </row>
    <row r="347" spans="2:21" ht="15" x14ac:dyDescent="0.25">
      <c r="B347" s="4"/>
      <c r="D347" s="3"/>
      <c r="E347" s="3"/>
      <c r="H347" s="3"/>
      <c r="O347" s="4"/>
      <c r="P347" s="4"/>
      <c r="Q347" s="4"/>
      <c r="R347" s="4"/>
      <c r="S347" s="4"/>
      <c r="T347" s="4"/>
      <c r="U347" s="4"/>
    </row>
    <row r="348" spans="2:21" ht="15" x14ac:dyDescent="0.25">
      <c r="B348" s="4"/>
      <c r="D348" s="3"/>
      <c r="E348" s="3"/>
      <c r="H348" s="3"/>
      <c r="O348" s="4"/>
      <c r="P348" s="4"/>
      <c r="Q348" s="4"/>
      <c r="R348" s="4"/>
      <c r="S348" s="4"/>
      <c r="T348" s="4"/>
      <c r="U348" s="4"/>
    </row>
    <row r="349" spans="2:21" ht="15" x14ac:dyDescent="0.25">
      <c r="B349" s="4"/>
      <c r="D349" s="3"/>
      <c r="E349" s="3"/>
      <c r="H349" s="3"/>
      <c r="O349" s="4"/>
      <c r="P349" s="4"/>
      <c r="Q349" s="4"/>
      <c r="R349" s="4"/>
      <c r="S349" s="4"/>
      <c r="T349" s="4"/>
      <c r="U349" s="4"/>
    </row>
    <row r="350" spans="2:21" ht="15" x14ac:dyDescent="0.25">
      <c r="B350" s="4"/>
      <c r="D350" s="3"/>
      <c r="E350" s="3"/>
      <c r="H350" s="3"/>
      <c r="O350" s="4"/>
      <c r="P350" s="4"/>
      <c r="Q350" s="4"/>
      <c r="R350" s="4"/>
      <c r="S350" s="4"/>
      <c r="T350" s="4"/>
      <c r="U350" s="4"/>
    </row>
    <row r="351" spans="2:21" ht="15" x14ac:dyDescent="0.25">
      <c r="B351" s="4"/>
      <c r="D351" s="3"/>
      <c r="E351" s="3"/>
      <c r="H351" s="3"/>
      <c r="O351" s="4"/>
      <c r="P351" s="4"/>
      <c r="Q351" s="4"/>
      <c r="R351" s="4"/>
      <c r="S351" s="4"/>
      <c r="T351" s="4"/>
      <c r="U351" s="4"/>
    </row>
    <row r="352" spans="2:21" ht="15" x14ac:dyDescent="0.25">
      <c r="B352" s="4"/>
      <c r="D352" s="3"/>
      <c r="E352" s="3"/>
      <c r="H352" s="3"/>
      <c r="O352" s="4"/>
      <c r="P352" s="4"/>
      <c r="Q352" s="4"/>
      <c r="R352" s="4"/>
      <c r="S352" s="4"/>
      <c r="T352" s="4"/>
      <c r="U352" s="4"/>
    </row>
    <row r="353" spans="2:21" ht="15" x14ac:dyDescent="0.25">
      <c r="B353" s="4"/>
      <c r="D353" s="3"/>
      <c r="E353" s="3"/>
      <c r="H353" s="3"/>
      <c r="O353" s="4"/>
      <c r="P353" s="4"/>
      <c r="Q353" s="4"/>
      <c r="R353" s="4"/>
      <c r="S353" s="4"/>
      <c r="T353" s="4"/>
      <c r="U353" s="4"/>
    </row>
    <row r="354" spans="2:21" ht="15" x14ac:dyDescent="0.25">
      <c r="B354" s="4"/>
      <c r="D354" s="3"/>
      <c r="E354" s="3"/>
      <c r="H354" s="3"/>
      <c r="O354" s="4"/>
      <c r="P354" s="4"/>
      <c r="Q354" s="4"/>
      <c r="R354" s="4"/>
      <c r="S354" s="4"/>
      <c r="T354" s="4"/>
      <c r="U354" s="4"/>
    </row>
    <row r="355" spans="2:21" ht="15" x14ac:dyDescent="0.25">
      <c r="B355" s="4"/>
      <c r="D355" s="3"/>
      <c r="E355" s="3"/>
      <c r="H355" s="3"/>
      <c r="O355" s="4"/>
      <c r="P355" s="4"/>
      <c r="Q355" s="4"/>
      <c r="R355" s="4"/>
      <c r="S355" s="4"/>
      <c r="T355" s="4"/>
      <c r="U355" s="4"/>
    </row>
    <row r="356" spans="2:21" ht="15" x14ac:dyDescent="0.25">
      <c r="B356" s="4"/>
      <c r="D356" s="3"/>
      <c r="E356" s="3"/>
      <c r="H356" s="3"/>
      <c r="O356" s="4"/>
      <c r="P356" s="4"/>
      <c r="Q356" s="4"/>
      <c r="R356" s="4"/>
      <c r="S356" s="4"/>
      <c r="T356" s="4"/>
      <c r="U356" s="4"/>
    </row>
    <row r="357" spans="2:21" ht="15" x14ac:dyDescent="0.25">
      <c r="B357" s="4"/>
      <c r="D357" s="3"/>
      <c r="E357" s="3"/>
      <c r="H357" s="3"/>
      <c r="O357" s="4"/>
      <c r="P357" s="4"/>
      <c r="Q357" s="4"/>
      <c r="R357" s="4"/>
      <c r="S357" s="4"/>
      <c r="T357" s="4"/>
      <c r="U357" s="4"/>
    </row>
    <row r="358" spans="2:21" ht="15" x14ac:dyDescent="0.25">
      <c r="B358" s="4"/>
      <c r="D358" s="3"/>
      <c r="E358" s="3"/>
      <c r="H358" s="3"/>
      <c r="O358" s="4"/>
      <c r="P358" s="4"/>
      <c r="Q358" s="4"/>
      <c r="R358" s="4"/>
      <c r="S358" s="4"/>
      <c r="T358" s="4"/>
      <c r="U358" s="4"/>
    </row>
    <row r="359" spans="2:21" ht="15" x14ac:dyDescent="0.25">
      <c r="B359" s="4"/>
      <c r="D359" s="3"/>
      <c r="E359" s="3"/>
      <c r="H359" s="3"/>
      <c r="O359" s="4"/>
      <c r="P359" s="4"/>
      <c r="Q359" s="4"/>
      <c r="R359" s="4"/>
      <c r="S359" s="4"/>
      <c r="T359" s="4"/>
      <c r="U359" s="4"/>
    </row>
    <row r="360" spans="2:21" ht="15" x14ac:dyDescent="0.25">
      <c r="B360" s="4"/>
      <c r="D360" s="3"/>
      <c r="E360" s="3"/>
      <c r="H360" s="3"/>
      <c r="O360" s="4"/>
      <c r="P360" s="4"/>
      <c r="Q360" s="4"/>
      <c r="R360" s="4"/>
      <c r="S360" s="4"/>
      <c r="T360" s="4"/>
      <c r="U360" s="4"/>
    </row>
    <row r="361" spans="2:21" ht="15" x14ac:dyDescent="0.25">
      <c r="B361" s="4"/>
      <c r="D361" s="3"/>
      <c r="E361" s="3"/>
      <c r="H361" s="3"/>
      <c r="O361" s="4"/>
      <c r="P361" s="4"/>
      <c r="Q361" s="4"/>
      <c r="R361" s="4"/>
      <c r="S361" s="4"/>
      <c r="T361" s="4"/>
      <c r="U361" s="4"/>
    </row>
    <row r="362" spans="2:21" ht="15" x14ac:dyDescent="0.25">
      <c r="B362" s="4"/>
      <c r="D362" s="3"/>
      <c r="E362" s="3"/>
      <c r="H362" s="3"/>
      <c r="O362" s="4"/>
      <c r="P362" s="4"/>
      <c r="Q362" s="4"/>
      <c r="R362" s="4"/>
      <c r="S362" s="4"/>
      <c r="T362" s="4"/>
      <c r="U362" s="4"/>
    </row>
    <row r="363" spans="2:21" ht="15" x14ac:dyDescent="0.25">
      <c r="B363" s="4"/>
      <c r="D363" s="3"/>
      <c r="E363" s="3"/>
      <c r="H363" s="3"/>
      <c r="O363" s="4"/>
      <c r="P363" s="4"/>
      <c r="Q363" s="4"/>
      <c r="R363" s="4"/>
      <c r="S363" s="4"/>
      <c r="T363" s="4"/>
      <c r="U363" s="4"/>
    </row>
    <row r="364" spans="2:21" ht="15" x14ac:dyDescent="0.25">
      <c r="B364" s="4"/>
      <c r="D364" s="3"/>
      <c r="E364" s="3"/>
      <c r="H364" s="3"/>
      <c r="O364" s="4"/>
      <c r="P364" s="4"/>
      <c r="Q364" s="4"/>
      <c r="R364" s="4"/>
      <c r="S364" s="4"/>
      <c r="T364" s="4"/>
      <c r="U364" s="4"/>
    </row>
    <row r="365" spans="2:21" ht="15" x14ac:dyDescent="0.25">
      <c r="B365" s="4"/>
      <c r="D365" s="3"/>
      <c r="E365" s="3"/>
      <c r="H365" s="3"/>
      <c r="O365" s="4"/>
      <c r="P365" s="4"/>
      <c r="Q365" s="4"/>
      <c r="R365" s="4"/>
      <c r="S365" s="4"/>
      <c r="T365" s="4"/>
      <c r="U365" s="4"/>
    </row>
    <row r="366" spans="2:21" ht="15" x14ac:dyDescent="0.25">
      <c r="B366" s="4"/>
      <c r="D366" s="3"/>
      <c r="E366" s="3"/>
      <c r="H366" s="3"/>
      <c r="O366" s="4"/>
      <c r="P366" s="4"/>
      <c r="Q366" s="4"/>
      <c r="R366" s="4"/>
      <c r="S366" s="4"/>
      <c r="T366" s="4"/>
      <c r="U366" s="4"/>
    </row>
    <row r="367" spans="2:21" ht="15" x14ac:dyDescent="0.25">
      <c r="B367" s="4"/>
      <c r="D367" s="3"/>
      <c r="E367" s="3"/>
      <c r="H367" s="3"/>
      <c r="O367" s="4"/>
      <c r="P367" s="4"/>
      <c r="Q367" s="4"/>
      <c r="R367" s="4"/>
      <c r="S367" s="4"/>
      <c r="T367" s="4"/>
      <c r="U367" s="4"/>
    </row>
    <row r="368" spans="2:21" ht="15" x14ac:dyDescent="0.25">
      <c r="B368" s="4"/>
      <c r="D368" s="3"/>
      <c r="E368" s="3"/>
      <c r="H368" s="3"/>
      <c r="O368" s="4"/>
      <c r="P368" s="4"/>
      <c r="Q368" s="4"/>
      <c r="R368" s="4"/>
      <c r="S368" s="4"/>
      <c r="T368" s="4"/>
      <c r="U368" s="4"/>
    </row>
    <row r="369" spans="2:21" ht="15" x14ac:dyDescent="0.25">
      <c r="B369" s="4"/>
      <c r="D369" s="3"/>
      <c r="E369" s="3"/>
      <c r="H369" s="3"/>
      <c r="O369" s="4"/>
      <c r="P369" s="4"/>
      <c r="Q369" s="4"/>
      <c r="R369" s="4"/>
      <c r="S369" s="4"/>
      <c r="T369" s="4"/>
      <c r="U369" s="4"/>
    </row>
    <row r="370" spans="2:21" ht="15" x14ac:dyDescent="0.25">
      <c r="B370" s="4"/>
      <c r="D370" s="3"/>
      <c r="E370" s="3"/>
      <c r="H370" s="3"/>
      <c r="O370" s="4"/>
      <c r="P370" s="4"/>
      <c r="Q370" s="4"/>
      <c r="R370" s="4"/>
      <c r="S370" s="4"/>
      <c r="T370" s="4"/>
      <c r="U370" s="4"/>
    </row>
    <row r="371" spans="2:21" ht="15" x14ac:dyDescent="0.25">
      <c r="B371" s="4"/>
      <c r="D371" s="3"/>
      <c r="E371" s="3"/>
      <c r="H371" s="3"/>
      <c r="O371" s="4"/>
      <c r="P371" s="4"/>
      <c r="Q371" s="4"/>
      <c r="R371" s="4"/>
      <c r="S371" s="4"/>
      <c r="T371" s="4"/>
      <c r="U371" s="4"/>
    </row>
    <row r="372" spans="2:21" ht="15" x14ac:dyDescent="0.25">
      <c r="B372" s="4"/>
      <c r="D372" s="3"/>
      <c r="E372" s="3"/>
      <c r="H372" s="3"/>
      <c r="O372" s="4"/>
      <c r="P372" s="4"/>
      <c r="Q372" s="4"/>
      <c r="R372" s="4"/>
      <c r="S372" s="4"/>
      <c r="T372" s="4"/>
      <c r="U372" s="4"/>
    </row>
    <row r="373" spans="2:21" ht="15" x14ac:dyDescent="0.25">
      <c r="B373" s="4"/>
      <c r="D373" s="3"/>
      <c r="E373" s="3"/>
      <c r="H373" s="3"/>
      <c r="O373" s="4"/>
      <c r="P373" s="4"/>
      <c r="Q373" s="4"/>
      <c r="R373" s="4"/>
      <c r="S373" s="4"/>
      <c r="T373" s="4"/>
      <c r="U373" s="4"/>
    </row>
    <row r="374" spans="2:21" ht="15" x14ac:dyDescent="0.25">
      <c r="B374" s="4"/>
      <c r="D374" s="3"/>
      <c r="E374" s="3"/>
      <c r="H374" s="3"/>
      <c r="O374" s="4"/>
      <c r="P374" s="4"/>
      <c r="Q374" s="4"/>
      <c r="R374" s="4"/>
      <c r="S374" s="4"/>
      <c r="T374" s="4"/>
      <c r="U374" s="4"/>
    </row>
    <row r="375" spans="2:21" ht="15" x14ac:dyDescent="0.25">
      <c r="B375" s="4"/>
      <c r="D375" s="3"/>
      <c r="E375" s="3"/>
      <c r="H375" s="3"/>
      <c r="O375" s="4"/>
      <c r="P375" s="4"/>
      <c r="Q375" s="4"/>
      <c r="R375" s="4"/>
      <c r="S375" s="4"/>
      <c r="T375" s="4"/>
      <c r="U375" s="4"/>
    </row>
    <row r="376" spans="2:21" ht="15" x14ac:dyDescent="0.25">
      <c r="B376" s="4"/>
      <c r="D376" s="3"/>
      <c r="E376" s="3"/>
      <c r="H376" s="3"/>
      <c r="O376" s="4"/>
      <c r="P376" s="4"/>
      <c r="Q376" s="4"/>
      <c r="R376" s="4"/>
      <c r="S376" s="4"/>
      <c r="T376" s="4"/>
      <c r="U376" s="4"/>
    </row>
    <row r="377" spans="2:21" ht="15" x14ac:dyDescent="0.25">
      <c r="B377" s="4"/>
      <c r="D377" s="3"/>
      <c r="E377" s="3"/>
      <c r="H377" s="3"/>
      <c r="O377" s="4"/>
      <c r="P377" s="4"/>
      <c r="Q377" s="4"/>
      <c r="R377" s="4"/>
      <c r="S377" s="4"/>
      <c r="T377" s="4"/>
      <c r="U377" s="4"/>
    </row>
    <row r="378" spans="2:21" ht="15" x14ac:dyDescent="0.25">
      <c r="B378" s="4"/>
      <c r="D378" s="3"/>
      <c r="E378" s="3"/>
      <c r="H378" s="3"/>
      <c r="O378" s="4"/>
      <c r="P378" s="4"/>
      <c r="Q378" s="4"/>
      <c r="R378" s="4"/>
      <c r="S378" s="4"/>
      <c r="T378" s="4"/>
      <c r="U378" s="4"/>
    </row>
    <row r="379" spans="2:21" ht="15" x14ac:dyDescent="0.25">
      <c r="B379" s="4"/>
      <c r="D379" s="3"/>
      <c r="E379" s="3"/>
      <c r="H379" s="3"/>
      <c r="O379" s="4"/>
      <c r="P379" s="4"/>
      <c r="Q379" s="4"/>
      <c r="R379" s="4"/>
      <c r="S379" s="4"/>
      <c r="T379" s="4"/>
      <c r="U379" s="4"/>
    </row>
    <row r="380" spans="2:21" ht="15" x14ac:dyDescent="0.25">
      <c r="B380" s="4"/>
      <c r="D380" s="3"/>
      <c r="E380" s="3"/>
      <c r="H380" s="3"/>
      <c r="O380" s="4"/>
      <c r="P380" s="4"/>
      <c r="Q380" s="4"/>
      <c r="R380" s="4"/>
      <c r="S380" s="4"/>
      <c r="T380" s="4"/>
      <c r="U380" s="4"/>
    </row>
    <row r="381" spans="2:21" ht="15" x14ac:dyDescent="0.25">
      <c r="B381" s="4"/>
      <c r="D381" s="3"/>
      <c r="E381" s="3"/>
      <c r="H381" s="3"/>
      <c r="O381" s="4"/>
      <c r="P381" s="4"/>
      <c r="Q381" s="4"/>
      <c r="R381" s="4"/>
      <c r="S381" s="4"/>
      <c r="T381" s="4"/>
      <c r="U381" s="4"/>
    </row>
    <row r="382" spans="2:21" ht="15" x14ac:dyDescent="0.25">
      <c r="B382" s="4"/>
      <c r="D382" s="3"/>
      <c r="E382" s="3"/>
      <c r="H382" s="3"/>
      <c r="O382" s="4"/>
      <c r="P382" s="4"/>
      <c r="Q382" s="4"/>
      <c r="R382" s="4"/>
      <c r="S382" s="4"/>
      <c r="T382" s="4"/>
      <c r="U382" s="4"/>
    </row>
    <row r="383" spans="2:21" ht="15" x14ac:dyDescent="0.25">
      <c r="B383" s="4"/>
      <c r="D383" s="3"/>
      <c r="E383" s="3"/>
      <c r="H383" s="3"/>
      <c r="O383" s="4"/>
      <c r="P383" s="4"/>
      <c r="Q383" s="4"/>
      <c r="R383" s="4"/>
      <c r="S383" s="4"/>
      <c r="T383" s="4"/>
      <c r="U383" s="4"/>
    </row>
    <row r="384" spans="2:21" ht="15" x14ac:dyDescent="0.25">
      <c r="B384" s="4"/>
      <c r="D384" s="3"/>
      <c r="E384" s="3"/>
      <c r="H384" s="3"/>
      <c r="O384" s="4"/>
      <c r="P384" s="4"/>
      <c r="Q384" s="4"/>
      <c r="R384" s="4"/>
      <c r="S384" s="4"/>
      <c r="T384" s="4"/>
      <c r="U384" s="4"/>
    </row>
    <row r="385" spans="2:21" ht="15" x14ac:dyDescent="0.25">
      <c r="B385" s="4"/>
      <c r="D385" s="3"/>
      <c r="E385" s="3"/>
      <c r="H385" s="3"/>
      <c r="O385" s="4"/>
      <c r="P385" s="4"/>
      <c r="Q385" s="4"/>
      <c r="R385" s="4"/>
      <c r="S385" s="4"/>
      <c r="T385" s="4"/>
      <c r="U385" s="4"/>
    </row>
    <row r="386" spans="2:21" ht="15" x14ac:dyDescent="0.25">
      <c r="B386" s="4"/>
      <c r="D386" s="3"/>
      <c r="E386" s="3"/>
      <c r="H386" s="3"/>
      <c r="O386" s="4"/>
      <c r="P386" s="4"/>
      <c r="Q386" s="4"/>
      <c r="R386" s="4"/>
      <c r="S386" s="4"/>
      <c r="T386" s="4"/>
      <c r="U386" s="4"/>
    </row>
    <row r="387" spans="2:21" ht="15" x14ac:dyDescent="0.25">
      <c r="B387" s="4"/>
      <c r="D387" s="3"/>
      <c r="E387" s="3"/>
      <c r="H387" s="3"/>
      <c r="O387" s="4"/>
      <c r="P387" s="4"/>
      <c r="Q387" s="4"/>
      <c r="R387" s="4"/>
      <c r="S387" s="4"/>
      <c r="T387" s="4"/>
      <c r="U387" s="4"/>
    </row>
    <row r="388" spans="2:21" ht="15" x14ac:dyDescent="0.25">
      <c r="B388" s="4"/>
      <c r="D388" s="3"/>
      <c r="E388" s="3"/>
      <c r="H388" s="3"/>
      <c r="O388" s="4"/>
      <c r="P388" s="4"/>
      <c r="Q388" s="4"/>
      <c r="R388" s="4"/>
      <c r="S388" s="4"/>
      <c r="T388" s="4"/>
      <c r="U388" s="4"/>
    </row>
    <row r="389" spans="2:21" ht="15" x14ac:dyDescent="0.25">
      <c r="B389" s="4"/>
      <c r="D389" s="3"/>
      <c r="E389" s="3"/>
      <c r="H389" s="3"/>
      <c r="O389" s="4"/>
      <c r="P389" s="4"/>
      <c r="Q389" s="4"/>
      <c r="R389" s="4"/>
      <c r="S389" s="4"/>
      <c r="T389" s="4"/>
      <c r="U389" s="4"/>
    </row>
    <row r="390" spans="2:21" ht="15" x14ac:dyDescent="0.25">
      <c r="B390" s="4"/>
      <c r="D390" s="3"/>
      <c r="E390" s="3"/>
      <c r="H390" s="3"/>
      <c r="O390" s="4"/>
      <c r="P390" s="4"/>
      <c r="Q390" s="4"/>
      <c r="R390" s="4"/>
      <c r="S390" s="4"/>
      <c r="T390" s="4"/>
      <c r="U390" s="4"/>
    </row>
    <row r="391" spans="2:21" ht="15" x14ac:dyDescent="0.25">
      <c r="B391" s="4"/>
      <c r="D391" s="3"/>
      <c r="E391" s="3"/>
      <c r="H391" s="3"/>
      <c r="O391" s="4"/>
      <c r="P391" s="4"/>
      <c r="Q391" s="4"/>
      <c r="R391" s="4"/>
      <c r="S391" s="4"/>
      <c r="T391" s="4"/>
      <c r="U391" s="4"/>
    </row>
    <row r="392" spans="2:21" ht="15" x14ac:dyDescent="0.25">
      <c r="B392" s="4"/>
      <c r="D392" s="3"/>
      <c r="E392" s="3"/>
      <c r="H392" s="3"/>
      <c r="O392" s="4"/>
      <c r="P392" s="4"/>
      <c r="Q392" s="4"/>
      <c r="R392" s="4"/>
      <c r="S392" s="4"/>
      <c r="T392" s="4"/>
      <c r="U392" s="4"/>
    </row>
    <row r="393" spans="2:21" ht="15" x14ac:dyDescent="0.25">
      <c r="B393" s="4"/>
      <c r="D393" s="3"/>
      <c r="E393" s="3"/>
      <c r="H393" s="3"/>
      <c r="O393" s="4"/>
      <c r="P393" s="4"/>
      <c r="Q393" s="4"/>
      <c r="R393" s="4"/>
      <c r="S393" s="4"/>
      <c r="T393" s="4"/>
      <c r="U393" s="4"/>
    </row>
    <row r="394" spans="2:21" ht="15" x14ac:dyDescent="0.25">
      <c r="B394" s="4"/>
      <c r="D394" s="3"/>
      <c r="E394" s="3"/>
      <c r="H394" s="3"/>
      <c r="O394" s="4"/>
      <c r="P394" s="4"/>
      <c r="Q394" s="4"/>
      <c r="R394" s="4"/>
      <c r="S394" s="4"/>
      <c r="T394" s="4"/>
      <c r="U394" s="4"/>
    </row>
    <row r="395" spans="2:21" ht="15" x14ac:dyDescent="0.25">
      <c r="B395" s="4"/>
      <c r="D395" s="3"/>
      <c r="E395" s="3"/>
      <c r="H395" s="3"/>
      <c r="O395" s="4"/>
      <c r="P395" s="4"/>
      <c r="Q395" s="4"/>
      <c r="R395" s="4"/>
      <c r="S395" s="4"/>
      <c r="T395" s="4"/>
      <c r="U395" s="4"/>
    </row>
    <row r="396" spans="2:21" ht="15" x14ac:dyDescent="0.25">
      <c r="B396" s="4"/>
      <c r="D396" s="3"/>
      <c r="E396" s="3"/>
      <c r="H396" s="3"/>
      <c r="O396" s="4"/>
      <c r="P396" s="4"/>
      <c r="Q396" s="4"/>
      <c r="R396" s="4"/>
      <c r="S396" s="4"/>
      <c r="T396" s="4"/>
      <c r="U396" s="4"/>
    </row>
    <row r="397" spans="2:21" ht="15" x14ac:dyDescent="0.25">
      <c r="B397" s="4"/>
      <c r="D397" s="3"/>
      <c r="E397" s="3"/>
      <c r="H397" s="3"/>
      <c r="O397" s="4"/>
      <c r="P397" s="4"/>
      <c r="Q397" s="4"/>
      <c r="R397" s="4"/>
      <c r="S397" s="4"/>
      <c r="T397" s="4"/>
      <c r="U397" s="4"/>
    </row>
    <row r="398" spans="2:21" ht="15" x14ac:dyDescent="0.25">
      <c r="B398" s="4"/>
      <c r="D398" s="3"/>
      <c r="E398" s="3"/>
      <c r="H398" s="3"/>
      <c r="O398" s="4"/>
      <c r="P398" s="4"/>
      <c r="Q398" s="4"/>
      <c r="R398" s="4"/>
      <c r="S398" s="4"/>
      <c r="T398" s="4"/>
      <c r="U398" s="4"/>
    </row>
    <row r="399" spans="2:21" ht="15" x14ac:dyDescent="0.25">
      <c r="B399" s="4"/>
      <c r="D399" s="3"/>
      <c r="E399" s="3"/>
      <c r="H399" s="3"/>
      <c r="O399" s="4"/>
      <c r="P399" s="4"/>
      <c r="Q399" s="4"/>
      <c r="R399" s="4"/>
      <c r="S399" s="4"/>
      <c r="T399" s="4"/>
      <c r="U399" s="4"/>
    </row>
    <row r="400" spans="2:21" ht="15" x14ac:dyDescent="0.25">
      <c r="B400" s="4"/>
      <c r="D400" s="3"/>
      <c r="E400" s="3"/>
      <c r="H400" s="3"/>
      <c r="O400" s="4"/>
      <c r="P400" s="4"/>
      <c r="Q400" s="4"/>
      <c r="R400" s="4"/>
      <c r="S400" s="4"/>
      <c r="T400" s="4"/>
      <c r="U400" s="4"/>
    </row>
    <row r="401" spans="2:21" ht="15" x14ac:dyDescent="0.25">
      <c r="B401" s="4"/>
      <c r="D401" s="3"/>
      <c r="E401" s="3"/>
      <c r="H401" s="3"/>
      <c r="O401" s="4"/>
      <c r="P401" s="4"/>
      <c r="Q401" s="4"/>
      <c r="R401" s="4"/>
      <c r="S401" s="4"/>
      <c r="T401" s="4"/>
      <c r="U401" s="4"/>
    </row>
    <row r="402" spans="2:21" ht="15" x14ac:dyDescent="0.25">
      <c r="B402" s="4"/>
      <c r="D402" s="3"/>
      <c r="E402" s="3"/>
      <c r="H402" s="3"/>
      <c r="O402" s="4"/>
      <c r="P402" s="4"/>
      <c r="Q402" s="4"/>
      <c r="R402" s="4"/>
      <c r="S402" s="4"/>
      <c r="T402" s="4"/>
      <c r="U402" s="4"/>
    </row>
    <row r="403" spans="2:21" ht="15" x14ac:dyDescent="0.25">
      <c r="B403" s="4"/>
      <c r="D403" s="3"/>
      <c r="E403" s="3"/>
      <c r="H403" s="3"/>
      <c r="O403" s="4"/>
      <c r="P403" s="4"/>
      <c r="Q403" s="4"/>
      <c r="R403" s="4"/>
      <c r="S403" s="4"/>
      <c r="T403" s="4"/>
      <c r="U403" s="4"/>
    </row>
    <row r="404" spans="2:21" ht="15" x14ac:dyDescent="0.25">
      <c r="B404" s="4"/>
      <c r="D404" s="3"/>
      <c r="E404" s="3"/>
      <c r="H404" s="3"/>
      <c r="O404" s="4"/>
      <c r="P404" s="4"/>
      <c r="Q404" s="4"/>
      <c r="R404" s="4"/>
      <c r="S404" s="4"/>
      <c r="T404" s="4"/>
      <c r="U404" s="4"/>
    </row>
    <row r="405" spans="2:21" ht="15" x14ac:dyDescent="0.25">
      <c r="B405" s="4"/>
      <c r="D405" s="3"/>
      <c r="E405" s="3"/>
      <c r="H405" s="3"/>
      <c r="O405" s="4"/>
      <c r="P405" s="4"/>
      <c r="Q405" s="4"/>
      <c r="R405" s="4"/>
      <c r="S405" s="4"/>
      <c r="T405" s="4"/>
      <c r="U405" s="4"/>
    </row>
    <row r="406" spans="2:21" ht="15" x14ac:dyDescent="0.25">
      <c r="B406" s="4"/>
      <c r="D406" s="3"/>
      <c r="E406" s="3"/>
      <c r="H406" s="3"/>
      <c r="O406" s="4"/>
      <c r="P406" s="4"/>
      <c r="Q406" s="4"/>
      <c r="R406" s="4"/>
      <c r="S406" s="4"/>
      <c r="T406" s="4"/>
      <c r="U406" s="4"/>
    </row>
    <row r="407" spans="2:21" ht="15" x14ac:dyDescent="0.25">
      <c r="B407" s="4"/>
      <c r="D407" s="3"/>
      <c r="E407" s="3"/>
      <c r="H407" s="3"/>
      <c r="O407" s="4"/>
      <c r="P407" s="4"/>
      <c r="Q407" s="4"/>
      <c r="R407" s="4"/>
      <c r="S407" s="4"/>
      <c r="T407" s="4"/>
      <c r="U407" s="4"/>
    </row>
    <row r="408" spans="2:21" ht="15" x14ac:dyDescent="0.25">
      <c r="B408" s="4"/>
      <c r="D408" s="3"/>
      <c r="E408" s="3"/>
      <c r="H408" s="3"/>
      <c r="O408" s="4"/>
      <c r="P408" s="4"/>
      <c r="Q408" s="4"/>
      <c r="R408" s="4"/>
      <c r="S408" s="4"/>
      <c r="T408" s="4"/>
      <c r="U408" s="4"/>
    </row>
    <row r="409" spans="2:21" ht="15" x14ac:dyDescent="0.25">
      <c r="B409" s="4"/>
      <c r="D409" s="3"/>
      <c r="E409" s="3"/>
      <c r="H409" s="3"/>
      <c r="O409" s="4"/>
      <c r="P409" s="4"/>
      <c r="Q409" s="4"/>
      <c r="R409" s="4"/>
      <c r="S409" s="4"/>
      <c r="T409" s="4"/>
      <c r="U409" s="4"/>
    </row>
    <row r="410" spans="2:21" ht="15" x14ac:dyDescent="0.25">
      <c r="B410" s="4"/>
      <c r="D410" s="3"/>
      <c r="E410" s="3"/>
      <c r="H410" s="3"/>
      <c r="O410" s="4"/>
      <c r="P410" s="4"/>
      <c r="Q410" s="4"/>
      <c r="R410" s="4"/>
      <c r="S410" s="4"/>
      <c r="T410" s="4"/>
      <c r="U410" s="4"/>
    </row>
    <row r="411" spans="2:21" ht="15" x14ac:dyDescent="0.25">
      <c r="B411" s="4"/>
      <c r="D411" s="3"/>
      <c r="E411" s="3"/>
      <c r="H411" s="3"/>
      <c r="O411" s="4"/>
      <c r="P411" s="4"/>
      <c r="Q411" s="4"/>
      <c r="R411" s="4"/>
      <c r="S411" s="4"/>
      <c r="T411" s="4"/>
      <c r="U411" s="4"/>
    </row>
    <row r="412" spans="2:21" ht="15" x14ac:dyDescent="0.25">
      <c r="B412" s="4"/>
      <c r="D412" s="3"/>
      <c r="E412" s="3"/>
      <c r="H412" s="3"/>
      <c r="O412" s="4"/>
      <c r="P412" s="4"/>
      <c r="Q412" s="4"/>
      <c r="R412" s="4"/>
      <c r="S412" s="4"/>
      <c r="T412" s="4"/>
      <c r="U412" s="4"/>
    </row>
    <row r="413" spans="2:21" ht="15" x14ac:dyDescent="0.25">
      <c r="B413" s="4"/>
      <c r="D413" s="3"/>
      <c r="E413" s="3"/>
      <c r="H413" s="3"/>
      <c r="O413" s="4"/>
      <c r="P413" s="4"/>
      <c r="Q413" s="4"/>
      <c r="R413" s="4"/>
      <c r="S413" s="4"/>
      <c r="T413" s="4"/>
      <c r="U413" s="4"/>
    </row>
    <row r="414" spans="2:21" ht="15" x14ac:dyDescent="0.25">
      <c r="B414" s="4"/>
      <c r="D414" s="3"/>
      <c r="E414" s="3"/>
      <c r="H414" s="3"/>
      <c r="O414" s="4"/>
      <c r="P414" s="4"/>
      <c r="Q414" s="4"/>
      <c r="R414" s="4"/>
      <c r="S414" s="4"/>
      <c r="T414" s="4"/>
      <c r="U414" s="4"/>
    </row>
    <row r="415" spans="2:21" ht="15" x14ac:dyDescent="0.25">
      <c r="B415" s="4"/>
      <c r="D415" s="3"/>
      <c r="E415" s="3"/>
      <c r="H415" s="3"/>
      <c r="O415" s="4"/>
      <c r="P415" s="4"/>
      <c r="Q415" s="4"/>
      <c r="R415" s="4"/>
      <c r="S415" s="4"/>
      <c r="T415" s="4"/>
      <c r="U415" s="4"/>
    </row>
    <row r="416" spans="2:21" ht="15" x14ac:dyDescent="0.25">
      <c r="B416" s="4"/>
      <c r="D416" s="3"/>
      <c r="E416" s="3"/>
      <c r="H416" s="3"/>
      <c r="O416" s="4"/>
      <c r="P416" s="4"/>
      <c r="Q416" s="4"/>
      <c r="R416" s="4"/>
      <c r="S416" s="4"/>
      <c r="T416" s="4"/>
      <c r="U416" s="4"/>
    </row>
    <row r="417" spans="2:21" ht="15" x14ac:dyDescent="0.25">
      <c r="B417" s="4"/>
      <c r="D417" s="3"/>
      <c r="E417" s="3"/>
      <c r="H417" s="3"/>
      <c r="O417" s="4"/>
      <c r="P417" s="4"/>
      <c r="Q417" s="4"/>
      <c r="R417" s="4"/>
      <c r="S417" s="4"/>
      <c r="T417" s="4"/>
      <c r="U417" s="4"/>
    </row>
    <row r="418" spans="2:21" ht="15" x14ac:dyDescent="0.25">
      <c r="B418" s="4"/>
      <c r="D418" s="3"/>
      <c r="E418" s="3"/>
      <c r="H418" s="3"/>
      <c r="O418" s="4"/>
      <c r="P418" s="4"/>
      <c r="Q418" s="4"/>
      <c r="R418" s="4"/>
      <c r="S418" s="4"/>
      <c r="T418" s="4"/>
      <c r="U418" s="4"/>
    </row>
    <row r="419" spans="2:21" ht="15" x14ac:dyDescent="0.25">
      <c r="B419" s="4"/>
      <c r="D419" s="3"/>
      <c r="E419" s="3"/>
      <c r="H419" s="3"/>
      <c r="O419" s="4"/>
      <c r="P419" s="4"/>
      <c r="Q419" s="4"/>
      <c r="R419" s="4"/>
      <c r="S419" s="4"/>
      <c r="T419" s="4"/>
      <c r="U419" s="4"/>
    </row>
    <row r="420" spans="2:21" ht="15" x14ac:dyDescent="0.25">
      <c r="B420" s="4"/>
      <c r="D420" s="3"/>
      <c r="E420" s="3"/>
      <c r="H420" s="3"/>
      <c r="O420" s="4"/>
      <c r="P420" s="4"/>
      <c r="Q420" s="4"/>
      <c r="R420" s="4"/>
      <c r="S420" s="4"/>
      <c r="T420" s="4"/>
      <c r="U420" s="4"/>
    </row>
    <row r="421" spans="2:21" ht="15" x14ac:dyDescent="0.25">
      <c r="B421" s="4"/>
      <c r="D421" s="3"/>
      <c r="E421" s="3"/>
      <c r="H421" s="3"/>
      <c r="O421" s="4"/>
      <c r="P421" s="4"/>
      <c r="Q421" s="4"/>
      <c r="R421" s="4"/>
      <c r="S421" s="4"/>
      <c r="T421" s="4"/>
      <c r="U421" s="4"/>
    </row>
    <row r="422" spans="2:21" ht="15" x14ac:dyDescent="0.25">
      <c r="B422" s="4"/>
      <c r="D422" s="3"/>
      <c r="E422" s="3"/>
      <c r="H422" s="3"/>
      <c r="O422" s="4"/>
      <c r="P422" s="4"/>
      <c r="Q422" s="4"/>
      <c r="R422" s="4"/>
      <c r="S422" s="4"/>
      <c r="T422" s="4"/>
      <c r="U422" s="4"/>
    </row>
    <row r="423" spans="2:21" ht="15" x14ac:dyDescent="0.25">
      <c r="B423" s="4"/>
      <c r="D423" s="3"/>
      <c r="E423" s="3"/>
      <c r="H423" s="3"/>
      <c r="O423" s="4"/>
      <c r="P423" s="4"/>
      <c r="Q423" s="4"/>
      <c r="R423" s="4"/>
      <c r="S423" s="4"/>
      <c r="T423" s="4"/>
      <c r="U423" s="4"/>
    </row>
    <row r="424" spans="2:21" ht="15" x14ac:dyDescent="0.25">
      <c r="B424" s="4"/>
      <c r="D424" s="3"/>
      <c r="E424" s="3"/>
      <c r="H424" s="3"/>
      <c r="O424" s="4"/>
      <c r="P424" s="4"/>
      <c r="Q424" s="4"/>
      <c r="R424" s="4"/>
      <c r="S424" s="4"/>
      <c r="T424" s="4"/>
      <c r="U424" s="4"/>
    </row>
    <row r="425" spans="2:21" ht="15" x14ac:dyDescent="0.25">
      <c r="B425" s="4"/>
      <c r="D425" s="3"/>
      <c r="E425" s="3"/>
      <c r="H425" s="3"/>
      <c r="O425" s="4"/>
      <c r="P425" s="4"/>
      <c r="Q425" s="4"/>
      <c r="R425" s="4"/>
      <c r="S425" s="4"/>
      <c r="T425" s="4"/>
      <c r="U425" s="4"/>
    </row>
    <row r="426" spans="2:21" ht="15" x14ac:dyDescent="0.25">
      <c r="B426" s="4"/>
      <c r="D426" s="3"/>
      <c r="E426" s="3"/>
      <c r="H426" s="3"/>
      <c r="O426" s="4"/>
      <c r="P426" s="4"/>
      <c r="Q426" s="4"/>
      <c r="R426" s="4"/>
      <c r="S426" s="4"/>
      <c r="T426" s="4"/>
      <c r="U426" s="4"/>
    </row>
    <row r="427" spans="2:21" ht="15" x14ac:dyDescent="0.25">
      <c r="B427" s="4"/>
      <c r="D427" s="3"/>
      <c r="E427" s="3"/>
      <c r="H427" s="3"/>
      <c r="O427" s="4"/>
      <c r="P427" s="4"/>
      <c r="Q427" s="4"/>
      <c r="R427" s="4"/>
      <c r="S427" s="4"/>
      <c r="T427" s="4"/>
      <c r="U427" s="4"/>
    </row>
    <row r="428" spans="2:21" ht="15" x14ac:dyDescent="0.25">
      <c r="B428" s="4"/>
      <c r="D428" s="3"/>
      <c r="E428" s="3"/>
      <c r="H428" s="3"/>
      <c r="O428" s="4"/>
      <c r="P428" s="4"/>
      <c r="Q428" s="4"/>
      <c r="R428" s="4"/>
      <c r="S428" s="4"/>
      <c r="T428" s="4"/>
      <c r="U428" s="4"/>
    </row>
    <row r="429" spans="2:21" ht="15" x14ac:dyDescent="0.25">
      <c r="B429" s="4"/>
      <c r="D429" s="3"/>
      <c r="E429" s="3"/>
      <c r="H429" s="3"/>
      <c r="O429" s="4"/>
      <c r="P429" s="4"/>
      <c r="Q429" s="4"/>
      <c r="R429" s="4"/>
      <c r="S429" s="4"/>
      <c r="T429" s="4"/>
      <c r="U429" s="4"/>
    </row>
    <row r="430" spans="2:21" ht="15" x14ac:dyDescent="0.25">
      <c r="B430" s="4"/>
      <c r="D430" s="3"/>
      <c r="E430" s="3"/>
      <c r="H430" s="3"/>
      <c r="O430" s="4"/>
      <c r="P430" s="4"/>
      <c r="Q430" s="4"/>
      <c r="R430" s="4"/>
      <c r="S430" s="4"/>
      <c r="T430" s="4"/>
      <c r="U430" s="4"/>
    </row>
    <row r="431" spans="2:21" ht="15" x14ac:dyDescent="0.25">
      <c r="B431" s="4"/>
      <c r="D431" s="3"/>
      <c r="E431" s="3"/>
      <c r="H431" s="3"/>
      <c r="O431" s="4"/>
      <c r="P431" s="4"/>
      <c r="Q431" s="4"/>
      <c r="R431" s="4"/>
      <c r="S431" s="4"/>
      <c r="T431" s="4"/>
      <c r="U431" s="4"/>
    </row>
    <row r="432" spans="2:21" ht="15" x14ac:dyDescent="0.25">
      <c r="B432" s="4"/>
      <c r="D432" s="3"/>
      <c r="E432" s="3"/>
      <c r="H432" s="3"/>
      <c r="O432" s="4"/>
      <c r="P432" s="4"/>
      <c r="Q432" s="4"/>
      <c r="R432" s="4"/>
      <c r="S432" s="4"/>
      <c r="T432" s="4"/>
      <c r="U432" s="4"/>
    </row>
    <row r="433" spans="2:21" ht="15" x14ac:dyDescent="0.25">
      <c r="B433" s="4"/>
      <c r="D433" s="3"/>
      <c r="E433" s="3"/>
      <c r="H433" s="3"/>
      <c r="O433" s="4"/>
      <c r="P433" s="4"/>
      <c r="Q433" s="4"/>
      <c r="R433" s="4"/>
      <c r="S433" s="4"/>
      <c r="T433" s="4"/>
      <c r="U433" s="4"/>
    </row>
    <row r="434" spans="2:21" ht="15" x14ac:dyDescent="0.25">
      <c r="B434" s="4"/>
      <c r="D434" s="3"/>
      <c r="E434" s="3"/>
      <c r="H434" s="3"/>
      <c r="O434" s="4"/>
      <c r="P434" s="4"/>
      <c r="Q434" s="4"/>
      <c r="R434" s="4"/>
      <c r="S434" s="4"/>
      <c r="T434" s="4"/>
      <c r="U434" s="4"/>
    </row>
    <row r="435" spans="2:21" ht="15" x14ac:dyDescent="0.25">
      <c r="B435" s="4"/>
      <c r="D435" s="3"/>
      <c r="E435" s="3"/>
      <c r="H435" s="3"/>
      <c r="O435" s="4"/>
      <c r="P435" s="4"/>
      <c r="Q435" s="4"/>
      <c r="R435" s="4"/>
      <c r="S435" s="4"/>
      <c r="T435" s="4"/>
      <c r="U435" s="4"/>
    </row>
    <row r="436" spans="2:21" ht="15" x14ac:dyDescent="0.25">
      <c r="B436" s="4"/>
      <c r="D436" s="3"/>
      <c r="E436" s="3"/>
      <c r="H436" s="3"/>
      <c r="O436" s="4"/>
      <c r="P436" s="4"/>
      <c r="Q436" s="4"/>
      <c r="R436" s="4"/>
      <c r="S436" s="4"/>
      <c r="T436" s="4"/>
      <c r="U436" s="4"/>
    </row>
    <row r="437" spans="2:21" ht="15" x14ac:dyDescent="0.25">
      <c r="B437" s="4"/>
      <c r="D437" s="3"/>
      <c r="E437" s="3"/>
      <c r="H437" s="3"/>
      <c r="O437" s="4"/>
      <c r="P437" s="4"/>
      <c r="Q437" s="4"/>
      <c r="R437" s="4"/>
      <c r="S437" s="4"/>
      <c r="T437" s="4"/>
      <c r="U437" s="4"/>
    </row>
    <row r="438" spans="2:21" ht="15" x14ac:dyDescent="0.25">
      <c r="B438" s="4"/>
      <c r="D438" s="3"/>
      <c r="E438" s="3"/>
      <c r="H438" s="3"/>
      <c r="O438" s="4"/>
      <c r="P438" s="4"/>
      <c r="Q438" s="4"/>
      <c r="R438" s="4"/>
      <c r="S438" s="4"/>
      <c r="T438" s="4"/>
      <c r="U438" s="4"/>
    </row>
    <row r="439" spans="2:21" ht="15" x14ac:dyDescent="0.25">
      <c r="B439" s="4"/>
      <c r="D439" s="3"/>
      <c r="E439" s="3"/>
      <c r="H439" s="3"/>
      <c r="O439" s="4"/>
      <c r="P439" s="4"/>
      <c r="Q439" s="4"/>
      <c r="R439" s="4"/>
      <c r="S439" s="4"/>
      <c r="T439" s="4"/>
      <c r="U439" s="4"/>
    </row>
    <row r="440" spans="2:21" ht="15" x14ac:dyDescent="0.25">
      <c r="B440" s="4"/>
      <c r="D440" s="3"/>
      <c r="E440" s="3"/>
      <c r="H440" s="3"/>
      <c r="O440" s="4"/>
      <c r="P440" s="4"/>
      <c r="Q440" s="4"/>
      <c r="R440" s="4"/>
      <c r="S440" s="4"/>
      <c r="T440" s="4"/>
      <c r="U440" s="4"/>
    </row>
    <row r="441" spans="2:21" ht="15" x14ac:dyDescent="0.25">
      <c r="B441" s="4"/>
      <c r="D441" s="3"/>
      <c r="E441" s="3"/>
      <c r="H441" s="3"/>
      <c r="O441" s="4"/>
      <c r="P441" s="4"/>
      <c r="Q441" s="4"/>
      <c r="R441" s="4"/>
      <c r="S441" s="4"/>
      <c r="T441" s="4"/>
      <c r="U441" s="4"/>
    </row>
    <row r="442" spans="2:21" ht="15" x14ac:dyDescent="0.25">
      <c r="B442" s="4"/>
      <c r="D442" s="3"/>
      <c r="E442" s="3"/>
      <c r="H442" s="3"/>
      <c r="O442" s="4"/>
      <c r="P442" s="4"/>
      <c r="Q442" s="4"/>
      <c r="R442" s="4"/>
      <c r="S442" s="4"/>
      <c r="T442" s="4"/>
      <c r="U442" s="4"/>
    </row>
    <row r="443" spans="2:21" ht="15" x14ac:dyDescent="0.25">
      <c r="B443" s="4"/>
      <c r="D443" s="3"/>
      <c r="E443" s="3"/>
      <c r="H443" s="3"/>
      <c r="O443" s="4"/>
      <c r="P443" s="4"/>
      <c r="Q443" s="4"/>
      <c r="R443" s="4"/>
      <c r="S443" s="4"/>
      <c r="T443" s="4"/>
      <c r="U443" s="4"/>
    </row>
    <row r="444" spans="2:21" ht="15" x14ac:dyDescent="0.25">
      <c r="B444" s="4"/>
      <c r="D444" s="3"/>
      <c r="E444" s="3"/>
      <c r="H444" s="3"/>
      <c r="O444" s="4"/>
      <c r="P444" s="4"/>
      <c r="Q444" s="4"/>
      <c r="R444" s="4"/>
      <c r="S444" s="4"/>
      <c r="T444" s="4"/>
      <c r="U444" s="4"/>
    </row>
    <row r="445" spans="2:21" ht="15" x14ac:dyDescent="0.25">
      <c r="B445" s="4"/>
      <c r="D445" s="3"/>
      <c r="E445" s="3"/>
      <c r="H445" s="3"/>
      <c r="O445" s="4"/>
      <c r="P445" s="4"/>
      <c r="Q445" s="4"/>
      <c r="R445" s="4"/>
      <c r="S445" s="4"/>
      <c r="T445" s="4"/>
      <c r="U445" s="4"/>
    </row>
    <row r="446" spans="2:21" ht="15" x14ac:dyDescent="0.25">
      <c r="B446" s="4"/>
      <c r="D446" s="3"/>
      <c r="E446" s="3"/>
      <c r="H446" s="3"/>
      <c r="O446" s="4"/>
      <c r="P446" s="4"/>
      <c r="Q446" s="4"/>
      <c r="R446" s="4"/>
      <c r="S446" s="4"/>
      <c r="T446" s="4"/>
      <c r="U446" s="4"/>
    </row>
    <row r="447" spans="2:21" ht="15" x14ac:dyDescent="0.25">
      <c r="B447" s="4"/>
      <c r="D447" s="3"/>
      <c r="E447" s="3"/>
      <c r="H447" s="3"/>
      <c r="O447" s="4"/>
      <c r="P447" s="4"/>
      <c r="Q447" s="4"/>
      <c r="R447" s="4"/>
      <c r="S447" s="4"/>
      <c r="T447" s="4"/>
      <c r="U447" s="4"/>
    </row>
    <row r="448" spans="2:21" ht="15" x14ac:dyDescent="0.25">
      <c r="B448" s="4"/>
      <c r="D448" s="3"/>
      <c r="E448" s="3"/>
      <c r="H448" s="3"/>
      <c r="O448" s="4"/>
      <c r="P448" s="4"/>
      <c r="Q448" s="4"/>
      <c r="R448" s="4"/>
      <c r="S448" s="4"/>
      <c r="T448" s="4"/>
      <c r="U448" s="4"/>
    </row>
    <row r="449" spans="2:21" ht="15" x14ac:dyDescent="0.25">
      <c r="B449" s="4"/>
      <c r="D449" s="3"/>
      <c r="E449" s="3"/>
      <c r="H449" s="3"/>
      <c r="O449" s="4"/>
      <c r="P449" s="4"/>
      <c r="Q449" s="4"/>
      <c r="R449" s="4"/>
      <c r="S449" s="4"/>
      <c r="T449" s="4"/>
      <c r="U449" s="4"/>
    </row>
    <row r="450" spans="2:21" ht="15" x14ac:dyDescent="0.25">
      <c r="B450" s="4"/>
      <c r="D450" s="3"/>
      <c r="E450" s="3"/>
      <c r="H450" s="3"/>
      <c r="O450" s="4"/>
      <c r="P450" s="4"/>
      <c r="Q450" s="4"/>
      <c r="R450" s="4"/>
      <c r="S450" s="4"/>
      <c r="T450" s="4"/>
      <c r="U450" s="4"/>
    </row>
    <row r="451" spans="2:21" ht="15" x14ac:dyDescent="0.25">
      <c r="B451" s="4"/>
      <c r="D451" s="3"/>
      <c r="E451" s="3"/>
      <c r="H451" s="3"/>
      <c r="O451" s="4"/>
      <c r="P451" s="4"/>
      <c r="Q451" s="4"/>
      <c r="R451" s="4"/>
      <c r="S451" s="4"/>
      <c r="T451" s="4"/>
      <c r="U451" s="4"/>
    </row>
    <row r="452" spans="2:21" ht="15" x14ac:dyDescent="0.25">
      <c r="B452" s="4"/>
      <c r="D452" s="3"/>
      <c r="E452" s="3"/>
      <c r="H452" s="3"/>
      <c r="O452" s="4"/>
      <c r="P452" s="4"/>
      <c r="Q452" s="4"/>
      <c r="R452" s="4"/>
      <c r="S452" s="4"/>
      <c r="T452" s="4"/>
      <c r="U452" s="4"/>
    </row>
    <row r="453" spans="2:21" ht="15" x14ac:dyDescent="0.25">
      <c r="B453" s="4"/>
      <c r="D453" s="3"/>
      <c r="E453" s="3"/>
      <c r="H453" s="3"/>
      <c r="O453" s="4"/>
      <c r="P453" s="4"/>
      <c r="Q453" s="4"/>
      <c r="R453" s="4"/>
      <c r="S453" s="4"/>
      <c r="T453" s="4"/>
      <c r="U453" s="4"/>
    </row>
    <row r="454" spans="2:21" ht="15" x14ac:dyDescent="0.25">
      <c r="B454" s="4"/>
      <c r="D454" s="3"/>
      <c r="E454" s="3"/>
      <c r="H454" s="3"/>
      <c r="O454" s="4"/>
      <c r="P454" s="4"/>
      <c r="Q454" s="4"/>
      <c r="R454" s="4"/>
      <c r="S454" s="4"/>
      <c r="T454" s="4"/>
      <c r="U454" s="4"/>
    </row>
    <row r="455" spans="2:21" ht="15" x14ac:dyDescent="0.25">
      <c r="B455" s="4"/>
      <c r="D455" s="3"/>
      <c r="E455" s="3"/>
      <c r="H455" s="3"/>
      <c r="O455" s="4"/>
      <c r="P455" s="4"/>
      <c r="Q455" s="4"/>
      <c r="R455" s="4"/>
      <c r="S455" s="4"/>
      <c r="T455" s="4"/>
      <c r="U455" s="4"/>
    </row>
    <row r="456" spans="2:21" ht="15" x14ac:dyDescent="0.25">
      <c r="B456" s="4"/>
      <c r="D456" s="3"/>
      <c r="E456" s="3"/>
      <c r="H456" s="3"/>
      <c r="O456" s="4"/>
      <c r="P456" s="4"/>
      <c r="Q456" s="4"/>
      <c r="R456" s="4"/>
      <c r="S456" s="4"/>
      <c r="T456" s="4"/>
      <c r="U456" s="4"/>
    </row>
    <row r="457" spans="2:21" ht="15" x14ac:dyDescent="0.25">
      <c r="B457" s="4"/>
      <c r="D457" s="3"/>
      <c r="E457" s="3"/>
      <c r="H457" s="3"/>
      <c r="O457" s="4"/>
      <c r="P457" s="4"/>
      <c r="Q457" s="4"/>
      <c r="R457" s="4"/>
      <c r="S457" s="4"/>
      <c r="T457" s="4"/>
      <c r="U457" s="4"/>
    </row>
    <row r="458" spans="2:21" ht="15" x14ac:dyDescent="0.25">
      <c r="B458" s="4"/>
      <c r="D458" s="3"/>
      <c r="E458" s="3"/>
      <c r="H458" s="3"/>
      <c r="O458" s="4"/>
      <c r="P458" s="4"/>
      <c r="Q458" s="4"/>
      <c r="R458" s="4"/>
      <c r="S458" s="4"/>
      <c r="T458" s="4"/>
      <c r="U458" s="4"/>
    </row>
    <row r="459" spans="2:21" ht="15" x14ac:dyDescent="0.25">
      <c r="B459" s="4"/>
      <c r="D459" s="3"/>
      <c r="E459" s="3"/>
      <c r="H459" s="3"/>
      <c r="O459" s="4"/>
      <c r="P459" s="4"/>
      <c r="Q459" s="4"/>
      <c r="R459" s="4"/>
      <c r="S459" s="4"/>
      <c r="T459" s="4"/>
      <c r="U459" s="4"/>
    </row>
    <row r="460" spans="2:21" ht="15" x14ac:dyDescent="0.25">
      <c r="B460" s="4"/>
      <c r="D460" s="3"/>
      <c r="E460" s="3"/>
      <c r="H460" s="3"/>
      <c r="O460" s="4"/>
      <c r="P460" s="4"/>
      <c r="Q460" s="4"/>
      <c r="R460" s="4"/>
      <c r="S460" s="4"/>
      <c r="T460" s="4"/>
      <c r="U460" s="4"/>
    </row>
    <row r="461" spans="2:21" ht="15" x14ac:dyDescent="0.25">
      <c r="B461" s="4"/>
      <c r="D461" s="3"/>
      <c r="E461" s="3"/>
      <c r="H461" s="3"/>
      <c r="O461" s="4"/>
      <c r="P461" s="4"/>
      <c r="Q461" s="4"/>
      <c r="R461" s="4"/>
      <c r="S461" s="4"/>
      <c r="T461" s="4"/>
      <c r="U461" s="4"/>
    </row>
    <row r="462" spans="2:21" ht="15" x14ac:dyDescent="0.25">
      <c r="B462" s="4"/>
      <c r="D462" s="3"/>
      <c r="E462" s="3"/>
      <c r="H462" s="3"/>
      <c r="O462" s="4"/>
      <c r="P462" s="4"/>
      <c r="Q462" s="4"/>
      <c r="R462" s="4"/>
      <c r="S462" s="4"/>
      <c r="T462" s="4"/>
      <c r="U462" s="4"/>
    </row>
    <row r="463" spans="2:21" ht="15" x14ac:dyDescent="0.25">
      <c r="B463" s="4"/>
      <c r="D463" s="3"/>
      <c r="E463" s="3"/>
      <c r="H463" s="3"/>
      <c r="O463" s="4"/>
      <c r="P463" s="4"/>
      <c r="Q463" s="4"/>
      <c r="R463" s="4"/>
      <c r="S463" s="4"/>
      <c r="T463" s="4"/>
      <c r="U463" s="4"/>
    </row>
    <row r="464" spans="2:21" ht="15" x14ac:dyDescent="0.25">
      <c r="B464" s="4"/>
      <c r="D464" s="3"/>
      <c r="E464" s="3"/>
      <c r="H464" s="3"/>
      <c r="O464" s="4"/>
      <c r="P464" s="4"/>
      <c r="Q464" s="4"/>
      <c r="R464" s="4"/>
      <c r="S464" s="4"/>
      <c r="T464" s="4"/>
      <c r="U464" s="4"/>
    </row>
    <row r="465" spans="2:21" ht="15" x14ac:dyDescent="0.25">
      <c r="B465" s="4"/>
      <c r="D465" s="3"/>
      <c r="E465" s="3"/>
      <c r="H465" s="3"/>
      <c r="O465" s="4"/>
      <c r="P465" s="4"/>
      <c r="Q465" s="4"/>
      <c r="R465" s="4"/>
      <c r="S465" s="4"/>
      <c r="T465" s="4"/>
      <c r="U465" s="4"/>
    </row>
    <row r="466" spans="2:21" ht="15" x14ac:dyDescent="0.25">
      <c r="B466" s="4"/>
      <c r="D466" s="3"/>
      <c r="E466" s="3"/>
      <c r="H466" s="3"/>
      <c r="O466" s="4"/>
      <c r="P466" s="4"/>
      <c r="Q466" s="4"/>
      <c r="R466" s="4"/>
      <c r="S466" s="4"/>
      <c r="T466" s="4"/>
      <c r="U466" s="4"/>
    </row>
    <row r="467" spans="2:21" ht="15" x14ac:dyDescent="0.25">
      <c r="B467" s="4"/>
      <c r="D467" s="3"/>
      <c r="E467" s="3"/>
      <c r="H467" s="3"/>
      <c r="O467" s="4"/>
      <c r="P467" s="4"/>
      <c r="Q467" s="4"/>
      <c r="R467" s="4"/>
      <c r="S467" s="4"/>
      <c r="T467" s="4"/>
      <c r="U467" s="4"/>
    </row>
    <row r="468" spans="2:21" ht="15" x14ac:dyDescent="0.25">
      <c r="B468" s="4"/>
      <c r="D468" s="3"/>
      <c r="E468" s="3"/>
      <c r="H468" s="3"/>
      <c r="O468" s="4"/>
      <c r="P468" s="4"/>
      <c r="Q468" s="4"/>
      <c r="R468" s="4"/>
      <c r="S468" s="4"/>
      <c r="T468" s="4"/>
      <c r="U468" s="4"/>
    </row>
    <row r="469" spans="2:21" ht="15" x14ac:dyDescent="0.25">
      <c r="B469" s="4"/>
      <c r="D469" s="3"/>
      <c r="E469" s="3"/>
      <c r="H469" s="3"/>
      <c r="O469" s="4"/>
      <c r="P469" s="4"/>
      <c r="Q469" s="4"/>
      <c r="R469" s="4"/>
      <c r="S469" s="4"/>
      <c r="T469" s="4"/>
      <c r="U469" s="4"/>
    </row>
    <row r="470" spans="2:21" ht="15" x14ac:dyDescent="0.25">
      <c r="B470" s="4"/>
      <c r="D470" s="3"/>
      <c r="E470" s="3"/>
      <c r="H470" s="3"/>
      <c r="O470" s="4"/>
      <c r="P470" s="4"/>
      <c r="Q470" s="4"/>
      <c r="R470" s="4"/>
      <c r="S470" s="4"/>
      <c r="T470" s="4"/>
      <c r="U470" s="4"/>
    </row>
    <row r="471" spans="2:21" ht="15" x14ac:dyDescent="0.25">
      <c r="B471" s="4"/>
      <c r="D471" s="3"/>
      <c r="E471" s="3"/>
      <c r="H471" s="3"/>
      <c r="O471" s="4"/>
      <c r="P471" s="4"/>
      <c r="Q471" s="4"/>
      <c r="R471" s="4"/>
      <c r="S471" s="4"/>
      <c r="T471" s="4"/>
      <c r="U471" s="4"/>
    </row>
    <row r="472" spans="2:21" ht="15" x14ac:dyDescent="0.25">
      <c r="B472" s="4"/>
      <c r="D472" s="3"/>
      <c r="E472" s="3"/>
      <c r="H472" s="3"/>
      <c r="O472" s="4"/>
      <c r="P472" s="4"/>
      <c r="Q472" s="4"/>
      <c r="R472" s="4"/>
      <c r="S472" s="4"/>
      <c r="T472" s="4"/>
      <c r="U472" s="4"/>
    </row>
    <row r="473" spans="2:21" ht="15" x14ac:dyDescent="0.25">
      <c r="B473" s="4"/>
      <c r="D473" s="3"/>
      <c r="E473" s="3"/>
      <c r="H473" s="3"/>
      <c r="O473" s="4"/>
      <c r="P473" s="4"/>
      <c r="Q473" s="4"/>
      <c r="R473" s="4"/>
      <c r="S473" s="4"/>
      <c r="T473" s="4"/>
      <c r="U473" s="4"/>
    </row>
    <row r="474" spans="2:21" ht="15" x14ac:dyDescent="0.25">
      <c r="B474" s="4"/>
      <c r="D474" s="3"/>
      <c r="E474" s="3"/>
      <c r="H474" s="3"/>
      <c r="O474" s="4"/>
      <c r="P474" s="4"/>
      <c r="Q474" s="4"/>
      <c r="R474" s="4"/>
      <c r="S474" s="4"/>
      <c r="T474" s="4"/>
      <c r="U474" s="4"/>
    </row>
    <row r="475" spans="2:21" ht="15" x14ac:dyDescent="0.25">
      <c r="B475" s="4"/>
      <c r="D475" s="3"/>
      <c r="E475" s="3"/>
      <c r="H475" s="3"/>
      <c r="O475" s="4"/>
      <c r="P475" s="4"/>
      <c r="Q475" s="4"/>
      <c r="R475" s="4"/>
      <c r="S475" s="4"/>
      <c r="T475" s="4"/>
      <c r="U475" s="4"/>
    </row>
    <row r="476" spans="2:21" ht="15" x14ac:dyDescent="0.25">
      <c r="B476" s="4"/>
      <c r="D476" s="3"/>
      <c r="E476" s="3"/>
      <c r="H476" s="3"/>
      <c r="O476" s="4"/>
      <c r="P476" s="4"/>
      <c r="Q476" s="4"/>
      <c r="R476" s="4"/>
      <c r="S476" s="4"/>
      <c r="T476" s="4"/>
      <c r="U476" s="4"/>
    </row>
    <row r="477" spans="2:21" ht="15" x14ac:dyDescent="0.25">
      <c r="B477" s="4"/>
      <c r="D477" s="3"/>
      <c r="E477" s="3"/>
      <c r="H477" s="3"/>
      <c r="O477" s="4"/>
      <c r="P477" s="4"/>
      <c r="Q477" s="4"/>
      <c r="R477" s="4"/>
      <c r="S477" s="4"/>
      <c r="T477" s="4"/>
      <c r="U477" s="4"/>
    </row>
    <row r="478" spans="2:21" ht="15" x14ac:dyDescent="0.25">
      <c r="B478" s="4"/>
      <c r="D478" s="3"/>
      <c r="E478" s="3"/>
      <c r="H478" s="3"/>
      <c r="O478" s="4"/>
      <c r="P478" s="4"/>
      <c r="Q478" s="4"/>
      <c r="R478" s="4"/>
      <c r="S478" s="4"/>
      <c r="T478" s="4"/>
      <c r="U478" s="4"/>
    </row>
    <row r="479" spans="2:21" ht="15" x14ac:dyDescent="0.25">
      <c r="B479" s="4"/>
      <c r="D479" s="3"/>
      <c r="E479" s="3"/>
      <c r="H479" s="3"/>
      <c r="O479" s="4"/>
      <c r="P479" s="4"/>
      <c r="Q479" s="4"/>
      <c r="R479" s="4"/>
      <c r="S479" s="4"/>
      <c r="T479" s="4"/>
      <c r="U479" s="4"/>
    </row>
    <row r="480" spans="2:21" ht="15" x14ac:dyDescent="0.25">
      <c r="B480" s="4"/>
      <c r="D480" s="3"/>
      <c r="E480" s="3"/>
      <c r="H480" s="3"/>
      <c r="O480" s="4"/>
      <c r="P480" s="4"/>
      <c r="Q480" s="4"/>
      <c r="R480" s="4"/>
      <c r="S480" s="4"/>
      <c r="T480" s="4"/>
      <c r="U480" s="4"/>
    </row>
    <row r="481" spans="2:21" ht="15" x14ac:dyDescent="0.25">
      <c r="B481" s="4"/>
      <c r="D481" s="3"/>
      <c r="E481" s="3"/>
      <c r="H481" s="3"/>
      <c r="O481" s="4"/>
      <c r="P481" s="4"/>
      <c r="Q481" s="4"/>
      <c r="R481" s="4"/>
      <c r="S481" s="4"/>
      <c r="T481" s="4"/>
      <c r="U481" s="4"/>
    </row>
    <row r="482" spans="2:21" ht="15" x14ac:dyDescent="0.25">
      <c r="B482" s="4"/>
      <c r="D482" s="3"/>
      <c r="E482" s="3"/>
      <c r="H482" s="3"/>
      <c r="O482" s="4"/>
      <c r="P482" s="4"/>
      <c r="Q482" s="4"/>
      <c r="R482" s="4"/>
      <c r="S482" s="4"/>
      <c r="T482" s="4"/>
      <c r="U482" s="4"/>
    </row>
    <row r="483" spans="2:21" ht="15" x14ac:dyDescent="0.25">
      <c r="B483" s="4"/>
      <c r="D483" s="3"/>
      <c r="E483" s="3"/>
      <c r="H483" s="3"/>
      <c r="O483" s="4"/>
      <c r="P483" s="4"/>
      <c r="Q483" s="4"/>
      <c r="R483" s="4"/>
      <c r="S483" s="4"/>
      <c r="T483" s="4"/>
      <c r="U483" s="4"/>
    </row>
    <row r="484" spans="2:21" ht="15" x14ac:dyDescent="0.25">
      <c r="B484" s="4"/>
      <c r="D484" s="3"/>
      <c r="E484" s="3"/>
      <c r="H484" s="3"/>
      <c r="O484" s="4"/>
      <c r="P484" s="4"/>
      <c r="Q484" s="4"/>
      <c r="R484" s="4"/>
      <c r="S484" s="4"/>
      <c r="T484" s="4"/>
      <c r="U484" s="4"/>
    </row>
    <row r="485" spans="2:21" ht="15" x14ac:dyDescent="0.25">
      <c r="B485" s="4"/>
      <c r="D485" s="3"/>
      <c r="E485" s="3"/>
      <c r="H485" s="3"/>
      <c r="O485" s="4"/>
      <c r="P485" s="4"/>
      <c r="Q485" s="4"/>
      <c r="R485" s="4"/>
      <c r="S485" s="4"/>
      <c r="T485" s="4"/>
      <c r="U485" s="4"/>
    </row>
    <row r="486" spans="2:21" ht="15" x14ac:dyDescent="0.25">
      <c r="B486" s="4"/>
      <c r="D486" s="3"/>
      <c r="E486" s="3"/>
      <c r="H486" s="3"/>
      <c r="O486" s="4"/>
      <c r="P486" s="4"/>
      <c r="Q486" s="4"/>
      <c r="R486" s="4"/>
      <c r="S486" s="4"/>
      <c r="T486" s="4"/>
      <c r="U486" s="4"/>
    </row>
    <row r="487" spans="2:21" ht="15" x14ac:dyDescent="0.25">
      <c r="B487" s="4"/>
      <c r="D487" s="3"/>
      <c r="E487" s="3"/>
      <c r="H487" s="3"/>
      <c r="O487" s="4"/>
      <c r="P487" s="4"/>
      <c r="Q487" s="4"/>
      <c r="R487" s="4"/>
      <c r="S487" s="4"/>
      <c r="T487" s="4"/>
      <c r="U487" s="4"/>
    </row>
    <row r="488" spans="2:21" ht="15" x14ac:dyDescent="0.25">
      <c r="B488" s="4"/>
      <c r="D488" s="3"/>
      <c r="E488" s="3"/>
      <c r="H488" s="3"/>
      <c r="O488" s="4"/>
      <c r="P488" s="4"/>
      <c r="Q488" s="4"/>
      <c r="R488" s="4"/>
      <c r="S488" s="4"/>
      <c r="T488" s="4"/>
      <c r="U488" s="4"/>
    </row>
    <row r="489" spans="2:21" ht="15" x14ac:dyDescent="0.25">
      <c r="B489" s="4"/>
      <c r="D489" s="3"/>
      <c r="E489" s="3"/>
      <c r="H489" s="3"/>
      <c r="O489" s="4"/>
      <c r="P489" s="4"/>
      <c r="Q489" s="4"/>
      <c r="R489" s="4"/>
      <c r="S489" s="4"/>
      <c r="T489" s="4"/>
      <c r="U489" s="4"/>
    </row>
    <row r="490" spans="2:21" ht="15" x14ac:dyDescent="0.25">
      <c r="B490" s="4"/>
      <c r="D490" s="3"/>
      <c r="E490" s="3"/>
      <c r="H490" s="3"/>
      <c r="O490" s="4"/>
      <c r="P490" s="4"/>
      <c r="Q490" s="4"/>
      <c r="R490" s="4"/>
      <c r="S490" s="4"/>
      <c r="T490" s="4"/>
      <c r="U490" s="4"/>
    </row>
    <row r="491" spans="2:21" ht="15" x14ac:dyDescent="0.25">
      <c r="B491" s="4"/>
      <c r="D491" s="3"/>
      <c r="E491" s="3"/>
      <c r="H491" s="3"/>
      <c r="O491" s="4"/>
      <c r="P491" s="4"/>
      <c r="Q491" s="4"/>
      <c r="R491" s="4"/>
      <c r="S491" s="4"/>
      <c r="T491" s="4"/>
      <c r="U491" s="4"/>
    </row>
    <row r="492" spans="2:21" ht="15" x14ac:dyDescent="0.25">
      <c r="B492" s="4"/>
      <c r="D492" s="3"/>
      <c r="E492" s="3"/>
      <c r="H492" s="3"/>
      <c r="O492" s="4"/>
      <c r="P492" s="4"/>
      <c r="Q492" s="4"/>
      <c r="R492" s="4"/>
      <c r="S492" s="4"/>
      <c r="T492" s="4"/>
      <c r="U492" s="4"/>
    </row>
    <row r="493" spans="2:21" ht="15" x14ac:dyDescent="0.25">
      <c r="B493" s="4"/>
      <c r="D493" s="3"/>
      <c r="E493" s="3"/>
      <c r="H493" s="3"/>
      <c r="O493" s="4"/>
      <c r="P493" s="4"/>
      <c r="Q493" s="4"/>
      <c r="R493" s="4"/>
      <c r="S493" s="4"/>
      <c r="T493" s="4"/>
      <c r="U493" s="4"/>
    </row>
    <row r="494" spans="2:21" ht="15" x14ac:dyDescent="0.25">
      <c r="B494" s="4"/>
      <c r="D494" s="3"/>
      <c r="E494" s="3"/>
      <c r="H494" s="3"/>
      <c r="O494" s="4"/>
      <c r="P494" s="4"/>
      <c r="Q494" s="4"/>
      <c r="R494" s="4"/>
      <c r="S494" s="4"/>
      <c r="T494" s="4"/>
      <c r="U494" s="4"/>
    </row>
    <row r="495" spans="2:21" ht="15" x14ac:dyDescent="0.25">
      <c r="B495" s="4"/>
      <c r="D495" s="3"/>
      <c r="E495" s="3"/>
      <c r="H495" s="3"/>
      <c r="O495" s="4"/>
      <c r="P495" s="4"/>
      <c r="Q495" s="4"/>
      <c r="R495" s="4"/>
      <c r="S495" s="4"/>
      <c r="T495" s="4"/>
      <c r="U495" s="4"/>
    </row>
    <row r="496" spans="2:21" ht="15" x14ac:dyDescent="0.25">
      <c r="B496" s="4"/>
      <c r="D496" s="3"/>
      <c r="E496" s="3"/>
      <c r="H496" s="3"/>
      <c r="O496" s="4"/>
      <c r="P496" s="4"/>
      <c r="Q496" s="4"/>
      <c r="R496" s="4"/>
      <c r="S496" s="4"/>
      <c r="T496" s="4"/>
      <c r="U496" s="4"/>
    </row>
    <row r="497" spans="2:21" ht="15" x14ac:dyDescent="0.25">
      <c r="B497" s="4"/>
      <c r="D497" s="3"/>
      <c r="E497" s="3"/>
      <c r="H497" s="3"/>
      <c r="O497" s="4"/>
      <c r="P497" s="4"/>
      <c r="Q497" s="4"/>
      <c r="R497" s="4"/>
      <c r="S497" s="4"/>
      <c r="T497" s="4"/>
      <c r="U497" s="4"/>
    </row>
    <row r="498" spans="2:21" ht="15" x14ac:dyDescent="0.25">
      <c r="B498" s="4"/>
      <c r="D498" s="3"/>
      <c r="E498" s="3"/>
      <c r="H498" s="3"/>
      <c r="O498" s="4"/>
      <c r="P498" s="4"/>
      <c r="Q498" s="4"/>
      <c r="R498" s="4"/>
      <c r="S498" s="4"/>
      <c r="T498" s="4"/>
      <c r="U498" s="4"/>
    </row>
    <row r="499" spans="2:21" ht="15" x14ac:dyDescent="0.25">
      <c r="B499" s="4"/>
      <c r="D499" s="3"/>
      <c r="E499" s="3"/>
      <c r="H499" s="3"/>
      <c r="O499" s="4"/>
      <c r="P499" s="4"/>
      <c r="Q499" s="4"/>
      <c r="R499" s="4"/>
      <c r="S499" s="4"/>
      <c r="T499" s="4"/>
      <c r="U499" s="4"/>
    </row>
    <row r="500" spans="2:21" ht="15" x14ac:dyDescent="0.25">
      <c r="B500" s="4"/>
      <c r="D500" s="3"/>
      <c r="E500" s="3"/>
      <c r="H500" s="3"/>
      <c r="O500" s="4"/>
      <c r="P500" s="4"/>
      <c r="Q500" s="4"/>
      <c r="R500" s="4"/>
      <c r="S500" s="4"/>
      <c r="T500" s="4"/>
      <c r="U500" s="4"/>
    </row>
    <row r="501" spans="2:21" ht="15" x14ac:dyDescent="0.25">
      <c r="B501" s="4"/>
      <c r="D501" s="3"/>
      <c r="E501" s="3"/>
      <c r="H501" s="3"/>
      <c r="O501" s="4"/>
      <c r="P501" s="4"/>
      <c r="Q501" s="4"/>
      <c r="R501" s="4"/>
      <c r="S501" s="4"/>
      <c r="T501" s="4"/>
      <c r="U501" s="4"/>
    </row>
    <row r="502" spans="2:21" ht="15" x14ac:dyDescent="0.25">
      <c r="B502" s="4"/>
      <c r="D502" s="3"/>
      <c r="E502" s="3"/>
      <c r="H502" s="3"/>
      <c r="O502" s="4"/>
      <c r="P502" s="4"/>
      <c r="Q502" s="4"/>
      <c r="R502" s="4"/>
      <c r="S502" s="4"/>
      <c r="T502" s="4"/>
      <c r="U502" s="4"/>
    </row>
    <row r="503" spans="2:21" ht="15" x14ac:dyDescent="0.25">
      <c r="B503" s="4"/>
      <c r="D503" s="3"/>
      <c r="E503" s="3"/>
      <c r="H503" s="3"/>
      <c r="O503" s="4"/>
      <c r="P503" s="4"/>
      <c r="Q503" s="4"/>
      <c r="R503" s="4"/>
      <c r="S503" s="4"/>
      <c r="T503" s="4"/>
      <c r="U503" s="4"/>
    </row>
    <row r="504" spans="2:21" ht="15" x14ac:dyDescent="0.25">
      <c r="B504" s="4"/>
      <c r="D504" s="3"/>
      <c r="E504" s="3"/>
      <c r="H504" s="3"/>
      <c r="O504" s="4"/>
      <c r="P504" s="4"/>
      <c r="Q504" s="4"/>
      <c r="R504" s="4"/>
      <c r="S504" s="4"/>
      <c r="T504" s="4"/>
      <c r="U504" s="4"/>
    </row>
    <row r="505" spans="2:21" ht="15" x14ac:dyDescent="0.25">
      <c r="B505" s="4"/>
      <c r="D505" s="3"/>
      <c r="E505" s="3"/>
      <c r="H505" s="3"/>
      <c r="O505" s="4"/>
      <c r="P505" s="4"/>
      <c r="Q505" s="4"/>
      <c r="R505" s="4"/>
      <c r="S505" s="4"/>
      <c r="T505" s="4"/>
      <c r="U505" s="4"/>
    </row>
    <row r="506" spans="2:21" ht="15" x14ac:dyDescent="0.25">
      <c r="B506" s="4"/>
      <c r="D506" s="3"/>
      <c r="E506" s="3"/>
      <c r="H506" s="3"/>
      <c r="O506" s="4"/>
      <c r="P506" s="4"/>
      <c r="Q506" s="4"/>
      <c r="R506" s="4"/>
      <c r="S506" s="4"/>
      <c r="T506" s="4"/>
      <c r="U506" s="4"/>
    </row>
    <row r="507" spans="2:21" ht="15" x14ac:dyDescent="0.25">
      <c r="B507" s="4"/>
      <c r="D507" s="3"/>
      <c r="E507" s="3"/>
      <c r="H507" s="3"/>
      <c r="O507" s="4"/>
      <c r="P507" s="4"/>
      <c r="Q507" s="4"/>
      <c r="R507" s="4"/>
      <c r="S507" s="4"/>
      <c r="T507" s="4"/>
      <c r="U507" s="4"/>
    </row>
    <row r="508" spans="2:21" ht="15" x14ac:dyDescent="0.25">
      <c r="B508" s="4"/>
      <c r="D508" s="3"/>
      <c r="E508" s="3"/>
      <c r="H508" s="3"/>
      <c r="O508" s="4"/>
      <c r="P508" s="4"/>
      <c r="Q508" s="4"/>
      <c r="R508" s="4"/>
      <c r="S508" s="4"/>
      <c r="T508" s="4"/>
      <c r="U508" s="4"/>
    </row>
    <row r="509" spans="2:21" ht="15" x14ac:dyDescent="0.25">
      <c r="B509" s="4"/>
      <c r="D509" s="3"/>
      <c r="E509" s="3"/>
      <c r="H509" s="3"/>
      <c r="O509" s="4"/>
      <c r="P509" s="4"/>
      <c r="Q509" s="4"/>
      <c r="R509" s="4"/>
      <c r="S509" s="4"/>
      <c r="T509" s="4"/>
      <c r="U509" s="4"/>
    </row>
    <row r="510" spans="2:21" ht="15" x14ac:dyDescent="0.25">
      <c r="B510" s="4"/>
      <c r="D510" s="3"/>
      <c r="E510" s="3"/>
      <c r="H510" s="3"/>
      <c r="O510" s="4"/>
      <c r="P510" s="4"/>
      <c r="Q510" s="4"/>
      <c r="R510" s="4"/>
      <c r="S510" s="4"/>
      <c r="T510" s="4"/>
      <c r="U510" s="4"/>
    </row>
    <row r="511" spans="2:21" ht="15" x14ac:dyDescent="0.25">
      <c r="B511" s="4"/>
      <c r="D511" s="3"/>
      <c r="E511" s="3"/>
      <c r="H511" s="3"/>
      <c r="O511" s="4"/>
      <c r="P511" s="4"/>
      <c r="Q511" s="4"/>
      <c r="R511" s="4"/>
      <c r="S511" s="4"/>
      <c r="T511" s="4"/>
      <c r="U511" s="4"/>
    </row>
    <row r="512" spans="2:21" ht="15" x14ac:dyDescent="0.25">
      <c r="B512" s="4"/>
      <c r="D512" s="3"/>
      <c r="E512" s="3"/>
      <c r="H512" s="3"/>
      <c r="O512" s="4"/>
      <c r="P512" s="4"/>
      <c r="Q512" s="4"/>
      <c r="R512" s="4"/>
      <c r="S512" s="4"/>
      <c r="T512" s="4"/>
      <c r="U512" s="4"/>
    </row>
    <row r="513" spans="2:21" ht="15" x14ac:dyDescent="0.25">
      <c r="B513" s="4"/>
      <c r="D513" s="3"/>
      <c r="E513" s="3"/>
      <c r="H513" s="3"/>
      <c r="O513" s="4"/>
      <c r="P513" s="4"/>
      <c r="Q513" s="4"/>
      <c r="R513" s="4"/>
      <c r="S513" s="4"/>
      <c r="T513" s="4"/>
      <c r="U513" s="4"/>
    </row>
    <row r="514" spans="2:21" ht="15" x14ac:dyDescent="0.25">
      <c r="B514" s="4"/>
      <c r="D514" s="3"/>
      <c r="E514" s="3"/>
      <c r="H514" s="3"/>
      <c r="O514" s="4"/>
      <c r="P514" s="4"/>
      <c r="Q514" s="4"/>
      <c r="R514" s="4"/>
      <c r="S514" s="4"/>
      <c r="T514" s="4"/>
      <c r="U514" s="4"/>
    </row>
    <row r="515" spans="2:21" ht="15" x14ac:dyDescent="0.25">
      <c r="B515" s="4"/>
      <c r="D515" s="3"/>
      <c r="E515" s="3"/>
      <c r="H515" s="3"/>
      <c r="O515" s="4"/>
      <c r="P515" s="4"/>
      <c r="Q515" s="4"/>
      <c r="R515" s="4"/>
      <c r="S515" s="4"/>
      <c r="T515" s="4"/>
      <c r="U515" s="4"/>
    </row>
    <row r="516" spans="2:21" ht="15" x14ac:dyDescent="0.25">
      <c r="B516" s="4"/>
      <c r="D516" s="3"/>
      <c r="E516" s="3"/>
      <c r="H516" s="3"/>
      <c r="O516" s="4"/>
      <c r="P516" s="4"/>
      <c r="Q516" s="4"/>
      <c r="R516" s="4"/>
      <c r="S516" s="4"/>
      <c r="T516" s="4"/>
      <c r="U516" s="4"/>
    </row>
    <row r="517" spans="2:21" ht="15" x14ac:dyDescent="0.25">
      <c r="B517" s="4"/>
      <c r="D517" s="3"/>
      <c r="E517" s="3"/>
      <c r="H517" s="3"/>
      <c r="O517" s="4"/>
      <c r="P517" s="4"/>
      <c r="Q517" s="4"/>
      <c r="R517" s="4"/>
      <c r="S517" s="4"/>
      <c r="T517" s="4"/>
      <c r="U517" s="4"/>
    </row>
    <row r="518" spans="2:21" ht="15" x14ac:dyDescent="0.25">
      <c r="B518" s="4"/>
      <c r="D518" s="3"/>
      <c r="E518" s="3"/>
      <c r="H518" s="3"/>
      <c r="O518" s="4"/>
      <c r="P518" s="4"/>
      <c r="Q518" s="4"/>
      <c r="R518" s="4"/>
      <c r="S518" s="4"/>
      <c r="T518" s="4"/>
      <c r="U518" s="4"/>
    </row>
    <row r="519" spans="2:21" ht="15" x14ac:dyDescent="0.25">
      <c r="B519" s="4"/>
      <c r="D519" s="3"/>
      <c r="E519" s="3"/>
      <c r="H519" s="3"/>
      <c r="O519" s="4"/>
      <c r="P519" s="4"/>
      <c r="Q519" s="4"/>
      <c r="R519" s="4"/>
      <c r="S519" s="4"/>
      <c r="T519" s="4"/>
      <c r="U519" s="4"/>
    </row>
    <row r="520" spans="2:21" ht="15" x14ac:dyDescent="0.25">
      <c r="B520" s="4"/>
      <c r="D520" s="3"/>
      <c r="E520" s="3"/>
      <c r="H520" s="3"/>
      <c r="O520" s="4"/>
      <c r="P520" s="4"/>
      <c r="Q520" s="4"/>
      <c r="R520" s="4"/>
      <c r="S520" s="4"/>
      <c r="T520" s="4"/>
      <c r="U520" s="4"/>
    </row>
    <row r="521" spans="2:21" ht="15" x14ac:dyDescent="0.25">
      <c r="B521" s="4"/>
      <c r="D521" s="3"/>
      <c r="E521" s="3"/>
      <c r="H521" s="3"/>
      <c r="O521" s="4"/>
      <c r="P521" s="4"/>
      <c r="Q521" s="4"/>
      <c r="R521" s="4"/>
      <c r="S521" s="4"/>
      <c r="T521" s="4"/>
      <c r="U521" s="4"/>
    </row>
    <row r="522" spans="2:21" ht="15" x14ac:dyDescent="0.25">
      <c r="B522" s="4"/>
      <c r="D522" s="3"/>
      <c r="E522" s="3"/>
      <c r="H522" s="3"/>
      <c r="O522" s="4"/>
      <c r="P522" s="4"/>
      <c r="Q522" s="4"/>
      <c r="R522" s="4"/>
      <c r="S522" s="4"/>
      <c r="T522" s="4"/>
      <c r="U522" s="4"/>
    </row>
    <row r="523" spans="2:21" ht="15" x14ac:dyDescent="0.25">
      <c r="B523" s="4"/>
      <c r="D523" s="3"/>
      <c r="E523" s="3"/>
      <c r="H523" s="3"/>
      <c r="O523" s="4"/>
      <c r="P523" s="4"/>
      <c r="Q523" s="4"/>
      <c r="R523" s="4"/>
      <c r="S523" s="4"/>
      <c r="T523" s="4"/>
      <c r="U523" s="4"/>
    </row>
    <row r="524" spans="2:21" ht="15" x14ac:dyDescent="0.25">
      <c r="B524" s="4"/>
      <c r="D524" s="3"/>
      <c r="E524" s="3"/>
      <c r="H524" s="3"/>
      <c r="O524" s="4"/>
      <c r="P524" s="4"/>
      <c r="Q524" s="4"/>
      <c r="R524" s="4"/>
      <c r="S524" s="4"/>
      <c r="T524" s="4"/>
      <c r="U524" s="4"/>
    </row>
    <row r="525" spans="2:21" ht="15" x14ac:dyDescent="0.25">
      <c r="B525" s="4"/>
      <c r="D525" s="3"/>
      <c r="E525" s="3"/>
      <c r="H525" s="3"/>
      <c r="O525" s="4"/>
      <c r="P525" s="4"/>
      <c r="Q525" s="4"/>
      <c r="R525" s="4"/>
      <c r="S525" s="4"/>
      <c r="T525" s="4"/>
      <c r="U525" s="4"/>
    </row>
    <row r="526" spans="2:21" ht="15" x14ac:dyDescent="0.25">
      <c r="B526" s="4"/>
      <c r="D526" s="3"/>
      <c r="E526" s="3"/>
      <c r="H526" s="3"/>
      <c r="O526" s="4"/>
      <c r="P526" s="4"/>
      <c r="Q526" s="4"/>
      <c r="R526" s="4"/>
      <c r="S526" s="4"/>
      <c r="T526" s="4"/>
      <c r="U526" s="4"/>
    </row>
    <row r="527" spans="2:21" ht="15" x14ac:dyDescent="0.25">
      <c r="B527" s="4"/>
      <c r="D527" s="3"/>
      <c r="E527" s="3"/>
      <c r="H527" s="3"/>
      <c r="O527" s="4"/>
      <c r="P527" s="4"/>
      <c r="Q527" s="4"/>
      <c r="R527" s="4"/>
      <c r="S527" s="4"/>
      <c r="T527" s="4"/>
      <c r="U527" s="4"/>
    </row>
    <row r="528" spans="2:21" ht="15" x14ac:dyDescent="0.25">
      <c r="B528" s="4"/>
      <c r="D528" s="3"/>
      <c r="E528" s="3"/>
      <c r="H528" s="3"/>
      <c r="O528" s="4"/>
      <c r="P528" s="4"/>
      <c r="Q528" s="4"/>
      <c r="R528" s="4"/>
      <c r="S528" s="4"/>
      <c r="T528" s="4"/>
      <c r="U528" s="4"/>
    </row>
    <row r="529" spans="2:21" ht="15" x14ac:dyDescent="0.25">
      <c r="B529" s="4"/>
      <c r="D529" s="3"/>
      <c r="E529" s="3"/>
      <c r="H529" s="3"/>
      <c r="O529" s="4"/>
      <c r="P529" s="4"/>
      <c r="Q529" s="4"/>
      <c r="R529" s="4"/>
      <c r="S529" s="4"/>
      <c r="T529" s="4"/>
      <c r="U529" s="4"/>
    </row>
    <row r="530" spans="2:21" ht="15" x14ac:dyDescent="0.25">
      <c r="B530" s="4"/>
      <c r="D530" s="3"/>
      <c r="E530" s="3"/>
      <c r="H530" s="3"/>
      <c r="O530" s="4"/>
      <c r="P530" s="4"/>
      <c r="Q530" s="4"/>
      <c r="R530" s="4"/>
      <c r="S530" s="4"/>
      <c r="T530" s="4"/>
      <c r="U530" s="4"/>
    </row>
    <row r="531" spans="2:21" ht="15" x14ac:dyDescent="0.25">
      <c r="B531" s="4"/>
      <c r="D531" s="3"/>
      <c r="E531" s="3"/>
      <c r="H531" s="3"/>
      <c r="O531" s="4"/>
      <c r="P531" s="4"/>
      <c r="Q531" s="4"/>
      <c r="R531" s="4"/>
      <c r="S531" s="4"/>
      <c r="T531" s="4"/>
      <c r="U531" s="4"/>
    </row>
    <row r="532" spans="2:21" ht="15" x14ac:dyDescent="0.25">
      <c r="B532" s="4"/>
      <c r="D532" s="3"/>
      <c r="E532" s="3"/>
      <c r="H532" s="3"/>
      <c r="O532" s="4"/>
      <c r="P532" s="4"/>
      <c r="Q532" s="4"/>
      <c r="R532" s="4"/>
      <c r="S532" s="4"/>
      <c r="T532" s="4"/>
      <c r="U532" s="4"/>
    </row>
    <row r="533" spans="2:21" ht="15" x14ac:dyDescent="0.25">
      <c r="B533" s="4"/>
      <c r="D533" s="3"/>
      <c r="E533" s="3"/>
      <c r="H533" s="3"/>
      <c r="O533" s="4"/>
      <c r="P533" s="4"/>
      <c r="Q533" s="4"/>
      <c r="R533" s="4"/>
      <c r="S533" s="4"/>
      <c r="T533" s="4"/>
      <c r="U533" s="4"/>
    </row>
    <row r="534" spans="2:21" ht="15" x14ac:dyDescent="0.25">
      <c r="B534" s="4"/>
      <c r="D534" s="3"/>
      <c r="E534" s="3"/>
      <c r="H534" s="3"/>
      <c r="O534" s="4"/>
      <c r="P534" s="4"/>
      <c r="Q534" s="4"/>
      <c r="R534" s="4"/>
      <c r="S534" s="4"/>
      <c r="T534" s="4"/>
      <c r="U534" s="4"/>
    </row>
    <row r="535" spans="2:21" ht="15" x14ac:dyDescent="0.25">
      <c r="B535" s="4"/>
      <c r="D535" s="3"/>
      <c r="E535" s="3"/>
      <c r="H535" s="3"/>
      <c r="O535" s="4"/>
      <c r="P535" s="4"/>
      <c r="Q535" s="4"/>
      <c r="R535" s="4"/>
      <c r="S535" s="4"/>
      <c r="T535" s="4"/>
      <c r="U535" s="4"/>
    </row>
    <row r="536" spans="2:21" ht="15" x14ac:dyDescent="0.25">
      <c r="B536" s="4"/>
      <c r="D536" s="3"/>
      <c r="E536" s="3"/>
      <c r="H536" s="3"/>
      <c r="O536" s="4"/>
      <c r="P536" s="4"/>
      <c r="Q536" s="4"/>
      <c r="R536" s="4"/>
      <c r="S536" s="4"/>
      <c r="T536" s="4"/>
      <c r="U536" s="4"/>
    </row>
    <row r="537" spans="2:21" ht="15" x14ac:dyDescent="0.25">
      <c r="B537" s="4"/>
      <c r="D537" s="3"/>
      <c r="E537" s="3"/>
      <c r="H537" s="3"/>
      <c r="O537" s="4"/>
      <c r="P537" s="4"/>
      <c r="Q537" s="4"/>
      <c r="R537" s="4"/>
      <c r="S537" s="4"/>
      <c r="T537" s="4"/>
      <c r="U537" s="4"/>
    </row>
    <row r="538" spans="2:21" ht="15" x14ac:dyDescent="0.25">
      <c r="B538" s="4"/>
      <c r="D538" s="3"/>
      <c r="E538" s="3"/>
      <c r="H538" s="3"/>
      <c r="O538" s="4"/>
      <c r="P538" s="4"/>
      <c r="Q538" s="4"/>
      <c r="R538" s="4"/>
      <c r="S538" s="4"/>
      <c r="T538" s="4"/>
      <c r="U538" s="4"/>
    </row>
    <row r="539" spans="2:21" ht="15" x14ac:dyDescent="0.25">
      <c r="B539" s="4"/>
      <c r="D539" s="3"/>
      <c r="E539" s="3"/>
      <c r="H539" s="3"/>
      <c r="O539" s="4"/>
      <c r="P539" s="4"/>
      <c r="Q539" s="4"/>
      <c r="R539" s="4"/>
      <c r="S539" s="4"/>
      <c r="T539" s="4"/>
      <c r="U539" s="4"/>
    </row>
    <row r="540" spans="2:21" ht="15" x14ac:dyDescent="0.25">
      <c r="B540" s="4"/>
      <c r="D540" s="3"/>
      <c r="E540" s="3"/>
      <c r="H540" s="3"/>
      <c r="O540" s="4"/>
      <c r="P540" s="4"/>
      <c r="Q540" s="4"/>
      <c r="R540" s="4"/>
      <c r="S540" s="4"/>
      <c r="T540" s="4"/>
      <c r="U540" s="4"/>
    </row>
    <row r="541" spans="2:21" ht="15" x14ac:dyDescent="0.25">
      <c r="B541" s="4"/>
      <c r="D541" s="3"/>
      <c r="E541" s="3"/>
      <c r="H541" s="3"/>
      <c r="O541" s="4"/>
      <c r="P541" s="4"/>
      <c r="Q541" s="4"/>
      <c r="R541" s="4"/>
      <c r="S541" s="4"/>
      <c r="T541" s="4"/>
      <c r="U541" s="4"/>
    </row>
    <row r="542" spans="2:21" ht="15" x14ac:dyDescent="0.25">
      <c r="B542" s="4"/>
      <c r="D542" s="3"/>
      <c r="E542" s="3"/>
      <c r="H542" s="3"/>
      <c r="O542" s="4"/>
      <c r="P542" s="4"/>
      <c r="Q542" s="4"/>
      <c r="R542" s="4"/>
      <c r="S542" s="4"/>
      <c r="T542" s="4"/>
      <c r="U542" s="4"/>
    </row>
    <row r="543" spans="2:21" ht="15" x14ac:dyDescent="0.25">
      <c r="B543" s="4"/>
      <c r="D543" s="3"/>
      <c r="E543" s="3"/>
      <c r="H543" s="3"/>
      <c r="O543" s="4"/>
      <c r="P543" s="4"/>
      <c r="Q543" s="4"/>
      <c r="R543" s="4"/>
      <c r="S543" s="4"/>
      <c r="T543" s="4"/>
      <c r="U543" s="4"/>
    </row>
    <row r="544" spans="2:21" ht="15" x14ac:dyDescent="0.25">
      <c r="B544" s="4"/>
      <c r="D544" s="3"/>
      <c r="E544" s="3"/>
      <c r="H544" s="3"/>
      <c r="O544" s="4"/>
      <c r="P544" s="4"/>
      <c r="Q544" s="4"/>
      <c r="R544" s="4"/>
      <c r="S544" s="4"/>
      <c r="T544" s="4"/>
      <c r="U544" s="4"/>
    </row>
    <row r="545" spans="2:21" ht="15" x14ac:dyDescent="0.25">
      <c r="B545" s="4"/>
      <c r="D545" s="3"/>
      <c r="E545" s="3"/>
      <c r="H545" s="3"/>
      <c r="O545" s="4"/>
      <c r="P545" s="4"/>
      <c r="Q545" s="4"/>
      <c r="R545" s="4"/>
      <c r="S545" s="4"/>
      <c r="T545" s="4"/>
      <c r="U545" s="4"/>
    </row>
    <row r="546" spans="2:21" ht="15" x14ac:dyDescent="0.25">
      <c r="B546" s="4"/>
      <c r="D546" s="3"/>
      <c r="E546" s="3"/>
      <c r="H546" s="3"/>
      <c r="O546" s="4"/>
      <c r="P546" s="4"/>
      <c r="Q546" s="4"/>
      <c r="R546" s="4"/>
      <c r="S546" s="4"/>
      <c r="T546" s="4"/>
      <c r="U546" s="4"/>
    </row>
    <row r="547" spans="2:21" ht="15" x14ac:dyDescent="0.25">
      <c r="B547" s="4"/>
      <c r="D547" s="3"/>
      <c r="E547" s="3"/>
      <c r="H547" s="3"/>
      <c r="O547" s="4"/>
      <c r="P547" s="4"/>
      <c r="Q547" s="4"/>
      <c r="R547" s="4"/>
      <c r="S547" s="4"/>
      <c r="T547" s="4"/>
      <c r="U547" s="4"/>
    </row>
    <row r="548" spans="2:21" ht="15" x14ac:dyDescent="0.25">
      <c r="B548" s="4"/>
      <c r="D548" s="3"/>
      <c r="E548" s="3"/>
      <c r="H548" s="3"/>
      <c r="O548" s="4"/>
      <c r="P548" s="4"/>
      <c r="Q548" s="4"/>
      <c r="R548" s="4"/>
      <c r="S548" s="4"/>
      <c r="T548" s="4"/>
      <c r="U548" s="4"/>
    </row>
    <row r="549" spans="2:21" ht="15" x14ac:dyDescent="0.25">
      <c r="B549" s="4"/>
      <c r="D549" s="3"/>
      <c r="E549" s="3"/>
      <c r="H549" s="3"/>
      <c r="O549" s="4"/>
      <c r="P549" s="4"/>
      <c r="Q549" s="4"/>
      <c r="R549" s="4"/>
      <c r="S549" s="4"/>
      <c r="T549" s="4"/>
      <c r="U549" s="4"/>
    </row>
    <row r="550" spans="2:21" ht="15" x14ac:dyDescent="0.25">
      <c r="B550" s="4"/>
      <c r="D550" s="3"/>
      <c r="E550" s="3"/>
      <c r="H550" s="3"/>
      <c r="O550" s="4"/>
      <c r="P550" s="4"/>
      <c r="Q550" s="4"/>
      <c r="R550" s="4"/>
      <c r="S550" s="4"/>
      <c r="T550" s="4"/>
      <c r="U550" s="4"/>
    </row>
    <row r="551" spans="2:21" ht="15" x14ac:dyDescent="0.25">
      <c r="B551" s="4"/>
      <c r="D551" s="3"/>
      <c r="E551" s="3"/>
      <c r="H551" s="3"/>
      <c r="O551" s="4"/>
      <c r="P551" s="4"/>
      <c r="Q551" s="4"/>
      <c r="R551" s="4"/>
      <c r="S551" s="4"/>
      <c r="T551" s="4"/>
      <c r="U551" s="4"/>
    </row>
    <row r="552" spans="2:21" ht="15" x14ac:dyDescent="0.25">
      <c r="B552" s="4"/>
      <c r="D552" s="3"/>
      <c r="E552" s="3"/>
      <c r="H552" s="3"/>
      <c r="O552" s="4"/>
      <c r="P552" s="4"/>
      <c r="Q552" s="4"/>
      <c r="R552" s="4"/>
      <c r="S552" s="4"/>
      <c r="T552" s="4"/>
      <c r="U552" s="4"/>
    </row>
    <row r="553" spans="2:21" ht="15" x14ac:dyDescent="0.25">
      <c r="B553" s="4"/>
      <c r="D553" s="3"/>
      <c r="E553" s="3"/>
      <c r="H553" s="3"/>
      <c r="O553" s="4"/>
      <c r="P553" s="4"/>
      <c r="Q553" s="4"/>
      <c r="R553" s="4"/>
      <c r="S553" s="4"/>
      <c r="T553" s="4"/>
      <c r="U553" s="4"/>
    </row>
    <row r="554" spans="2:21" ht="15" x14ac:dyDescent="0.25">
      <c r="B554" s="4"/>
      <c r="D554" s="3"/>
      <c r="E554" s="3"/>
      <c r="H554" s="3"/>
      <c r="O554" s="4"/>
      <c r="P554" s="4"/>
      <c r="Q554" s="4"/>
      <c r="R554" s="4"/>
      <c r="S554" s="4"/>
      <c r="T554" s="4"/>
      <c r="U554" s="4"/>
    </row>
    <row r="555" spans="2:21" ht="15" x14ac:dyDescent="0.25">
      <c r="B555" s="4"/>
      <c r="D555" s="3"/>
      <c r="E555" s="3"/>
      <c r="H555" s="3"/>
      <c r="O555" s="4"/>
      <c r="P555" s="4"/>
      <c r="Q555" s="4"/>
      <c r="R555" s="4"/>
      <c r="S555" s="4"/>
      <c r="T555" s="4"/>
      <c r="U555" s="4"/>
    </row>
    <row r="556" spans="2:21" ht="15" x14ac:dyDescent="0.25">
      <c r="B556" s="4"/>
      <c r="D556" s="3"/>
      <c r="E556" s="3"/>
      <c r="H556" s="3"/>
      <c r="O556" s="4"/>
      <c r="P556" s="4"/>
      <c r="Q556" s="4"/>
      <c r="R556" s="4"/>
      <c r="S556" s="4"/>
      <c r="T556" s="4"/>
      <c r="U556" s="4"/>
    </row>
    <row r="557" spans="2:21" ht="15" x14ac:dyDescent="0.25">
      <c r="B557" s="4"/>
      <c r="D557" s="3"/>
      <c r="E557" s="3"/>
      <c r="H557" s="3"/>
      <c r="O557" s="4"/>
      <c r="P557" s="4"/>
      <c r="Q557" s="4"/>
      <c r="R557" s="4"/>
      <c r="S557" s="4"/>
      <c r="T557" s="4"/>
      <c r="U557" s="4"/>
    </row>
    <row r="558" spans="2:21" ht="15" x14ac:dyDescent="0.25">
      <c r="B558" s="4"/>
      <c r="D558" s="3"/>
      <c r="E558" s="3"/>
      <c r="H558" s="3"/>
      <c r="O558" s="4"/>
      <c r="P558" s="4"/>
      <c r="Q558" s="4"/>
      <c r="R558" s="4"/>
      <c r="S558" s="4"/>
      <c r="T558" s="4"/>
      <c r="U558" s="4"/>
    </row>
    <row r="559" spans="2:21" ht="15" x14ac:dyDescent="0.25">
      <c r="B559" s="4"/>
      <c r="D559" s="3"/>
      <c r="E559" s="3"/>
      <c r="H559" s="3"/>
      <c r="O559" s="4"/>
      <c r="P559" s="4"/>
      <c r="Q559" s="4"/>
      <c r="R559" s="4"/>
      <c r="S559" s="4"/>
      <c r="T559" s="4"/>
      <c r="U559" s="4"/>
    </row>
    <row r="560" spans="2:21" ht="15" x14ac:dyDescent="0.25">
      <c r="B560" s="4"/>
      <c r="D560" s="3"/>
      <c r="E560" s="3"/>
      <c r="H560" s="3"/>
      <c r="O560" s="4"/>
      <c r="P560" s="4"/>
      <c r="Q560" s="4"/>
      <c r="R560" s="4"/>
      <c r="S560" s="4"/>
      <c r="T560" s="4"/>
      <c r="U560" s="4"/>
    </row>
    <row r="561" spans="2:21" ht="15" x14ac:dyDescent="0.25">
      <c r="B561" s="4"/>
      <c r="D561" s="3"/>
      <c r="E561" s="3"/>
      <c r="H561" s="3"/>
      <c r="O561" s="4"/>
      <c r="P561" s="4"/>
      <c r="Q561" s="4"/>
      <c r="R561" s="4"/>
      <c r="S561" s="4"/>
      <c r="T561" s="4"/>
      <c r="U561" s="4"/>
    </row>
    <row r="562" spans="2:21" ht="15" x14ac:dyDescent="0.25">
      <c r="B562" s="4"/>
      <c r="D562" s="3"/>
      <c r="E562" s="3"/>
      <c r="H562" s="3"/>
      <c r="O562" s="4"/>
      <c r="P562" s="4"/>
      <c r="Q562" s="4"/>
      <c r="R562" s="4"/>
      <c r="S562" s="4"/>
      <c r="T562" s="4"/>
      <c r="U562" s="4"/>
    </row>
    <row r="563" spans="2:21" ht="15" x14ac:dyDescent="0.25">
      <c r="B563" s="4"/>
      <c r="D563" s="3"/>
      <c r="E563" s="3"/>
      <c r="H563" s="3"/>
      <c r="O563" s="4"/>
      <c r="P563" s="4"/>
      <c r="Q563" s="4"/>
      <c r="R563" s="4"/>
      <c r="S563" s="4"/>
      <c r="T563" s="4"/>
      <c r="U563" s="4"/>
    </row>
    <row r="564" spans="2:21" ht="15" x14ac:dyDescent="0.25">
      <c r="B564" s="4"/>
      <c r="D564" s="3"/>
      <c r="E564" s="3"/>
      <c r="H564" s="3"/>
      <c r="O564" s="4"/>
      <c r="P564" s="4"/>
      <c r="Q564" s="4"/>
      <c r="R564" s="4"/>
      <c r="S564" s="4"/>
      <c r="T564" s="4"/>
      <c r="U564" s="4"/>
    </row>
    <row r="565" spans="2:21" ht="15" x14ac:dyDescent="0.25">
      <c r="B565" s="4"/>
      <c r="D565" s="3"/>
      <c r="E565" s="3"/>
      <c r="H565" s="3"/>
      <c r="O565" s="4"/>
      <c r="P565" s="4"/>
      <c r="Q565" s="4"/>
      <c r="R565" s="4"/>
      <c r="S565" s="4"/>
      <c r="T565" s="4"/>
      <c r="U565" s="4"/>
    </row>
    <row r="566" spans="2:21" ht="15" x14ac:dyDescent="0.25">
      <c r="B566" s="4"/>
      <c r="D566" s="3"/>
      <c r="E566" s="3"/>
      <c r="H566" s="3"/>
      <c r="O566" s="4"/>
      <c r="P566" s="4"/>
      <c r="Q566" s="4"/>
      <c r="R566" s="4"/>
      <c r="S566" s="4"/>
      <c r="T566" s="4"/>
      <c r="U566" s="4"/>
    </row>
    <row r="567" spans="2:21" ht="15" x14ac:dyDescent="0.25">
      <c r="B567" s="4"/>
      <c r="D567" s="3"/>
      <c r="E567" s="3"/>
      <c r="H567" s="3"/>
      <c r="O567" s="4"/>
      <c r="P567" s="4"/>
      <c r="Q567" s="4"/>
      <c r="R567" s="4"/>
      <c r="S567" s="4"/>
      <c r="T567" s="4"/>
      <c r="U567" s="4"/>
    </row>
    <row r="568" spans="2:21" ht="15" x14ac:dyDescent="0.25">
      <c r="B568" s="4"/>
      <c r="D568" s="3"/>
      <c r="E568" s="3"/>
      <c r="H568" s="3"/>
      <c r="O568" s="4"/>
      <c r="P568" s="4"/>
      <c r="Q568" s="4"/>
      <c r="R568" s="4"/>
      <c r="S568" s="4"/>
      <c r="T568" s="4"/>
      <c r="U568" s="4"/>
    </row>
    <row r="569" spans="2:21" ht="15" x14ac:dyDescent="0.25">
      <c r="B569" s="4"/>
      <c r="D569" s="3"/>
      <c r="E569" s="3"/>
      <c r="H569" s="3"/>
      <c r="O569" s="4"/>
      <c r="P569" s="4"/>
      <c r="Q569" s="4"/>
      <c r="R569" s="4"/>
      <c r="S569" s="4"/>
      <c r="T569" s="4"/>
      <c r="U569" s="4"/>
    </row>
    <row r="570" spans="2:21" ht="15" x14ac:dyDescent="0.25">
      <c r="B570" s="4"/>
      <c r="D570" s="3"/>
      <c r="E570" s="3"/>
      <c r="H570" s="3"/>
      <c r="O570" s="4"/>
      <c r="P570" s="4"/>
      <c r="Q570" s="4"/>
      <c r="R570" s="4"/>
      <c r="S570" s="4"/>
      <c r="T570" s="4"/>
      <c r="U570" s="4"/>
    </row>
    <row r="571" spans="2:21" ht="15" x14ac:dyDescent="0.25">
      <c r="B571" s="4"/>
      <c r="D571" s="3"/>
      <c r="E571" s="3"/>
      <c r="H571" s="3"/>
      <c r="O571" s="4"/>
      <c r="P571" s="4"/>
      <c r="Q571" s="4"/>
      <c r="R571" s="4"/>
      <c r="S571" s="4"/>
      <c r="T571" s="4"/>
      <c r="U571" s="4"/>
    </row>
    <row r="572" spans="2:21" ht="15" x14ac:dyDescent="0.25">
      <c r="B572" s="4"/>
      <c r="D572" s="3"/>
      <c r="E572" s="3"/>
      <c r="H572" s="3"/>
      <c r="O572" s="4"/>
      <c r="P572" s="4"/>
      <c r="Q572" s="4"/>
      <c r="R572" s="4"/>
      <c r="S572" s="4"/>
      <c r="T572" s="4"/>
      <c r="U572" s="4"/>
    </row>
    <row r="573" spans="2:21" ht="15" x14ac:dyDescent="0.25">
      <c r="B573" s="4"/>
      <c r="D573" s="3"/>
      <c r="E573" s="3"/>
      <c r="H573" s="3"/>
      <c r="O573" s="4"/>
      <c r="P573" s="4"/>
      <c r="Q573" s="4"/>
      <c r="R573" s="4"/>
      <c r="S573" s="4"/>
      <c r="T573" s="4"/>
      <c r="U573" s="4"/>
    </row>
    <row r="574" spans="2:21" ht="15" x14ac:dyDescent="0.25">
      <c r="B574" s="4"/>
      <c r="D574" s="3"/>
      <c r="E574" s="3"/>
      <c r="H574" s="3"/>
      <c r="O574" s="4"/>
      <c r="P574" s="4"/>
      <c r="Q574" s="4"/>
      <c r="R574" s="4"/>
      <c r="S574" s="4"/>
      <c r="T574" s="4"/>
      <c r="U574" s="4"/>
    </row>
    <row r="575" spans="2:21" ht="15" x14ac:dyDescent="0.25">
      <c r="B575" s="4"/>
      <c r="D575" s="3"/>
      <c r="E575" s="3"/>
      <c r="H575" s="3"/>
      <c r="O575" s="4"/>
      <c r="P575" s="4"/>
      <c r="Q575" s="4"/>
      <c r="R575" s="4"/>
      <c r="S575" s="4"/>
      <c r="T575" s="4"/>
      <c r="U575" s="4"/>
    </row>
    <row r="576" spans="2:21" ht="15" x14ac:dyDescent="0.25">
      <c r="B576" s="4"/>
      <c r="D576" s="3"/>
      <c r="E576" s="3"/>
      <c r="H576" s="3"/>
      <c r="O576" s="4"/>
      <c r="P576" s="4"/>
      <c r="Q576" s="4"/>
      <c r="R576" s="4"/>
      <c r="S576" s="4"/>
      <c r="T576" s="4"/>
      <c r="U576" s="4"/>
    </row>
    <row r="577" spans="2:21" ht="15" x14ac:dyDescent="0.25">
      <c r="B577" s="4"/>
      <c r="D577" s="3"/>
      <c r="E577" s="3"/>
      <c r="H577" s="3"/>
      <c r="O577" s="4"/>
      <c r="P577" s="4"/>
      <c r="Q577" s="4"/>
      <c r="R577" s="4"/>
      <c r="S577" s="4"/>
      <c r="T577" s="4"/>
      <c r="U577" s="4"/>
    </row>
    <row r="578" spans="2:21" ht="15" x14ac:dyDescent="0.25">
      <c r="B578" s="4"/>
      <c r="D578" s="3"/>
      <c r="E578" s="3"/>
      <c r="H578" s="3"/>
      <c r="O578" s="4"/>
      <c r="P578" s="4"/>
      <c r="Q578" s="4"/>
      <c r="R578" s="4"/>
      <c r="S578" s="4"/>
      <c r="T578" s="4"/>
      <c r="U578" s="4"/>
    </row>
    <row r="579" spans="2:21" ht="15" x14ac:dyDescent="0.25">
      <c r="B579" s="4"/>
      <c r="D579" s="3"/>
      <c r="E579" s="3"/>
      <c r="H579" s="3"/>
      <c r="O579" s="4"/>
      <c r="P579" s="4"/>
      <c r="Q579" s="4"/>
      <c r="R579" s="4"/>
      <c r="S579" s="4"/>
      <c r="T579" s="4"/>
      <c r="U579" s="4"/>
    </row>
    <row r="580" spans="2:21" ht="15" x14ac:dyDescent="0.25">
      <c r="B580" s="4"/>
      <c r="D580" s="3"/>
      <c r="E580" s="3"/>
      <c r="H580" s="3"/>
      <c r="O580" s="4"/>
      <c r="P580" s="4"/>
      <c r="Q580" s="4"/>
      <c r="R580" s="4"/>
      <c r="S580" s="4"/>
      <c r="T580" s="4"/>
      <c r="U580" s="4"/>
    </row>
    <row r="581" spans="2:21" ht="15" x14ac:dyDescent="0.25">
      <c r="B581" s="4"/>
      <c r="D581" s="3"/>
      <c r="E581" s="3"/>
      <c r="H581" s="3"/>
      <c r="O581" s="4"/>
      <c r="P581" s="4"/>
      <c r="Q581" s="4"/>
      <c r="R581" s="4"/>
      <c r="S581" s="4"/>
      <c r="T581" s="4"/>
      <c r="U581" s="4"/>
    </row>
    <row r="582" spans="2:21" ht="15" x14ac:dyDescent="0.25">
      <c r="B582" s="4"/>
      <c r="D582" s="3"/>
      <c r="E582" s="3"/>
      <c r="H582" s="3"/>
      <c r="O582" s="4"/>
      <c r="P582" s="4"/>
      <c r="Q582" s="4"/>
      <c r="R582" s="4"/>
      <c r="S582" s="4"/>
      <c r="T582" s="4"/>
      <c r="U582" s="4"/>
    </row>
    <row r="583" spans="2:21" ht="15" x14ac:dyDescent="0.25">
      <c r="B583" s="4"/>
      <c r="D583" s="3"/>
      <c r="E583" s="3"/>
      <c r="H583" s="3"/>
      <c r="O583" s="4"/>
      <c r="P583" s="4"/>
      <c r="Q583" s="4"/>
      <c r="R583" s="4"/>
      <c r="S583" s="4"/>
      <c r="T583" s="4"/>
      <c r="U583" s="4"/>
    </row>
    <row r="584" spans="2:21" ht="15" x14ac:dyDescent="0.25">
      <c r="B584" s="4"/>
      <c r="D584" s="3"/>
      <c r="E584" s="3"/>
      <c r="H584" s="3"/>
      <c r="O584" s="4"/>
      <c r="P584" s="4"/>
      <c r="Q584" s="4"/>
      <c r="R584" s="4"/>
      <c r="S584" s="4"/>
      <c r="T584" s="4"/>
      <c r="U584" s="4"/>
    </row>
    <row r="585" spans="2:21" ht="15" x14ac:dyDescent="0.25">
      <c r="B585" s="4"/>
      <c r="D585" s="3"/>
      <c r="E585" s="3"/>
      <c r="H585" s="3"/>
      <c r="O585" s="4"/>
      <c r="P585" s="4"/>
      <c r="Q585" s="4"/>
      <c r="R585" s="4"/>
      <c r="S585" s="4"/>
      <c r="T585" s="4"/>
      <c r="U585" s="4"/>
    </row>
    <row r="586" spans="2:21" ht="15" x14ac:dyDescent="0.25">
      <c r="B586" s="4"/>
      <c r="D586" s="3"/>
      <c r="E586" s="3"/>
      <c r="H586" s="3"/>
      <c r="O586" s="4"/>
      <c r="P586" s="4"/>
      <c r="Q586" s="4"/>
      <c r="R586" s="4"/>
      <c r="S586" s="4"/>
      <c r="T586" s="4"/>
      <c r="U586" s="4"/>
    </row>
    <row r="587" spans="2:21" ht="15" x14ac:dyDescent="0.25">
      <c r="B587" s="4"/>
      <c r="D587" s="3"/>
      <c r="E587" s="3"/>
      <c r="H587" s="3"/>
      <c r="O587" s="4"/>
      <c r="P587" s="4"/>
      <c r="Q587" s="4"/>
      <c r="R587" s="4"/>
      <c r="S587" s="4"/>
      <c r="T587" s="4"/>
      <c r="U587" s="4"/>
    </row>
    <row r="588" spans="2:21" ht="15" x14ac:dyDescent="0.25">
      <c r="B588" s="4"/>
      <c r="D588" s="3"/>
      <c r="E588" s="3"/>
      <c r="H588" s="3"/>
      <c r="O588" s="4"/>
      <c r="P588" s="4"/>
      <c r="Q588" s="4"/>
      <c r="R588" s="4"/>
      <c r="S588" s="4"/>
      <c r="T588" s="4"/>
      <c r="U588" s="4"/>
    </row>
    <row r="589" spans="2:21" ht="15" x14ac:dyDescent="0.25">
      <c r="B589" s="4"/>
      <c r="D589" s="3"/>
      <c r="E589" s="3"/>
      <c r="H589" s="3"/>
      <c r="O589" s="4"/>
      <c r="P589" s="4"/>
      <c r="Q589" s="4"/>
      <c r="R589" s="4"/>
      <c r="S589" s="4"/>
      <c r="T589" s="4"/>
      <c r="U589" s="4"/>
    </row>
    <row r="590" spans="2:21" ht="15" x14ac:dyDescent="0.25">
      <c r="B590" s="4"/>
      <c r="D590" s="3"/>
      <c r="E590" s="3"/>
      <c r="H590" s="3"/>
      <c r="O590" s="4"/>
      <c r="P590" s="4"/>
      <c r="Q590" s="4"/>
      <c r="R590" s="4"/>
      <c r="S590" s="4"/>
      <c r="T590" s="4"/>
      <c r="U590" s="4"/>
    </row>
    <row r="591" spans="2:21" ht="15" x14ac:dyDescent="0.25">
      <c r="B591" s="4"/>
      <c r="D591" s="3"/>
      <c r="E591" s="3"/>
      <c r="H591" s="3"/>
      <c r="O591" s="4"/>
      <c r="P591" s="4"/>
      <c r="Q591" s="4"/>
      <c r="R591" s="4"/>
      <c r="S591" s="4"/>
      <c r="T591" s="4"/>
      <c r="U591" s="4"/>
    </row>
    <row r="592" spans="2:21" ht="15" x14ac:dyDescent="0.25">
      <c r="B592" s="4"/>
      <c r="D592" s="3"/>
      <c r="E592" s="3"/>
      <c r="H592" s="3"/>
      <c r="O592" s="4"/>
      <c r="P592" s="4"/>
      <c r="Q592" s="4"/>
      <c r="R592" s="4"/>
      <c r="S592" s="4"/>
      <c r="T592" s="4"/>
      <c r="U592" s="4"/>
    </row>
    <row r="593" spans="2:21" ht="15" x14ac:dyDescent="0.25">
      <c r="B593" s="4"/>
      <c r="D593" s="3"/>
      <c r="E593" s="3"/>
      <c r="H593" s="3"/>
      <c r="O593" s="4"/>
      <c r="P593" s="4"/>
      <c r="Q593" s="4"/>
      <c r="R593" s="4"/>
      <c r="S593" s="4"/>
      <c r="T593" s="4"/>
      <c r="U593" s="4"/>
    </row>
    <row r="594" spans="2:21" ht="15" x14ac:dyDescent="0.25">
      <c r="B594" s="4"/>
      <c r="D594" s="3"/>
      <c r="E594" s="3"/>
      <c r="H594" s="3"/>
      <c r="O594" s="4"/>
      <c r="P594" s="4"/>
      <c r="Q594" s="4"/>
      <c r="R594" s="4"/>
      <c r="S594" s="4"/>
      <c r="T594" s="4"/>
      <c r="U594" s="4"/>
    </row>
    <row r="595" spans="2:21" ht="15" x14ac:dyDescent="0.25">
      <c r="B595" s="4"/>
      <c r="D595" s="3"/>
      <c r="E595" s="3"/>
      <c r="H595" s="3"/>
      <c r="O595" s="4"/>
      <c r="P595" s="4"/>
      <c r="Q595" s="4"/>
      <c r="R595" s="4"/>
      <c r="S595" s="4"/>
      <c r="T595" s="4"/>
      <c r="U595" s="4"/>
    </row>
    <row r="596" spans="2:21" ht="15" x14ac:dyDescent="0.25">
      <c r="B596" s="4"/>
      <c r="D596" s="3"/>
      <c r="E596" s="3"/>
      <c r="H596" s="3"/>
      <c r="O596" s="4"/>
      <c r="P596" s="4"/>
      <c r="Q596" s="4"/>
      <c r="R596" s="4"/>
      <c r="S596" s="4"/>
      <c r="T596" s="4"/>
      <c r="U596" s="4"/>
    </row>
    <row r="597" spans="2:21" ht="15" x14ac:dyDescent="0.25">
      <c r="B597" s="4"/>
      <c r="D597" s="3"/>
      <c r="E597" s="3"/>
      <c r="H597" s="3"/>
      <c r="O597" s="4"/>
      <c r="P597" s="4"/>
      <c r="Q597" s="4"/>
      <c r="R597" s="4"/>
      <c r="S597" s="4"/>
      <c r="T597" s="4"/>
      <c r="U597" s="4"/>
    </row>
    <row r="598" spans="2:21" ht="15" x14ac:dyDescent="0.25">
      <c r="B598" s="4"/>
      <c r="D598" s="3"/>
      <c r="E598" s="3"/>
      <c r="H598" s="3"/>
      <c r="O598" s="4"/>
      <c r="P598" s="4"/>
      <c r="Q598" s="4"/>
      <c r="R598" s="4"/>
      <c r="S598" s="4"/>
      <c r="T598" s="4"/>
      <c r="U598" s="4"/>
    </row>
    <row r="599" spans="2:21" ht="15" x14ac:dyDescent="0.25">
      <c r="B599" s="4"/>
      <c r="D599" s="3"/>
      <c r="E599" s="3"/>
      <c r="H599" s="3"/>
      <c r="O599" s="4"/>
      <c r="P599" s="4"/>
      <c r="Q599" s="4"/>
      <c r="R599" s="4"/>
      <c r="S599" s="4"/>
      <c r="T599" s="4"/>
      <c r="U599" s="4"/>
    </row>
    <row r="600" spans="2:21" ht="15" x14ac:dyDescent="0.25">
      <c r="B600" s="4"/>
      <c r="D600" s="3"/>
      <c r="E600" s="3"/>
      <c r="H600" s="3"/>
      <c r="O600" s="4"/>
      <c r="P600" s="4"/>
      <c r="Q600" s="4"/>
      <c r="R600" s="4"/>
      <c r="S600" s="4"/>
      <c r="T600" s="4"/>
      <c r="U600" s="4"/>
    </row>
    <row r="601" spans="2:21" ht="15" x14ac:dyDescent="0.25">
      <c r="B601" s="4"/>
      <c r="D601" s="3"/>
      <c r="E601" s="3"/>
      <c r="H601" s="3"/>
      <c r="O601" s="4"/>
      <c r="P601" s="4"/>
      <c r="Q601" s="4"/>
      <c r="R601" s="4"/>
      <c r="S601" s="4"/>
      <c r="T601" s="4"/>
      <c r="U601" s="4"/>
    </row>
    <row r="602" spans="2:21" ht="15" x14ac:dyDescent="0.25">
      <c r="B602" s="4"/>
      <c r="D602" s="3"/>
      <c r="E602" s="3"/>
      <c r="H602" s="3"/>
      <c r="O602" s="4"/>
      <c r="P602" s="4"/>
      <c r="Q602" s="4"/>
      <c r="R602" s="4"/>
      <c r="S602" s="4"/>
      <c r="T602" s="4"/>
      <c r="U602" s="4"/>
    </row>
    <row r="603" spans="2:21" ht="15" x14ac:dyDescent="0.25">
      <c r="B603" s="4"/>
      <c r="D603" s="3"/>
      <c r="E603" s="3"/>
      <c r="H603" s="3"/>
      <c r="O603" s="4"/>
      <c r="P603" s="4"/>
      <c r="Q603" s="4"/>
      <c r="R603" s="4"/>
      <c r="S603" s="4"/>
      <c r="T603" s="4"/>
      <c r="U603" s="4"/>
    </row>
    <row r="604" spans="2:21" ht="15" x14ac:dyDescent="0.25">
      <c r="B604" s="4"/>
      <c r="D604" s="3"/>
      <c r="E604" s="3"/>
      <c r="H604" s="3"/>
      <c r="O604" s="4"/>
      <c r="P604" s="4"/>
      <c r="Q604" s="4"/>
      <c r="R604" s="4"/>
      <c r="S604" s="4"/>
      <c r="T604" s="4"/>
      <c r="U604" s="4"/>
    </row>
    <row r="605" spans="2:21" ht="15" x14ac:dyDescent="0.25">
      <c r="B605" s="4"/>
      <c r="D605" s="3"/>
      <c r="E605" s="3"/>
      <c r="H605" s="3"/>
      <c r="O605" s="4"/>
      <c r="P605" s="4"/>
      <c r="Q605" s="4"/>
      <c r="R605" s="4"/>
      <c r="S605" s="4"/>
      <c r="T605" s="4"/>
      <c r="U605" s="4"/>
    </row>
    <row r="606" spans="2:21" ht="15" x14ac:dyDescent="0.25">
      <c r="B606" s="4"/>
      <c r="D606" s="3"/>
      <c r="E606" s="3"/>
      <c r="H606" s="3"/>
      <c r="O606" s="4"/>
      <c r="P606" s="4"/>
      <c r="Q606" s="4"/>
      <c r="R606" s="4"/>
      <c r="S606" s="4"/>
      <c r="T606" s="4"/>
      <c r="U606" s="4"/>
    </row>
    <row r="607" spans="2:21" ht="15" x14ac:dyDescent="0.25">
      <c r="B607" s="4"/>
      <c r="D607" s="3"/>
      <c r="E607" s="3"/>
      <c r="H607" s="3"/>
      <c r="O607" s="4"/>
      <c r="P607" s="4"/>
      <c r="Q607" s="4"/>
      <c r="R607" s="4"/>
      <c r="S607" s="4"/>
      <c r="T607" s="4"/>
      <c r="U607" s="4"/>
    </row>
    <row r="608" spans="2:21" ht="15" x14ac:dyDescent="0.25">
      <c r="B608" s="4"/>
      <c r="D608" s="3"/>
      <c r="E608" s="3"/>
      <c r="H608" s="3"/>
      <c r="O608" s="4"/>
      <c r="P608" s="4"/>
      <c r="Q608" s="4"/>
      <c r="R608" s="4"/>
      <c r="S608" s="4"/>
      <c r="T608" s="4"/>
      <c r="U608" s="4"/>
    </row>
    <row r="609" spans="2:21" ht="15" x14ac:dyDescent="0.25">
      <c r="B609" s="4"/>
      <c r="D609" s="3"/>
      <c r="E609" s="3"/>
      <c r="H609" s="3"/>
      <c r="O609" s="4"/>
      <c r="P609" s="4"/>
      <c r="Q609" s="4"/>
      <c r="R609" s="4"/>
      <c r="S609" s="4"/>
      <c r="T609" s="4"/>
      <c r="U609" s="4"/>
    </row>
    <row r="610" spans="2:21" ht="15" x14ac:dyDescent="0.25">
      <c r="B610" s="4"/>
      <c r="D610" s="3"/>
      <c r="E610" s="3"/>
      <c r="H610" s="3"/>
      <c r="O610" s="4"/>
      <c r="P610" s="4"/>
      <c r="Q610" s="4"/>
      <c r="R610" s="4"/>
      <c r="S610" s="4"/>
      <c r="T610" s="4"/>
      <c r="U610" s="4"/>
    </row>
    <row r="611" spans="2:21" ht="15" x14ac:dyDescent="0.25">
      <c r="B611" s="4"/>
      <c r="D611" s="3"/>
      <c r="E611" s="3"/>
      <c r="H611" s="3"/>
      <c r="O611" s="4"/>
      <c r="P611" s="4"/>
      <c r="Q611" s="4"/>
      <c r="R611" s="4"/>
      <c r="S611" s="4"/>
      <c r="T611" s="4"/>
      <c r="U611" s="4"/>
    </row>
    <row r="612" spans="2:21" ht="15" x14ac:dyDescent="0.25">
      <c r="B612" s="4"/>
      <c r="D612" s="3"/>
      <c r="E612" s="3"/>
      <c r="H612" s="3"/>
      <c r="O612" s="4"/>
      <c r="P612" s="4"/>
      <c r="Q612" s="4"/>
      <c r="R612" s="4"/>
      <c r="S612" s="4"/>
      <c r="T612" s="4"/>
      <c r="U612" s="4"/>
    </row>
    <row r="613" spans="2:21" ht="15" x14ac:dyDescent="0.25">
      <c r="B613" s="4"/>
      <c r="D613" s="3"/>
      <c r="E613" s="3"/>
      <c r="H613" s="3"/>
      <c r="O613" s="4"/>
      <c r="P613" s="4"/>
      <c r="Q613" s="4"/>
      <c r="R613" s="4"/>
      <c r="S613" s="4"/>
      <c r="T613" s="4"/>
      <c r="U613" s="4"/>
    </row>
    <row r="614" spans="2:21" ht="15" x14ac:dyDescent="0.25">
      <c r="B614" s="4"/>
      <c r="D614" s="3"/>
      <c r="E614" s="3"/>
      <c r="H614" s="3"/>
      <c r="O614" s="4"/>
      <c r="P614" s="4"/>
      <c r="Q614" s="4"/>
      <c r="R614" s="4"/>
      <c r="S614" s="4"/>
      <c r="T614" s="4"/>
      <c r="U614" s="4"/>
    </row>
    <row r="615" spans="2:21" ht="15" x14ac:dyDescent="0.25">
      <c r="B615" s="4"/>
      <c r="D615" s="3"/>
      <c r="E615" s="3"/>
      <c r="H615" s="3"/>
      <c r="O615" s="4"/>
      <c r="P615" s="4"/>
      <c r="Q615" s="4"/>
      <c r="R615" s="4"/>
      <c r="S615" s="4"/>
      <c r="T615" s="4"/>
      <c r="U615" s="4"/>
    </row>
    <row r="616" spans="2:21" ht="15" x14ac:dyDescent="0.25">
      <c r="B616" s="4"/>
      <c r="D616" s="3"/>
      <c r="E616" s="3"/>
      <c r="H616" s="3"/>
      <c r="O616" s="4"/>
      <c r="P616" s="4"/>
      <c r="Q616" s="4"/>
      <c r="R616" s="4"/>
      <c r="S616" s="4"/>
      <c r="T616" s="4"/>
      <c r="U616" s="4"/>
    </row>
    <row r="617" spans="2:21" ht="15" x14ac:dyDescent="0.25">
      <c r="B617" s="4"/>
      <c r="D617" s="3"/>
      <c r="E617" s="3"/>
      <c r="H617" s="3"/>
      <c r="O617" s="4"/>
      <c r="P617" s="4"/>
      <c r="Q617" s="4"/>
      <c r="R617" s="4"/>
      <c r="S617" s="4"/>
      <c r="T617" s="4"/>
      <c r="U617" s="4"/>
    </row>
    <row r="618" spans="2:21" ht="15" x14ac:dyDescent="0.25">
      <c r="B618" s="4"/>
      <c r="D618" s="3"/>
      <c r="E618" s="3"/>
      <c r="H618" s="3"/>
      <c r="O618" s="4"/>
      <c r="P618" s="4"/>
      <c r="Q618" s="4"/>
      <c r="R618" s="4"/>
      <c r="S618" s="4"/>
      <c r="T618" s="4"/>
      <c r="U618" s="4"/>
    </row>
    <row r="619" spans="2:21" ht="15" x14ac:dyDescent="0.25">
      <c r="B619" s="4"/>
      <c r="D619" s="3"/>
      <c r="E619" s="3"/>
      <c r="H619" s="3"/>
      <c r="O619" s="4"/>
      <c r="P619" s="4"/>
      <c r="Q619" s="4"/>
      <c r="R619" s="4"/>
      <c r="S619" s="4"/>
      <c r="T619" s="4"/>
      <c r="U619" s="4"/>
    </row>
    <row r="620" spans="2:21" ht="15" x14ac:dyDescent="0.25">
      <c r="B620" s="4"/>
      <c r="D620" s="3"/>
      <c r="E620" s="3"/>
      <c r="H620" s="3"/>
      <c r="O620" s="4"/>
      <c r="P620" s="4"/>
      <c r="Q620" s="4"/>
      <c r="R620" s="4"/>
      <c r="S620" s="4"/>
      <c r="T620" s="4"/>
      <c r="U620" s="4"/>
    </row>
    <row r="621" spans="2:21" ht="15" x14ac:dyDescent="0.25">
      <c r="B621" s="4"/>
      <c r="D621" s="3"/>
      <c r="E621" s="3"/>
      <c r="H621" s="3"/>
      <c r="O621" s="4"/>
      <c r="P621" s="4"/>
      <c r="Q621" s="4"/>
      <c r="R621" s="4"/>
      <c r="S621" s="4"/>
      <c r="T621" s="4"/>
      <c r="U621" s="4"/>
    </row>
    <row r="622" spans="2:21" ht="15" x14ac:dyDescent="0.25">
      <c r="B622" s="4"/>
      <c r="D622" s="3"/>
      <c r="E622" s="3"/>
      <c r="H622" s="3"/>
      <c r="O622" s="4"/>
      <c r="P622" s="4"/>
      <c r="Q622" s="4"/>
      <c r="R622" s="4"/>
      <c r="S622" s="4"/>
      <c r="T622" s="4"/>
      <c r="U622" s="4"/>
    </row>
    <row r="623" spans="2:21" ht="15" x14ac:dyDescent="0.25">
      <c r="B623" s="4"/>
      <c r="D623" s="3"/>
      <c r="E623" s="3"/>
      <c r="H623" s="3"/>
      <c r="O623" s="4"/>
      <c r="P623" s="4"/>
      <c r="Q623" s="4"/>
      <c r="R623" s="4"/>
      <c r="S623" s="4"/>
      <c r="T623" s="4"/>
      <c r="U623" s="4"/>
    </row>
    <row r="624" spans="2:21" ht="15" x14ac:dyDescent="0.25">
      <c r="B624" s="4"/>
      <c r="D624" s="3"/>
      <c r="E624" s="3"/>
      <c r="H624" s="3"/>
      <c r="O624" s="4"/>
      <c r="P624" s="4"/>
      <c r="Q624" s="4"/>
      <c r="R624" s="4"/>
      <c r="S624" s="4"/>
      <c r="T624" s="4"/>
      <c r="U624" s="4"/>
    </row>
    <row r="625" spans="2:21" ht="15" x14ac:dyDescent="0.25">
      <c r="B625" s="4"/>
      <c r="D625" s="3"/>
      <c r="E625" s="3"/>
      <c r="H625" s="3"/>
      <c r="O625" s="4"/>
      <c r="P625" s="4"/>
      <c r="Q625" s="4"/>
      <c r="R625" s="4"/>
      <c r="S625" s="4"/>
      <c r="T625" s="4"/>
      <c r="U625" s="4"/>
    </row>
    <row r="626" spans="2:21" ht="15" x14ac:dyDescent="0.25">
      <c r="B626" s="4"/>
      <c r="D626" s="3"/>
      <c r="E626" s="3"/>
      <c r="H626" s="3"/>
      <c r="O626" s="4"/>
      <c r="P626" s="4"/>
      <c r="Q626" s="4"/>
      <c r="R626" s="4"/>
      <c r="S626" s="4"/>
      <c r="T626" s="4"/>
      <c r="U626" s="4"/>
    </row>
    <row r="627" spans="2:21" ht="15" x14ac:dyDescent="0.25">
      <c r="B627" s="4"/>
      <c r="D627" s="3"/>
      <c r="E627" s="3"/>
      <c r="H627" s="3"/>
      <c r="O627" s="4"/>
      <c r="P627" s="4"/>
      <c r="Q627" s="4"/>
      <c r="R627" s="4"/>
      <c r="S627" s="4"/>
      <c r="T627" s="4"/>
      <c r="U627" s="4"/>
    </row>
    <row r="628" spans="2:21" ht="15" x14ac:dyDescent="0.25">
      <c r="B628" s="4"/>
      <c r="D628" s="3"/>
      <c r="E628" s="3"/>
      <c r="H628" s="3"/>
      <c r="O628" s="4"/>
      <c r="P628" s="4"/>
      <c r="Q628" s="4"/>
      <c r="R628" s="4"/>
      <c r="S628" s="4"/>
      <c r="T628" s="4"/>
      <c r="U628" s="4"/>
    </row>
    <row r="629" spans="2:21" ht="15" x14ac:dyDescent="0.25">
      <c r="B629" s="4"/>
      <c r="D629" s="3"/>
      <c r="E629" s="3"/>
      <c r="H629" s="3"/>
      <c r="O629" s="4"/>
      <c r="P629" s="4"/>
      <c r="Q629" s="4"/>
      <c r="R629" s="4"/>
      <c r="S629" s="4"/>
      <c r="T629" s="4"/>
      <c r="U629" s="4"/>
    </row>
    <row r="630" spans="2:21" ht="15" x14ac:dyDescent="0.25">
      <c r="B630" s="4"/>
      <c r="D630" s="3"/>
      <c r="E630" s="3"/>
      <c r="H630" s="3"/>
      <c r="O630" s="4"/>
      <c r="P630" s="4"/>
      <c r="Q630" s="4"/>
      <c r="R630" s="4"/>
      <c r="S630" s="4"/>
      <c r="T630" s="4"/>
      <c r="U630" s="4"/>
    </row>
    <row r="631" spans="2:21" ht="15" x14ac:dyDescent="0.25">
      <c r="B631" s="4"/>
      <c r="D631" s="3"/>
      <c r="E631" s="3"/>
      <c r="H631" s="3"/>
      <c r="O631" s="4"/>
      <c r="P631" s="4"/>
      <c r="Q631" s="4"/>
      <c r="R631" s="4"/>
      <c r="S631" s="4"/>
      <c r="T631" s="4"/>
      <c r="U631" s="4"/>
    </row>
    <row r="632" spans="2:21" ht="15" x14ac:dyDescent="0.25">
      <c r="B632" s="4"/>
      <c r="D632" s="3"/>
      <c r="E632" s="3"/>
      <c r="H632" s="3"/>
      <c r="O632" s="4"/>
      <c r="P632" s="4"/>
      <c r="Q632" s="4"/>
      <c r="R632" s="4"/>
      <c r="S632" s="4"/>
      <c r="T632" s="4"/>
      <c r="U632" s="4"/>
    </row>
    <row r="633" spans="2:21" ht="15" x14ac:dyDescent="0.25">
      <c r="B633" s="4"/>
      <c r="D633" s="3"/>
      <c r="E633" s="3"/>
      <c r="H633" s="3"/>
      <c r="O633" s="4"/>
      <c r="P633" s="4"/>
      <c r="Q633" s="4"/>
      <c r="R633" s="4"/>
      <c r="S633" s="4"/>
      <c r="T633" s="4"/>
      <c r="U633" s="4"/>
    </row>
    <row r="634" spans="2:21" ht="15" x14ac:dyDescent="0.25">
      <c r="B634" s="4"/>
      <c r="D634" s="3"/>
      <c r="E634" s="3"/>
      <c r="H634" s="3"/>
      <c r="O634" s="4"/>
      <c r="P634" s="4"/>
      <c r="Q634" s="4"/>
      <c r="R634" s="4"/>
      <c r="S634" s="4"/>
      <c r="T634" s="4"/>
      <c r="U634" s="4"/>
    </row>
    <row r="635" spans="2:21" ht="15" x14ac:dyDescent="0.25">
      <c r="B635" s="4"/>
      <c r="D635" s="3"/>
      <c r="E635" s="3"/>
      <c r="H635" s="3"/>
      <c r="O635" s="4"/>
      <c r="P635" s="4"/>
      <c r="Q635" s="4"/>
      <c r="R635" s="4"/>
      <c r="S635" s="4"/>
      <c r="T635" s="4"/>
      <c r="U635" s="4"/>
    </row>
    <row r="636" spans="2:21" ht="15" x14ac:dyDescent="0.25">
      <c r="B636" s="4"/>
      <c r="D636" s="3"/>
      <c r="E636" s="3"/>
      <c r="H636" s="3"/>
      <c r="O636" s="4"/>
      <c r="P636" s="4"/>
      <c r="Q636" s="4"/>
      <c r="R636" s="4"/>
      <c r="S636" s="4"/>
      <c r="T636" s="4"/>
      <c r="U636" s="4"/>
    </row>
    <row r="637" spans="2:21" ht="15" x14ac:dyDescent="0.25">
      <c r="B637" s="4"/>
      <c r="D637" s="3"/>
      <c r="E637" s="3"/>
      <c r="H637" s="3"/>
      <c r="O637" s="4"/>
      <c r="P637" s="4"/>
      <c r="Q637" s="4"/>
      <c r="R637" s="4"/>
      <c r="S637" s="4"/>
      <c r="T637" s="4"/>
      <c r="U637" s="4"/>
    </row>
    <row r="638" spans="2:21" ht="15" x14ac:dyDescent="0.25">
      <c r="B638" s="4"/>
      <c r="D638" s="3"/>
      <c r="E638" s="3"/>
      <c r="H638" s="3"/>
      <c r="O638" s="4"/>
      <c r="P638" s="4"/>
      <c r="Q638" s="4"/>
      <c r="R638" s="4"/>
      <c r="S638" s="4"/>
      <c r="T638" s="4"/>
      <c r="U638" s="4"/>
    </row>
    <row r="639" spans="2:21" ht="15" x14ac:dyDescent="0.25">
      <c r="B639" s="4"/>
      <c r="D639" s="3"/>
      <c r="E639" s="3"/>
      <c r="H639" s="3"/>
      <c r="O639" s="4"/>
      <c r="P639" s="4"/>
      <c r="Q639" s="4"/>
      <c r="R639" s="4"/>
      <c r="S639" s="4"/>
      <c r="T639" s="4"/>
      <c r="U639" s="4"/>
    </row>
    <row r="640" spans="2:21" ht="15" x14ac:dyDescent="0.25">
      <c r="B640" s="4"/>
      <c r="D640" s="3"/>
      <c r="E640" s="3"/>
      <c r="H640" s="3"/>
      <c r="O640" s="4"/>
      <c r="P640" s="4"/>
      <c r="Q640" s="4"/>
      <c r="R640" s="4"/>
      <c r="S640" s="4"/>
      <c r="T640" s="4"/>
      <c r="U640" s="4"/>
    </row>
    <row r="641" spans="2:21" ht="15" x14ac:dyDescent="0.25">
      <c r="B641" s="4"/>
      <c r="D641" s="3"/>
      <c r="E641" s="3"/>
      <c r="H641" s="3"/>
      <c r="O641" s="4"/>
      <c r="P641" s="4"/>
      <c r="Q641" s="4"/>
      <c r="R641" s="4"/>
      <c r="S641" s="4"/>
      <c r="T641" s="4"/>
      <c r="U641" s="4"/>
    </row>
    <row r="642" spans="2:21" ht="15" x14ac:dyDescent="0.25">
      <c r="B642" s="4"/>
      <c r="D642" s="3"/>
      <c r="E642" s="3"/>
      <c r="H642" s="3"/>
      <c r="O642" s="4"/>
      <c r="P642" s="4"/>
      <c r="Q642" s="4"/>
      <c r="R642" s="4"/>
      <c r="S642" s="4"/>
      <c r="T642" s="4"/>
      <c r="U642" s="4"/>
    </row>
    <row r="643" spans="2:21" ht="15" x14ac:dyDescent="0.25">
      <c r="B643" s="4"/>
      <c r="D643" s="3"/>
      <c r="E643" s="3"/>
      <c r="H643" s="3"/>
      <c r="O643" s="4"/>
      <c r="P643" s="4"/>
      <c r="Q643" s="4"/>
      <c r="R643" s="4"/>
      <c r="S643" s="4"/>
      <c r="T643" s="4"/>
      <c r="U643" s="4"/>
    </row>
    <row r="644" spans="2:21" ht="15" x14ac:dyDescent="0.25">
      <c r="B644" s="4"/>
      <c r="D644" s="3"/>
      <c r="E644" s="3"/>
      <c r="H644" s="3"/>
      <c r="O644" s="4"/>
      <c r="P644" s="4"/>
      <c r="Q644" s="4"/>
      <c r="R644" s="4"/>
      <c r="S644" s="4"/>
      <c r="T644" s="4"/>
      <c r="U644" s="4"/>
    </row>
    <row r="645" spans="2:21" ht="15" x14ac:dyDescent="0.25">
      <c r="B645" s="4"/>
      <c r="D645" s="3"/>
      <c r="E645" s="3"/>
      <c r="H645" s="3"/>
      <c r="O645" s="4"/>
      <c r="P645" s="4"/>
      <c r="Q645" s="4"/>
      <c r="R645" s="4"/>
      <c r="S645" s="4"/>
      <c r="T645" s="4"/>
      <c r="U645" s="4"/>
    </row>
    <row r="646" spans="2:21" ht="15" x14ac:dyDescent="0.25">
      <c r="B646" s="4"/>
      <c r="D646" s="3"/>
      <c r="E646" s="3"/>
      <c r="H646" s="3"/>
      <c r="O646" s="4"/>
      <c r="P646" s="4"/>
      <c r="Q646" s="4"/>
      <c r="R646" s="4"/>
      <c r="S646" s="4"/>
      <c r="T646" s="4"/>
      <c r="U646" s="4"/>
    </row>
    <row r="647" spans="2:21" ht="15" x14ac:dyDescent="0.25">
      <c r="B647" s="4"/>
      <c r="D647" s="3"/>
      <c r="E647" s="3"/>
      <c r="H647" s="3"/>
      <c r="O647" s="4"/>
      <c r="P647" s="4"/>
      <c r="Q647" s="4"/>
      <c r="R647" s="4"/>
      <c r="S647" s="4"/>
      <c r="T647" s="4"/>
      <c r="U647" s="4"/>
    </row>
    <row r="648" spans="2:21" ht="15" x14ac:dyDescent="0.25">
      <c r="B648" s="4"/>
      <c r="D648" s="3"/>
      <c r="E648" s="3"/>
      <c r="H648" s="3"/>
      <c r="O648" s="4"/>
      <c r="P648" s="4"/>
      <c r="Q648" s="4"/>
      <c r="R648" s="4"/>
      <c r="S648" s="4"/>
      <c r="T648" s="4"/>
      <c r="U648" s="4"/>
    </row>
    <row r="649" spans="2:21" ht="15" x14ac:dyDescent="0.25">
      <c r="B649" s="4"/>
      <c r="D649" s="3"/>
      <c r="E649" s="3"/>
      <c r="H649" s="3"/>
      <c r="O649" s="4"/>
      <c r="P649" s="4"/>
      <c r="Q649" s="4"/>
      <c r="R649" s="4"/>
      <c r="S649" s="4"/>
      <c r="T649" s="4"/>
      <c r="U649" s="4"/>
    </row>
    <row r="650" spans="2:21" ht="15" x14ac:dyDescent="0.25">
      <c r="B650" s="4"/>
      <c r="D650" s="3"/>
      <c r="E650" s="3"/>
      <c r="H650" s="3"/>
      <c r="O650" s="4"/>
      <c r="P650" s="4"/>
      <c r="Q650" s="4"/>
      <c r="R650" s="4"/>
      <c r="S650" s="4"/>
      <c r="T650" s="4"/>
      <c r="U650" s="4"/>
    </row>
    <row r="651" spans="2:21" ht="15" x14ac:dyDescent="0.25">
      <c r="B651" s="4"/>
      <c r="D651" s="3"/>
      <c r="E651" s="3"/>
      <c r="H651" s="3"/>
      <c r="O651" s="4"/>
      <c r="P651" s="4"/>
      <c r="Q651" s="4"/>
      <c r="R651" s="4"/>
      <c r="S651" s="4"/>
      <c r="T651" s="4"/>
      <c r="U651" s="4"/>
    </row>
    <row r="652" spans="2:21" ht="15" x14ac:dyDescent="0.25">
      <c r="B652" s="4"/>
      <c r="D652" s="3"/>
      <c r="E652" s="3"/>
      <c r="H652" s="3"/>
      <c r="O652" s="4"/>
      <c r="P652" s="4"/>
      <c r="Q652" s="4"/>
      <c r="R652" s="4"/>
      <c r="S652" s="4"/>
      <c r="T652" s="4"/>
      <c r="U652" s="4"/>
    </row>
    <row r="653" spans="2:21" ht="15" x14ac:dyDescent="0.25">
      <c r="B653" s="4"/>
      <c r="D653" s="3"/>
      <c r="E653" s="3"/>
      <c r="H653" s="3"/>
      <c r="O653" s="4"/>
      <c r="P653" s="4"/>
      <c r="Q653" s="4"/>
      <c r="R653" s="4"/>
      <c r="S653" s="4"/>
      <c r="T653" s="4"/>
      <c r="U653" s="4"/>
    </row>
    <row r="654" spans="2:21" ht="15" x14ac:dyDescent="0.25">
      <c r="B654" s="4"/>
      <c r="D654" s="3"/>
      <c r="E654" s="3"/>
      <c r="H654" s="3"/>
      <c r="O654" s="4"/>
      <c r="P654" s="4"/>
      <c r="Q654" s="4"/>
      <c r="R654" s="4"/>
      <c r="S654" s="4"/>
      <c r="T654" s="4"/>
      <c r="U654" s="4"/>
    </row>
    <row r="655" spans="2:21" ht="15" x14ac:dyDescent="0.25">
      <c r="B655" s="4"/>
      <c r="D655" s="3"/>
      <c r="E655" s="3"/>
      <c r="H655" s="3"/>
      <c r="O655" s="4"/>
      <c r="P655" s="4"/>
      <c r="Q655" s="4"/>
      <c r="R655" s="4"/>
      <c r="S655" s="4"/>
      <c r="T655" s="4"/>
      <c r="U655" s="4"/>
    </row>
    <row r="656" spans="2:21" ht="15" x14ac:dyDescent="0.25">
      <c r="B656" s="4"/>
      <c r="D656" s="3"/>
      <c r="E656" s="3"/>
      <c r="H656" s="3"/>
      <c r="O656" s="4"/>
      <c r="P656" s="4"/>
      <c r="Q656" s="4"/>
      <c r="R656" s="4"/>
      <c r="S656" s="4"/>
      <c r="T656" s="4"/>
      <c r="U656" s="4"/>
    </row>
    <row r="657" spans="2:21" ht="15" x14ac:dyDescent="0.25">
      <c r="B657" s="4"/>
      <c r="D657" s="3"/>
      <c r="E657" s="3"/>
      <c r="H657" s="3"/>
      <c r="O657" s="4"/>
      <c r="P657" s="4"/>
      <c r="Q657" s="4"/>
      <c r="R657" s="4"/>
      <c r="S657" s="4"/>
      <c r="T657" s="4"/>
      <c r="U657" s="4"/>
    </row>
    <row r="658" spans="2:21" ht="15" x14ac:dyDescent="0.25">
      <c r="B658" s="4"/>
      <c r="D658" s="3"/>
      <c r="E658" s="3"/>
      <c r="H658" s="3"/>
      <c r="O658" s="4"/>
      <c r="P658" s="4"/>
      <c r="Q658" s="4"/>
      <c r="R658" s="4"/>
      <c r="S658" s="4"/>
      <c r="T658" s="4"/>
      <c r="U658" s="4"/>
    </row>
    <row r="659" spans="2:21" ht="15" x14ac:dyDescent="0.25">
      <c r="B659" s="4"/>
      <c r="D659" s="3"/>
      <c r="E659" s="3"/>
      <c r="H659" s="3"/>
      <c r="O659" s="4"/>
      <c r="P659" s="4"/>
      <c r="Q659" s="4"/>
      <c r="R659" s="4"/>
      <c r="S659" s="4"/>
      <c r="T659" s="4"/>
      <c r="U659" s="4"/>
    </row>
    <row r="660" spans="2:21" ht="15" x14ac:dyDescent="0.25">
      <c r="B660" s="4"/>
      <c r="D660" s="3"/>
      <c r="E660" s="3"/>
      <c r="H660" s="3"/>
      <c r="O660" s="4"/>
      <c r="P660" s="4"/>
      <c r="Q660" s="4"/>
      <c r="R660" s="4"/>
      <c r="S660" s="4"/>
      <c r="T660" s="4"/>
      <c r="U660" s="4"/>
    </row>
    <row r="661" spans="2:21" ht="15" x14ac:dyDescent="0.25">
      <c r="B661" s="4"/>
      <c r="D661" s="3"/>
      <c r="E661" s="3"/>
      <c r="H661" s="3"/>
      <c r="O661" s="4"/>
      <c r="P661" s="4"/>
      <c r="Q661" s="4"/>
      <c r="R661" s="4"/>
      <c r="S661" s="4"/>
      <c r="T661" s="4"/>
      <c r="U661" s="4"/>
    </row>
    <row r="662" spans="2:21" ht="15" x14ac:dyDescent="0.25">
      <c r="B662" s="4"/>
      <c r="D662" s="3"/>
      <c r="E662" s="3"/>
      <c r="H662" s="3"/>
      <c r="O662" s="4"/>
      <c r="P662" s="4"/>
      <c r="Q662" s="4"/>
      <c r="R662" s="4"/>
      <c r="S662" s="4"/>
      <c r="T662" s="4"/>
      <c r="U662" s="4"/>
    </row>
    <row r="663" spans="2:21" ht="15" x14ac:dyDescent="0.25">
      <c r="B663" s="4"/>
      <c r="D663" s="3"/>
      <c r="E663" s="3"/>
      <c r="H663" s="3"/>
      <c r="O663" s="4"/>
      <c r="P663" s="4"/>
      <c r="Q663" s="4"/>
      <c r="R663" s="4"/>
      <c r="S663" s="4"/>
      <c r="T663" s="4"/>
      <c r="U663" s="4"/>
    </row>
    <row r="664" spans="2:21" ht="15" x14ac:dyDescent="0.25">
      <c r="B664" s="4"/>
      <c r="D664" s="3"/>
      <c r="E664" s="3"/>
      <c r="H664" s="3"/>
      <c r="O664" s="4"/>
      <c r="P664" s="4"/>
      <c r="Q664" s="4"/>
      <c r="R664" s="4"/>
      <c r="S664" s="4"/>
      <c r="T664" s="4"/>
      <c r="U664" s="4"/>
    </row>
    <row r="665" spans="2:21" ht="15" x14ac:dyDescent="0.25">
      <c r="B665" s="4"/>
      <c r="D665" s="3"/>
      <c r="E665" s="3"/>
      <c r="H665" s="3"/>
      <c r="O665" s="4"/>
      <c r="P665" s="4"/>
      <c r="Q665" s="4"/>
      <c r="R665" s="4"/>
      <c r="S665" s="4"/>
      <c r="T665" s="4"/>
      <c r="U665" s="4"/>
    </row>
    <row r="666" spans="2:21" ht="15" x14ac:dyDescent="0.25">
      <c r="B666" s="4"/>
      <c r="D666" s="3"/>
      <c r="E666" s="3"/>
      <c r="H666" s="3"/>
      <c r="O666" s="4"/>
      <c r="P666" s="4"/>
      <c r="Q666" s="4"/>
      <c r="R666" s="4"/>
      <c r="S666" s="4"/>
      <c r="T666" s="4"/>
      <c r="U666" s="4"/>
    </row>
    <row r="667" spans="2:21" ht="15" x14ac:dyDescent="0.25">
      <c r="B667" s="4"/>
      <c r="D667" s="3"/>
      <c r="E667" s="3"/>
      <c r="H667" s="3"/>
      <c r="O667" s="4"/>
      <c r="P667" s="4"/>
      <c r="Q667" s="4"/>
      <c r="R667" s="4"/>
      <c r="S667" s="4"/>
      <c r="T667" s="4"/>
      <c r="U667" s="4"/>
    </row>
    <row r="668" spans="2:21" ht="15" x14ac:dyDescent="0.25">
      <c r="B668" s="4"/>
      <c r="D668" s="3"/>
      <c r="E668" s="3"/>
      <c r="H668" s="3"/>
      <c r="O668" s="4"/>
      <c r="P668" s="4"/>
      <c r="Q668" s="4"/>
      <c r="R668" s="4"/>
      <c r="S668" s="4"/>
      <c r="T668" s="4"/>
      <c r="U668" s="4"/>
    </row>
    <row r="669" spans="2:21" ht="15" x14ac:dyDescent="0.25">
      <c r="B669" s="4"/>
      <c r="D669" s="3"/>
      <c r="E669" s="3"/>
      <c r="H669" s="3"/>
      <c r="O669" s="4"/>
      <c r="P669" s="4"/>
      <c r="Q669" s="4"/>
      <c r="R669" s="4"/>
      <c r="S669" s="4"/>
      <c r="T669" s="4"/>
      <c r="U669" s="4"/>
    </row>
    <row r="670" spans="2:21" ht="15" x14ac:dyDescent="0.25">
      <c r="B670" s="4"/>
      <c r="D670" s="3"/>
      <c r="E670" s="3"/>
      <c r="H670" s="3"/>
      <c r="O670" s="4"/>
      <c r="P670" s="4"/>
      <c r="Q670" s="4"/>
      <c r="R670" s="4"/>
      <c r="S670" s="4"/>
      <c r="T670" s="4"/>
      <c r="U670" s="4"/>
    </row>
    <row r="671" spans="2:21" ht="15" x14ac:dyDescent="0.25">
      <c r="B671" s="4"/>
      <c r="D671" s="3"/>
      <c r="E671" s="3"/>
      <c r="H671" s="3"/>
      <c r="O671" s="4"/>
      <c r="P671" s="4"/>
      <c r="Q671" s="4"/>
      <c r="R671" s="4"/>
      <c r="S671" s="4"/>
      <c r="T671" s="4"/>
      <c r="U671" s="4"/>
    </row>
    <row r="672" spans="2:21" ht="15" x14ac:dyDescent="0.25">
      <c r="B672" s="4"/>
      <c r="D672" s="3"/>
      <c r="E672" s="3"/>
      <c r="H672" s="3"/>
      <c r="O672" s="4"/>
      <c r="P672" s="4"/>
      <c r="Q672" s="4"/>
      <c r="R672" s="4"/>
      <c r="S672" s="4"/>
      <c r="T672" s="4"/>
      <c r="U672" s="4"/>
    </row>
    <row r="673" spans="2:21" ht="15" x14ac:dyDescent="0.25">
      <c r="B673" s="4"/>
      <c r="D673" s="3"/>
      <c r="E673" s="3"/>
      <c r="H673" s="3"/>
      <c r="O673" s="4"/>
      <c r="P673" s="4"/>
      <c r="Q673" s="4"/>
      <c r="R673" s="4"/>
      <c r="S673" s="4"/>
      <c r="T673" s="4"/>
      <c r="U673" s="4"/>
    </row>
    <row r="674" spans="2:21" ht="15" x14ac:dyDescent="0.25">
      <c r="B674" s="4"/>
      <c r="D674" s="3"/>
      <c r="E674" s="3"/>
      <c r="H674" s="3"/>
      <c r="O674" s="4"/>
      <c r="P674" s="4"/>
      <c r="Q674" s="4"/>
      <c r="R674" s="4"/>
      <c r="S674" s="4"/>
      <c r="T674" s="4"/>
      <c r="U674" s="4"/>
    </row>
    <row r="675" spans="2:21" ht="15" x14ac:dyDescent="0.25">
      <c r="B675" s="4"/>
      <c r="D675" s="3"/>
      <c r="E675" s="3"/>
      <c r="H675" s="3"/>
      <c r="O675" s="4"/>
      <c r="P675" s="4"/>
      <c r="Q675" s="4"/>
      <c r="R675" s="4"/>
      <c r="S675" s="4"/>
      <c r="T675" s="4"/>
      <c r="U675" s="4"/>
    </row>
    <row r="676" spans="2:21" ht="15" x14ac:dyDescent="0.25">
      <c r="B676" s="4"/>
      <c r="D676" s="3"/>
      <c r="E676" s="3"/>
      <c r="H676" s="3"/>
      <c r="O676" s="4"/>
      <c r="P676" s="4"/>
      <c r="Q676" s="4"/>
      <c r="R676" s="4"/>
      <c r="S676" s="4"/>
      <c r="T676" s="4"/>
      <c r="U676" s="4"/>
    </row>
    <row r="677" spans="2:21" ht="15" x14ac:dyDescent="0.25">
      <c r="B677" s="4"/>
      <c r="D677" s="3"/>
      <c r="E677" s="3"/>
      <c r="H677" s="3"/>
      <c r="O677" s="4"/>
      <c r="P677" s="4"/>
      <c r="Q677" s="4"/>
      <c r="R677" s="4"/>
      <c r="S677" s="4"/>
      <c r="T677" s="4"/>
      <c r="U677" s="4"/>
    </row>
    <row r="678" spans="2:21" ht="15" x14ac:dyDescent="0.25">
      <c r="B678" s="4"/>
      <c r="D678" s="3"/>
      <c r="E678" s="3"/>
      <c r="H678" s="3"/>
      <c r="O678" s="4"/>
      <c r="P678" s="4"/>
      <c r="Q678" s="4"/>
      <c r="R678" s="4"/>
      <c r="S678" s="4"/>
      <c r="T678" s="4"/>
      <c r="U678" s="4"/>
    </row>
    <row r="679" spans="2:21" ht="15" x14ac:dyDescent="0.25">
      <c r="B679" s="4"/>
      <c r="D679" s="3"/>
      <c r="E679" s="3"/>
      <c r="H679" s="3"/>
      <c r="O679" s="4"/>
      <c r="P679" s="4"/>
      <c r="Q679" s="4"/>
      <c r="R679" s="4"/>
      <c r="S679" s="4"/>
      <c r="T679" s="4"/>
      <c r="U679" s="4"/>
    </row>
    <row r="680" spans="2:21" ht="15" x14ac:dyDescent="0.25">
      <c r="B680" s="4"/>
      <c r="D680" s="3"/>
      <c r="E680" s="3"/>
      <c r="H680" s="3"/>
      <c r="O680" s="4"/>
      <c r="P680" s="4"/>
      <c r="Q680" s="4"/>
      <c r="R680" s="4"/>
      <c r="S680" s="4"/>
      <c r="T680" s="4"/>
      <c r="U680" s="4"/>
    </row>
    <row r="681" spans="2:21" ht="15" x14ac:dyDescent="0.25">
      <c r="B681" s="4"/>
      <c r="D681" s="3"/>
      <c r="E681" s="3"/>
      <c r="H681" s="3"/>
      <c r="O681" s="4"/>
      <c r="P681" s="4"/>
      <c r="Q681" s="4"/>
      <c r="R681" s="4"/>
      <c r="S681" s="4"/>
      <c r="T681" s="4"/>
      <c r="U681" s="4"/>
    </row>
    <row r="682" spans="2:21" ht="15" x14ac:dyDescent="0.25">
      <c r="B682" s="4"/>
      <c r="D682" s="3"/>
      <c r="E682" s="3"/>
      <c r="H682" s="3"/>
      <c r="O682" s="4"/>
      <c r="P682" s="4"/>
      <c r="Q682" s="4"/>
      <c r="R682" s="4"/>
      <c r="S682" s="4"/>
      <c r="T682" s="4"/>
      <c r="U682" s="4"/>
    </row>
    <row r="683" spans="2:21" ht="15" x14ac:dyDescent="0.25">
      <c r="B683" s="4"/>
      <c r="D683" s="3"/>
      <c r="E683" s="3"/>
      <c r="H683" s="3"/>
      <c r="O683" s="4"/>
      <c r="P683" s="4"/>
      <c r="Q683" s="4"/>
      <c r="R683" s="4"/>
      <c r="S683" s="4"/>
      <c r="T683" s="4"/>
      <c r="U683" s="4"/>
    </row>
    <row r="684" spans="2:21" ht="15" x14ac:dyDescent="0.25">
      <c r="B684" s="4"/>
      <c r="D684" s="3"/>
      <c r="E684" s="3"/>
      <c r="H684" s="3"/>
      <c r="O684" s="4"/>
      <c r="P684" s="4"/>
      <c r="Q684" s="4"/>
      <c r="R684" s="4"/>
      <c r="S684" s="4"/>
      <c r="T684" s="4"/>
      <c r="U684" s="4"/>
    </row>
    <row r="685" spans="2:21" ht="15" x14ac:dyDescent="0.25">
      <c r="B685" s="4"/>
      <c r="D685" s="3"/>
      <c r="E685" s="3"/>
      <c r="H685" s="3"/>
      <c r="O685" s="4"/>
      <c r="P685" s="4"/>
      <c r="Q685" s="4"/>
      <c r="R685" s="4"/>
      <c r="S685" s="4"/>
      <c r="T685" s="4"/>
      <c r="U685" s="4"/>
    </row>
    <row r="686" spans="2:21" ht="15" x14ac:dyDescent="0.25">
      <c r="B686" s="4"/>
      <c r="D686" s="3"/>
      <c r="E686" s="3"/>
      <c r="H686" s="3"/>
      <c r="O686" s="4"/>
      <c r="P686" s="4"/>
      <c r="Q686" s="4"/>
      <c r="R686" s="4"/>
      <c r="S686" s="4"/>
      <c r="T686" s="4"/>
      <c r="U686" s="4"/>
    </row>
    <row r="687" spans="2:21" ht="15" x14ac:dyDescent="0.25">
      <c r="B687" s="4"/>
      <c r="D687" s="3"/>
      <c r="E687" s="3"/>
      <c r="H687" s="3"/>
      <c r="O687" s="4"/>
      <c r="P687" s="4"/>
      <c r="Q687" s="4"/>
      <c r="R687" s="4"/>
      <c r="S687" s="4"/>
      <c r="T687" s="4"/>
      <c r="U687" s="4"/>
    </row>
    <row r="688" spans="2:21" ht="15" x14ac:dyDescent="0.25">
      <c r="B688" s="4"/>
      <c r="D688" s="3"/>
      <c r="E688" s="3"/>
      <c r="H688" s="3"/>
      <c r="O688" s="4"/>
      <c r="P688" s="4"/>
      <c r="Q688" s="4"/>
      <c r="R688" s="4"/>
      <c r="S688" s="4"/>
      <c r="T688" s="4"/>
      <c r="U688" s="4"/>
    </row>
    <row r="689" spans="2:21" ht="15" x14ac:dyDescent="0.25">
      <c r="B689" s="4"/>
      <c r="D689" s="3"/>
      <c r="E689" s="3"/>
      <c r="H689" s="3"/>
      <c r="O689" s="4"/>
      <c r="P689" s="4"/>
      <c r="Q689" s="4"/>
      <c r="R689" s="4"/>
      <c r="S689" s="4"/>
      <c r="T689" s="4"/>
      <c r="U689" s="4"/>
    </row>
    <row r="690" spans="2:21" ht="15" x14ac:dyDescent="0.25">
      <c r="B690" s="4"/>
      <c r="D690" s="3"/>
      <c r="E690" s="3"/>
      <c r="H690" s="3"/>
      <c r="O690" s="4"/>
      <c r="P690" s="4"/>
      <c r="Q690" s="4"/>
      <c r="R690" s="4"/>
      <c r="S690" s="4"/>
      <c r="T690" s="4"/>
      <c r="U690" s="4"/>
    </row>
    <row r="691" spans="2:21" ht="15" x14ac:dyDescent="0.25">
      <c r="B691" s="4"/>
      <c r="D691" s="3"/>
      <c r="E691" s="3"/>
      <c r="H691" s="3"/>
      <c r="O691" s="4"/>
      <c r="P691" s="4"/>
      <c r="Q691" s="4"/>
      <c r="R691" s="4"/>
      <c r="S691" s="4"/>
      <c r="T691" s="4"/>
      <c r="U691" s="4"/>
    </row>
    <row r="692" spans="2:21" ht="15" x14ac:dyDescent="0.25">
      <c r="B692" s="4"/>
      <c r="D692" s="3"/>
      <c r="E692" s="3"/>
      <c r="H692" s="3"/>
      <c r="O692" s="4"/>
      <c r="P692" s="4"/>
      <c r="Q692" s="4"/>
      <c r="R692" s="4"/>
      <c r="S692" s="4"/>
      <c r="T692" s="4"/>
      <c r="U692" s="4"/>
    </row>
    <row r="693" spans="2:21" ht="15" x14ac:dyDescent="0.25">
      <c r="B693" s="4"/>
      <c r="D693" s="3"/>
      <c r="E693" s="3"/>
      <c r="H693" s="3"/>
      <c r="O693" s="4"/>
      <c r="P693" s="4"/>
      <c r="Q693" s="4"/>
      <c r="R693" s="4"/>
      <c r="S693" s="4"/>
      <c r="T693" s="4"/>
      <c r="U693" s="4"/>
    </row>
    <row r="694" spans="2:21" ht="15" x14ac:dyDescent="0.25">
      <c r="B694" s="4"/>
      <c r="D694" s="3"/>
      <c r="E694" s="3"/>
      <c r="H694" s="3"/>
      <c r="O694" s="4"/>
      <c r="P694" s="4"/>
      <c r="Q694" s="4"/>
      <c r="R694" s="4"/>
      <c r="S694" s="4"/>
      <c r="T694" s="4"/>
      <c r="U694" s="4"/>
    </row>
    <row r="695" spans="2:21" ht="15" x14ac:dyDescent="0.25">
      <c r="B695" s="4"/>
      <c r="D695" s="3"/>
      <c r="E695" s="3"/>
      <c r="H695" s="3"/>
      <c r="O695" s="4"/>
      <c r="P695" s="4"/>
      <c r="Q695" s="4"/>
      <c r="R695" s="4"/>
      <c r="S695" s="4"/>
      <c r="T695" s="4"/>
      <c r="U695" s="4"/>
    </row>
    <row r="696" spans="2:21" ht="15" x14ac:dyDescent="0.25">
      <c r="B696" s="4"/>
      <c r="D696" s="3"/>
      <c r="E696" s="3"/>
      <c r="H696" s="3"/>
      <c r="O696" s="4"/>
      <c r="P696" s="4"/>
      <c r="Q696" s="4"/>
      <c r="R696" s="4"/>
      <c r="S696" s="4"/>
      <c r="T696" s="4"/>
      <c r="U696" s="4"/>
    </row>
    <row r="697" spans="2:21" ht="15" x14ac:dyDescent="0.25">
      <c r="B697" s="4"/>
      <c r="D697" s="3"/>
      <c r="E697" s="3"/>
      <c r="H697" s="3"/>
      <c r="O697" s="4"/>
      <c r="P697" s="4"/>
      <c r="Q697" s="4"/>
      <c r="R697" s="4"/>
      <c r="S697" s="4"/>
      <c r="T697" s="4"/>
      <c r="U697" s="4"/>
    </row>
    <row r="698" spans="2:21" ht="15" x14ac:dyDescent="0.25">
      <c r="B698" s="4"/>
      <c r="D698" s="3"/>
      <c r="E698" s="3"/>
      <c r="H698" s="3"/>
      <c r="O698" s="4"/>
      <c r="P698" s="4"/>
      <c r="Q698" s="4"/>
      <c r="R698" s="4"/>
      <c r="S698" s="4"/>
      <c r="T698" s="4"/>
      <c r="U698" s="4"/>
    </row>
    <row r="699" spans="2:21" ht="15" x14ac:dyDescent="0.25">
      <c r="B699" s="4"/>
      <c r="D699" s="3"/>
      <c r="E699" s="3"/>
      <c r="H699" s="3"/>
      <c r="O699" s="4"/>
      <c r="P699" s="4"/>
      <c r="Q699" s="4"/>
      <c r="R699" s="4"/>
      <c r="S699" s="4"/>
      <c r="T699" s="4"/>
      <c r="U699" s="4"/>
    </row>
    <row r="700" spans="2:21" ht="15" x14ac:dyDescent="0.25">
      <c r="B700" s="4"/>
      <c r="D700" s="3"/>
      <c r="E700" s="3"/>
      <c r="H700" s="3"/>
      <c r="O700" s="4"/>
      <c r="P700" s="4"/>
      <c r="Q700" s="4"/>
      <c r="R700" s="4"/>
      <c r="S700" s="4"/>
      <c r="T700" s="4"/>
      <c r="U700" s="4"/>
    </row>
    <row r="701" spans="2:21" ht="15" x14ac:dyDescent="0.25">
      <c r="B701" s="4"/>
      <c r="D701" s="3"/>
      <c r="E701" s="3"/>
      <c r="H701" s="3"/>
      <c r="O701" s="4"/>
      <c r="P701" s="4"/>
      <c r="Q701" s="4"/>
      <c r="R701" s="4"/>
      <c r="S701" s="4"/>
      <c r="T701" s="4"/>
      <c r="U701" s="4"/>
    </row>
    <row r="702" spans="2:21" ht="15" x14ac:dyDescent="0.25">
      <c r="B702" s="4"/>
      <c r="D702" s="3"/>
      <c r="E702" s="3"/>
      <c r="H702" s="3"/>
      <c r="O702" s="4"/>
      <c r="P702" s="4"/>
      <c r="Q702" s="4"/>
      <c r="R702" s="4"/>
      <c r="S702" s="4"/>
      <c r="T702" s="4"/>
      <c r="U702" s="4"/>
    </row>
    <row r="703" spans="2:21" ht="15" x14ac:dyDescent="0.25">
      <c r="B703" s="4"/>
      <c r="D703" s="3"/>
      <c r="E703" s="3"/>
      <c r="H703" s="3"/>
      <c r="O703" s="4"/>
      <c r="P703" s="4"/>
      <c r="Q703" s="4"/>
      <c r="R703" s="4"/>
      <c r="S703" s="4"/>
      <c r="T703" s="4"/>
      <c r="U703" s="4"/>
    </row>
    <row r="704" spans="2:21" ht="15" x14ac:dyDescent="0.25">
      <c r="B704" s="4"/>
      <c r="D704" s="3"/>
      <c r="E704" s="3"/>
      <c r="H704" s="3"/>
      <c r="O704" s="4"/>
      <c r="P704" s="4"/>
      <c r="Q704" s="4"/>
      <c r="R704" s="4"/>
      <c r="S704" s="4"/>
      <c r="T704" s="4"/>
      <c r="U704" s="4"/>
    </row>
    <row r="705" spans="2:21" ht="15" x14ac:dyDescent="0.25">
      <c r="B705" s="4"/>
      <c r="D705" s="3"/>
      <c r="E705" s="3"/>
      <c r="H705" s="3"/>
      <c r="O705" s="4"/>
      <c r="P705" s="4"/>
      <c r="Q705" s="4"/>
      <c r="R705" s="4"/>
      <c r="S705" s="4"/>
      <c r="T705" s="4"/>
      <c r="U705" s="4"/>
    </row>
    <row r="706" spans="2:21" ht="15" x14ac:dyDescent="0.25">
      <c r="B706" s="4"/>
      <c r="D706" s="3"/>
      <c r="E706" s="3"/>
      <c r="H706" s="3"/>
      <c r="O706" s="4"/>
      <c r="P706" s="4"/>
      <c r="Q706" s="4"/>
      <c r="R706" s="4"/>
      <c r="S706" s="4"/>
      <c r="T706" s="4"/>
      <c r="U706" s="4"/>
    </row>
    <row r="707" spans="2:21" ht="15" x14ac:dyDescent="0.25">
      <c r="B707" s="4"/>
      <c r="D707" s="3"/>
      <c r="E707" s="3"/>
      <c r="H707" s="3"/>
      <c r="O707" s="4"/>
      <c r="P707" s="4"/>
      <c r="Q707" s="4"/>
      <c r="R707" s="4"/>
      <c r="S707" s="4"/>
      <c r="T707" s="4"/>
      <c r="U707" s="4"/>
    </row>
    <row r="708" spans="2:21" ht="15" x14ac:dyDescent="0.25">
      <c r="B708" s="4"/>
      <c r="D708" s="3"/>
      <c r="E708" s="3"/>
      <c r="H708" s="3"/>
      <c r="O708" s="4"/>
      <c r="P708" s="4"/>
      <c r="Q708" s="4"/>
      <c r="R708" s="4"/>
      <c r="S708" s="4"/>
      <c r="T708" s="4"/>
      <c r="U708" s="4"/>
    </row>
    <row r="709" spans="2:21" ht="15" x14ac:dyDescent="0.25">
      <c r="B709" s="4"/>
      <c r="D709" s="3"/>
      <c r="E709" s="3"/>
      <c r="H709" s="3"/>
      <c r="O709" s="4"/>
      <c r="P709" s="4"/>
      <c r="Q709" s="4"/>
      <c r="R709" s="4"/>
      <c r="S709" s="4"/>
      <c r="T709" s="4"/>
      <c r="U709" s="4"/>
    </row>
    <row r="710" spans="2:21" ht="15" x14ac:dyDescent="0.25">
      <c r="B710" s="4"/>
      <c r="D710" s="3"/>
      <c r="E710" s="3"/>
      <c r="H710" s="3"/>
      <c r="O710" s="4"/>
      <c r="P710" s="4"/>
      <c r="Q710" s="4"/>
      <c r="R710" s="4"/>
      <c r="S710" s="4"/>
      <c r="T710" s="4"/>
      <c r="U710" s="4"/>
    </row>
    <row r="711" spans="2:21" ht="15" x14ac:dyDescent="0.25">
      <c r="B711" s="4"/>
      <c r="D711" s="3"/>
      <c r="E711" s="3"/>
      <c r="H711" s="3"/>
      <c r="O711" s="4"/>
      <c r="P711" s="4"/>
      <c r="Q711" s="4"/>
      <c r="R711" s="4"/>
      <c r="S711" s="4"/>
      <c r="T711" s="4"/>
      <c r="U711" s="4"/>
    </row>
    <row r="712" spans="2:21" ht="15" x14ac:dyDescent="0.25">
      <c r="B712" s="4"/>
      <c r="D712" s="3"/>
      <c r="E712" s="3"/>
      <c r="H712" s="3"/>
      <c r="O712" s="4"/>
      <c r="P712" s="4"/>
      <c r="Q712" s="4"/>
      <c r="R712" s="4"/>
      <c r="S712" s="4"/>
      <c r="T712" s="4"/>
      <c r="U712" s="4"/>
    </row>
    <row r="713" spans="2:21" ht="15" x14ac:dyDescent="0.25">
      <c r="B713" s="4"/>
      <c r="D713" s="3"/>
      <c r="E713" s="3"/>
      <c r="H713" s="3"/>
      <c r="O713" s="4"/>
      <c r="P713" s="4"/>
      <c r="Q713" s="4"/>
      <c r="R713" s="4"/>
      <c r="S713" s="4"/>
      <c r="T713" s="4"/>
      <c r="U713" s="4"/>
    </row>
    <row r="714" spans="2:21" ht="15" x14ac:dyDescent="0.25">
      <c r="B714" s="4"/>
      <c r="D714" s="3"/>
      <c r="E714" s="3"/>
      <c r="H714" s="3"/>
      <c r="O714" s="4"/>
      <c r="P714" s="4"/>
      <c r="Q714" s="4"/>
      <c r="R714" s="4"/>
      <c r="S714" s="4"/>
      <c r="T714" s="4"/>
      <c r="U714" s="4"/>
    </row>
    <row r="715" spans="2:21" ht="15" x14ac:dyDescent="0.25">
      <c r="B715" s="4"/>
      <c r="D715" s="3"/>
      <c r="E715" s="3"/>
      <c r="H715" s="3"/>
      <c r="O715" s="4"/>
      <c r="P715" s="4"/>
      <c r="Q715" s="4"/>
      <c r="R715" s="4"/>
      <c r="S715" s="4"/>
      <c r="T715" s="4"/>
      <c r="U715" s="4"/>
    </row>
    <row r="716" spans="2:21" ht="15" x14ac:dyDescent="0.25">
      <c r="B716" s="4"/>
      <c r="D716" s="3"/>
      <c r="E716" s="3"/>
      <c r="H716" s="3"/>
      <c r="O716" s="4"/>
      <c r="P716" s="4"/>
      <c r="Q716" s="4"/>
      <c r="R716" s="4"/>
      <c r="S716" s="4"/>
      <c r="T716" s="4"/>
      <c r="U716" s="4"/>
    </row>
    <row r="717" spans="2:21" ht="15" x14ac:dyDescent="0.25">
      <c r="B717" s="4"/>
      <c r="D717" s="3"/>
      <c r="E717" s="3"/>
      <c r="H717" s="3"/>
      <c r="O717" s="4"/>
      <c r="P717" s="4"/>
      <c r="Q717" s="4"/>
      <c r="R717" s="4"/>
      <c r="S717" s="4"/>
      <c r="T717" s="4"/>
      <c r="U717" s="4"/>
    </row>
    <row r="718" spans="2:21" ht="15" x14ac:dyDescent="0.25">
      <c r="B718" s="4"/>
      <c r="D718" s="3"/>
      <c r="E718" s="3"/>
      <c r="H718" s="3"/>
      <c r="O718" s="4"/>
      <c r="P718" s="4"/>
      <c r="Q718" s="4"/>
      <c r="R718" s="4"/>
      <c r="S718" s="4"/>
      <c r="T718" s="4"/>
      <c r="U718" s="4"/>
    </row>
    <row r="719" spans="2:21" ht="15" x14ac:dyDescent="0.25">
      <c r="B719" s="4"/>
      <c r="D719" s="3"/>
      <c r="E719" s="3"/>
      <c r="H719" s="3"/>
      <c r="O719" s="4"/>
      <c r="P719" s="4"/>
      <c r="Q719" s="4"/>
      <c r="R719" s="4"/>
      <c r="S719" s="4"/>
      <c r="T719" s="4"/>
      <c r="U719" s="4"/>
    </row>
    <row r="720" spans="2:21" ht="15" x14ac:dyDescent="0.25">
      <c r="B720" s="4"/>
      <c r="D720" s="3"/>
      <c r="E720" s="3"/>
      <c r="H720" s="3"/>
      <c r="O720" s="4"/>
      <c r="P720" s="4"/>
      <c r="Q720" s="4"/>
      <c r="R720" s="4"/>
      <c r="S720" s="4"/>
      <c r="T720" s="4"/>
      <c r="U720" s="4"/>
    </row>
    <row r="721" spans="2:21" ht="15" x14ac:dyDescent="0.25">
      <c r="B721" s="4"/>
      <c r="D721" s="3"/>
      <c r="E721" s="3"/>
      <c r="H721" s="3"/>
      <c r="O721" s="4"/>
      <c r="P721" s="4"/>
      <c r="Q721" s="4"/>
      <c r="R721" s="4"/>
      <c r="S721" s="4"/>
      <c r="T721" s="4"/>
      <c r="U721" s="4"/>
    </row>
    <row r="722" spans="2:21" ht="15" x14ac:dyDescent="0.25">
      <c r="B722" s="4"/>
      <c r="D722" s="3"/>
      <c r="E722" s="3"/>
      <c r="H722" s="3"/>
      <c r="O722" s="4"/>
      <c r="P722" s="4"/>
      <c r="Q722" s="4"/>
      <c r="R722" s="4"/>
      <c r="S722" s="4"/>
      <c r="T722" s="4"/>
      <c r="U722" s="4"/>
    </row>
    <row r="723" spans="2:21" ht="15" x14ac:dyDescent="0.25">
      <c r="B723" s="4"/>
      <c r="D723" s="3"/>
      <c r="E723" s="3"/>
      <c r="H723" s="3"/>
      <c r="O723" s="4"/>
      <c r="P723" s="4"/>
      <c r="Q723" s="4"/>
      <c r="R723" s="4"/>
      <c r="S723" s="4"/>
      <c r="T723" s="4"/>
      <c r="U723" s="4"/>
    </row>
    <row r="724" spans="2:21" ht="15" x14ac:dyDescent="0.25">
      <c r="B724" s="4"/>
      <c r="D724" s="3"/>
      <c r="E724" s="3"/>
      <c r="H724" s="3"/>
      <c r="O724" s="4"/>
      <c r="P724" s="4"/>
      <c r="Q724" s="4"/>
      <c r="R724" s="4"/>
      <c r="S724" s="4"/>
      <c r="T724" s="4"/>
      <c r="U724" s="4"/>
    </row>
    <row r="725" spans="2:21" ht="15" x14ac:dyDescent="0.25">
      <c r="B725" s="4"/>
      <c r="D725" s="3"/>
      <c r="E725" s="3"/>
      <c r="H725" s="3"/>
      <c r="O725" s="4"/>
      <c r="P725" s="4"/>
      <c r="Q725" s="4"/>
      <c r="R725" s="4"/>
      <c r="S725" s="4"/>
      <c r="T725" s="4"/>
      <c r="U725" s="4"/>
    </row>
    <row r="726" spans="2:21" ht="15" x14ac:dyDescent="0.25">
      <c r="B726" s="4"/>
      <c r="D726" s="3"/>
      <c r="E726" s="3"/>
      <c r="H726" s="3"/>
      <c r="O726" s="4"/>
      <c r="P726" s="4"/>
      <c r="Q726" s="4"/>
      <c r="R726" s="4"/>
      <c r="S726" s="4"/>
      <c r="T726" s="4"/>
      <c r="U726" s="4"/>
    </row>
    <row r="727" spans="2:21" ht="15" x14ac:dyDescent="0.25">
      <c r="B727" s="4"/>
      <c r="D727" s="3"/>
      <c r="E727" s="3"/>
      <c r="H727" s="3"/>
      <c r="O727" s="4"/>
      <c r="P727" s="4"/>
      <c r="Q727" s="4"/>
      <c r="R727" s="4"/>
      <c r="S727" s="4"/>
      <c r="T727" s="4"/>
      <c r="U727" s="4"/>
    </row>
    <row r="728" spans="2:21" ht="15" x14ac:dyDescent="0.25">
      <c r="B728" s="4"/>
      <c r="D728" s="3"/>
      <c r="E728" s="3"/>
      <c r="H728" s="3"/>
      <c r="O728" s="4"/>
      <c r="P728" s="4"/>
      <c r="Q728" s="4"/>
      <c r="R728" s="4"/>
      <c r="S728" s="4"/>
      <c r="T728" s="4"/>
      <c r="U728" s="4"/>
    </row>
    <row r="729" spans="2:21" ht="15" x14ac:dyDescent="0.25">
      <c r="B729" s="4"/>
      <c r="D729" s="3"/>
      <c r="E729" s="3"/>
      <c r="H729" s="3"/>
      <c r="O729" s="4"/>
      <c r="P729" s="4"/>
      <c r="Q729" s="4"/>
      <c r="R729" s="4"/>
      <c r="S729" s="4"/>
      <c r="T729" s="4"/>
      <c r="U729" s="4"/>
    </row>
    <row r="730" spans="2:21" ht="15" x14ac:dyDescent="0.25">
      <c r="B730" s="4"/>
      <c r="D730" s="3"/>
      <c r="E730" s="3"/>
      <c r="H730" s="3"/>
      <c r="O730" s="4"/>
      <c r="P730" s="4"/>
      <c r="Q730" s="4"/>
      <c r="R730" s="4"/>
      <c r="S730" s="4"/>
      <c r="T730" s="4"/>
      <c r="U730" s="4"/>
    </row>
    <row r="731" spans="2:21" ht="15" x14ac:dyDescent="0.25">
      <c r="B731" s="4"/>
      <c r="D731" s="3"/>
      <c r="E731" s="3"/>
      <c r="H731" s="3"/>
      <c r="O731" s="4"/>
      <c r="P731" s="4"/>
      <c r="Q731" s="4"/>
      <c r="R731" s="4"/>
      <c r="S731" s="4"/>
      <c r="T731" s="4"/>
      <c r="U731" s="4"/>
    </row>
    <row r="732" spans="2:21" ht="15" x14ac:dyDescent="0.25">
      <c r="B732" s="4"/>
      <c r="D732" s="3"/>
      <c r="E732" s="3"/>
      <c r="H732" s="3"/>
      <c r="O732" s="4"/>
      <c r="P732" s="4"/>
      <c r="Q732" s="4"/>
      <c r="R732" s="4"/>
      <c r="S732" s="4"/>
      <c r="T732" s="4"/>
      <c r="U732" s="4"/>
    </row>
    <row r="733" spans="2:21" ht="15" x14ac:dyDescent="0.25">
      <c r="B733" s="4"/>
      <c r="D733" s="3"/>
      <c r="E733" s="3"/>
      <c r="H733" s="3"/>
      <c r="O733" s="4"/>
      <c r="P733" s="4"/>
      <c r="Q733" s="4"/>
      <c r="R733" s="4"/>
      <c r="S733" s="4"/>
      <c r="T733" s="4"/>
      <c r="U733" s="4"/>
    </row>
    <row r="734" spans="2:21" ht="15" x14ac:dyDescent="0.25">
      <c r="B734" s="4"/>
      <c r="D734" s="3"/>
      <c r="E734" s="3"/>
      <c r="H734" s="3"/>
      <c r="O734" s="4"/>
      <c r="P734" s="4"/>
      <c r="Q734" s="4"/>
      <c r="R734" s="4"/>
      <c r="S734" s="4"/>
      <c r="T734" s="4"/>
      <c r="U734" s="4"/>
    </row>
    <row r="735" spans="2:21" ht="15" x14ac:dyDescent="0.25">
      <c r="B735" s="4"/>
      <c r="D735" s="3"/>
      <c r="E735" s="3"/>
      <c r="H735" s="3"/>
      <c r="O735" s="4"/>
      <c r="P735" s="4"/>
      <c r="Q735" s="4"/>
      <c r="R735" s="4"/>
      <c r="S735" s="4"/>
      <c r="T735" s="4"/>
      <c r="U735" s="4"/>
    </row>
    <row r="736" spans="2:21" ht="15" x14ac:dyDescent="0.25">
      <c r="B736" s="4"/>
      <c r="D736" s="3"/>
      <c r="E736" s="3"/>
      <c r="H736" s="3"/>
      <c r="O736" s="4"/>
      <c r="P736" s="4"/>
      <c r="Q736" s="4"/>
      <c r="R736" s="4"/>
      <c r="S736" s="4"/>
      <c r="T736" s="4"/>
      <c r="U736" s="4"/>
    </row>
    <row r="737" spans="2:21" ht="15" x14ac:dyDescent="0.25">
      <c r="B737" s="4"/>
      <c r="D737" s="3"/>
      <c r="E737" s="3"/>
      <c r="H737" s="3"/>
      <c r="O737" s="4"/>
      <c r="P737" s="4"/>
      <c r="Q737" s="4"/>
      <c r="R737" s="4"/>
      <c r="S737" s="4"/>
      <c r="T737" s="4"/>
      <c r="U737" s="4"/>
    </row>
    <row r="738" spans="2:21" ht="15" x14ac:dyDescent="0.25">
      <c r="B738" s="4"/>
      <c r="D738" s="3"/>
      <c r="E738" s="3"/>
      <c r="H738" s="3"/>
      <c r="O738" s="4"/>
      <c r="P738" s="4"/>
      <c r="Q738" s="4"/>
      <c r="R738" s="4"/>
      <c r="S738" s="4"/>
      <c r="T738" s="4"/>
      <c r="U738" s="4"/>
    </row>
    <row r="739" spans="2:21" ht="15" x14ac:dyDescent="0.25">
      <c r="B739" s="4"/>
      <c r="D739" s="3"/>
      <c r="E739" s="3"/>
      <c r="H739" s="3"/>
      <c r="O739" s="4"/>
      <c r="P739" s="4"/>
      <c r="Q739" s="4"/>
      <c r="R739" s="4"/>
      <c r="S739" s="4"/>
      <c r="T739" s="4"/>
      <c r="U739" s="4"/>
    </row>
    <row r="740" spans="2:21" ht="15" x14ac:dyDescent="0.25">
      <c r="B740" s="4"/>
      <c r="D740" s="3"/>
      <c r="E740" s="3"/>
      <c r="H740" s="3"/>
      <c r="O740" s="4"/>
      <c r="P740" s="4"/>
      <c r="Q740" s="4"/>
      <c r="R740" s="4"/>
      <c r="S740" s="4"/>
      <c r="T740" s="4"/>
      <c r="U740" s="4"/>
    </row>
    <row r="741" spans="2:21" ht="15" x14ac:dyDescent="0.25">
      <c r="B741" s="4"/>
      <c r="D741" s="3"/>
      <c r="E741" s="3"/>
      <c r="H741" s="3"/>
      <c r="O741" s="4"/>
      <c r="P741" s="4"/>
      <c r="Q741" s="4"/>
      <c r="R741" s="4"/>
      <c r="S741" s="4"/>
      <c r="T741" s="4"/>
      <c r="U741" s="4"/>
    </row>
    <row r="742" spans="2:21" ht="15" x14ac:dyDescent="0.25">
      <c r="B742" s="4"/>
      <c r="D742" s="3"/>
      <c r="E742" s="3"/>
      <c r="H742" s="3"/>
      <c r="O742" s="4"/>
      <c r="P742" s="4"/>
      <c r="Q742" s="4"/>
      <c r="R742" s="4"/>
      <c r="S742" s="4"/>
      <c r="T742" s="4"/>
      <c r="U742" s="4"/>
    </row>
    <row r="743" spans="2:21" ht="15" x14ac:dyDescent="0.25">
      <c r="B743" s="4"/>
      <c r="D743" s="3"/>
      <c r="E743" s="3"/>
      <c r="H743" s="3"/>
      <c r="O743" s="4"/>
      <c r="P743" s="4"/>
      <c r="Q743" s="4"/>
      <c r="R743" s="4"/>
      <c r="S743" s="4"/>
      <c r="T743" s="4"/>
      <c r="U743" s="4"/>
    </row>
    <row r="744" spans="2:21" ht="15" x14ac:dyDescent="0.25">
      <c r="B744" s="4"/>
      <c r="D744" s="3"/>
      <c r="E744" s="3"/>
      <c r="H744" s="3"/>
      <c r="O744" s="4"/>
      <c r="P744" s="4"/>
      <c r="Q744" s="4"/>
      <c r="R744" s="4"/>
      <c r="S744" s="4"/>
      <c r="T744" s="4"/>
      <c r="U744" s="4"/>
    </row>
    <row r="745" spans="2:21" ht="15" x14ac:dyDescent="0.25">
      <c r="B745" s="4"/>
      <c r="D745" s="3"/>
      <c r="E745" s="3"/>
      <c r="H745" s="3"/>
      <c r="O745" s="4"/>
      <c r="P745" s="4"/>
      <c r="Q745" s="4"/>
      <c r="R745" s="4"/>
      <c r="S745" s="4"/>
      <c r="T745" s="4"/>
      <c r="U745" s="4"/>
    </row>
    <row r="746" spans="2:21" ht="15" x14ac:dyDescent="0.25">
      <c r="B746" s="4"/>
      <c r="D746" s="3"/>
      <c r="E746" s="3"/>
      <c r="H746" s="3"/>
      <c r="O746" s="4"/>
      <c r="P746" s="4"/>
      <c r="Q746" s="4"/>
      <c r="R746" s="4"/>
      <c r="S746" s="4"/>
      <c r="T746" s="4"/>
      <c r="U746" s="4"/>
    </row>
    <row r="747" spans="2:21" ht="15" x14ac:dyDescent="0.25">
      <c r="B747" s="4"/>
      <c r="D747" s="3"/>
      <c r="E747" s="3"/>
      <c r="H747" s="3"/>
      <c r="O747" s="4"/>
      <c r="P747" s="4"/>
      <c r="Q747" s="4"/>
      <c r="R747" s="4"/>
      <c r="S747" s="4"/>
      <c r="T747" s="4"/>
      <c r="U747" s="4"/>
    </row>
    <row r="748" spans="2:21" ht="15" x14ac:dyDescent="0.25">
      <c r="B748" s="4"/>
      <c r="D748" s="3"/>
      <c r="E748" s="3"/>
      <c r="H748" s="3"/>
      <c r="O748" s="4"/>
      <c r="P748" s="4"/>
      <c r="Q748" s="4"/>
      <c r="R748" s="4"/>
      <c r="S748" s="4"/>
      <c r="T748" s="4"/>
      <c r="U748" s="4"/>
    </row>
    <row r="749" spans="2:21" ht="15" x14ac:dyDescent="0.25">
      <c r="B749" s="4"/>
      <c r="D749" s="3"/>
      <c r="E749" s="3"/>
      <c r="H749" s="3"/>
      <c r="O749" s="4"/>
      <c r="P749" s="4"/>
      <c r="Q749" s="4"/>
      <c r="R749" s="4"/>
      <c r="S749" s="4"/>
      <c r="T749" s="4"/>
      <c r="U749" s="4"/>
    </row>
    <row r="750" spans="2:21" ht="15" x14ac:dyDescent="0.25">
      <c r="B750" s="4"/>
      <c r="D750" s="3"/>
      <c r="E750" s="3"/>
      <c r="H750" s="3"/>
      <c r="O750" s="4"/>
      <c r="P750" s="4"/>
      <c r="Q750" s="4"/>
      <c r="R750" s="4"/>
      <c r="S750" s="4"/>
      <c r="T750" s="4"/>
      <c r="U750" s="4"/>
    </row>
    <row r="751" spans="2:21" ht="15" x14ac:dyDescent="0.25">
      <c r="B751" s="4"/>
      <c r="D751" s="3"/>
      <c r="E751" s="3"/>
      <c r="H751" s="3"/>
      <c r="O751" s="4"/>
      <c r="P751" s="4"/>
      <c r="Q751" s="4"/>
      <c r="R751" s="4"/>
      <c r="S751" s="4"/>
      <c r="T751" s="4"/>
      <c r="U751" s="4"/>
    </row>
    <row r="752" spans="2:21" ht="15" x14ac:dyDescent="0.25">
      <c r="B752" s="4"/>
      <c r="D752" s="3"/>
      <c r="E752" s="3"/>
      <c r="H752" s="3"/>
      <c r="O752" s="4"/>
      <c r="P752" s="4"/>
      <c r="Q752" s="4"/>
      <c r="R752" s="4"/>
      <c r="S752" s="4"/>
      <c r="T752" s="4"/>
      <c r="U752" s="4"/>
    </row>
    <row r="753" spans="2:21" ht="15" x14ac:dyDescent="0.25">
      <c r="B753" s="4"/>
      <c r="D753" s="3"/>
      <c r="E753" s="3"/>
      <c r="H753" s="3"/>
      <c r="O753" s="4"/>
      <c r="P753" s="4"/>
      <c r="Q753" s="4"/>
      <c r="R753" s="4"/>
      <c r="S753" s="4"/>
      <c r="T753" s="4"/>
      <c r="U753" s="4"/>
    </row>
    <row r="754" spans="2:21" ht="15" x14ac:dyDescent="0.25">
      <c r="B754" s="4"/>
      <c r="D754" s="3"/>
      <c r="E754" s="3"/>
      <c r="H754" s="3"/>
      <c r="O754" s="4"/>
      <c r="P754" s="4"/>
      <c r="Q754" s="4"/>
      <c r="R754" s="4"/>
      <c r="S754" s="4"/>
      <c r="T754" s="4"/>
      <c r="U754" s="4"/>
    </row>
    <row r="755" spans="2:21" ht="15" x14ac:dyDescent="0.25">
      <c r="B755" s="4"/>
      <c r="D755" s="3"/>
      <c r="E755" s="3"/>
      <c r="H755" s="3"/>
      <c r="O755" s="4"/>
      <c r="P755" s="4"/>
      <c r="Q755" s="4"/>
      <c r="R755" s="4"/>
      <c r="S755" s="4"/>
      <c r="T755" s="4"/>
      <c r="U755" s="4"/>
    </row>
    <row r="756" spans="2:21" ht="15" x14ac:dyDescent="0.25">
      <c r="B756" s="4"/>
      <c r="D756" s="3"/>
      <c r="E756" s="3"/>
      <c r="H756" s="3"/>
      <c r="O756" s="4"/>
      <c r="P756" s="4"/>
      <c r="Q756" s="4"/>
      <c r="R756" s="4"/>
      <c r="S756" s="4"/>
      <c r="T756" s="4"/>
      <c r="U756" s="4"/>
    </row>
    <row r="757" spans="2:21" ht="15" x14ac:dyDescent="0.25">
      <c r="B757" s="4"/>
      <c r="D757" s="3"/>
      <c r="E757" s="3"/>
      <c r="H757" s="3"/>
      <c r="O757" s="4"/>
      <c r="P757" s="4"/>
      <c r="Q757" s="4"/>
      <c r="R757" s="4"/>
      <c r="S757" s="4"/>
      <c r="T757" s="4"/>
      <c r="U757" s="4"/>
    </row>
    <row r="758" spans="2:21" ht="15" x14ac:dyDescent="0.25">
      <c r="B758" s="4"/>
      <c r="D758" s="3"/>
      <c r="E758" s="3"/>
      <c r="H758" s="3"/>
      <c r="O758" s="4"/>
      <c r="P758" s="4"/>
      <c r="Q758" s="4"/>
      <c r="R758" s="4"/>
      <c r="S758" s="4"/>
      <c r="T758" s="4"/>
      <c r="U758" s="4"/>
    </row>
    <row r="759" spans="2:21" ht="15" x14ac:dyDescent="0.25">
      <c r="B759" s="4"/>
      <c r="D759" s="3"/>
      <c r="E759" s="3"/>
      <c r="H759" s="3"/>
      <c r="O759" s="4"/>
      <c r="P759" s="4"/>
      <c r="Q759" s="4"/>
      <c r="R759" s="4"/>
      <c r="S759" s="4"/>
      <c r="T759" s="4"/>
      <c r="U759" s="4"/>
    </row>
    <row r="760" spans="2:21" ht="15" x14ac:dyDescent="0.25">
      <c r="B760" s="4"/>
      <c r="D760" s="3"/>
      <c r="E760" s="3"/>
      <c r="H760" s="3"/>
      <c r="O760" s="4"/>
      <c r="P760" s="4"/>
      <c r="Q760" s="4"/>
      <c r="R760" s="4"/>
      <c r="S760" s="4"/>
      <c r="T760" s="4"/>
      <c r="U760" s="4"/>
    </row>
    <row r="761" spans="2:21" ht="15" x14ac:dyDescent="0.25">
      <c r="B761" s="4"/>
      <c r="D761" s="3"/>
      <c r="E761" s="3"/>
      <c r="H761" s="3"/>
      <c r="O761" s="4"/>
      <c r="P761" s="4"/>
      <c r="Q761" s="4"/>
      <c r="R761" s="4"/>
      <c r="S761" s="4"/>
      <c r="T761" s="4"/>
      <c r="U761" s="4"/>
    </row>
    <row r="762" spans="2:21" ht="15" x14ac:dyDescent="0.25">
      <c r="B762" s="4"/>
      <c r="D762" s="3"/>
      <c r="E762" s="3"/>
      <c r="H762" s="3"/>
      <c r="O762" s="4"/>
      <c r="P762" s="4"/>
      <c r="Q762" s="4"/>
      <c r="R762" s="4"/>
      <c r="S762" s="4"/>
      <c r="T762" s="4"/>
      <c r="U762" s="4"/>
    </row>
    <row r="763" spans="2:21" ht="15" x14ac:dyDescent="0.25">
      <c r="B763" s="4"/>
      <c r="D763" s="3"/>
      <c r="E763" s="3"/>
      <c r="H763" s="3"/>
      <c r="O763" s="4"/>
      <c r="P763" s="4"/>
      <c r="Q763" s="4"/>
      <c r="R763" s="4"/>
      <c r="S763" s="4"/>
      <c r="T763" s="4"/>
      <c r="U763" s="4"/>
    </row>
    <row r="764" spans="2:21" ht="15" x14ac:dyDescent="0.25">
      <c r="B764" s="4"/>
      <c r="D764" s="3"/>
      <c r="E764" s="3"/>
      <c r="H764" s="3"/>
      <c r="O764" s="4"/>
      <c r="P764" s="4"/>
      <c r="Q764" s="4"/>
      <c r="R764" s="4"/>
      <c r="S764" s="4"/>
      <c r="T764" s="4"/>
      <c r="U764" s="4"/>
    </row>
    <row r="765" spans="2:21" ht="15" x14ac:dyDescent="0.25">
      <c r="B765" s="4"/>
      <c r="D765" s="3"/>
      <c r="E765" s="3"/>
      <c r="H765" s="3"/>
      <c r="O765" s="4"/>
      <c r="P765" s="4"/>
      <c r="Q765" s="4"/>
      <c r="R765" s="4"/>
      <c r="S765" s="4"/>
      <c r="T765" s="4"/>
      <c r="U765" s="4"/>
    </row>
    <row r="766" spans="2:21" ht="15" x14ac:dyDescent="0.25">
      <c r="B766" s="4"/>
      <c r="D766" s="3"/>
      <c r="E766" s="3"/>
      <c r="H766" s="3"/>
      <c r="O766" s="4"/>
      <c r="P766" s="4"/>
      <c r="Q766" s="4"/>
      <c r="R766" s="4"/>
      <c r="S766" s="4"/>
      <c r="T766" s="4"/>
      <c r="U766" s="4"/>
    </row>
    <row r="767" spans="2:21" ht="15" x14ac:dyDescent="0.25">
      <c r="B767" s="4"/>
      <c r="D767" s="3"/>
      <c r="E767" s="3"/>
      <c r="H767" s="3"/>
      <c r="O767" s="4"/>
      <c r="P767" s="4"/>
      <c r="Q767" s="4"/>
      <c r="R767" s="4"/>
      <c r="S767" s="4"/>
      <c r="T767" s="4"/>
      <c r="U767" s="4"/>
    </row>
    <row r="768" spans="2:21" ht="15" x14ac:dyDescent="0.25">
      <c r="B768" s="4"/>
      <c r="D768" s="3"/>
      <c r="E768" s="3"/>
      <c r="H768" s="3"/>
      <c r="O768" s="4"/>
      <c r="P768" s="4"/>
      <c r="Q768" s="4"/>
      <c r="R768" s="4"/>
      <c r="S768" s="4"/>
      <c r="T768" s="4"/>
      <c r="U768" s="4"/>
    </row>
    <row r="769" spans="2:21" ht="15" x14ac:dyDescent="0.25">
      <c r="B769" s="4"/>
      <c r="D769" s="3"/>
      <c r="E769" s="3"/>
      <c r="H769" s="3"/>
      <c r="O769" s="4"/>
      <c r="P769" s="4"/>
      <c r="Q769" s="4"/>
      <c r="R769" s="4"/>
      <c r="S769" s="4"/>
      <c r="T769" s="4"/>
      <c r="U769" s="4"/>
    </row>
    <row r="770" spans="2:21" ht="15" x14ac:dyDescent="0.25">
      <c r="B770" s="4"/>
      <c r="D770" s="3"/>
      <c r="E770" s="3"/>
      <c r="H770" s="3"/>
      <c r="O770" s="4"/>
      <c r="P770" s="4"/>
      <c r="Q770" s="4"/>
      <c r="R770" s="4"/>
      <c r="S770" s="4"/>
      <c r="T770" s="4"/>
      <c r="U770" s="4"/>
    </row>
    <row r="771" spans="2:21" ht="15" x14ac:dyDescent="0.25">
      <c r="B771" s="4"/>
      <c r="D771" s="3"/>
      <c r="E771" s="3"/>
      <c r="H771" s="3"/>
      <c r="O771" s="4"/>
      <c r="P771" s="4"/>
      <c r="Q771" s="4"/>
      <c r="R771" s="4"/>
      <c r="S771" s="4"/>
      <c r="T771" s="4"/>
      <c r="U771" s="4"/>
    </row>
    <row r="772" spans="2:21" ht="15" x14ac:dyDescent="0.25">
      <c r="B772" s="4"/>
      <c r="D772" s="3"/>
      <c r="E772" s="3"/>
      <c r="H772" s="3"/>
      <c r="O772" s="4"/>
      <c r="P772" s="4"/>
      <c r="Q772" s="4"/>
      <c r="R772" s="4"/>
      <c r="S772" s="4"/>
      <c r="T772" s="4"/>
      <c r="U772" s="4"/>
    </row>
    <row r="773" spans="2:21" ht="15" x14ac:dyDescent="0.25">
      <c r="B773" s="4"/>
      <c r="D773" s="3"/>
      <c r="E773" s="3"/>
      <c r="H773" s="3"/>
      <c r="O773" s="4"/>
      <c r="P773" s="4"/>
      <c r="Q773" s="4"/>
      <c r="R773" s="4"/>
      <c r="S773" s="4"/>
      <c r="T773" s="4"/>
      <c r="U773" s="4"/>
    </row>
    <row r="774" spans="2:21" ht="15" x14ac:dyDescent="0.25">
      <c r="B774" s="4"/>
      <c r="D774" s="3"/>
      <c r="E774" s="3"/>
      <c r="H774" s="3"/>
      <c r="O774" s="4"/>
      <c r="P774" s="4"/>
      <c r="Q774" s="4"/>
      <c r="R774" s="4"/>
      <c r="S774" s="4"/>
      <c r="T774" s="4"/>
      <c r="U774" s="4"/>
    </row>
    <row r="775" spans="2:21" ht="15" x14ac:dyDescent="0.25">
      <c r="B775" s="4"/>
      <c r="D775" s="3"/>
      <c r="E775" s="3"/>
      <c r="H775" s="3"/>
      <c r="O775" s="4"/>
      <c r="P775" s="4"/>
      <c r="Q775" s="4"/>
      <c r="R775" s="4"/>
      <c r="S775" s="4"/>
      <c r="T775" s="4"/>
      <c r="U775" s="4"/>
    </row>
    <row r="776" spans="2:21" ht="15" x14ac:dyDescent="0.25">
      <c r="B776" s="4"/>
      <c r="D776" s="3"/>
      <c r="E776" s="3"/>
      <c r="H776" s="3"/>
      <c r="O776" s="4"/>
      <c r="P776" s="4"/>
      <c r="Q776" s="4"/>
      <c r="R776" s="4"/>
      <c r="S776" s="4"/>
      <c r="T776" s="4"/>
      <c r="U776" s="4"/>
    </row>
    <row r="777" spans="2:21" ht="15" x14ac:dyDescent="0.25">
      <c r="B777" s="4"/>
      <c r="D777" s="3"/>
      <c r="E777" s="3"/>
      <c r="H777" s="3"/>
      <c r="O777" s="4"/>
      <c r="P777" s="4"/>
      <c r="Q777" s="4"/>
      <c r="R777" s="4"/>
      <c r="S777" s="4"/>
      <c r="T777" s="4"/>
      <c r="U777" s="4"/>
    </row>
    <row r="778" spans="2:21" ht="15" x14ac:dyDescent="0.25">
      <c r="B778" s="4"/>
      <c r="D778" s="3"/>
      <c r="E778" s="3"/>
      <c r="H778" s="3"/>
      <c r="O778" s="4"/>
      <c r="P778" s="4"/>
      <c r="Q778" s="4"/>
      <c r="R778" s="4"/>
      <c r="S778" s="4"/>
      <c r="T778" s="4"/>
      <c r="U778" s="4"/>
    </row>
    <row r="779" spans="2:21" ht="15" x14ac:dyDescent="0.25">
      <c r="B779" s="4"/>
      <c r="D779" s="3"/>
      <c r="E779" s="3"/>
      <c r="H779" s="3"/>
      <c r="O779" s="4"/>
      <c r="P779" s="4"/>
      <c r="Q779" s="4"/>
      <c r="R779" s="4"/>
      <c r="S779" s="4"/>
      <c r="T779" s="4"/>
      <c r="U779" s="4"/>
    </row>
    <row r="780" spans="2:21" ht="15" x14ac:dyDescent="0.25">
      <c r="B780" s="4"/>
      <c r="D780" s="3"/>
      <c r="E780" s="3"/>
      <c r="H780" s="3"/>
      <c r="O780" s="4"/>
      <c r="P780" s="4"/>
      <c r="Q780" s="4"/>
      <c r="R780" s="4"/>
      <c r="S780" s="4"/>
      <c r="T780" s="4"/>
      <c r="U780" s="4"/>
    </row>
    <row r="781" spans="2:21" ht="15" x14ac:dyDescent="0.25">
      <c r="B781" s="4"/>
      <c r="D781" s="3"/>
      <c r="E781" s="3"/>
      <c r="H781" s="3"/>
      <c r="O781" s="4"/>
      <c r="P781" s="4"/>
      <c r="Q781" s="4"/>
      <c r="R781" s="4"/>
      <c r="S781" s="4"/>
      <c r="T781" s="4"/>
      <c r="U781" s="4"/>
    </row>
    <row r="782" spans="2:21" ht="15" x14ac:dyDescent="0.25">
      <c r="B782" s="4"/>
      <c r="D782" s="3"/>
      <c r="E782" s="3"/>
      <c r="H782" s="3"/>
      <c r="O782" s="4"/>
      <c r="P782" s="4"/>
      <c r="Q782" s="4"/>
      <c r="R782" s="4"/>
      <c r="S782" s="4"/>
      <c r="T782" s="4"/>
      <c r="U782" s="4"/>
    </row>
    <row r="783" spans="2:21" ht="15" x14ac:dyDescent="0.25">
      <c r="B783" s="4"/>
      <c r="D783" s="3"/>
      <c r="E783" s="3"/>
      <c r="H783" s="3"/>
      <c r="O783" s="4"/>
      <c r="P783" s="4"/>
      <c r="Q783" s="4"/>
      <c r="R783" s="4"/>
      <c r="S783" s="4"/>
      <c r="T783" s="4"/>
      <c r="U783" s="4"/>
    </row>
    <row r="784" spans="2:21" ht="15" x14ac:dyDescent="0.25">
      <c r="B784" s="4"/>
      <c r="D784" s="3"/>
      <c r="E784" s="3"/>
      <c r="H784" s="3"/>
      <c r="O784" s="4"/>
      <c r="P784" s="4"/>
      <c r="Q784" s="4"/>
      <c r="R784" s="4"/>
      <c r="S784" s="4"/>
      <c r="T784" s="4"/>
      <c r="U784" s="4"/>
    </row>
    <row r="785" spans="2:21" ht="15" x14ac:dyDescent="0.25">
      <c r="B785" s="4"/>
      <c r="D785" s="3"/>
      <c r="E785" s="3"/>
      <c r="H785" s="3"/>
      <c r="O785" s="4"/>
      <c r="P785" s="4"/>
      <c r="Q785" s="4"/>
      <c r="R785" s="4"/>
      <c r="S785" s="4"/>
      <c r="T785" s="4"/>
      <c r="U785" s="4"/>
    </row>
    <row r="786" spans="2:21" ht="15" x14ac:dyDescent="0.25">
      <c r="B786" s="4"/>
      <c r="D786" s="3"/>
      <c r="E786" s="3"/>
      <c r="H786" s="3"/>
      <c r="O786" s="4"/>
      <c r="P786" s="4"/>
      <c r="Q786" s="4"/>
      <c r="R786" s="4"/>
      <c r="S786" s="4"/>
      <c r="T786" s="4"/>
      <c r="U786" s="4"/>
    </row>
    <row r="787" spans="2:21" ht="15" x14ac:dyDescent="0.25">
      <c r="B787" s="4"/>
      <c r="D787" s="3"/>
      <c r="E787" s="3"/>
      <c r="H787" s="3"/>
      <c r="O787" s="4"/>
      <c r="P787" s="4"/>
      <c r="Q787" s="4"/>
      <c r="R787" s="4"/>
      <c r="S787" s="4"/>
      <c r="T787" s="4"/>
      <c r="U787" s="4"/>
    </row>
    <row r="788" spans="2:21" ht="15" x14ac:dyDescent="0.25">
      <c r="B788" s="4"/>
      <c r="D788" s="3"/>
      <c r="E788" s="3"/>
      <c r="H788" s="3"/>
      <c r="O788" s="4"/>
      <c r="P788" s="4"/>
      <c r="Q788" s="4"/>
      <c r="R788" s="4"/>
      <c r="S788" s="4"/>
      <c r="T788" s="4"/>
      <c r="U788" s="4"/>
    </row>
    <row r="789" spans="2:21" ht="15" x14ac:dyDescent="0.25">
      <c r="B789" s="4"/>
      <c r="D789" s="3"/>
      <c r="E789" s="3"/>
      <c r="H789" s="3"/>
      <c r="O789" s="4"/>
      <c r="P789" s="4"/>
      <c r="Q789" s="4"/>
      <c r="R789" s="4"/>
      <c r="S789" s="4"/>
      <c r="T789" s="4"/>
      <c r="U789" s="4"/>
    </row>
    <row r="790" spans="2:21" ht="15" x14ac:dyDescent="0.25">
      <c r="B790" s="4"/>
      <c r="D790" s="3"/>
      <c r="E790" s="3"/>
      <c r="H790" s="3"/>
      <c r="O790" s="4"/>
      <c r="P790" s="4"/>
      <c r="Q790" s="4"/>
      <c r="R790" s="4"/>
      <c r="S790" s="4"/>
      <c r="T790" s="4"/>
      <c r="U790" s="4"/>
    </row>
    <row r="791" spans="2:21" ht="15" x14ac:dyDescent="0.25">
      <c r="B791" s="4"/>
      <c r="D791" s="3"/>
      <c r="E791" s="3"/>
      <c r="H791" s="3"/>
      <c r="O791" s="4"/>
      <c r="P791" s="4"/>
      <c r="Q791" s="4"/>
      <c r="R791" s="4"/>
      <c r="S791" s="4"/>
      <c r="T791" s="4"/>
      <c r="U791" s="4"/>
    </row>
    <row r="792" spans="2:21" ht="15" x14ac:dyDescent="0.25">
      <c r="B792" s="4"/>
      <c r="D792" s="3"/>
      <c r="E792" s="3"/>
      <c r="H792" s="3"/>
      <c r="O792" s="4"/>
      <c r="P792" s="4"/>
      <c r="Q792" s="4"/>
      <c r="R792" s="4"/>
      <c r="S792" s="4"/>
      <c r="T792" s="4"/>
      <c r="U792" s="4"/>
    </row>
    <row r="793" spans="2:21" ht="15" x14ac:dyDescent="0.25">
      <c r="B793" s="4"/>
      <c r="D793" s="3"/>
      <c r="E793" s="3"/>
      <c r="H793" s="3"/>
      <c r="O793" s="4"/>
      <c r="P793" s="4"/>
      <c r="Q793" s="4"/>
      <c r="R793" s="4"/>
      <c r="S793" s="4"/>
      <c r="T793" s="4"/>
      <c r="U793" s="4"/>
    </row>
    <row r="794" spans="2:21" ht="15" x14ac:dyDescent="0.25">
      <c r="B794" s="4"/>
      <c r="D794" s="3"/>
      <c r="E794" s="3"/>
      <c r="H794" s="3"/>
      <c r="O794" s="4"/>
      <c r="P794" s="4"/>
      <c r="Q794" s="4"/>
      <c r="R794" s="4"/>
      <c r="S794" s="4"/>
      <c r="T794" s="4"/>
      <c r="U794" s="4"/>
    </row>
    <row r="795" spans="2:21" ht="15" x14ac:dyDescent="0.25">
      <c r="B795" s="4"/>
      <c r="D795" s="3"/>
      <c r="E795" s="3"/>
      <c r="H795" s="3"/>
      <c r="O795" s="4"/>
      <c r="P795" s="4"/>
      <c r="Q795" s="4"/>
      <c r="R795" s="4"/>
      <c r="S795" s="4"/>
      <c r="T795" s="4"/>
      <c r="U795" s="4"/>
    </row>
    <row r="796" spans="2:21" ht="15" x14ac:dyDescent="0.25">
      <c r="B796" s="4"/>
      <c r="D796" s="3"/>
      <c r="E796" s="3"/>
      <c r="H796" s="3"/>
      <c r="O796" s="4"/>
      <c r="P796" s="4"/>
      <c r="Q796" s="4"/>
      <c r="R796" s="4"/>
      <c r="S796" s="4"/>
      <c r="T796" s="4"/>
      <c r="U796" s="4"/>
    </row>
    <row r="797" spans="2:21" ht="15" x14ac:dyDescent="0.25">
      <c r="B797" s="4"/>
      <c r="D797" s="3"/>
      <c r="E797" s="3"/>
      <c r="H797" s="3"/>
      <c r="O797" s="4"/>
      <c r="P797" s="4"/>
      <c r="Q797" s="4"/>
      <c r="R797" s="4"/>
      <c r="S797" s="4"/>
      <c r="T797" s="4"/>
      <c r="U797" s="4"/>
    </row>
    <row r="798" spans="2:21" ht="15" x14ac:dyDescent="0.25">
      <c r="B798" s="4"/>
      <c r="D798" s="3"/>
      <c r="E798" s="3"/>
      <c r="H798" s="3"/>
      <c r="O798" s="4"/>
      <c r="P798" s="4"/>
      <c r="Q798" s="4"/>
      <c r="R798" s="4"/>
      <c r="S798" s="4"/>
      <c r="T798" s="4"/>
      <c r="U798" s="4"/>
    </row>
    <row r="799" spans="2:21" ht="15" x14ac:dyDescent="0.25">
      <c r="B799" s="4"/>
      <c r="D799" s="3"/>
      <c r="E799" s="3"/>
      <c r="H799" s="3"/>
      <c r="O799" s="4"/>
      <c r="P799" s="4"/>
      <c r="Q799" s="4"/>
      <c r="R799" s="4"/>
      <c r="S799" s="4"/>
      <c r="T799" s="4"/>
      <c r="U799" s="4"/>
    </row>
    <row r="800" spans="2:21" ht="15" x14ac:dyDescent="0.25">
      <c r="B800" s="4"/>
      <c r="D800" s="3"/>
      <c r="E800" s="3"/>
      <c r="H800" s="3"/>
      <c r="O800" s="4"/>
      <c r="P800" s="4"/>
      <c r="Q800" s="4"/>
      <c r="R800" s="4"/>
      <c r="S800" s="4"/>
      <c r="T800" s="4"/>
      <c r="U800" s="4"/>
    </row>
    <row r="801" spans="2:21" ht="15" x14ac:dyDescent="0.25">
      <c r="B801" s="4"/>
      <c r="D801" s="3"/>
      <c r="E801" s="3"/>
      <c r="H801" s="3"/>
      <c r="O801" s="4"/>
      <c r="P801" s="4"/>
      <c r="Q801" s="4"/>
      <c r="R801" s="4"/>
      <c r="S801" s="4"/>
      <c r="T801" s="4"/>
      <c r="U801" s="4"/>
    </row>
    <row r="802" spans="2:21" ht="15" x14ac:dyDescent="0.25">
      <c r="B802" s="4"/>
      <c r="D802" s="3"/>
      <c r="E802" s="3"/>
      <c r="H802" s="3"/>
      <c r="O802" s="4"/>
      <c r="P802" s="4"/>
      <c r="Q802" s="4"/>
      <c r="R802" s="4"/>
      <c r="S802" s="4"/>
      <c r="T802" s="4"/>
      <c r="U802" s="4"/>
    </row>
    <row r="803" spans="2:21" ht="15" x14ac:dyDescent="0.25">
      <c r="B803" s="4"/>
      <c r="D803" s="3"/>
      <c r="E803" s="3"/>
      <c r="H803" s="3"/>
      <c r="O803" s="4"/>
      <c r="P803" s="4"/>
      <c r="Q803" s="4"/>
      <c r="R803" s="4"/>
      <c r="S803" s="4"/>
      <c r="T803" s="4"/>
      <c r="U803" s="4"/>
    </row>
    <row r="804" spans="2:21" ht="15" x14ac:dyDescent="0.25">
      <c r="B804" s="4"/>
      <c r="D804" s="3"/>
      <c r="E804" s="3"/>
      <c r="H804" s="3"/>
      <c r="O804" s="4"/>
      <c r="P804" s="4"/>
      <c r="Q804" s="4"/>
      <c r="R804" s="4"/>
      <c r="S804" s="4"/>
      <c r="T804" s="4"/>
      <c r="U804" s="4"/>
    </row>
    <row r="805" spans="2:21" ht="15" x14ac:dyDescent="0.25">
      <c r="B805" s="4"/>
      <c r="D805" s="3"/>
      <c r="E805" s="3"/>
      <c r="H805" s="3"/>
      <c r="O805" s="4"/>
      <c r="P805" s="4"/>
      <c r="Q805" s="4"/>
      <c r="R805" s="4"/>
      <c r="S805" s="4"/>
      <c r="T805" s="4"/>
      <c r="U805" s="4"/>
    </row>
    <row r="806" spans="2:21" ht="15" x14ac:dyDescent="0.25">
      <c r="B806" s="4"/>
      <c r="D806" s="3"/>
      <c r="E806" s="3"/>
      <c r="H806" s="3"/>
      <c r="O806" s="4"/>
      <c r="P806" s="4"/>
      <c r="Q806" s="4"/>
      <c r="R806" s="4"/>
      <c r="S806" s="4"/>
      <c r="T806" s="4"/>
      <c r="U806" s="4"/>
    </row>
    <row r="807" spans="2:21" ht="15" x14ac:dyDescent="0.25">
      <c r="B807" s="4"/>
      <c r="D807" s="3"/>
      <c r="E807" s="3"/>
      <c r="H807" s="3"/>
      <c r="O807" s="4"/>
      <c r="P807" s="4"/>
      <c r="Q807" s="4"/>
      <c r="R807" s="4"/>
      <c r="S807" s="4"/>
      <c r="T807" s="4"/>
      <c r="U807" s="4"/>
    </row>
    <row r="808" spans="2:21" ht="15" x14ac:dyDescent="0.25">
      <c r="B808" s="4"/>
      <c r="D808" s="3"/>
      <c r="E808" s="3"/>
      <c r="H808" s="3"/>
      <c r="O808" s="4"/>
      <c r="P808" s="4"/>
      <c r="Q808" s="4"/>
      <c r="R808" s="4"/>
      <c r="S808" s="4"/>
      <c r="T808" s="4"/>
      <c r="U808" s="4"/>
    </row>
    <row r="809" spans="2:21" ht="15" x14ac:dyDescent="0.25">
      <c r="B809" s="4"/>
      <c r="D809" s="3"/>
      <c r="E809" s="3"/>
      <c r="H809" s="3"/>
      <c r="O809" s="4"/>
      <c r="P809" s="4"/>
      <c r="Q809" s="4"/>
      <c r="R809" s="4"/>
      <c r="S809" s="4"/>
      <c r="T809" s="4"/>
      <c r="U809" s="4"/>
    </row>
    <row r="810" spans="2:21" ht="15" x14ac:dyDescent="0.25">
      <c r="B810" s="4"/>
      <c r="D810" s="3"/>
      <c r="E810" s="3"/>
      <c r="H810" s="3"/>
      <c r="O810" s="4"/>
      <c r="P810" s="4"/>
      <c r="Q810" s="4"/>
      <c r="R810" s="4"/>
      <c r="S810" s="4"/>
      <c r="T810" s="4"/>
      <c r="U810" s="4"/>
    </row>
    <row r="811" spans="2:21" ht="15" x14ac:dyDescent="0.25">
      <c r="B811" s="4"/>
      <c r="D811" s="3"/>
      <c r="E811" s="3"/>
      <c r="H811" s="3"/>
      <c r="O811" s="4"/>
      <c r="P811" s="4"/>
      <c r="Q811" s="4"/>
      <c r="R811" s="4"/>
      <c r="S811" s="4"/>
      <c r="T811" s="4"/>
      <c r="U811" s="4"/>
    </row>
    <row r="812" spans="2:21" ht="15" x14ac:dyDescent="0.25">
      <c r="B812" s="4"/>
      <c r="D812" s="3"/>
      <c r="E812" s="3"/>
      <c r="H812" s="3"/>
      <c r="O812" s="4"/>
      <c r="P812" s="4"/>
      <c r="Q812" s="4"/>
      <c r="R812" s="4"/>
      <c r="S812" s="4"/>
      <c r="T812" s="4"/>
      <c r="U812" s="4"/>
    </row>
    <row r="813" spans="2:21" ht="15" x14ac:dyDescent="0.25">
      <c r="B813" s="4"/>
      <c r="D813" s="3"/>
      <c r="E813" s="3"/>
      <c r="H813" s="3"/>
      <c r="O813" s="4"/>
      <c r="P813" s="4"/>
      <c r="Q813" s="4"/>
      <c r="R813" s="4"/>
      <c r="S813" s="4"/>
      <c r="T813" s="4"/>
      <c r="U813" s="4"/>
    </row>
    <row r="814" spans="2:21" ht="15" x14ac:dyDescent="0.25">
      <c r="B814" s="4"/>
      <c r="D814" s="3"/>
      <c r="E814" s="3"/>
      <c r="H814" s="3"/>
      <c r="O814" s="4"/>
      <c r="P814" s="4"/>
      <c r="Q814" s="4"/>
      <c r="R814" s="4"/>
      <c r="S814" s="4"/>
      <c r="T814" s="4"/>
      <c r="U814" s="4"/>
    </row>
    <row r="815" spans="2:21" ht="15" x14ac:dyDescent="0.25">
      <c r="B815" s="4"/>
      <c r="D815" s="3"/>
      <c r="E815" s="3"/>
      <c r="H815" s="3"/>
      <c r="O815" s="4"/>
      <c r="P815" s="4"/>
      <c r="Q815" s="4"/>
      <c r="R815" s="4"/>
      <c r="S815" s="4"/>
      <c r="T815" s="4"/>
      <c r="U815" s="4"/>
    </row>
    <row r="816" spans="2:21" ht="15" x14ac:dyDescent="0.25">
      <c r="B816" s="4"/>
      <c r="D816" s="3"/>
      <c r="E816" s="3"/>
      <c r="H816" s="3"/>
      <c r="O816" s="4"/>
      <c r="P816" s="4"/>
      <c r="Q816" s="4"/>
      <c r="R816" s="4"/>
      <c r="S816" s="4"/>
      <c r="T816" s="4"/>
      <c r="U816" s="4"/>
    </row>
    <row r="817" spans="2:21" ht="15" x14ac:dyDescent="0.25">
      <c r="B817" s="4"/>
      <c r="D817" s="3"/>
      <c r="E817" s="3"/>
      <c r="H817" s="3"/>
      <c r="O817" s="4"/>
      <c r="P817" s="4"/>
      <c r="Q817" s="4"/>
      <c r="R817" s="4"/>
      <c r="S817" s="4"/>
      <c r="T817" s="4"/>
      <c r="U817" s="4"/>
    </row>
    <row r="818" spans="2:21" ht="15" x14ac:dyDescent="0.25">
      <c r="B818" s="4"/>
      <c r="D818" s="3"/>
      <c r="E818" s="3"/>
      <c r="H818" s="3"/>
      <c r="O818" s="4"/>
      <c r="P818" s="4"/>
      <c r="Q818" s="4"/>
      <c r="R818" s="4"/>
      <c r="S818" s="4"/>
      <c r="T818" s="4"/>
      <c r="U818" s="4"/>
    </row>
    <row r="819" spans="2:21" ht="15" x14ac:dyDescent="0.25">
      <c r="B819" s="4"/>
      <c r="D819" s="3"/>
      <c r="E819" s="3"/>
      <c r="H819" s="3"/>
      <c r="O819" s="4"/>
      <c r="P819" s="4"/>
      <c r="Q819" s="4"/>
      <c r="R819" s="4"/>
      <c r="S819" s="4"/>
      <c r="T819" s="4"/>
      <c r="U819" s="4"/>
    </row>
    <row r="820" spans="2:21" ht="15" x14ac:dyDescent="0.25">
      <c r="B820" s="4"/>
      <c r="D820" s="3"/>
      <c r="E820" s="3"/>
      <c r="H820" s="3"/>
      <c r="O820" s="4"/>
      <c r="P820" s="4"/>
      <c r="Q820" s="4"/>
      <c r="R820" s="4"/>
      <c r="S820" s="4"/>
      <c r="T820" s="4"/>
      <c r="U820" s="4"/>
    </row>
    <row r="821" spans="2:21" ht="15" x14ac:dyDescent="0.25">
      <c r="B821" s="4"/>
      <c r="D821" s="3"/>
      <c r="E821" s="3"/>
      <c r="H821" s="3"/>
      <c r="O821" s="4"/>
      <c r="P821" s="4"/>
      <c r="Q821" s="4"/>
      <c r="R821" s="4"/>
      <c r="S821" s="4"/>
      <c r="T821" s="4"/>
      <c r="U821" s="4"/>
    </row>
    <row r="822" spans="2:21" ht="15" x14ac:dyDescent="0.25">
      <c r="B822" s="4"/>
      <c r="D822" s="3"/>
      <c r="E822" s="3"/>
      <c r="H822" s="3"/>
      <c r="O822" s="4"/>
      <c r="P822" s="4"/>
      <c r="Q822" s="4"/>
      <c r="R822" s="4"/>
      <c r="S822" s="4"/>
      <c r="T822" s="4"/>
      <c r="U822" s="4"/>
    </row>
    <row r="823" spans="2:21" ht="15" x14ac:dyDescent="0.25">
      <c r="B823" s="4"/>
      <c r="D823" s="3"/>
      <c r="E823" s="3"/>
      <c r="H823" s="3"/>
      <c r="O823" s="4"/>
      <c r="P823" s="4"/>
      <c r="Q823" s="4"/>
      <c r="R823" s="4"/>
      <c r="S823" s="4"/>
      <c r="T823" s="4"/>
      <c r="U823" s="4"/>
    </row>
    <row r="824" spans="2:21" ht="15" x14ac:dyDescent="0.25">
      <c r="B824" s="4"/>
      <c r="D824" s="3"/>
      <c r="E824" s="3"/>
      <c r="H824" s="3"/>
      <c r="O824" s="4"/>
      <c r="P824" s="4"/>
      <c r="Q824" s="4"/>
      <c r="R824" s="4"/>
      <c r="S824" s="4"/>
      <c r="T824" s="4"/>
      <c r="U824" s="4"/>
    </row>
    <row r="825" spans="2:21" ht="15" x14ac:dyDescent="0.25">
      <c r="B825" s="4"/>
      <c r="D825" s="3"/>
      <c r="E825" s="3"/>
      <c r="H825" s="3"/>
      <c r="O825" s="4"/>
      <c r="P825" s="4"/>
      <c r="Q825" s="4"/>
      <c r="R825" s="4"/>
      <c r="S825" s="4"/>
      <c r="T825" s="4"/>
      <c r="U825" s="4"/>
    </row>
    <row r="826" spans="2:21" ht="15" x14ac:dyDescent="0.25">
      <c r="B826" s="4"/>
      <c r="D826" s="3"/>
      <c r="E826" s="3"/>
      <c r="H826" s="3"/>
      <c r="O826" s="4"/>
      <c r="P826" s="4"/>
      <c r="Q826" s="4"/>
      <c r="R826" s="4"/>
      <c r="S826" s="4"/>
      <c r="T826" s="4"/>
      <c r="U826" s="4"/>
    </row>
    <row r="827" spans="2:21" ht="15" x14ac:dyDescent="0.25">
      <c r="B827" s="4"/>
      <c r="D827" s="3"/>
      <c r="E827" s="3"/>
      <c r="H827" s="3"/>
      <c r="O827" s="4"/>
      <c r="P827" s="4"/>
      <c r="Q827" s="4"/>
      <c r="R827" s="4"/>
      <c r="S827" s="4"/>
      <c r="T827" s="4"/>
      <c r="U827" s="4"/>
    </row>
    <row r="828" spans="2:21" ht="15" x14ac:dyDescent="0.25">
      <c r="B828" s="4"/>
      <c r="D828" s="3"/>
      <c r="E828" s="3"/>
      <c r="H828" s="3"/>
      <c r="O828" s="4"/>
      <c r="P828" s="4"/>
      <c r="Q828" s="4"/>
      <c r="R828" s="4"/>
      <c r="S828" s="4"/>
      <c r="T828" s="4"/>
      <c r="U828" s="4"/>
    </row>
    <row r="829" spans="2:21" ht="15" x14ac:dyDescent="0.25">
      <c r="B829" s="4"/>
      <c r="D829" s="3"/>
      <c r="E829" s="3"/>
      <c r="H829" s="3"/>
      <c r="O829" s="4"/>
      <c r="P829" s="4"/>
      <c r="Q829" s="4"/>
      <c r="R829" s="4"/>
      <c r="S829" s="4"/>
      <c r="T829" s="4"/>
      <c r="U829" s="4"/>
    </row>
    <row r="830" spans="2:21" ht="15" x14ac:dyDescent="0.25">
      <c r="B830" s="4"/>
      <c r="D830" s="3"/>
      <c r="E830" s="3"/>
      <c r="H830" s="3"/>
      <c r="O830" s="4"/>
      <c r="P830" s="4"/>
      <c r="Q830" s="4"/>
      <c r="R830" s="4"/>
      <c r="S830" s="4"/>
      <c r="T830" s="4"/>
      <c r="U830" s="4"/>
    </row>
    <row r="831" spans="2:21" ht="15" x14ac:dyDescent="0.25">
      <c r="B831" s="4"/>
      <c r="D831" s="3"/>
      <c r="E831" s="3"/>
      <c r="H831" s="3"/>
      <c r="O831" s="4"/>
      <c r="P831" s="4"/>
      <c r="Q831" s="4"/>
      <c r="R831" s="4"/>
      <c r="S831" s="4"/>
      <c r="T831" s="4"/>
      <c r="U831" s="4"/>
    </row>
    <row r="832" spans="2:21" ht="15" x14ac:dyDescent="0.25">
      <c r="B832" s="4"/>
      <c r="D832" s="3"/>
      <c r="E832" s="3"/>
      <c r="H832" s="3"/>
      <c r="O832" s="4"/>
      <c r="P832" s="4"/>
      <c r="Q832" s="4"/>
      <c r="R832" s="4"/>
      <c r="S832" s="4"/>
      <c r="T832" s="4"/>
      <c r="U832" s="4"/>
    </row>
    <row r="833" spans="2:21" ht="15" x14ac:dyDescent="0.25">
      <c r="B833" s="4"/>
      <c r="D833" s="3"/>
      <c r="E833" s="3"/>
      <c r="H833" s="3"/>
      <c r="O833" s="4"/>
      <c r="P833" s="4"/>
      <c r="Q833" s="4"/>
      <c r="R833" s="4"/>
      <c r="S833" s="4"/>
      <c r="T833" s="4"/>
      <c r="U833" s="4"/>
    </row>
    <row r="834" spans="2:21" ht="15" x14ac:dyDescent="0.25">
      <c r="B834" s="4"/>
      <c r="D834" s="3"/>
      <c r="E834" s="3"/>
      <c r="H834" s="3"/>
      <c r="O834" s="4"/>
      <c r="P834" s="4"/>
      <c r="Q834" s="4"/>
      <c r="R834" s="4"/>
      <c r="S834" s="4"/>
      <c r="T834" s="4"/>
      <c r="U834" s="4"/>
    </row>
    <row r="835" spans="2:21" ht="15" x14ac:dyDescent="0.25">
      <c r="B835" s="4"/>
      <c r="D835" s="3"/>
      <c r="E835" s="3"/>
      <c r="H835" s="3"/>
      <c r="O835" s="4"/>
      <c r="P835" s="4"/>
      <c r="Q835" s="4"/>
      <c r="R835" s="4"/>
      <c r="S835" s="4"/>
      <c r="T835" s="4"/>
      <c r="U835" s="4"/>
    </row>
    <row r="836" spans="2:21" ht="15" x14ac:dyDescent="0.25">
      <c r="B836" s="4"/>
      <c r="D836" s="3"/>
      <c r="E836" s="3"/>
      <c r="H836" s="3"/>
      <c r="O836" s="4"/>
      <c r="P836" s="4"/>
      <c r="Q836" s="4"/>
      <c r="R836" s="4"/>
      <c r="S836" s="4"/>
      <c r="T836" s="4"/>
      <c r="U836" s="4"/>
    </row>
    <row r="837" spans="2:21" ht="15" x14ac:dyDescent="0.25">
      <c r="B837" s="4"/>
      <c r="D837" s="3"/>
      <c r="E837" s="3"/>
      <c r="H837" s="3"/>
      <c r="O837" s="4"/>
      <c r="P837" s="4"/>
      <c r="Q837" s="4"/>
      <c r="R837" s="4"/>
      <c r="S837" s="4"/>
      <c r="T837" s="4"/>
      <c r="U837" s="4"/>
    </row>
    <row r="838" spans="2:21" ht="15" x14ac:dyDescent="0.25">
      <c r="B838" s="4"/>
      <c r="D838" s="3"/>
      <c r="E838" s="3"/>
      <c r="H838" s="3"/>
      <c r="O838" s="4"/>
      <c r="P838" s="4"/>
      <c r="Q838" s="4"/>
      <c r="R838" s="4"/>
      <c r="S838" s="4"/>
      <c r="T838" s="4"/>
      <c r="U838" s="4"/>
    </row>
    <row r="839" spans="2:21" ht="15" x14ac:dyDescent="0.25">
      <c r="B839" s="4"/>
      <c r="D839" s="3"/>
      <c r="E839" s="3"/>
      <c r="H839" s="3"/>
      <c r="O839" s="4"/>
      <c r="P839" s="4"/>
      <c r="Q839" s="4"/>
      <c r="R839" s="4"/>
      <c r="S839" s="4"/>
      <c r="T839" s="4"/>
      <c r="U839" s="4"/>
    </row>
    <row r="840" spans="2:21" ht="15" x14ac:dyDescent="0.25">
      <c r="B840" s="4"/>
      <c r="D840" s="3"/>
      <c r="E840" s="3"/>
      <c r="H840" s="3"/>
      <c r="O840" s="4"/>
      <c r="P840" s="4"/>
      <c r="Q840" s="4"/>
      <c r="R840" s="4"/>
      <c r="S840" s="4"/>
      <c r="T840" s="4"/>
      <c r="U840" s="4"/>
    </row>
    <row r="841" spans="2:21" ht="15" x14ac:dyDescent="0.25">
      <c r="B841" s="4"/>
      <c r="D841" s="3"/>
      <c r="E841" s="3"/>
      <c r="H841" s="3"/>
      <c r="O841" s="4"/>
      <c r="P841" s="4"/>
      <c r="Q841" s="4"/>
      <c r="R841" s="4"/>
      <c r="S841" s="4"/>
      <c r="T841" s="4"/>
      <c r="U841" s="4"/>
    </row>
    <row r="842" spans="2:21" ht="15" x14ac:dyDescent="0.25">
      <c r="B842" s="4"/>
      <c r="D842" s="3"/>
      <c r="E842" s="3"/>
      <c r="H842" s="3"/>
      <c r="O842" s="4"/>
      <c r="P842" s="4"/>
      <c r="Q842" s="4"/>
      <c r="R842" s="4"/>
      <c r="S842" s="4"/>
      <c r="T842" s="4"/>
      <c r="U842" s="4"/>
    </row>
    <row r="843" spans="2:21" ht="15" x14ac:dyDescent="0.25">
      <c r="B843" s="4"/>
      <c r="D843" s="3"/>
      <c r="E843" s="3"/>
      <c r="H843" s="3"/>
      <c r="O843" s="4"/>
      <c r="P843" s="4"/>
      <c r="Q843" s="4"/>
      <c r="R843" s="4"/>
      <c r="S843" s="4"/>
      <c r="T843" s="4"/>
      <c r="U843" s="4"/>
    </row>
    <row r="844" spans="2:21" ht="15" x14ac:dyDescent="0.25">
      <c r="B844" s="4"/>
      <c r="D844" s="3"/>
      <c r="E844" s="3"/>
      <c r="H844" s="3"/>
      <c r="O844" s="4"/>
      <c r="P844" s="4"/>
      <c r="Q844" s="4"/>
      <c r="R844" s="4"/>
      <c r="S844" s="4"/>
      <c r="T844" s="4"/>
      <c r="U844" s="4"/>
    </row>
    <row r="845" spans="2:21" ht="15" x14ac:dyDescent="0.25">
      <c r="B845" s="4"/>
      <c r="D845" s="3"/>
      <c r="E845" s="3"/>
      <c r="H845" s="3"/>
      <c r="O845" s="4"/>
      <c r="P845" s="4"/>
      <c r="Q845" s="4"/>
      <c r="R845" s="4"/>
      <c r="S845" s="4"/>
      <c r="T845" s="4"/>
      <c r="U845" s="4"/>
    </row>
    <row r="846" spans="2:21" ht="15" x14ac:dyDescent="0.25">
      <c r="B846" s="4"/>
      <c r="D846" s="3"/>
      <c r="E846" s="3"/>
      <c r="H846" s="3"/>
      <c r="O846" s="4"/>
      <c r="P846" s="4"/>
      <c r="Q846" s="4"/>
      <c r="R846" s="4"/>
      <c r="S846" s="4"/>
      <c r="T846" s="4"/>
      <c r="U846" s="4"/>
    </row>
    <row r="847" spans="2:21" ht="15" x14ac:dyDescent="0.25">
      <c r="B847" s="4"/>
      <c r="D847" s="3"/>
      <c r="E847" s="3"/>
      <c r="H847" s="3"/>
      <c r="O847" s="4"/>
      <c r="P847" s="4"/>
      <c r="Q847" s="4"/>
      <c r="R847" s="4"/>
      <c r="S847" s="4"/>
      <c r="T847" s="4"/>
      <c r="U847" s="4"/>
    </row>
    <row r="848" spans="2:21" ht="15" x14ac:dyDescent="0.25">
      <c r="B848" s="4"/>
      <c r="D848" s="3"/>
      <c r="E848" s="3"/>
      <c r="H848" s="3"/>
      <c r="O848" s="4"/>
      <c r="P848" s="4"/>
      <c r="Q848" s="4"/>
      <c r="R848" s="4"/>
      <c r="S848" s="4"/>
      <c r="T848" s="4"/>
      <c r="U848" s="4"/>
    </row>
    <row r="849" spans="2:21" ht="15" x14ac:dyDescent="0.25">
      <c r="B849" s="4"/>
      <c r="D849" s="3"/>
      <c r="E849" s="3"/>
      <c r="H849" s="3"/>
      <c r="O849" s="4"/>
      <c r="P849" s="4"/>
      <c r="Q849" s="4"/>
      <c r="R849" s="4"/>
      <c r="S849" s="4"/>
      <c r="T849" s="4"/>
      <c r="U849" s="4"/>
    </row>
    <row r="850" spans="2:21" ht="15" x14ac:dyDescent="0.25">
      <c r="B850" s="4"/>
      <c r="D850" s="3"/>
      <c r="E850" s="3"/>
      <c r="H850" s="3"/>
      <c r="O850" s="4"/>
      <c r="P850" s="4"/>
      <c r="Q850" s="4"/>
      <c r="R850" s="4"/>
      <c r="S850" s="4"/>
      <c r="T850" s="4"/>
      <c r="U850" s="4"/>
    </row>
    <row r="851" spans="2:21" ht="15" x14ac:dyDescent="0.25">
      <c r="B851" s="4"/>
      <c r="D851" s="3"/>
      <c r="E851" s="3"/>
      <c r="H851" s="3"/>
      <c r="O851" s="4"/>
      <c r="P851" s="4"/>
      <c r="Q851" s="4"/>
      <c r="R851" s="4"/>
      <c r="S851" s="4"/>
      <c r="T851" s="4"/>
      <c r="U851" s="4"/>
    </row>
    <row r="852" spans="2:21" ht="15" x14ac:dyDescent="0.25">
      <c r="B852" s="4"/>
      <c r="D852" s="3"/>
      <c r="E852" s="3"/>
      <c r="H852" s="3"/>
      <c r="O852" s="4"/>
      <c r="P852" s="4"/>
      <c r="Q852" s="4"/>
      <c r="R852" s="4"/>
      <c r="S852" s="4"/>
      <c r="T852" s="4"/>
      <c r="U852" s="4"/>
    </row>
    <row r="853" spans="2:21" ht="15" x14ac:dyDescent="0.25">
      <c r="B853" s="4"/>
      <c r="D853" s="3"/>
      <c r="E853" s="3"/>
      <c r="H853" s="3"/>
      <c r="O853" s="4"/>
      <c r="P853" s="4"/>
      <c r="Q853" s="4"/>
      <c r="R853" s="4"/>
      <c r="S853" s="4"/>
      <c r="T853" s="4"/>
      <c r="U853" s="4"/>
    </row>
    <row r="854" spans="2:21" ht="15" x14ac:dyDescent="0.25">
      <c r="B854" s="4"/>
      <c r="D854" s="3"/>
      <c r="E854" s="3"/>
      <c r="H854" s="3"/>
      <c r="O854" s="4"/>
      <c r="P854" s="4"/>
      <c r="Q854" s="4"/>
      <c r="R854" s="4"/>
      <c r="S854" s="4"/>
      <c r="T854" s="4"/>
      <c r="U854" s="4"/>
    </row>
    <row r="855" spans="2:21" ht="15" x14ac:dyDescent="0.25">
      <c r="B855" s="4"/>
      <c r="D855" s="3"/>
      <c r="E855" s="3"/>
      <c r="H855" s="3"/>
      <c r="O855" s="4"/>
      <c r="P855" s="4"/>
      <c r="Q855" s="4"/>
      <c r="R855" s="4"/>
      <c r="S855" s="4"/>
      <c r="T855" s="4"/>
      <c r="U855" s="4"/>
    </row>
    <row r="856" spans="2:21" ht="15" x14ac:dyDescent="0.25">
      <c r="B856" s="4"/>
      <c r="D856" s="3"/>
      <c r="E856" s="3"/>
      <c r="H856" s="3"/>
      <c r="O856" s="4"/>
      <c r="P856" s="4"/>
      <c r="Q856" s="4"/>
      <c r="R856" s="4"/>
      <c r="S856" s="4"/>
      <c r="T856" s="4"/>
      <c r="U856" s="4"/>
    </row>
    <row r="857" spans="2:21" ht="15" x14ac:dyDescent="0.25">
      <c r="B857" s="4"/>
      <c r="D857" s="3"/>
      <c r="E857" s="3"/>
      <c r="H857" s="3"/>
      <c r="O857" s="4"/>
      <c r="P857" s="4"/>
      <c r="Q857" s="4"/>
      <c r="R857" s="4"/>
      <c r="S857" s="4"/>
      <c r="T857" s="4"/>
      <c r="U857" s="4"/>
    </row>
    <row r="858" spans="2:21" ht="15" x14ac:dyDescent="0.25">
      <c r="B858" s="4"/>
      <c r="D858" s="3"/>
      <c r="E858" s="3"/>
      <c r="H858" s="3"/>
      <c r="O858" s="4"/>
      <c r="P858" s="4"/>
      <c r="Q858" s="4"/>
      <c r="R858" s="4"/>
      <c r="S858" s="4"/>
      <c r="T858" s="4"/>
      <c r="U858" s="4"/>
    </row>
    <row r="859" spans="2:21" ht="15" x14ac:dyDescent="0.25">
      <c r="B859" s="4"/>
      <c r="D859" s="3"/>
      <c r="E859" s="3"/>
      <c r="H859" s="3"/>
      <c r="O859" s="4"/>
      <c r="P859" s="4"/>
      <c r="Q859" s="4"/>
      <c r="R859" s="4"/>
      <c r="S859" s="4"/>
      <c r="T859" s="4"/>
      <c r="U859" s="4"/>
    </row>
    <row r="860" spans="2:21" ht="15" x14ac:dyDescent="0.25">
      <c r="B860" s="4"/>
      <c r="D860" s="3"/>
      <c r="E860" s="3"/>
      <c r="H860" s="3"/>
      <c r="O860" s="4"/>
      <c r="P860" s="4"/>
      <c r="Q860" s="4"/>
      <c r="R860" s="4"/>
      <c r="S860" s="4"/>
      <c r="T860" s="4"/>
      <c r="U860" s="4"/>
    </row>
    <row r="861" spans="2:21" ht="15" x14ac:dyDescent="0.25">
      <c r="B861" s="4"/>
      <c r="D861" s="3"/>
      <c r="E861" s="3"/>
      <c r="H861" s="3"/>
      <c r="O861" s="4"/>
      <c r="P861" s="4"/>
      <c r="Q861" s="4"/>
      <c r="R861" s="4"/>
      <c r="S861" s="4"/>
      <c r="T861" s="4"/>
      <c r="U861" s="4"/>
    </row>
    <row r="862" spans="2:21" ht="15" x14ac:dyDescent="0.25">
      <c r="B862" s="4"/>
      <c r="D862" s="3"/>
      <c r="E862" s="3"/>
      <c r="H862" s="3"/>
      <c r="O862" s="4"/>
      <c r="P862" s="4"/>
      <c r="Q862" s="4"/>
      <c r="R862" s="4"/>
      <c r="S862" s="4"/>
      <c r="T862" s="4"/>
      <c r="U862" s="4"/>
    </row>
    <row r="863" spans="2:21" ht="15" x14ac:dyDescent="0.25">
      <c r="B863" s="4"/>
      <c r="D863" s="3"/>
      <c r="E863" s="3"/>
      <c r="H863" s="3"/>
      <c r="O863" s="4"/>
      <c r="P863" s="4"/>
      <c r="Q863" s="4"/>
      <c r="R863" s="4"/>
      <c r="S863" s="4"/>
      <c r="T863" s="4"/>
      <c r="U863" s="4"/>
    </row>
    <row r="864" spans="2:21" ht="15" x14ac:dyDescent="0.25">
      <c r="B864" s="4"/>
      <c r="D864" s="3"/>
      <c r="E864" s="3"/>
      <c r="H864" s="3"/>
      <c r="O864" s="4"/>
      <c r="P864" s="4"/>
      <c r="Q864" s="4"/>
      <c r="R864" s="4"/>
      <c r="S864" s="4"/>
      <c r="T864" s="4"/>
      <c r="U864" s="4"/>
    </row>
    <row r="865" spans="2:21" ht="15" x14ac:dyDescent="0.25">
      <c r="B865" s="4"/>
      <c r="D865" s="3"/>
      <c r="E865" s="3"/>
      <c r="H865" s="3"/>
      <c r="O865" s="4"/>
      <c r="P865" s="4"/>
      <c r="Q865" s="4"/>
      <c r="R865" s="4"/>
      <c r="S865" s="4"/>
      <c r="T865" s="4"/>
      <c r="U865" s="4"/>
    </row>
    <row r="866" spans="2:21" ht="15" x14ac:dyDescent="0.25">
      <c r="B866" s="4"/>
      <c r="D866" s="3"/>
      <c r="E866" s="3"/>
      <c r="H866" s="3"/>
      <c r="O866" s="4"/>
      <c r="P866" s="4"/>
      <c r="Q866" s="4"/>
      <c r="R866" s="4"/>
      <c r="S866" s="4"/>
      <c r="T866" s="4"/>
      <c r="U866" s="4"/>
    </row>
    <row r="867" spans="2:21" ht="15" x14ac:dyDescent="0.25">
      <c r="B867" s="4"/>
      <c r="D867" s="3"/>
      <c r="E867" s="3"/>
      <c r="H867" s="3"/>
      <c r="O867" s="4"/>
      <c r="P867" s="4"/>
      <c r="Q867" s="4"/>
      <c r="R867" s="4"/>
      <c r="S867" s="4"/>
      <c r="T867" s="4"/>
      <c r="U867" s="4"/>
    </row>
    <row r="868" spans="2:21" ht="15" x14ac:dyDescent="0.25">
      <c r="B868" s="4"/>
      <c r="D868" s="3"/>
      <c r="E868" s="3"/>
      <c r="H868" s="3"/>
      <c r="O868" s="4"/>
      <c r="P868" s="4"/>
      <c r="Q868" s="4"/>
      <c r="R868" s="4"/>
      <c r="S868" s="4"/>
      <c r="T868" s="4"/>
      <c r="U868" s="4"/>
    </row>
    <row r="869" spans="2:21" ht="15" x14ac:dyDescent="0.25">
      <c r="B869" s="4"/>
      <c r="D869" s="3"/>
      <c r="E869" s="3"/>
      <c r="H869" s="3"/>
      <c r="O869" s="4"/>
      <c r="P869" s="4"/>
      <c r="Q869" s="4"/>
      <c r="R869" s="4"/>
      <c r="S869" s="4"/>
      <c r="T869" s="4"/>
      <c r="U869" s="4"/>
    </row>
    <row r="870" spans="2:21" ht="15" x14ac:dyDescent="0.25">
      <c r="B870" s="4"/>
      <c r="D870" s="3"/>
      <c r="E870" s="3"/>
      <c r="H870" s="3"/>
      <c r="O870" s="4"/>
      <c r="P870" s="4"/>
      <c r="Q870" s="4"/>
      <c r="R870" s="4"/>
      <c r="S870" s="4"/>
      <c r="T870" s="4"/>
      <c r="U870" s="4"/>
    </row>
    <row r="871" spans="2:21" ht="15" x14ac:dyDescent="0.25">
      <c r="B871" s="4"/>
      <c r="D871" s="3"/>
      <c r="E871" s="3"/>
      <c r="H871" s="3"/>
      <c r="O871" s="4"/>
      <c r="P871" s="4"/>
      <c r="Q871" s="4"/>
      <c r="R871" s="4"/>
      <c r="S871" s="4"/>
      <c r="T871" s="4"/>
      <c r="U871" s="4"/>
    </row>
    <row r="872" spans="2:21" ht="15" x14ac:dyDescent="0.25">
      <c r="B872" s="4"/>
      <c r="D872" s="3"/>
      <c r="E872" s="3"/>
      <c r="H872" s="3"/>
      <c r="O872" s="4"/>
      <c r="P872" s="4"/>
      <c r="Q872" s="4"/>
      <c r="R872" s="4"/>
      <c r="S872" s="4"/>
      <c r="T872" s="4"/>
      <c r="U872" s="4"/>
    </row>
    <row r="873" spans="2:21" ht="15" x14ac:dyDescent="0.25">
      <c r="B873" s="4"/>
      <c r="D873" s="3"/>
      <c r="E873" s="3"/>
      <c r="H873" s="3"/>
      <c r="O873" s="4"/>
      <c r="P873" s="4"/>
      <c r="Q873" s="4"/>
      <c r="R873" s="4"/>
      <c r="S873" s="4"/>
      <c r="T873" s="4"/>
      <c r="U873" s="4"/>
    </row>
    <row r="874" spans="2:21" ht="15" x14ac:dyDescent="0.25">
      <c r="B874" s="4"/>
      <c r="D874" s="3"/>
      <c r="E874" s="3"/>
      <c r="H874" s="3"/>
      <c r="O874" s="4"/>
      <c r="P874" s="4"/>
      <c r="Q874" s="4"/>
      <c r="R874" s="4"/>
      <c r="S874" s="4"/>
      <c r="T874" s="4"/>
      <c r="U874" s="4"/>
    </row>
    <row r="875" spans="2:21" ht="15" x14ac:dyDescent="0.25">
      <c r="B875" s="4"/>
      <c r="D875" s="3"/>
      <c r="E875" s="3"/>
      <c r="H875" s="3"/>
      <c r="O875" s="4"/>
      <c r="P875" s="4"/>
      <c r="Q875" s="4"/>
      <c r="R875" s="4"/>
      <c r="S875" s="4"/>
      <c r="T875" s="4"/>
      <c r="U875" s="4"/>
    </row>
    <row r="876" spans="2:21" ht="15" x14ac:dyDescent="0.25">
      <c r="B876" s="4"/>
      <c r="D876" s="3"/>
      <c r="E876" s="3"/>
      <c r="H876" s="3"/>
      <c r="O876" s="4"/>
      <c r="P876" s="4"/>
      <c r="Q876" s="4"/>
      <c r="R876" s="4"/>
      <c r="S876" s="4"/>
      <c r="T876" s="4"/>
      <c r="U876" s="4"/>
    </row>
    <row r="877" spans="2:21" ht="15" x14ac:dyDescent="0.25">
      <c r="B877" s="4"/>
      <c r="D877" s="3"/>
      <c r="E877" s="3"/>
      <c r="H877" s="3"/>
      <c r="O877" s="4"/>
      <c r="P877" s="4"/>
      <c r="Q877" s="4"/>
      <c r="R877" s="4"/>
      <c r="S877" s="4"/>
      <c r="T877" s="4"/>
      <c r="U877" s="4"/>
    </row>
    <row r="878" spans="2:21" ht="15" x14ac:dyDescent="0.25">
      <c r="B878" s="4"/>
      <c r="D878" s="3"/>
      <c r="E878" s="3"/>
      <c r="H878" s="3"/>
      <c r="O878" s="4"/>
      <c r="P878" s="4"/>
      <c r="Q878" s="4"/>
      <c r="R878" s="4"/>
      <c r="S878" s="4"/>
      <c r="T878" s="4"/>
      <c r="U878" s="4"/>
    </row>
    <row r="879" spans="2:21" ht="15" x14ac:dyDescent="0.25">
      <c r="B879" s="4"/>
      <c r="D879" s="3"/>
      <c r="E879" s="3"/>
      <c r="H879" s="3"/>
      <c r="O879" s="4"/>
      <c r="P879" s="4"/>
      <c r="Q879" s="4"/>
      <c r="R879" s="4"/>
      <c r="S879" s="4"/>
      <c r="T879" s="4"/>
      <c r="U879" s="4"/>
    </row>
    <row r="880" spans="2:21" ht="15" x14ac:dyDescent="0.25">
      <c r="B880" s="4"/>
      <c r="D880" s="3"/>
      <c r="E880" s="3"/>
      <c r="H880" s="3"/>
      <c r="O880" s="4"/>
      <c r="P880" s="4"/>
      <c r="Q880" s="4"/>
      <c r="R880" s="4"/>
      <c r="S880" s="4"/>
      <c r="T880" s="4"/>
      <c r="U880" s="4"/>
    </row>
    <row r="881" spans="2:21" ht="15" x14ac:dyDescent="0.25">
      <c r="B881" s="4"/>
      <c r="D881" s="3"/>
      <c r="E881" s="3"/>
      <c r="H881" s="3"/>
      <c r="O881" s="4"/>
      <c r="P881" s="4"/>
      <c r="Q881" s="4"/>
      <c r="R881" s="4"/>
      <c r="S881" s="4"/>
      <c r="T881" s="4"/>
      <c r="U881" s="4"/>
    </row>
    <row r="882" spans="2:21" ht="15" x14ac:dyDescent="0.25">
      <c r="B882" s="4"/>
      <c r="D882" s="3"/>
      <c r="E882" s="3"/>
      <c r="H882" s="3"/>
      <c r="O882" s="4"/>
      <c r="P882" s="4"/>
      <c r="Q882" s="4"/>
      <c r="R882" s="4"/>
      <c r="S882" s="4"/>
      <c r="T882" s="4"/>
      <c r="U882" s="4"/>
    </row>
    <row r="883" spans="2:21" ht="15" x14ac:dyDescent="0.25">
      <c r="B883" s="4"/>
      <c r="D883" s="3"/>
      <c r="E883" s="3"/>
      <c r="H883" s="3"/>
      <c r="O883" s="4"/>
      <c r="P883" s="4"/>
      <c r="Q883" s="4"/>
      <c r="R883" s="4"/>
      <c r="S883" s="4"/>
      <c r="T883" s="4"/>
      <c r="U883" s="4"/>
    </row>
    <row r="884" spans="2:21" ht="15" x14ac:dyDescent="0.25">
      <c r="B884" s="4"/>
      <c r="D884" s="3"/>
      <c r="E884" s="3"/>
      <c r="H884" s="3"/>
      <c r="O884" s="4"/>
      <c r="P884" s="4"/>
      <c r="Q884" s="4"/>
      <c r="R884" s="4"/>
      <c r="S884" s="4"/>
      <c r="T884" s="4"/>
      <c r="U884" s="4"/>
    </row>
    <row r="885" spans="2:21" ht="15" x14ac:dyDescent="0.25">
      <c r="B885" s="4"/>
      <c r="D885" s="3"/>
      <c r="E885" s="3"/>
      <c r="H885" s="3"/>
      <c r="O885" s="4"/>
      <c r="P885" s="4"/>
      <c r="Q885" s="4"/>
      <c r="R885" s="4"/>
      <c r="S885" s="4"/>
      <c r="T885" s="4"/>
      <c r="U885" s="4"/>
    </row>
    <row r="886" spans="2:21" ht="15" x14ac:dyDescent="0.25">
      <c r="B886" s="4"/>
      <c r="D886" s="3"/>
      <c r="E886" s="3"/>
      <c r="H886" s="3"/>
      <c r="O886" s="4"/>
      <c r="P886" s="4"/>
      <c r="Q886" s="4"/>
      <c r="R886" s="4"/>
      <c r="S886" s="4"/>
      <c r="T886" s="4"/>
      <c r="U886" s="4"/>
    </row>
    <row r="887" spans="2:21" ht="15" x14ac:dyDescent="0.25">
      <c r="B887" s="4"/>
      <c r="D887" s="3"/>
      <c r="E887" s="3"/>
      <c r="H887" s="3"/>
      <c r="O887" s="4"/>
      <c r="P887" s="4"/>
      <c r="Q887" s="4"/>
      <c r="R887" s="4"/>
      <c r="S887" s="4"/>
      <c r="T887" s="4"/>
      <c r="U887" s="4"/>
    </row>
    <row r="888" spans="2:21" ht="15" x14ac:dyDescent="0.25">
      <c r="B888" s="4"/>
      <c r="D888" s="3"/>
      <c r="E888" s="3"/>
      <c r="H888" s="3"/>
      <c r="O888" s="4"/>
      <c r="P888" s="4"/>
      <c r="Q888" s="4"/>
      <c r="R888" s="4"/>
      <c r="S888" s="4"/>
      <c r="T888" s="4"/>
      <c r="U888" s="4"/>
    </row>
    <row r="889" spans="2:21" ht="15" x14ac:dyDescent="0.25">
      <c r="B889" s="4"/>
      <c r="D889" s="3"/>
      <c r="E889" s="3"/>
      <c r="H889" s="3"/>
      <c r="O889" s="4"/>
      <c r="P889" s="4"/>
      <c r="Q889" s="4"/>
      <c r="R889" s="4"/>
      <c r="S889" s="4"/>
      <c r="T889" s="4"/>
      <c r="U889" s="4"/>
    </row>
    <row r="890" spans="2:21" ht="15" x14ac:dyDescent="0.25">
      <c r="B890" s="4"/>
      <c r="D890" s="3"/>
      <c r="E890" s="3"/>
      <c r="H890" s="3"/>
      <c r="O890" s="4"/>
      <c r="P890" s="4"/>
      <c r="Q890" s="4"/>
      <c r="R890" s="4"/>
      <c r="S890" s="4"/>
      <c r="T890" s="4"/>
      <c r="U890" s="4"/>
    </row>
    <row r="891" spans="2:21" ht="15" x14ac:dyDescent="0.25">
      <c r="B891" s="4"/>
      <c r="D891" s="3"/>
      <c r="E891" s="3"/>
      <c r="H891" s="3"/>
      <c r="O891" s="4"/>
      <c r="P891" s="4"/>
      <c r="Q891" s="4"/>
      <c r="R891" s="4"/>
      <c r="S891" s="4"/>
      <c r="T891" s="4"/>
      <c r="U891" s="4"/>
    </row>
    <row r="892" spans="2:21" ht="15" x14ac:dyDescent="0.25">
      <c r="B892" s="4"/>
      <c r="D892" s="3"/>
      <c r="E892" s="3"/>
      <c r="H892" s="3"/>
      <c r="O892" s="4"/>
      <c r="P892" s="4"/>
      <c r="Q892" s="4"/>
      <c r="R892" s="4"/>
      <c r="S892" s="4"/>
      <c r="T892" s="4"/>
      <c r="U892" s="4"/>
    </row>
    <row r="893" spans="2:21" ht="15" x14ac:dyDescent="0.25">
      <c r="B893" s="4"/>
      <c r="D893" s="3"/>
      <c r="E893" s="3"/>
      <c r="H893" s="3"/>
      <c r="O893" s="4"/>
      <c r="P893" s="4"/>
      <c r="Q893" s="4"/>
      <c r="R893" s="4"/>
      <c r="S893" s="4"/>
      <c r="T893" s="4"/>
      <c r="U893" s="4"/>
    </row>
    <row r="894" spans="2:21" ht="15" x14ac:dyDescent="0.25">
      <c r="B894" s="4"/>
      <c r="D894" s="3"/>
      <c r="E894" s="3"/>
      <c r="H894" s="3"/>
      <c r="O894" s="4"/>
      <c r="P894" s="4"/>
      <c r="Q894" s="4"/>
      <c r="R894" s="4"/>
      <c r="S894" s="4"/>
      <c r="T894" s="4"/>
      <c r="U894" s="4"/>
    </row>
    <row r="895" spans="2:21" ht="15" x14ac:dyDescent="0.25">
      <c r="B895" s="4"/>
      <c r="D895" s="3"/>
      <c r="E895" s="3"/>
      <c r="H895" s="3"/>
      <c r="O895" s="4"/>
      <c r="P895" s="4"/>
      <c r="Q895" s="4"/>
      <c r="R895" s="4"/>
      <c r="S895" s="4"/>
      <c r="T895" s="4"/>
      <c r="U895" s="4"/>
    </row>
    <row r="896" spans="2:21" ht="15" x14ac:dyDescent="0.25">
      <c r="B896" s="4"/>
      <c r="D896" s="3"/>
      <c r="E896" s="3"/>
      <c r="H896" s="3"/>
      <c r="O896" s="4"/>
      <c r="P896" s="4"/>
      <c r="Q896" s="4"/>
      <c r="R896" s="4"/>
      <c r="S896" s="4"/>
      <c r="T896" s="4"/>
      <c r="U896" s="4"/>
    </row>
    <row r="897" spans="2:21" ht="15" x14ac:dyDescent="0.25">
      <c r="B897" s="4"/>
      <c r="D897" s="3"/>
      <c r="E897" s="3"/>
      <c r="H897" s="3"/>
      <c r="O897" s="4"/>
      <c r="P897" s="4"/>
      <c r="Q897" s="4"/>
      <c r="R897" s="4"/>
      <c r="S897" s="4"/>
      <c r="T897" s="4"/>
      <c r="U897" s="4"/>
    </row>
    <row r="898" spans="2:21" ht="15" x14ac:dyDescent="0.25">
      <c r="B898" s="4"/>
      <c r="D898" s="3"/>
      <c r="E898" s="3"/>
      <c r="H898" s="3"/>
      <c r="O898" s="4"/>
      <c r="P898" s="4"/>
      <c r="Q898" s="4"/>
      <c r="R898" s="4"/>
      <c r="S898" s="4"/>
      <c r="T898" s="4"/>
      <c r="U898" s="4"/>
    </row>
    <row r="899" spans="2:21" ht="15" x14ac:dyDescent="0.25">
      <c r="B899" s="4"/>
      <c r="D899" s="3"/>
      <c r="E899" s="3"/>
      <c r="H899" s="3"/>
      <c r="O899" s="4"/>
      <c r="P899" s="4"/>
      <c r="Q899" s="4"/>
      <c r="R899" s="4"/>
      <c r="S899" s="4"/>
      <c r="T899" s="4"/>
      <c r="U899" s="4"/>
    </row>
    <row r="900" spans="2:21" ht="15" x14ac:dyDescent="0.25">
      <c r="B900" s="4"/>
      <c r="D900" s="3"/>
      <c r="E900" s="3"/>
      <c r="H900" s="3"/>
      <c r="O900" s="4"/>
      <c r="P900" s="4"/>
      <c r="Q900" s="4"/>
      <c r="R900" s="4"/>
      <c r="S900" s="4"/>
      <c r="T900" s="4"/>
      <c r="U900" s="4"/>
    </row>
    <row r="901" spans="2:21" ht="15" x14ac:dyDescent="0.25">
      <c r="B901" s="4"/>
      <c r="D901" s="3"/>
      <c r="E901" s="3"/>
      <c r="H901" s="3"/>
      <c r="O901" s="4"/>
      <c r="P901" s="4"/>
      <c r="Q901" s="4"/>
      <c r="R901" s="4"/>
      <c r="S901" s="4"/>
      <c r="T901" s="4"/>
      <c r="U901" s="4"/>
    </row>
    <row r="902" spans="2:21" ht="15" x14ac:dyDescent="0.25">
      <c r="B902" s="4"/>
      <c r="D902" s="3"/>
      <c r="E902" s="3"/>
      <c r="H902" s="3"/>
      <c r="O902" s="4"/>
      <c r="P902" s="4"/>
      <c r="Q902" s="4"/>
      <c r="R902" s="4"/>
      <c r="S902" s="4"/>
      <c r="T902" s="4"/>
      <c r="U902" s="4"/>
    </row>
    <row r="903" spans="2:21" ht="15" x14ac:dyDescent="0.25">
      <c r="B903" s="4"/>
      <c r="D903" s="3"/>
      <c r="E903" s="3"/>
      <c r="H903" s="3"/>
      <c r="O903" s="4"/>
      <c r="P903" s="4"/>
      <c r="Q903" s="4"/>
      <c r="R903" s="4"/>
      <c r="S903" s="4"/>
      <c r="T903" s="4"/>
      <c r="U903" s="4"/>
    </row>
    <row r="904" spans="2:21" ht="15" x14ac:dyDescent="0.25">
      <c r="B904" s="4"/>
      <c r="D904" s="3"/>
      <c r="E904" s="3"/>
      <c r="H904" s="3"/>
      <c r="O904" s="4"/>
      <c r="P904" s="4"/>
      <c r="Q904" s="4"/>
      <c r="R904" s="4"/>
      <c r="S904" s="4"/>
      <c r="T904" s="4"/>
      <c r="U904" s="4"/>
    </row>
    <row r="905" spans="2:21" ht="15" x14ac:dyDescent="0.25">
      <c r="B905" s="4"/>
      <c r="D905" s="3"/>
      <c r="E905" s="3"/>
      <c r="H905" s="3"/>
      <c r="O905" s="4"/>
      <c r="P905" s="4"/>
      <c r="Q905" s="4"/>
      <c r="R905" s="4"/>
      <c r="S905" s="4"/>
      <c r="T905" s="4"/>
      <c r="U905" s="4"/>
    </row>
    <row r="906" spans="2:21" ht="15" x14ac:dyDescent="0.25">
      <c r="B906" s="4"/>
      <c r="D906" s="3"/>
      <c r="E906" s="3"/>
      <c r="H906" s="3"/>
      <c r="O906" s="4"/>
      <c r="P906" s="4"/>
      <c r="Q906" s="4"/>
      <c r="R906" s="4"/>
      <c r="S906" s="4"/>
      <c r="T906" s="4"/>
      <c r="U906" s="4"/>
    </row>
    <row r="907" spans="2:21" ht="15" x14ac:dyDescent="0.25">
      <c r="B907" s="4"/>
      <c r="D907" s="3"/>
      <c r="E907" s="3"/>
      <c r="H907" s="3"/>
      <c r="O907" s="4"/>
      <c r="P907" s="4"/>
      <c r="Q907" s="4"/>
      <c r="R907" s="4"/>
      <c r="S907" s="4"/>
      <c r="T907" s="4"/>
      <c r="U907" s="4"/>
    </row>
    <row r="908" spans="2:21" ht="15" x14ac:dyDescent="0.25">
      <c r="B908" s="4"/>
      <c r="D908" s="3"/>
      <c r="E908" s="3"/>
      <c r="H908" s="3"/>
      <c r="O908" s="4"/>
      <c r="P908" s="4"/>
      <c r="Q908" s="4"/>
      <c r="R908" s="4"/>
      <c r="S908" s="4"/>
      <c r="T908" s="4"/>
      <c r="U908" s="4"/>
    </row>
    <row r="909" spans="2:21" ht="15" x14ac:dyDescent="0.25">
      <c r="B909" s="4"/>
      <c r="D909" s="3"/>
      <c r="E909" s="3"/>
      <c r="H909" s="3"/>
      <c r="O909" s="4"/>
      <c r="P909" s="4"/>
      <c r="Q909" s="4"/>
      <c r="R909" s="4"/>
      <c r="S909" s="4"/>
      <c r="T909" s="4"/>
      <c r="U909" s="4"/>
    </row>
    <row r="910" spans="2:21" ht="15" x14ac:dyDescent="0.25">
      <c r="B910" s="4"/>
      <c r="D910" s="3"/>
      <c r="E910" s="3"/>
      <c r="H910" s="3"/>
      <c r="O910" s="4"/>
      <c r="P910" s="4"/>
      <c r="Q910" s="4"/>
      <c r="R910" s="4"/>
      <c r="S910" s="4"/>
      <c r="T910" s="4"/>
      <c r="U910" s="4"/>
    </row>
    <row r="911" spans="2:21" ht="15" x14ac:dyDescent="0.25">
      <c r="B911" s="4"/>
      <c r="D911" s="3"/>
      <c r="E911" s="3"/>
      <c r="H911" s="3"/>
      <c r="O911" s="4"/>
      <c r="P911" s="4"/>
      <c r="Q911" s="4"/>
      <c r="R911" s="4"/>
      <c r="S911" s="4"/>
      <c r="T911" s="4"/>
      <c r="U911" s="4"/>
    </row>
    <row r="912" spans="2:21" ht="15" x14ac:dyDescent="0.25">
      <c r="B912" s="4"/>
      <c r="D912" s="3"/>
      <c r="E912" s="3"/>
      <c r="H912" s="3"/>
      <c r="O912" s="4"/>
      <c r="P912" s="4"/>
      <c r="Q912" s="4"/>
      <c r="R912" s="4"/>
      <c r="S912" s="4"/>
      <c r="T912" s="4"/>
      <c r="U912" s="4"/>
    </row>
    <row r="913" spans="2:21" ht="15" x14ac:dyDescent="0.25">
      <c r="B913" s="4"/>
      <c r="D913" s="3"/>
      <c r="E913" s="3"/>
      <c r="H913" s="3"/>
      <c r="O913" s="4"/>
      <c r="P913" s="4"/>
      <c r="Q913" s="4"/>
      <c r="R913" s="4"/>
      <c r="S913" s="4"/>
      <c r="T913" s="4"/>
      <c r="U913" s="4"/>
    </row>
    <row r="914" spans="2:21" ht="15" x14ac:dyDescent="0.25">
      <c r="B914" s="4"/>
      <c r="D914" s="3"/>
      <c r="E914" s="3"/>
      <c r="H914" s="3"/>
      <c r="O914" s="4"/>
      <c r="P914" s="4"/>
      <c r="Q914" s="4"/>
      <c r="R914" s="4"/>
      <c r="S914" s="4"/>
      <c r="T914" s="4"/>
      <c r="U914" s="4"/>
    </row>
    <row r="915" spans="2:21" ht="15" x14ac:dyDescent="0.25">
      <c r="B915" s="4"/>
      <c r="D915" s="3"/>
      <c r="E915" s="3"/>
      <c r="H915" s="3"/>
      <c r="O915" s="4"/>
      <c r="P915" s="4"/>
      <c r="Q915" s="4"/>
      <c r="R915" s="4"/>
      <c r="S915" s="4"/>
      <c r="T915" s="4"/>
      <c r="U915" s="4"/>
    </row>
    <row r="916" spans="2:21" ht="15" x14ac:dyDescent="0.25">
      <c r="B916" s="4"/>
      <c r="D916" s="3"/>
      <c r="E916" s="3"/>
      <c r="H916" s="3"/>
      <c r="O916" s="4"/>
      <c r="P916" s="4"/>
      <c r="Q916" s="4"/>
      <c r="R916" s="4"/>
      <c r="S916" s="4"/>
      <c r="T916" s="4"/>
      <c r="U916" s="4"/>
    </row>
    <row r="917" spans="2:21" ht="15" x14ac:dyDescent="0.25">
      <c r="B917" s="4"/>
      <c r="D917" s="3"/>
      <c r="E917" s="3"/>
      <c r="H917" s="3"/>
      <c r="O917" s="4"/>
      <c r="P917" s="4"/>
      <c r="Q917" s="4"/>
      <c r="R917" s="4"/>
      <c r="S917" s="4"/>
      <c r="T917" s="4"/>
      <c r="U917" s="4"/>
    </row>
    <row r="918" spans="2:21" ht="15" x14ac:dyDescent="0.25">
      <c r="B918" s="4"/>
      <c r="D918" s="3"/>
      <c r="E918" s="3"/>
      <c r="H918" s="3"/>
      <c r="O918" s="4"/>
      <c r="P918" s="4"/>
      <c r="Q918" s="4"/>
      <c r="R918" s="4"/>
      <c r="S918" s="4"/>
      <c r="T918" s="4"/>
      <c r="U918" s="4"/>
    </row>
    <row r="919" spans="2:21" ht="15" x14ac:dyDescent="0.25">
      <c r="B919" s="4"/>
      <c r="D919" s="3"/>
      <c r="E919" s="3"/>
      <c r="H919" s="3"/>
      <c r="O919" s="4"/>
      <c r="P919" s="4"/>
      <c r="Q919" s="4"/>
      <c r="R919" s="4"/>
      <c r="S919" s="4"/>
      <c r="T919" s="4"/>
      <c r="U919" s="4"/>
    </row>
    <row r="920" spans="2:21" ht="15" x14ac:dyDescent="0.25">
      <c r="B920" s="4"/>
      <c r="D920" s="3"/>
      <c r="E920" s="3"/>
      <c r="H920" s="3"/>
      <c r="O920" s="4"/>
      <c r="P920" s="4"/>
      <c r="Q920" s="4"/>
      <c r="R920" s="4"/>
      <c r="S920" s="4"/>
      <c r="T920" s="4"/>
      <c r="U920" s="4"/>
    </row>
    <row r="921" spans="2:21" ht="15" x14ac:dyDescent="0.25">
      <c r="B921" s="4"/>
      <c r="D921" s="3"/>
      <c r="E921" s="3"/>
      <c r="H921" s="3"/>
      <c r="O921" s="4"/>
      <c r="P921" s="4"/>
      <c r="Q921" s="4"/>
      <c r="R921" s="4"/>
      <c r="S921" s="4"/>
      <c r="T921" s="4"/>
      <c r="U921" s="4"/>
    </row>
    <row r="922" spans="2:21" ht="15" x14ac:dyDescent="0.25">
      <c r="B922" s="4"/>
      <c r="D922" s="3"/>
      <c r="E922" s="3"/>
      <c r="H922" s="3"/>
      <c r="O922" s="4"/>
      <c r="P922" s="4"/>
      <c r="Q922" s="4"/>
      <c r="R922" s="4"/>
      <c r="S922" s="4"/>
      <c r="T922" s="4"/>
      <c r="U922" s="4"/>
    </row>
    <row r="923" spans="2:21" ht="15" x14ac:dyDescent="0.25">
      <c r="B923" s="4"/>
      <c r="D923" s="3"/>
      <c r="E923" s="3"/>
      <c r="H923" s="3"/>
      <c r="O923" s="4"/>
      <c r="P923" s="4"/>
      <c r="Q923" s="4"/>
      <c r="R923" s="4"/>
      <c r="S923" s="4"/>
      <c r="T923" s="4"/>
      <c r="U923" s="4"/>
    </row>
    <row r="924" spans="2:21" ht="15" x14ac:dyDescent="0.25">
      <c r="B924" s="4"/>
      <c r="D924" s="3"/>
      <c r="E924" s="3"/>
      <c r="H924" s="3"/>
      <c r="O924" s="4"/>
      <c r="P924" s="4"/>
      <c r="Q924" s="4"/>
      <c r="R924" s="4"/>
      <c r="S924" s="4"/>
      <c r="T924" s="4"/>
      <c r="U924" s="4"/>
    </row>
    <row r="925" spans="2:21" ht="15" x14ac:dyDescent="0.25">
      <c r="B925" s="4"/>
      <c r="D925" s="3"/>
      <c r="E925" s="3"/>
      <c r="H925" s="3"/>
      <c r="O925" s="4"/>
      <c r="P925" s="4"/>
      <c r="Q925" s="4"/>
      <c r="R925" s="4"/>
      <c r="S925" s="4"/>
      <c r="T925" s="4"/>
      <c r="U925" s="4"/>
    </row>
    <row r="926" spans="2:21" ht="15" x14ac:dyDescent="0.25">
      <c r="B926" s="4"/>
      <c r="D926" s="3"/>
      <c r="E926" s="3"/>
      <c r="H926" s="3"/>
      <c r="O926" s="4"/>
      <c r="P926" s="4"/>
      <c r="Q926" s="4"/>
      <c r="R926" s="4"/>
      <c r="S926" s="4"/>
      <c r="T926" s="4"/>
      <c r="U926" s="4"/>
    </row>
    <row r="927" spans="2:21" ht="15" x14ac:dyDescent="0.25">
      <c r="B927" s="4"/>
      <c r="D927" s="3"/>
      <c r="E927" s="3"/>
      <c r="H927" s="3"/>
      <c r="O927" s="4"/>
      <c r="P927" s="4"/>
      <c r="Q927" s="4"/>
      <c r="R927" s="4"/>
      <c r="S927" s="4"/>
      <c r="T927" s="4"/>
      <c r="U927" s="4"/>
    </row>
    <row r="928" spans="2:21" ht="15" x14ac:dyDescent="0.25">
      <c r="B928" s="4"/>
      <c r="D928" s="3"/>
      <c r="E928" s="3"/>
      <c r="H928" s="3"/>
      <c r="O928" s="4"/>
      <c r="P928" s="4"/>
      <c r="Q928" s="4"/>
      <c r="R928" s="4"/>
      <c r="S928" s="4"/>
      <c r="T928" s="4"/>
      <c r="U928" s="4"/>
    </row>
    <row r="929" spans="2:21" ht="15" x14ac:dyDescent="0.25">
      <c r="B929" s="4"/>
      <c r="D929" s="3"/>
      <c r="E929" s="3"/>
      <c r="H929" s="3"/>
      <c r="O929" s="4"/>
      <c r="P929" s="4"/>
      <c r="Q929" s="4"/>
      <c r="R929" s="4"/>
      <c r="S929" s="4"/>
      <c r="T929" s="4"/>
      <c r="U929" s="4"/>
    </row>
    <row r="930" spans="2:21" ht="15" x14ac:dyDescent="0.25">
      <c r="B930" s="4"/>
      <c r="D930" s="3"/>
      <c r="E930" s="3"/>
      <c r="H930" s="3"/>
      <c r="O930" s="4"/>
      <c r="P930" s="4"/>
      <c r="Q930" s="4"/>
      <c r="R930" s="4"/>
      <c r="S930" s="4"/>
      <c r="T930" s="4"/>
      <c r="U930" s="4"/>
    </row>
    <row r="931" spans="2:21" ht="15" x14ac:dyDescent="0.25">
      <c r="B931" s="4"/>
      <c r="D931" s="3"/>
      <c r="E931" s="3"/>
      <c r="H931" s="3"/>
      <c r="O931" s="4"/>
      <c r="P931" s="4"/>
      <c r="Q931" s="4"/>
      <c r="R931" s="4"/>
      <c r="S931" s="4"/>
      <c r="T931" s="4"/>
      <c r="U931" s="4"/>
    </row>
    <row r="932" spans="2:21" ht="15" x14ac:dyDescent="0.25">
      <c r="B932" s="4"/>
      <c r="D932" s="3"/>
      <c r="E932" s="3"/>
      <c r="H932" s="3"/>
      <c r="O932" s="4"/>
      <c r="P932" s="4"/>
      <c r="Q932" s="4"/>
      <c r="R932" s="4"/>
      <c r="S932" s="4"/>
      <c r="T932" s="4"/>
      <c r="U932" s="4"/>
    </row>
    <row r="933" spans="2:21" ht="15" x14ac:dyDescent="0.25">
      <c r="B933" s="4"/>
      <c r="D933" s="3"/>
      <c r="E933" s="3"/>
      <c r="H933" s="3"/>
      <c r="O933" s="4"/>
      <c r="P933" s="4"/>
      <c r="Q933" s="4"/>
      <c r="R933" s="4"/>
      <c r="S933" s="4"/>
      <c r="T933" s="4"/>
      <c r="U933" s="4"/>
    </row>
    <row r="934" spans="2:21" ht="15" x14ac:dyDescent="0.25">
      <c r="B934" s="4"/>
      <c r="D934" s="3"/>
      <c r="E934" s="3"/>
      <c r="H934" s="3"/>
      <c r="O934" s="4"/>
      <c r="P934" s="4"/>
      <c r="Q934" s="4"/>
      <c r="R934" s="4"/>
      <c r="S934" s="4"/>
      <c r="T934" s="4"/>
      <c r="U934" s="4"/>
    </row>
    <row r="935" spans="2:21" ht="15" x14ac:dyDescent="0.25">
      <c r="B935" s="4"/>
      <c r="D935" s="3"/>
      <c r="E935" s="3"/>
      <c r="H935" s="3"/>
      <c r="O935" s="4"/>
      <c r="P935" s="4"/>
      <c r="Q935" s="4"/>
      <c r="R935" s="4"/>
      <c r="S935" s="4"/>
      <c r="T935" s="4"/>
      <c r="U935" s="4"/>
    </row>
    <row r="936" spans="2:21" ht="15" x14ac:dyDescent="0.25">
      <c r="B936" s="4"/>
      <c r="D936" s="3"/>
      <c r="E936" s="3"/>
      <c r="H936" s="3"/>
      <c r="O936" s="4"/>
      <c r="P936" s="4"/>
      <c r="Q936" s="4"/>
      <c r="R936" s="4"/>
      <c r="S936" s="4"/>
      <c r="T936" s="4"/>
      <c r="U936" s="4"/>
    </row>
    <row r="937" spans="2:21" ht="15" x14ac:dyDescent="0.25">
      <c r="B937" s="4"/>
      <c r="D937" s="3"/>
      <c r="E937" s="3"/>
      <c r="H937" s="3"/>
      <c r="O937" s="4"/>
      <c r="P937" s="4"/>
      <c r="Q937" s="4"/>
      <c r="R937" s="4"/>
      <c r="S937" s="4"/>
      <c r="T937" s="4"/>
      <c r="U937" s="4"/>
    </row>
    <row r="938" spans="2:21" ht="15" x14ac:dyDescent="0.25">
      <c r="B938" s="4"/>
      <c r="D938" s="3"/>
      <c r="E938" s="3"/>
      <c r="H938" s="3"/>
      <c r="O938" s="4"/>
      <c r="P938" s="4"/>
      <c r="Q938" s="4"/>
      <c r="R938" s="4"/>
      <c r="S938" s="4"/>
      <c r="T938" s="4"/>
      <c r="U938" s="4"/>
    </row>
    <row r="939" spans="2:21" ht="15" x14ac:dyDescent="0.25">
      <c r="B939" s="4"/>
      <c r="D939" s="3"/>
      <c r="E939" s="3"/>
      <c r="H939" s="3"/>
      <c r="O939" s="4"/>
      <c r="P939" s="4"/>
      <c r="Q939" s="4"/>
      <c r="R939" s="4"/>
      <c r="S939" s="4"/>
      <c r="T939" s="4"/>
      <c r="U939" s="4"/>
    </row>
    <row r="940" spans="2:21" ht="15" x14ac:dyDescent="0.25">
      <c r="B940" s="4"/>
      <c r="D940" s="3"/>
      <c r="E940" s="3"/>
      <c r="H940" s="3"/>
      <c r="O940" s="4"/>
      <c r="P940" s="4"/>
      <c r="Q940" s="4"/>
      <c r="R940" s="4"/>
      <c r="S940" s="4"/>
      <c r="T940" s="4"/>
      <c r="U940" s="4"/>
    </row>
    <row r="941" spans="2:21" ht="15" x14ac:dyDescent="0.25">
      <c r="B941" s="4"/>
      <c r="D941" s="3"/>
      <c r="E941" s="3"/>
      <c r="H941" s="3"/>
      <c r="O941" s="4"/>
      <c r="P941" s="4"/>
      <c r="Q941" s="4"/>
      <c r="R941" s="4"/>
      <c r="S941" s="4"/>
      <c r="T941" s="4"/>
      <c r="U941" s="4"/>
    </row>
    <row r="942" spans="2:21" ht="15" x14ac:dyDescent="0.25">
      <c r="B942" s="4"/>
      <c r="D942" s="3"/>
      <c r="E942" s="3"/>
      <c r="H942" s="3"/>
      <c r="O942" s="4"/>
      <c r="P942" s="4"/>
      <c r="Q942" s="4"/>
      <c r="R942" s="4"/>
      <c r="S942" s="4"/>
      <c r="T942" s="4"/>
      <c r="U942" s="4"/>
    </row>
    <row r="943" spans="2:21" ht="15" x14ac:dyDescent="0.25">
      <c r="B943" s="4"/>
      <c r="D943" s="3"/>
      <c r="E943" s="3"/>
      <c r="H943" s="3"/>
      <c r="O943" s="4"/>
      <c r="P943" s="4"/>
      <c r="Q943" s="4"/>
      <c r="R943" s="4"/>
      <c r="S943" s="4"/>
      <c r="T943" s="4"/>
      <c r="U943" s="4"/>
    </row>
    <row r="944" spans="2:21" ht="15" x14ac:dyDescent="0.25">
      <c r="B944" s="4"/>
      <c r="D944" s="3"/>
      <c r="E944" s="3"/>
      <c r="H944" s="3"/>
      <c r="O944" s="4"/>
      <c r="P944" s="4"/>
      <c r="Q944" s="4"/>
      <c r="R944" s="4"/>
      <c r="S944" s="4"/>
      <c r="T944" s="4"/>
      <c r="U944" s="4"/>
    </row>
    <row r="945" spans="2:21" ht="15" x14ac:dyDescent="0.25">
      <c r="B945" s="4"/>
      <c r="D945" s="3"/>
      <c r="E945" s="3"/>
      <c r="H945" s="3"/>
      <c r="O945" s="4"/>
      <c r="P945" s="4"/>
      <c r="Q945" s="4"/>
      <c r="R945" s="4"/>
      <c r="S945" s="4"/>
      <c r="T945" s="4"/>
      <c r="U945" s="4"/>
    </row>
    <row r="946" spans="2:21" ht="15" x14ac:dyDescent="0.25">
      <c r="B946" s="4"/>
      <c r="D946" s="3"/>
      <c r="E946" s="3"/>
      <c r="H946" s="3"/>
      <c r="O946" s="4"/>
      <c r="P946" s="4"/>
      <c r="Q946" s="4"/>
      <c r="R946" s="4"/>
      <c r="S946" s="4"/>
      <c r="T946" s="4"/>
      <c r="U946" s="4"/>
    </row>
    <row r="947" spans="2:21" ht="15" x14ac:dyDescent="0.25">
      <c r="B947" s="4"/>
      <c r="D947" s="3"/>
      <c r="E947" s="3"/>
      <c r="H947" s="3"/>
      <c r="O947" s="4"/>
      <c r="P947" s="4"/>
      <c r="Q947" s="4"/>
      <c r="R947" s="4"/>
      <c r="S947" s="4"/>
      <c r="T947" s="4"/>
      <c r="U947" s="4"/>
    </row>
    <row r="948" spans="2:21" ht="15" x14ac:dyDescent="0.25">
      <c r="B948" s="4"/>
      <c r="D948" s="3"/>
      <c r="E948" s="3"/>
      <c r="H948" s="3"/>
      <c r="O948" s="4"/>
      <c r="P948" s="4"/>
      <c r="Q948" s="4"/>
      <c r="R948" s="4"/>
      <c r="S948" s="4"/>
      <c r="T948" s="4"/>
      <c r="U948" s="4"/>
    </row>
    <row r="949" spans="2:21" ht="15" x14ac:dyDescent="0.25">
      <c r="B949" s="4"/>
      <c r="D949" s="3"/>
      <c r="E949" s="3"/>
      <c r="H949" s="3"/>
      <c r="O949" s="4"/>
      <c r="P949" s="4"/>
      <c r="Q949" s="4"/>
      <c r="R949" s="4"/>
      <c r="S949" s="4"/>
      <c r="T949" s="4"/>
      <c r="U949" s="4"/>
    </row>
    <row r="950" spans="2:21" ht="15" x14ac:dyDescent="0.25">
      <c r="B950" s="4"/>
      <c r="D950" s="3"/>
      <c r="E950" s="3"/>
      <c r="H950" s="3"/>
      <c r="O950" s="4"/>
      <c r="P950" s="4"/>
      <c r="Q950" s="4"/>
      <c r="R950" s="4"/>
      <c r="S950" s="4"/>
      <c r="T950" s="4"/>
      <c r="U950" s="4"/>
    </row>
    <row r="951" spans="2:21" ht="15" x14ac:dyDescent="0.25">
      <c r="B951" s="4"/>
      <c r="D951" s="3"/>
      <c r="E951" s="3"/>
      <c r="H951" s="3"/>
      <c r="O951" s="4"/>
      <c r="P951" s="4"/>
      <c r="Q951" s="4"/>
      <c r="R951" s="4"/>
      <c r="S951" s="4"/>
      <c r="T951" s="4"/>
      <c r="U951" s="4"/>
    </row>
    <row r="952" spans="2:21" ht="15" x14ac:dyDescent="0.25">
      <c r="B952" s="4"/>
      <c r="D952" s="3"/>
      <c r="E952" s="3"/>
      <c r="H952" s="3"/>
      <c r="O952" s="4"/>
      <c r="P952" s="4"/>
      <c r="Q952" s="4"/>
      <c r="R952" s="4"/>
      <c r="S952" s="4"/>
      <c r="T952" s="4"/>
      <c r="U952" s="4"/>
    </row>
    <row r="953" spans="2:21" ht="15" x14ac:dyDescent="0.25">
      <c r="B953" s="4"/>
      <c r="D953" s="3"/>
      <c r="E953" s="3"/>
      <c r="H953" s="3"/>
      <c r="O953" s="4"/>
      <c r="P953" s="4"/>
      <c r="Q953" s="4"/>
      <c r="R953" s="4"/>
      <c r="S953" s="4"/>
      <c r="T953" s="4"/>
      <c r="U953" s="4"/>
    </row>
    <row r="954" spans="2:21" ht="15" x14ac:dyDescent="0.25">
      <c r="B954" s="4"/>
      <c r="D954" s="3"/>
      <c r="E954" s="3"/>
      <c r="H954" s="3"/>
      <c r="O954" s="4"/>
      <c r="P954" s="4"/>
      <c r="Q954" s="4"/>
      <c r="R954" s="4"/>
      <c r="S954" s="4"/>
      <c r="T954" s="4"/>
      <c r="U954" s="4"/>
    </row>
    <row r="955" spans="2:21" ht="15" x14ac:dyDescent="0.25">
      <c r="B955" s="4"/>
      <c r="D955" s="3"/>
      <c r="E955" s="3"/>
      <c r="H955" s="3"/>
      <c r="O955" s="4"/>
      <c r="P955" s="4"/>
      <c r="Q955" s="4"/>
      <c r="R955" s="4"/>
      <c r="S955" s="4"/>
      <c r="T955" s="4"/>
      <c r="U955" s="4"/>
    </row>
    <row r="956" spans="2:21" ht="15" x14ac:dyDescent="0.25">
      <c r="B956" s="4"/>
      <c r="D956" s="3"/>
      <c r="E956" s="3"/>
      <c r="H956" s="3"/>
      <c r="O956" s="4"/>
      <c r="P956" s="4"/>
      <c r="Q956" s="4"/>
      <c r="R956" s="4"/>
      <c r="S956" s="4"/>
      <c r="T956" s="4"/>
      <c r="U956" s="4"/>
    </row>
    <row r="957" spans="2:21" ht="15" x14ac:dyDescent="0.25">
      <c r="B957" s="4"/>
      <c r="D957" s="3"/>
      <c r="E957" s="3"/>
      <c r="H957" s="3"/>
      <c r="O957" s="4"/>
      <c r="P957" s="4"/>
      <c r="Q957" s="4"/>
      <c r="R957" s="4"/>
      <c r="S957" s="4"/>
      <c r="T957" s="4"/>
      <c r="U957" s="4"/>
    </row>
    <row r="958" spans="2:21" ht="15" x14ac:dyDescent="0.25">
      <c r="B958" s="4"/>
      <c r="D958" s="3"/>
      <c r="E958" s="3"/>
      <c r="H958" s="3"/>
      <c r="O958" s="4"/>
      <c r="P958" s="4"/>
      <c r="Q958" s="4"/>
      <c r="R958" s="4"/>
      <c r="S958" s="4"/>
      <c r="T958" s="4"/>
      <c r="U958" s="4"/>
    </row>
    <row r="959" spans="2:21" ht="15" x14ac:dyDescent="0.25">
      <c r="B959" s="4"/>
      <c r="D959" s="3"/>
      <c r="E959" s="3"/>
      <c r="H959" s="3"/>
      <c r="O959" s="4"/>
      <c r="P959" s="4"/>
      <c r="Q959" s="4"/>
      <c r="R959" s="4"/>
      <c r="S959" s="4"/>
      <c r="T959" s="4"/>
      <c r="U959" s="4"/>
    </row>
    <row r="960" spans="2:21" ht="15" x14ac:dyDescent="0.25">
      <c r="B960" s="4"/>
      <c r="D960" s="3"/>
      <c r="E960" s="3"/>
      <c r="H960" s="3"/>
      <c r="O960" s="4"/>
      <c r="P960" s="4"/>
      <c r="Q960" s="4"/>
      <c r="R960" s="4"/>
      <c r="S960" s="4"/>
      <c r="T960" s="4"/>
      <c r="U960" s="4"/>
    </row>
    <row r="961" spans="2:21" ht="15" x14ac:dyDescent="0.25">
      <c r="B961" s="4"/>
      <c r="D961" s="3"/>
      <c r="E961" s="3"/>
      <c r="H961" s="3"/>
      <c r="O961" s="4"/>
      <c r="P961" s="4"/>
      <c r="Q961" s="4"/>
      <c r="R961" s="4"/>
      <c r="S961" s="4"/>
      <c r="T961" s="4"/>
      <c r="U961" s="4"/>
    </row>
    <row r="962" spans="2:21" ht="15" x14ac:dyDescent="0.25">
      <c r="B962" s="4"/>
      <c r="D962" s="3"/>
      <c r="E962" s="3"/>
      <c r="H962" s="3"/>
      <c r="O962" s="4"/>
      <c r="P962" s="4"/>
      <c r="Q962" s="4"/>
      <c r="R962" s="4"/>
      <c r="S962" s="4"/>
      <c r="T962" s="4"/>
      <c r="U962" s="4"/>
    </row>
    <row r="963" spans="2:21" ht="15" x14ac:dyDescent="0.25">
      <c r="B963" s="4"/>
      <c r="D963" s="3"/>
      <c r="E963" s="3"/>
      <c r="H963" s="3"/>
      <c r="O963" s="4"/>
      <c r="P963" s="4"/>
      <c r="Q963" s="4"/>
      <c r="R963" s="4"/>
      <c r="S963" s="4"/>
      <c r="T963" s="4"/>
      <c r="U963" s="4"/>
    </row>
    <row r="964" spans="2:21" ht="15" x14ac:dyDescent="0.25">
      <c r="B964" s="4"/>
      <c r="D964" s="3"/>
      <c r="E964" s="3"/>
      <c r="H964" s="3"/>
      <c r="O964" s="4"/>
      <c r="P964" s="4"/>
      <c r="Q964" s="4"/>
      <c r="R964" s="4"/>
      <c r="S964" s="4"/>
      <c r="T964" s="4"/>
      <c r="U964" s="4"/>
    </row>
    <row r="965" spans="2:21" ht="15" x14ac:dyDescent="0.25">
      <c r="B965" s="4"/>
      <c r="D965" s="3"/>
      <c r="E965" s="3"/>
      <c r="H965" s="3"/>
      <c r="O965" s="4"/>
      <c r="P965" s="4"/>
      <c r="Q965" s="4"/>
      <c r="R965" s="4"/>
      <c r="S965" s="4"/>
      <c r="T965" s="4"/>
      <c r="U965" s="4"/>
    </row>
    <row r="966" spans="2:21" ht="15" x14ac:dyDescent="0.25">
      <c r="B966" s="4"/>
      <c r="D966" s="3"/>
      <c r="E966" s="3"/>
      <c r="H966" s="3"/>
      <c r="O966" s="4"/>
      <c r="P966" s="4"/>
      <c r="Q966" s="4"/>
      <c r="R966" s="4"/>
      <c r="S966" s="4"/>
      <c r="T966" s="4"/>
      <c r="U966" s="4"/>
    </row>
    <row r="967" spans="2:21" ht="15" x14ac:dyDescent="0.25">
      <c r="B967" s="4"/>
      <c r="D967" s="3"/>
      <c r="E967" s="3"/>
      <c r="H967" s="3"/>
      <c r="O967" s="4"/>
      <c r="P967" s="4"/>
      <c r="Q967" s="4"/>
      <c r="R967" s="4"/>
      <c r="S967" s="4"/>
      <c r="T967" s="4"/>
      <c r="U967" s="4"/>
    </row>
    <row r="968" spans="2:21" ht="15" x14ac:dyDescent="0.25">
      <c r="B968" s="4"/>
      <c r="D968" s="3"/>
      <c r="E968" s="3"/>
      <c r="H968" s="3"/>
      <c r="O968" s="4"/>
      <c r="P968" s="4"/>
      <c r="Q968" s="4"/>
      <c r="R968" s="4"/>
      <c r="S968" s="4"/>
      <c r="T968" s="4"/>
      <c r="U968" s="4"/>
    </row>
    <row r="969" spans="2:21" ht="15" x14ac:dyDescent="0.25">
      <c r="B969" s="4"/>
      <c r="D969" s="3"/>
      <c r="E969" s="3"/>
      <c r="H969" s="3"/>
      <c r="O969" s="4"/>
      <c r="P969" s="4"/>
      <c r="Q969" s="4"/>
      <c r="R969" s="4"/>
      <c r="S969" s="4"/>
      <c r="T969" s="4"/>
      <c r="U969" s="4"/>
    </row>
    <row r="970" spans="2:21" ht="15" x14ac:dyDescent="0.25">
      <c r="B970" s="4"/>
      <c r="D970" s="3"/>
      <c r="E970" s="3"/>
      <c r="H970" s="3"/>
      <c r="O970" s="4"/>
      <c r="P970" s="4"/>
      <c r="Q970" s="4"/>
      <c r="R970" s="4"/>
      <c r="S970" s="4"/>
      <c r="T970" s="4"/>
      <c r="U970" s="4"/>
    </row>
    <row r="971" spans="2:21" ht="15" x14ac:dyDescent="0.25">
      <c r="B971" s="4"/>
      <c r="D971" s="3"/>
      <c r="E971" s="3"/>
      <c r="H971" s="3"/>
      <c r="O971" s="4"/>
      <c r="P971" s="4"/>
      <c r="Q971" s="4"/>
      <c r="R971" s="4"/>
      <c r="S971" s="4"/>
      <c r="T971" s="4"/>
      <c r="U971" s="4"/>
    </row>
    <row r="972" spans="2:21" ht="15" x14ac:dyDescent="0.25">
      <c r="B972" s="4"/>
      <c r="D972" s="3"/>
      <c r="E972" s="3"/>
      <c r="H972" s="3"/>
      <c r="O972" s="4"/>
      <c r="P972" s="4"/>
      <c r="Q972" s="4"/>
      <c r="R972" s="4"/>
      <c r="S972" s="4"/>
      <c r="T972" s="4"/>
      <c r="U972" s="4"/>
    </row>
    <row r="973" spans="2:21" ht="15" x14ac:dyDescent="0.25">
      <c r="B973" s="4"/>
      <c r="D973" s="3"/>
      <c r="E973" s="3"/>
      <c r="H973" s="3"/>
      <c r="O973" s="4"/>
      <c r="P973" s="4"/>
      <c r="Q973" s="4"/>
      <c r="R973" s="4"/>
      <c r="S973" s="4"/>
      <c r="T973" s="4"/>
      <c r="U973" s="4"/>
    </row>
    <row r="974" spans="2:21" ht="15" x14ac:dyDescent="0.25">
      <c r="B974" s="4"/>
      <c r="D974" s="3"/>
      <c r="E974" s="3"/>
      <c r="H974" s="3"/>
      <c r="O974" s="4"/>
      <c r="P974" s="4"/>
      <c r="Q974" s="4"/>
      <c r="R974" s="4"/>
      <c r="S974" s="4"/>
      <c r="T974" s="4"/>
      <c r="U974" s="4"/>
    </row>
    <row r="975" spans="2:21" ht="15" x14ac:dyDescent="0.25">
      <c r="B975" s="4"/>
      <c r="D975" s="3"/>
      <c r="E975" s="3"/>
      <c r="H975" s="3"/>
      <c r="O975" s="4"/>
      <c r="P975" s="4"/>
      <c r="Q975" s="4"/>
      <c r="R975" s="4"/>
      <c r="S975" s="4"/>
      <c r="T975" s="4"/>
      <c r="U975" s="4"/>
    </row>
    <row r="976" spans="2:21" ht="15" x14ac:dyDescent="0.25">
      <c r="B976" s="4"/>
      <c r="D976" s="3"/>
      <c r="E976" s="3"/>
      <c r="H976" s="3"/>
      <c r="O976" s="4"/>
      <c r="P976" s="4"/>
      <c r="Q976" s="4"/>
      <c r="R976" s="4"/>
      <c r="S976" s="4"/>
      <c r="T976" s="4"/>
      <c r="U976" s="4"/>
    </row>
    <row r="977" spans="2:21" ht="15" x14ac:dyDescent="0.25">
      <c r="B977" s="4"/>
      <c r="D977" s="3"/>
      <c r="E977" s="3"/>
      <c r="H977" s="3"/>
      <c r="O977" s="4"/>
      <c r="P977" s="4"/>
      <c r="Q977" s="4"/>
      <c r="R977" s="4"/>
      <c r="S977" s="4"/>
      <c r="T977" s="4"/>
      <c r="U977" s="4"/>
    </row>
    <row r="978" spans="2:21" ht="15" x14ac:dyDescent="0.25">
      <c r="B978" s="4"/>
      <c r="D978" s="3"/>
      <c r="E978" s="3"/>
      <c r="H978" s="3"/>
      <c r="O978" s="4"/>
      <c r="P978" s="4"/>
      <c r="Q978" s="4"/>
      <c r="R978" s="4"/>
      <c r="S978" s="4"/>
      <c r="T978" s="4"/>
      <c r="U978" s="4"/>
    </row>
    <row r="979" spans="2:21" ht="15" x14ac:dyDescent="0.25">
      <c r="B979" s="4"/>
      <c r="D979" s="3"/>
      <c r="E979" s="3"/>
      <c r="H979" s="3"/>
      <c r="O979" s="4"/>
      <c r="P979" s="4"/>
      <c r="Q979" s="4"/>
      <c r="R979" s="4"/>
      <c r="S979" s="4"/>
      <c r="T979" s="4"/>
      <c r="U979" s="4"/>
    </row>
    <row r="980" spans="2:21" ht="15" x14ac:dyDescent="0.25">
      <c r="B980" s="4"/>
      <c r="D980" s="3"/>
      <c r="E980" s="3"/>
      <c r="H980" s="3"/>
      <c r="O980" s="4"/>
      <c r="P980" s="4"/>
      <c r="Q980" s="4"/>
      <c r="R980" s="4"/>
      <c r="S980" s="4"/>
      <c r="T980" s="4"/>
      <c r="U980" s="4"/>
    </row>
    <row r="981" spans="2:21" ht="15" x14ac:dyDescent="0.25">
      <c r="B981" s="4"/>
      <c r="D981" s="3"/>
      <c r="E981" s="3"/>
      <c r="H981" s="3"/>
      <c r="O981" s="4"/>
      <c r="P981" s="4"/>
      <c r="Q981" s="4"/>
      <c r="R981" s="4"/>
      <c r="S981" s="4"/>
      <c r="T981" s="4"/>
      <c r="U981" s="4"/>
    </row>
    <row r="982" spans="2:21" ht="15" x14ac:dyDescent="0.25">
      <c r="B982" s="4"/>
      <c r="D982" s="3"/>
      <c r="E982" s="3"/>
      <c r="H982" s="3"/>
      <c r="O982" s="4"/>
      <c r="P982" s="4"/>
      <c r="Q982" s="4"/>
      <c r="R982" s="4"/>
      <c r="S982" s="4"/>
      <c r="T982" s="4"/>
      <c r="U982" s="4"/>
    </row>
    <row r="983" spans="2:21" ht="15" x14ac:dyDescent="0.25">
      <c r="B983" s="4"/>
      <c r="D983" s="3"/>
      <c r="E983" s="3"/>
      <c r="H983" s="3"/>
      <c r="O983" s="4"/>
      <c r="P983" s="4"/>
      <c r="Q983" s="4"/>
      <c r="R983" s="4"/>
      <c r="S983" s="4"/>
      <c r="T983" s="4"/>
      <c r="U983" s="4"/>
    </row>
    <row r="984" spans="2:21" ht="15" x14ac:dyDescent="0.25">
      <c r="B984" s="4"/>
      <c r="D984" s="3"/>
      <c r="E984" s="3"/>
      <c r="H984" s="3"/>
      <c r="O984" s="4"/>
      <c r="P984" s="4"/>
      <c r="Q984" s="4"/>
      <c r="R984" s="4"/>
      <c r="S984" s="4"/>
      <c r="T984" s="4"/>
      <c r="U984" s="4"/>
    </row>
    <row r="985" spans="2:21" ht="15" x14ac:dyDescent="0.25">
      <c r="B985" s="4"/>
      <c r="D985" s="3"/>
      <c r="E985" s="3"/>
      <c r="H985" s="3"/>
      <c r="O985" s="4"/>
      <c r="P985" s="4"/>
      <c r="Q985" s="4"/>
      <c r="R985" s="4"/>
      <c r="S985" s="4"/>
      <c r="T985" s="4"/>
      <c r="U985" s="4"/>
    </row>
    <row r="986" spans="2:21" ht="15" x14ac:dyDescent="0.25">
      <c r="B986" s="4"/>
      <c r="D986" s="3"/>
      <c r="E986" s="3"/>
      <c r="H986" s="3"/>
      <c r="O986" s="4"/>
      <c r="P986" s="4"/>
      <c r="Q986" s="4"/>
      <c r="R986" s="4"/>
      <c r="S986" s="4"/>
      <c r="T986" s="4"/>
      <c r="U986" s="4"/>
    </row>
    <row r="987" spans="2:21" ht="15" x14ac:dyDescent="0.25">
      <c r="B987" s="4"/>
      <c r="D987" s="3"/>
      <c r="E987" s="3"/>
      <c r="H987" s="3"/>
      <c r="O987" s="4"/>
      <c r="P987" s="4"/>
      <c r="Q987" s="4"/>
      <c r="R987" s="4"/>
      <c r="S987" s="4"/>
      <c r="T987" s="4"/>
      <c r="U987" s="4"/>
    </row>
    <row r="988" spans="2:21" ht="15" x14ac:dyDescent="0.25">
      <c r="B988" s="4"/>
      <c r="D988" s="3"/>
      <c r="E988" s="3"/>
      <c r="H988" s="3"/>
      <c r="O988" s="4"/>
      <c r="P988" s="4"/>
      <c r="Q988" s="4"/>
      <c r="R988" s="4"/>
      <c r="S988" s="4"/>
      <c r="T988" s="4"/>
      <c r="U988" s="4"/>
    </row>
    <row r="989" spans="2:21" ht="15" x14ac:dyDescent="0.25">
      <c r="B989" s="4"/>
      <c r="D989" s="3"/>
      <c r="E989" s="3"/>
      <c r="H989" s="3"/>
      <c r="O989" s="4"/>
      <c r="P989" s="4"/>
      <c r="Q989" s="4"/>
      <c r="R989" s="4"/>
      <c r="S989" s="4"/>
      <c r="T989" s="4"/>
      <c r="U989" s="4"/>
    </row>
    <row r="990" spans="2:21" ht="15" x14ac:dyDescent="0.25">
      <c r="B990" s="4"/>
      <c r="D990" s="3"/>
      <c r="E990" s="3"/>
      <c r="H990" s="3"/>
      <c r="O990" s="4"/>
      <c r="P990" s="4"/>
      <c r="Q990" s="4"/>
      <c r="R990" s="4"/>
      <c r="S990" s="4"/>
      <c r="T990" s="4"/>
      <c r="U990" s="4"/>
    </row>
    <row r="991" spans="2:21" ht="15" x14ac:dyDescent="0.25">
      <c r="B991" s="4"/>
      <c r="D991" s="3"/>
      <c r="E991" s="3"/>
      <c r="H991" s="3"/>
      <c r="O991" s="4"/>
      <c r="P991" s="4"/>
      <c r="Q991" s="4"/>
      <c r="R991" s="4"/>
      <c r="S991" s="4"/>
      <c r="T991" s="4"/>
      <c r="U991" s="4"/>
    </row>
    <row r="992" spans="2:21" ht="15" x14ac:dyDescent="0.25">
      <c r="B992" s="4"/>
      <c r="D992" s="3"/>
      <c r="E992" s="3"/>
      <c r="H992" s="3"/>
      <c r="O992" s="4"/>
      <c r="P992" s="4"/>
      <c r="Q992" s="4"/>
      <c r="R992" s="4"/>
      <c r="S992" s="4"/>
      <c r="T992" s="4"/>
      <c r="U992" s="4"/>
    </row>
    <row r="993" spans="2:21" ht="15" x14ac:dyDescent="0.25">
      <c r="B993" s="4"/>
      <c r="D993" s="3"/>
      <c r="E993" s="3"/>
      <c r="H993" s="3"/>
      <c r="O993" s="4"/>
      <c r="P993" s="4"/>
      <c r="Q993" s="4"/>
      <c r="R993" s="4"/>
      <c r="S993" s="4"/>
      <c r="T993" s="4"/>
      <c r="U993" s="4"/>
    </row>
    <row r="994" spans="2:21" ht="15" x14ac:dyDescent="0.25">
      <c r="B994" s="4"/>
      <c r="D994" s="3"/>
      <c r="E994" s="3"/>
      <c r="H994" s="3"/>
      <c r="O994" s="4"/>
      <c r="P994" s="4"/>
      <c r="Q994" s="4"/>
      <c r="R994" s="4"/>
      <c r="S994" s="4"/>
      <c r="T994" s="4"/>
      <c r="U994" s="4"/>
    </row>
    <row r="995" spans="2:21" ht="15" x14ac:dyDescent="0.25">
      <c r="B995" s="4"/>
      <c r="D995" s="3"/>
      <c r="E995" s="3"/>
      <c r="H995" s="3"/>
      <c r="O995" s="4"/>
      <c r="P995" s="4"/>
      <c r="Q995" s="4"/>
      <c r="R995" s="4"/>
      <c r="S995" s="4"/>
      <c r="T995" s="4"/>
      <c r="U995" s="4"/>
    </row>
    <row r="996" spans="2:21" ht="15" x14ac:dyDescent="0.25">
      <c r="B996" s="4"/>
      <c r="D996" s="3"/>
      <c r="E996" s="3"/>
      <c r="H996" s="3"/>
      <c r="O996" s="4"/>
      <c r="P996" s="4"/>
      <c r="Q996" s="4"/>
      <c r="R996" s="4"/>
      <c r="S996" s="4"/>
      <c r="T996" s="4"/>
      <c r="U996" s="4"/>
    </row>
    <row r="997" spans="2:21" ht="15" x14ac:dyDescent="0.25">
      <c r="B997" s="4"/>
      <c r="D997" s="3"/>
      <c r="E997" s="3"/>
      <c r="H997" s="3"/>
      <c r="O997" s="4"/>
      <c r="P997" s="4"/>
      <c r="Q997" s="4"/>
      <c r="R997" s="4"/>
      <c r="S997" s="4"/>
      <c r="T997" s="4"/>
      <c r="U997" s="4"/>
    </row>
    <row r="998" spans="2:21" ht="15" x14ac:dyDescent="0.25">
      <c r="B998" s="4"/>
      <c r="D998" s="3"/>
      <c r="E998" s="3"/>
      <c r="H998" s="3"/>
      <c r="O998" s="4"/>
      <c r="P998" s="4"/>
      <c r="Q998" s="4"/>
      <c r="R998" s="4"/>
      <c r="S998" s="4"/>
      <c r="T998" s="4"/>
      <c r="U998" s="4"/>
    </row>
    <row r="999" spans="2:21" ht="15" x14ac:dyDescent="0.25">
      <c r="B999" s="4"/>
      <c r="D999" s="3"/>
      <c r="E999" s="3"/>
      <c r="H999" s="3"/>
      <c r="O999" s="4"/>
      <c r="P999" s="4"/>
      <c r="Q999" s="4"/>
      <c r="R999" s="4"/>
      <c r="S999" s="4"/>
      <c r="T999" s="4"/>
      <c r="U999" s="4"/>
    </row>
    <row r="1000" spans="2:21" ht="15" x14ac:dyDescent="0.25">
      <c r="B1000" s="4"/>
      <c r="D1000" s="3"/>
      <c r="E1000" s="3"/>
      <c r="H1000" s="3"/>
      <c r="O1000" s="4"/>
      <c r="P1000" s="4"/>
      <c r="Q1000" s="4"/>
      <c r="R1000" s="4"/>
      <c r="S1000" s="4"/>
      <c r="T1000" s="4"/>
      <c r="U1000" s="4"/>
    </row>
  </sheetData>
  <mergeCells count="160">
    <mergeCell ref="AP1:AP2"/>
    <mergeCell ref="AQ1:AQ2"/>
    <mergeCell ref="AR1:AR2"/>
    <mergeCell ref="AS1:AS2"/>
    <mergeCell ref="AT1:AT2"/>
    <mergeCell ref="AU1:AU2"/>
    <mergeCell ref="AP5:AP6"/>
    <mergeCell ref="AQ5:AQ6"/>
    <mergeCell ref="AR5:AR6"/>
    <mergeCell ref="AS5:AS6"/>
    <mergeCell ref="AT5:AT6"/>
    <mergeCell ref="AP10:AP11"/>
    <mergeCell ref="AQ10:AQ11"/>
    <mergeCell ref="AR10:AR11"/>
    <mergeCell ref="AS10:AS11"/>
    <mergeCell ref="AT10:AU10"/>
    <mergeCell ref="AY10:AY11"/>
    <mergeCell ref="AZ10:AZ11"/>
    <mergeCell ref="BA10:BA11"/>
    <mergeCell ref="BB10:BB11"/>
    <mergeCell ref="BC10:BD10"/>
    <mergeCell ref="AY1:AY2"/>
    <mergeCell ref="AZ1:AZ2"/>
    <mergeCell ref="BA1:BA2"/>
    <mergeCell ref="BB1:BB2"/>
    <mergeCell ref="BC1:BC2"/>
    <mergeCell ref="BD1:BD2"/>
    <mergeCell ref="BG1:BG2"/>
    <mergeCell ref="BH1:BH2"/>
    <mergeCell ref="BG10:BG11"/>
    <mergeCell ref="BH10:BH11"/>
    <mergeCell ref="BI1:BI2"/>
    <mergeCell ref="BJ1:BJ2"/>
    <mergeCell ref="BK1:BK2"/>
    <mergeCell ref="BL1:BL2"/>
    <mergeCell ref="AY5:AY6"/>
    <mergeCell ref="AZ5:AZ6"/>
    <mergeCell ref="BA5:BA6"/>
    <mergeCell ref="BB5:BB6"/>
    <mergeCell ref="BC5:BC6"/>
    <mergeCell ref="BG5:BG6"/>
    <mergeCell ref="BH5:BH6"/>
    <mergeCell ref="BI5:BI6"/>
    <mergeCell ref="BJ5:BJ6"/>
    <mergeCell ref="BK5:BK6"/>
    <mergeCell ref="BI10:BI11"/>
    <mergeCell ref="BJ10:BJ11"/>
    <mergeCell ref="BK10:BL10"/>
    <mergeCell ref="BP5:BP6"/>
    <mergeCell ref="BQ5:BQ6"/>
    <mergeCell ref="BR5:BR6"/>
    <mergeCell ref="BS5:BS6"/>
    <mergeCell ref="BP10:BP11"/>
    <mergeCell ref="BQ10:BQ11"/>
    <mergeCell ref="BR10:BR11"/>
    <mergeCell ref="BS10:BS11"/>
    <mergeCell ref="BP1:BP2"/>
    <mergeCell ref="BQ1:BQ2"/>
    <mergeCell ref="BR1:BR2"/>
    <mergeCell ref="BS1:BS2"/>
    <mergeCell ref="BX5:BX6"/>
    <mergeCell ref="BY5:BY6"/>
    <mergeCell ref="BZ5:BZ6"/>
    <mergeCell ref="CA5:CA6"/>
    <mergeCell ref="CB5:CB6"/>
    <mergeCell ref="BU1:BU2"/>
    <mergeCell ref="BT5:BT6"/>
    <mergeCell ref="BZ1:BZ2"/>
    <mergeCell ref="CA1:CA2"/>
    <mergeCell ref="CB1:CB2"/>
    <mergeCell ref="CC1:CC2"/>
    <mergeCell ref="BT10:BU10"/>
    <mergeCell ref="BX1:BX2"/>
    <mergeCell ref="BY1:BY2"/>
    <mergeCell ref="BX10:BX11"/>
    <mergeCell ref="BY10:BY11"/>
    <mergeCell ref="BT1:BT2"/>
    <mergeCell ref="BZ10:BZ11"/>
    <mergeCell ref="CA10:CA11"/>
    <mergeCell ref="CB10:CC10"/>
    <mergeCell ref="CI10:CI11"/>
    <mergeCell ref="CJ10:CK10"/>
    <mergeCell ref="CI1:CI2"/>
    <mergeCell ref="CJ1:CJ2"/>
    <mergeCell ref="CK1:CK2"/>
    <mergeCell ref="CF5:CF6"/>
    <mergeCell ref="CG5:CG6"/>
    <mergeCell ref="CH5:CH6"/>
    <mergeCell ref="CI5:CI6"/>
    <mergeCell ref="CJ5:CJ6"/>
    <mergeCell ref="CF1:CF2"/>
    <mergeCell ref="CG1:CG2"/>
    <mergeCell ref="CH1:CH2"/>
    <mergeCell ref="CF10:CF11"/>
    <mergeCell ref="CG10:CG11"/>
    <mergeCell ref="CH10:CH11"/>
    <mergeCell ref="CW1:CW2"/>
    <mergeCell ref="CX1:CX2"/>
    <mergeCell ref="CY1:CY2"/>
    <mergeCell ref="CZ1:CZ2"/>
    <mergeCell ref="DA1:DA2"/>
    <mergeCell ref="DB1:DB2"/>
    <mergeCell ref="CS10:CT10"/>
    <mergeCell ref="CO1:CO2"/>
    <mergeCell ref="CP1:CP2"/>
    <mergeCell ref="CQ1:CQ2"/>
    <mergeCell ref="CR1:CR2"/>
    <mergeCell ref="CO10:CO11"/>
    <mergeCell ref="CP10:CP11"/>
    <mergeCell ref="CQ10:CQ11"/>
    <mergeCell ref="CR10:CR11"/>
    <mergeCell ref="CS1:CS2"/>
    <mergeCell ref="CT1:CT2"/>
    <mergeCell ref="CO5:CO6"/>
    <mergeCell ref="CP5:CP6"/>
    <mergeCell ref="CQ5:CQ6"/>
    <mergeCell ref="CR5:CR6"/>
    <mergeCell ref="CS5:CS6"/>
    <mergeCell ref="CW5:CW6"/>
    <mergeCell ref="CX5:CX6"/>
    <mergeCell ref="CY5:CY6"/>
    <mergeCell ref="CZ5:CZ6"/>
    <mergeCell ref="DA5:DA6"/>
    <mergeCell ref="CW10:CW11"/>
    <mergeCell ref="CX10:CX11"/>
    <mergeCell ref="CY10:CY11"/>
    <mergeCell ref="CZ10:CZ11"/>
    <mergeCell ref="DA10:DB10"/>
    <mergeCell ref="DE10:DE11"/>
    <mergeCell ref="DF10:DF11"/>
    <mergeCell ref="DG10:DG11"/>
    <mergeCell ref="DH10:DH11"/>
    <mergeCell ref="DI10:DJ10"/>
    <mergeCell ref="DE1:DE2"/>
    <mergeCell ref="DF1:DF2"/>
    <mergeCell ref="DG1:DG2"/>
    <mergeCell ref="DH1:DH2"/>
    <mergeCell ref="DI1:DI2"/>
    <mergeCell ref="DJ1:DJ2"/>
    <mergeCell ref="DE5:DE6"/>
    <mergeCell ref="DF5:DF6"/>
    <mergeCell ref="DG5:DG6"/>
    <mergeCell ref="DH5:DH6"/>
    <mergeCell ref="DI5:DI6"/>
    <mergeCell ref="DM5:DM6"/>
    <mergeCell ref="DN5:DN6"/>
    <mergeCell ref="DO5:DO6"/>
    <mergeCell ref="DP5:DP6"/>
    <mergeCell ref="DM10:DM11"/>
    <mergeCell ref="DN10:DN11"/>
    <mergeCell ref="DO10:DO11"/>
    <mergeCell ref="DP10:DP11"/>
    <mergeCell ref="DQ10:DR10"/>
    <mergeCell ref="DM1:DM2"/>
    <mergeCell ref="DN1:DN2"/>
    <mergeCell ref="DO1:DO2"/>
    <mergeCell ref="DP1:DP2"/>
    <mergeCell ref="DQ1:DQ2"/>
    <mergeCell ref="DR1:DR2"/>
    <mergeCell ref="DQ5:DQ6"/>
  </mergeCells>
  <conditionalFormatting sqref="W1:AK16">
    <cfRule type="colorScale" priority="1">
      <colorScale>
        <cfvo type="min"/>
        <cfvo type="percentile" val="50"/>
        <cfvo type="max"/>
        <color rgb="FFF8696B"/>
        <color rgb="FFFFEB84"/>
        <color rgb="FF63BE7B"/>
      </colorScale>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J1:R185"/>
  <sheetViews>
    <sheetView tabSelected="1" topLeftCell="G1" workbookViewId="0">
      <selection activeCell="R36" sqref="R36"/>
    </sheetView>
  </sheetViews>
  <sheetFormatPr defaultRowHeight="12.75" x14ac:dyDescent="0.2"/>
  <cols>
    <col min="13" max="14" width="19.42578125" bestFit="1" customWidth="1"/>
    <col min="16" max="16" width="31.42578125" bestFit="1" customWidth="1"/>
    <col min="17" max="18" width="22" bestFit="1" customWidth="1"/>
  </cols>
  <sheetData>
    <row r="1" spans="10:18" ht="15" customHeight="1" thickTop="1" x14ac:dyDescent="0.2">
      <c r="J1" s="2" t="s">
        <v>413</v>
      </c>
      <c r="K1" s="2" t="s">
        <v>414</v>
      </c>
      <c r="M1" s="90" t="s">
        <v>415</v>
      </c>
      <c r="N1" s="91" t="s">
        <v>416</v>
      </c>
      <c r="P1" s="53"/>
      <c r="Q1" s="50" t="s">
        <v>415</v>
      </c>
      <c r="R1" s="50" t="s">
        <v>416</v>
      </c>
    </row>
    <row r="2" spans="10:18" ht="15" customHeight="1" thickBot="1" x14ac:dyDescent="0.25">
      <c r="J2" s="2" t="s">
        <v>411</v>
      </c>
      <c r="K2" s="2" t="s">
        <v>412</v>
      </c>
      <c r="M2" s="92">
        <v>54.8</v>
      </c>
      <c r="N2" s="93">
        <v>65</v>
      </c>
      <c r="P2" s="54" t="s">
        <v>423</v>
      </c>
      <c r="Q2" s="51" t="s">
        <v>417</v>
      </c>
      <c r="R2" s="51" t="s">
        <v>417</v>
      </c>
    </row>
    <row r="3" spans="10:18" ht="15" customHeight="1" thickTop="1" x14ac:dyDescent="0.2">
      <c r="J3" s="2"/>
      <c r="M3" s="94">
        <v>72.599999999999994</v>
      </c>
      <c r="N3" s="95">
        <v>77.8</v>
      </c>
      <c r="P3" s="52" t="s">
        <v>424</v>
      </c>
      <c r="Q3" s="69">
        <f>_xll.StatCount(ST_Lifeexpectancy2000)</f>
        <v>183</v>
      </c>
      <c r="R3" s="69">
        <f>_xll.StatCount(ST_Lifeexpectancy2015)</f>
        <v>183</v>
      </c>
    </row>
    <row r="4" spans="10:18" ht="15" customHeight="1" x14ac:dyDescent="0.2">
      <c r="M4" s="94">
        <v>71.3</v>
      </c>
      <c r="N4" s="95">
        <v>75.599999999999994</v>
      </c>
      <c r="P4" s="52" t="s">
        <v>425</v>
      </c>
      <c r="Q4" s="98">
        <f>_xll.StatMean(ST_Lifeexpectancy2000)</f>
        <v>66.750273224043738</v>
      </c>
      <c r="R4" s="57">
        <f>_xll.StatMean(ST_Lifeexpectancy2015)</f>
        <v>71.616939890710356</v>
      </c>
    </row>
    <row r="5" spans="10:18" ht="15" customHeight="1" x14ac:dyDescent="0.2">
      <c r="M5" s="94">
        <v>45.3</v>
      </c>
      <c r="N5" s="95">
        <v>52.4</v>
      </c>
      <c r="P5" s="52" t="s">
        <v>426</v>
      </c>
      <c r="Q5" s="98">
        <f>_xll.StatStdDev(ST_Lifeexpectancy2000)</f>
        <v>10.295528071769162</v>
      </c>
      <c r="R5" s="57">
        <f>_xll.StatStdDev(ST_Lifeexpectancy2015)</f>
        <v>8.1237061476453043</v>
      </c>
    </row>
    <row r="6" spans="10:18" ht="15" customHeight="1" x14ac:dyDescent="0.2">
      <c r="M6" s="94">
        <v>73.599999999999994</v>
      </c>
      <c r="N6" s="95">
        <v>76.400000000000006</v>
      </c>
    </row>
    <row r="7" spans="10:18" ht="15" customHeight="1" x14ac:dyDescent="0.2">
      <c r="M7" s="94">
        <v>74.099999999999994</v>
      </c>
      <c r="N7" s="95">
        <v>76.3</v>
      </c>
      <c r="P7" s="53"/>
      <c r="Q7" s="50" t="s">
        <v>428</v>
      </c>
      <c r="R7" s="50" t="s">
        <v>430</v>
      </c>
    </row>
    <row r="8" spans="10:18" ht="15" customHeight="1" thickBot="1" x14ac:dyDescent="0.25">
      <c r="M8" s="94">
        <v>72</v>
      </c>
      <c r="N8" s="95">
        <v>74.8</v>
      </c>
      <c r="P8" s="54" t="s">
        <v>427</v>
      </c>
      <c r="Q8" s="51" t="s">
        <v>429</v>
      </c>
      <c r="R8" s="51" t="s">
        <v>429</v>
      </c>
    </row>
    <row r="9" spans="10:18" ht="15" customHeight="1" thickTop="1" x14ac:dyDescent="0.2">
      <c r="M9" s="94">
        <v>79.5</v>
      </c>
      <c r="N9" s="95">
        <v>82.8</v>
      </c>
      <c r="P9" s="52" t="s">
        <v>431</v>
      </c>
      <c r="Q9" s="49">
        <v>0</v>
      </c>
      <c r="R9" s="49">
        <v>0</v>
      </c>
    </row>
    <row r="10" spans="10:18" ht="15" customHeight="1" x14ac:dyDescent="0.2">
      <c r="M10" s="94">
        <v>78.099999999999994</v>
      </c>
      <c r="N10" s="95">
        <v>81.5</v>
      </c>
      <c r="P10" s="52" t="s">
        <v>432</v>
      </c>
      <c r="Q10" s="49" t="str">
        <f>"&lt; " &amp; $Q$9</f>
        <v>&lt; 0</v>
      </c>
      <c r="R10" s="49" t="str">
        <f>"&lt; " &amp; $R$9</f>
        <v>&lt; 0</v>
      </c>
    </row>
    <row r="11" spans="10:18" ht="15" customHeight="1" x14ac:dyDescent="0.2">
      <c r="M11" s="94">
        <v>66.599999999999994</v>
      </c>
      <c r="N11" s="95">
        <v>72.7</v>
      </c>
      <c r="P11" s="52" t="s">
        <v>433</v>
      </c>
      <c r="Q11" s="98">
        <f>Q4 - R4</f>
        <v>-4.8666666666666174</v>
      </c>
      <c r="R11" s="98">
        <f>Q4 - R4</f>
        <v>-4.8666666666666174</v>
      </c>
    </row>
    <row r="12" spans="10:18" ht="15" customHeight="1" x14ac:dyDescent="0.2">
      <c r="M12" s="94">
        <v>72.599999999999994</v>
      </c>
      <c r="N12" s="95">
        <v>76.099999999999994</v>
      </c>
      <c r="P12" s="52" t="s">
        <v>434</v>
      </c>
      <c r="Q12" s="49">
        <f>SQRT(((Q3-1)*Q5^2 + (R3-1)*R5^2) / Q13) * SQRT(1/Q3 + 1/R3)</f>
        <v>0.96945847046462574</v>
      </c>
      <c r="R12" s="49">
        <f>SQRT( Q5^2/Q3 + R5^2/R3)</f>
        <v>0.96945847046462585</v>
      </c>
    </row>
    <row r="13" spans="10:18" ht="15" customHeight="1" x14ac:dyDescent="0.2">
      <c r="M13" s="94">
        <v>74.5</v>
      </c>
      <c r="N13" s="95">
        <v>76.900000000000006</v>
      </c>
      <c r="P13" s="52" t="s">
        <v>435</v>
      </c>
      <c r="Q13" s="49">
        <f>Q3 + R3 - 2</f>
        <v>364</v>
      </c>
      <c r="R13" s="49">
        <f>ROUNDDOWN(R12^4/((Q5^2/Q3)^2/(Q3-1) + (R5^2/R3)^2/(R3-1)),0)</f>
        <v>345</v>
      </c>
    </row>
    <row r="14" spans="10:18" ht="15" customHeight="1" x14ac:dyDescent="0.2">
      <c r="M14" s="94">
        <v>65.3</v>
      </c>
      <c r="N14" s="95">
        <v>71.8</v>
      </c>
      <c r="P14" s="52" t="s">
        <v>436</v>
      </c>
      <c r="Q14" s="68">
        <f>(Q11-Q9)/Q12</f>
        <v>-5.0199846769446488</v>
      </c>
      <c r="R14" s="84">
        <f>(R11-R9)/R12</f>
        <v>-5.0199846769446479</v>
      </c>
    </row>
    <row r="15" spans="10:18" ht="15" customHeight="1" x14ac:dyDescent="0.2">
      <c r="M15" s="94">
        <v>73.3</v>
      </c>
      <c r="N15" s="95">
        <v>75.5</v>
      </c>
      <c r="P15" s="52" t="s">
        <v>354</v>
      </c>
      <c r="Q15" s="70">
        <f>IF(Q14&lt;0,_xll.StatStudent(Q13,"x to q",-Q14),1-_xll.StatStudent(Q13,"x to q",Q14))</f>
        <v>4.0520615304955845E-7</v>
      </c>
      <c r="R15" s="99">
        <f>IF(R14&lt;0,_xll.StatStudent(R13,"x to q",-R14),1-_xll.StatStudent(R13,"x to q",R14))</f>
        <v>4.1490879501761233E-7</v>
      </c>
    </row>
    <row r="16" spans="10:18" ht="15" customHeight="1" x14ac:dyDescent="0.2">
      <c r="M16" s="94">
        <v>68</v>
      </c>
      <c r="N16" s="95">
        <v>72.3</v>
      </c>
      <c r="P16" s="52" t="s">
        <v>437</v>
      </c>
      <c r="Q16" s="49" t="str">
        <f>IF($Q$15&lt;=0.1, "Reject", "Don't Reject")</f>
        <v>Reject</v>
      </c>
      <c r="R16" s="100" t="str">
        <f>IF($R$15&lt;=0.1, "Reject", "Don't Reject")</f>
        <v>Reject</v>
      </c>
    </row>
    <row r="17" spans="13:18" ht="15" customHeight="1" x14ac:dyDescent="0.2">
      <c r="M17" s="94">
        <v>77.599999999999994</v>
      </c>
      <c r="N17" s="95">
        <v>81.099999999999994</v>
      </c>
      <c r="P17" s="52" t="s">
        <v>438</v>
      </c>
      <c r="Q17" s="49" t="str">
        <f>IF($Q$15&lt;=0.05, "Reject", "Don't Reject")</f>
        <v>Reject</v>
      </c>
      <c r="R17" s="100" t="str">
        <f>IF($R$15&lt;=0.05, "Reject", "Don't Reject")</f>
        <v>Reject</v>
      </c>
    </row>
    <row r="18" spans="13:18" ht="15" customHeight="1" x14ac:dyDescent="0.2">
      <c r="M18" s="94">
        <v>68.3</v>
      </c>
      <c r="N18" s="95">
        <v>71</v>
      </c>
      <c r="P18" s="52" t="s">
        <v>439</v>
      </c>
      <c r="Q18" s="49" t="str">
        <f>IF($Q$15&lt;=0.01, "Reject", "Don't Reject")</f>
        <v>Reject</v>
      </c>
      <c r="R18" s="100" t="str">
        <f>IF($R$15&lt;=0.01, "Reject", "Don't Reject")</f>
        <v>Reject</v>
      </c>
    </row>
    <row r="19" spans="13:18" x14ac:dyDescent="0.2">
      <c r="M19" s="94">
        <v>55.4</v>
      </c>
      <c r="N19" s="95">
        <v>60</v>
      </c>
    </row>
    <row r="20" spans="13:18" x14ac:dyDescent="0.2">
      <c r="M20" s="94">
        <v>62</v>
      </c>
      <c r="N20" s="95">
        <v>69.8</v>
      </c>
    </row>
    <row r="21" spans="13:18" x14ac:dyDescent="0.2">
      <c r="M21" s="94">
        <v>62.6</v>
      </c>
      <c r="N21" s="95">
        <v>77</v>
      </c>
    </row>
    <row r="22" spans="13:18" x14ac:dyDescent="0.2">
      <c r="M22" s="94">
        <v>74.599999999999994</v>
      </c>
      <c r="N22" s="95">
        <v>77.400000000000006</v>
      </c>
    </row>
    <row r="23" spans="13:18" x14ac:dyDescent="0.2">
      <c r="M23" s="94">
        <v>47.8</v>
      </c>
      <c r="N23" s="95">
        <v>65.7</v>
      </c>
    </row>
    <row r="24" spans="13:18" x14ac:dyDescent="0.2">
      <c r="M24" s="94">
        <v>75</v>
      </c>
      <c r="N24" s="95">
        <v>75</v>
      </c>
    </row>
    <row r="25" spans="13:18" x14ac:dyDescent="0.2">
      <c r="M25" s="94">
        <v>74.400000000000006</v>
      </c>
      <c r="N25" s="95">
        <v>77.7</v>
      </c>
    </row>
    <row r="26" spans="13:18" x14ac:dyDescent="0.2">
      <c r="M26" s="94">
        <v>71.099999999999994</v>
      </c>
      <c r="N26" s="95">
        <v>74.5</v>
      </c>
    </row>
    <row r="27" spans="13:18" x14ac:dyDescent="0.2">
      <c r="M27" s="94">
        <v>51</v>
      </c>
      <c r="N27" s="95">
        <v>59.9</v>
      </c>
    </row>
    <row r="28" spans="13:18" x14ac:dyDescent="0.2">
      <c r="M28" s="94">
        <v>58</v>
      </c>
      <c r="N28" s="95">
        <v>59.6</v>
      </c>
    </row>
    <row r="29" spans="13:18" x14ac:dyDescent="0.2">
      <c r="M29" s="94">
        <v>47.9</v>
      </c>
      <c r="N29" s="95">
        <v>53.3</v>
      </c>
    </row>
    <row r="30" spans="13:18" x14ac:dyDescent="0.2">
      <c r="M30" s="94">
        <v>69.900000000000006</v>
      </c>
      <c r="N30" s="95">
        <v>73.3</v>
      </c>
    </row>
    <row r="31" spans="13:18" x14ac:dyDescent="0.2">
      <c r="M31" s="94">
        <v>57.7</v>
      </c>
      <c r="N31" s="95">
        <v>68.7</v>
      </c>
    </row>
    <row r="32" spans="13:18" x14ac:dyDescent="0.2">
      <c r="M32" s="94">
        <v>51.4</v>
      </c>
      <c r="N32" s="95">
        <v>57.3</v>
      </c>
    </row>
    <row r="33" spans="13:14" x14ac:dyDescent="0.2">
      <c r="M33" s="94">
        <v>79.099999999999994</v>
      </c>
      <c r="N33" s="95">
        <v>82.2</v>
      </c>
    </row>
    <row r="34" spans="13:14" x14ac:dyDescent="0.2">
      <c r="M34" s="94">
        <v>46</v>
      </c>
      <c r="N34" s="95">
        <v>52.5</v>
      </c>
    </row>
    <row r="35" spans="13:14" x14ac:dyDescent="0.2">
      <c r="M35" s="94">
        <v>47.6</v>
      </c>
      <c r="N35" s="95">
        <v>53.1</v>
      </c>
    </row>
    <row r="36" spans="13:14" x14ac:dyDescent="0.2">
      <c r="M36" s="94">
        <v>77.3</v>
      </c>
      <c r="N36" s="95">
        <v>85</v>
      </c>
    </row>
    <row r="37" spans="13:14" x14ac:dyDescent="0.2">
      <c r="M37" s="94">
        <v>71.7</v>
      </c>
      <c r="N37" s="95">
        <v>76.099999999999994</v>
      </c>
    </row>
    <row r="38" spans="13:14" x14ac:dyDescent="0.2">
      <c r="M38" s="94">
        <v>71.400000000000006</v>
      </c>
      <c r="N38" s="95">
        <v>74.8</v>
      </c>
    </row>
    <row r="39" spans="13:14" x14ac:dyDescent="0.2">
      <c r="M39" s="94">
        <v>59.5</v>
      </c>
      <c r="N39" s="95">
        <v>63.5</v>
      </c>
    </row>
    <row r="40" spans="13:14" x14ac:dyDescent="0.2">
      <c r="M40" s="94">
        <v>52.9</v>
      </c>
      <c r="N40" s="95">
        <v>64.7</v>
      </c>
    </row>
    <row r="41" spans="13:14" x14ac:dyDescent="0.2">
      <c r="M41" s="94">
        <v>77.599999999999994</v>
      </c>
      <c r="N41" s="95">
        <v>79.599999999999994</v>
      </c>
    </row>
    <row r="42" spans="13:14" x14ac:dyDescent="0.2">
      <c r="M42" s="94">
        <v>74.7</v>
      </c>
      <c r="N42" s="95">
        <v>78</v>
      </c>
    </row>
    <row r="43" spans="13:14" x14ac:dyDescent="0.2">
      <c r="M43" s="94">
        <v>76.900000000000006</v>
      </c>
      <c r="N43" s="95">
        <v>79.099999999999994</v>
      </c>
    </row>
    <row r="44" spans="13:14" x14ac:dyDescent="0.2">
      <c r="M44" s="94">
        <v>78.099999999999994</v>
      </c>
      <c r="N44" s="95">
        <v>85</v>
      </c>
    </row>
    <row r="45" spans="13:14" x14ac:dyDescent="0.2">
      <c r="M45" s="94">
        <v>74.7</v>
      </c>
      <c r="N45" s="95">
        <v>78.8</v>
      </c>
    </row>
    <row r="46" spans="13:14" x14ac:dyDescent="0.2">
      <c r="M46" s="94">
        <v>65.400000000000006</v>
      </c>
      <c r="N46" s="95">
        <v>76</v>
      </c>
    </row>
    <row r="47" spans="13:14" x14ac:dyDescent="0.2">
      <c r="M47" s="94">
        <v>51.3</v>
      </c>
      <c r="N47" s="95">
        <v>59.8</v>
      </c>
    </row>
    <row r="48" spans="13:14" x14ac:dyDescent="0.2">
      <c r="M48" s="94">
        <v>76.900000000000006</v>
      </c>
      <c r="N48" s="95">
        <v>86</v>
      </c>
    </row>
    <row r="49" spans="13:14" x14ac:dyDescent="0.2">
      <c r="M49" s="94">
        <v>57.4</v>
      </c>
      <c r="N49" s="95">
        <v>63.5</v>
      </c>
    </row>
    <row r="50" spans="13:14" x14ac:dyDescent="0.2">
      <c r="M50" s="94">
        <v>72</v>
      </c>
      <c r="N50" s="95">
        <v>73.900000000000006</v>
      </c>
    </row>
    <row r="51" spans="13:14" x14ac:dyDescent="0.2">
      <c r="M51" s="94">
        <v>72.8</v>
      </c>
      <c r="N51" s="95">
        <v>76.2</v>
      </c>
    </row>
    <row r="52" spans="13:14" x14ac:dyDescent="0.2">
      <c r="M52" s="94">
        <v>68.8</v>
      </c>
      <c r="N52" s="95">
        <v>79</v>
      </c>
    </row>
    <row r="53" spans="13:14" x14ac:dyDescent="0.2">
      <c r="M53" s="94">
        <v>69</v>
      </c>
      <c r="N53" s="95">
        <v>73.5</v>
      </c>
    </row>
    <row r="54" spans="13:14" x14ac:dyDescent="0.2">
      <c r="M54" s="94">
        <v>52.7</v>
      </c>
      <c r="N54" s="95">
        <v>58.2</v>
      </c>
    </row>
    <row r="55" spans="13:14" x14ac:dyDescent="0.2">
      <c r="M55" s="94">
        <v>45.3</v>
      </c>
      <c r="N55" s="95">
        <v>64.7</v>
      </c>
    </row>
    <row r="56" spans="13:14" x14ac:dyDescent="0.2">
      <c r="M56" s="94">
        <v>78</v>
      </c>
      <c r="N56" s="95">
        <v>77.599999999999994</v>
      </c>
    </row>
    <row r="57" spans="13:14" x14ac:dyDescent="0.2">
      <c r="M57" s="94">
        <v>51.2</v>
      </c>
      <c r="N57" s="95">
        <v>64.8</v>
      </c>
    </row>
    <row r="58" spans="13:14" x14ac:dyDescent="0.2">
      <c r="M58" s="94">
        <v>67.7</v>
      </c>
      <c r="N58" s="95">
        <v>69.900000000000006</v>
      </c>
    </row>
    <row r="59" spans="13:14" x14ac:dyDescent="0.2">
      <c r="M59" s="94">
        <v>77.5</v>
      </c>
      <c r="N59" s="95">
        <v>81.099999999999994</v>
      </c>
    </row>
    <row r="60" spans="13:14" x14ac:dyDescent="0.2">
      <c r="M60" s="94">
        <v>78.8</v>
      </c>
      <c r="N60" s="95">
        <v>82.4</v>
      </c>
    </row>
    <row r="61" spans="13:14" x14ac:dyDescent="0.2">
      <c r="M61" s="94">
        <v>61</v>
      </c>
      <c r="N61" s="95">
        <v>66</v>
      </c>
    </row>
    <row r="62" spans="13:14" x14ac:dyDescent="0.2">
      <c r="M62" s="94">
        <v>55.9</v>
      </c>
      <c r="N62" s="95">
        <v>61.1</v>
      </c>
    </row>
    <row r="63" spans="13:14" x14ac:dyDescent="0.2">
      <c r="M63" s="94">
        <v>71.8</v>
      </c>
      <c r="N63" s="95">
        <v>74.400000000000006</v>
      </c>
    </row>
    <row r="64" spans="13:14" x14ac:dyDescent="0.2">
      <c r="M64" s="94">
        <v>78</v>
      </c>
      <c r="N64" s="95">
        <v>81</v>
      </c>
    </row>
    <row r="65" spans="13:14" x14ac:dyDescent="0.2">
      <c r="M65" s="94">
        <v>57.2</v>
      </c>
      <c r="N65" s="95">
        <v>62.4</v>
      </c>
    </row>
    <row r="66" spans="13:14" x14ac:dyDescent="0.2">
      <c r="M66" s="94">
        <v>78.2</v>
      </c>
      <c r="N66" s="95">
        <v>81</v>
      </c>
    </row>
    <row r="67" spans="13:14" x14ac:dyDescent="0.2">
      <c r="M67" s="94">
        <v>74</v>
      </c>
      <c r="N67" s="95">
        <v>73.599999999999994</v>
      </c>
    </row>
    <row r="68" spans="13:14" x14ac:dyDescent="0.2">
      <c r="M68" s="94">
        <v>67.7</v>
      </c>
      <c r="N68" s="95">
        <v>71.900000000000006</v>
      </c>
    </row>
    <row r="69" spans="13:14" x14ac:dyDescent="0.2">
      <c r="M69" s="94">
        <v>52.5</v>
      </c>
      <c r="N69" s="95">
        <v>59</v>
      </c>
    </row>
    <row r="70" spans="13:14" x14ac:dyDescent="0.2">
      <c r="M70" s="94">
        <v>52.1</v>
      </c>
      <c r="N70" s="95">
        <v>58.9</v>
      </c>
    </row>
    <row r="71" spans="13:14" x14ac:dyDescent="0.2">
      <c r="M71" s="94">
        <v>65.400000000000006</v>
      </c>
      <c r="N71" s="95">
        <v>66.2</v>
      </c>
    </row>
    <row r="72" spans="13:14" x14ac:dyDescent="0.2">
      <c r="M72" s="94">
        <v>58.6</v>
      </c>
      <c r="N72" s="95">
        <v>63.5</v>
      </c>
    </row>
    <row r="73" spans="13:14" x14ac:dyDescent="0.2">
      <c r="M73" s="94">
        <v>71</v>
      </c>
      <c r="N73" s="95">
        <v>74.599999999999994</v>
      </c>
    </row>
    <row r="74" spans="13:14" x14ac:dyDescent="0.2">
      <c r="M74" s="94">
        <v>71.7</v>
      </c>
      <c r="N74" s="95">
        <v>75.8</v>
      </c>
    </row>
    <row r="75" spans="13:14" x14ac:dyDescent="0.2">
      <c r="M75" s="94">
        <v>79.7</v>
      </c>
      <c r="N75" s="95">
        <v>82.7</v>
      </c>
    </row>
    <row r="76" spans="13:14" x14ac:dyDescent="0.2">
      <c r="M76" s="94">
        <v>62.5</v>
      </c>
      <c r="N76" s="95">
        <v>68.3</v>
      </c>
    </row>
    <row r="77" spans="13:14" x14ac:dyDescent="0.2">
      <c r="M77" s="94">
        <v>66.3</v>
      </c>
      <c r="N77" s="95">
        <v>69.099999999999994</v>
      </c>
    </row>
    <row r="78" spans="13:14" x14ac:dyDescent="0.2">
      <c r="M78" s="94">
        <v>73</v>
      </c>
      <c r="N78" s="95">
        <v>75.5</v>
      </c>
    </row>
    <row r="79" spans="13:14" x14ac:dyDescent="0.2">
      <c r="M79" s="94">
        <v>70</v>
      </c>
      <c r="N79" s="95">
        <v>68.900000000000006</v>
      </c>
    </row>
    <row r="80" spans="13:14" x14ac:dyDescent="0.2">
      <c r="M80" s="94">
        <v>76.400000000000006</v>
      </c>
      <c r="N80" s="95">
        <v>81.400000000000006</v>
      </c>
    </row>
    <row r="81" spans="13:14" x14ac:dyDescent="0.2">
      <c r="M81" s="94">
        <v>78.900000000000006</v>
      </c>
      <c r="N81" s="95">
        <v>82.5</v>
      </c>
    </row>
    <row r="82" spans="13:14" x14ac:dyDescent="0.2">
      <c r="M82" s="94">
        <v>79.400000000000006</v>
      </c>
      <c r="N82" s="95">
        <v>82.7</v>
      </c>
    </row>
    <row r="83" spans="13:14" x14ac:dyDescent="0.2">
      <c r="M83" s="94">
        <v>72.599999999999994</v>
      </c>
      <c r="N83" s="95">
        <v>76.2</v>
      </c>
    </row>
    <row r="84" spans="13:14" x14ac:dyDescent="0.2">
      <c r="M84" s="94">
        <v>81.099999999999994</v>
      </c>
      <c r="N84" s="95">
        <v>83.7</v>
      </c>
    </row>
    <row r="85" spans="13:14" x14ac:dyDescent="0.2">
      <c r="M85" s="94">
        <v>71.7</v>
      </c>
      <c r="N85" s="95">
        <v>74.099999999999994</v>
      </c>
    </row>
    <row r="86" spans="13:14" x14ac:dyDescent="0.2">
      <c r="M86" s="94">
        <v>63.9</v>
      </c>
      <c r="N86" s="95">
        <v>72</v>
      </c>
    </row>
    <row r="87" spans="13:14" x14ac:dyDescent="0.2">
      <c r="M87" s="94">
        <v>51.9</v>
      </c>
      <c r="N87" s="95">
        <v>63.4</v>
      </c>
    </row>
    <row r="88" spans="13:14" x14ac:dyDescent="0.2">
      <c r="M88" s="94">
        <v>64.099999999999994</v>
      </c>
      <c r="N88" s="95">
        <v>66.3</v>
      </c>
    </row>
    <row r="89" spans="13:14" x14ac:dyDescent="0.2">
      <c r="M89" s="94">
        <v>73.2</v>
      </c>
      <c r="N89" s="95">
        <v>74.7</v>
      </c>
    </row>
    <row r="90" spans="13:14" x14ac:dyDescent="0.2">
      <c r="M90" s="94">
        <v>66.599999999999994</v>
      </c>
      <c r="N90" s="95">
        <v>71.099999999999994</v>
      </c>
    </row>
    <row r="91" spans="13:14" x14ac:dyDescent="0.2">
      <c r="M91" s="94">
        <v>58.1</v>
      </c>
      <c r="N91" s="95">
        <v>65.7</v>
      </c>
    </row>
    <row r="92" spans="13:14" x14ac:dyDescent="0.2">
      <c r="M92" s="94">
        <v>71</v>
      </c>
      <c r="N92" s="95">
        <v>74.599999999999994</v>
      </c>
    </row>
    <row r="93" spans="13:14" x14ac:dyDescent="0.2">
      <c r="M93" s="94">
        <v>72.7</v>
      </c>
      <c r="N93" s="95">
        <v>74.900000000000006</v>
      </c>
    </row>
    <row r="94" spans="13:14" x14ac:dyDescent="0.2">
      <c r="M94" s="94">
        <v>49.3</v>
      </c>
      <c r="N94" s="95">
        <v>53.7</v>
      </c>
    </row>
    <row r="95" spans="13:14" x14ac:dyDescent="0.2">
      <c r="M95" s="94">
        <v>51.9</v>
      </c>
      <c r="N95" s="95">
        <v>61.4</v>
      </c>
    </row>
    <row r="96" spans="13:14" x14ac:dyDescent="0.2">
      <c r="M96" s="94">
        <v>78</v>
      </c>
      <c r="N96" s="95">
        <v>72.7</v>
      </c>
    </row>
    <row r="97" spans="13:14" x14ac:dyDescent="0.2">
      <c r="M97" s="94">
        <v>71.599999999999994</v>
      </c>
      <c r="N97" s="95">
        <v>73.599999999999994</v>
      </c>
    </row>
    <row r="98" spans="13:14" x14ac:dyDescent="0.2">
      <c r="M98" s="94">
        <v>77.8</v>
      </c>
      <c r="N98" s="95">
        <v>82</v>
      </c>
    </row>
    <row r="99" spans="13:14" x14ac:dyDescent="0.2">
      <c r="M99" s="94">
        <v>57.9</v>
      </c>
      <c r="N99" s="95">
        <v>65.5</v>
      </c>
    </row>
    <row r="100" spans="13:14" x14ac:dyDescent="0.2">
      <c r="M100" s="94">
        <v>43.1</v>
      </c>
      <c r="N100" s="95">
        <v>58.3</v>
      </c>
    </row>
    <row r="101" spans="13:14" x14ac:dyDescent="0.2">
      <c r="M101" s="94">
        <v>72.400000000000006</v>
      </c>
      <c r="N101" s="95">
        <v>75</v>
      </c>
    </row>
    <row r="102" spans="13:14" x14ac:dyDescent="0.2">
      <c r="M102" s="94">
        <v>69.599999999999994</v>
      </c>
      <c r="N102" s="95">
        <v>78.5</v>
      </c>
    </row>
    <row r="103" spans="13:14" x14ac:dyDescent="0.2">
      <c r="M103" s="94">
        <v>49.8</v>
      </c>
      <c r="N103" s="95">
        <v>58.2</v>
      </c>
    </row>
    <row r="104" spans="13:14" x14ac:dyDescent="0.2">
      <c r="M104" s="94">
        <v>77.5</v>
      </c>
      <c r="N104" s="95">
        <v>81.7</v>
      </c>
    </row>
    <row r="105" spans="13:14" x14ac:dyDescent="0.2">
      <c r="M105" s="94">
        <v>60</v>
      </c>
      <c r="N105" s="95">
        <v>63.1</v>
      </c>
    </row>
    <row r="106" spans="13:14" x14ac:dyDescent="0.2">
      <c r="M106" s="94">
        <v>71</v>
      </c>
      <c r="N106" s="95">
        <v>74.599999999999994</v>
      </c>
    </row>
    <row r="107" spans="13:14" x14ac:dyDescent="0.2">
      <c r="M107" s="94">
        <v>74.8</v>
      </c>
      <c r="N107" s="95">
        <v>76.7</v>
      </c>
    </row>
    <row r="108" spans="13:14" x14ac:dyDescent="0.2">
      <c r="M108" s="94">
        <v>67</v>
      </c>
      <c r="N108" s="95">
        <v>69.400000000000006</v>
      </c>
    </row>
    <row r="109" spans="13:14" x14ac:dyDescent="0.2">
      <c r="M109" s="94">
        <v>62.8</v>
      </c>
      <c r="N109" s="95">
        <v>68.8</v>
      </c>
    </row>
    <row r="110" spans="13:14" x14ac:dyDescent="0.2">
      <c r="M110" s="94">
        <v>73</v>
      </c>
      <c r="N110" s="95">
        <v>76.099999999999994</v>
      </c>
    </row>
    <row r="111" spans="13:14" x14ac:dyDescent="0.2">
      <c r="M111" s="94">
        <v>68.599999999999994</v>
      </c>
      <c r="N111" s="95">
        <v>74.3</v>
      </c>
    </row>
    <row r="112" spans="13:14" x14ac:dyDescent="0.2">
      <c r="M112" s="94">
        <v>49</v>
      </c>
      <c r="N112" s="95">
        <v>57.6</v>
      </c>
    </row>
    <row r="113" spans="13:14" x14ac:dyDescent="0.2">
      <c r="M113" s="94">
        <v>62.1</v>
      </c>
      <c r="N113" s="95">
        <v>66.599999999999994</v>
      </c>
    </row>
    <row r="114" spans="13:14" x14ac:dyDescent="0.2">
      <c r="M114" s="94">
        <v>57.4</v>
      </c>
      <c r="N114" s="95">
        <v>65.8</v>
      </c>
    </row>
    <row r="115" spans="13:14" x14ac:dyDescent="0.2">
      <c r="M115" s="94">
        <v>62.5</v>
      </c>
      <c r="N115" s="95">
        <v>69.2</v>
      </c>
    </row>
    <row r="116" spans="13:14" x14ac:dyDescent="0.2">
      <c r="M116" s="94">
        <v>78.099999999999994</v>
      </c>
      <c r="N116" s="95">
        <v>81.900000000000006</v>
      </c>
    </row>
    <row r="117" spans="13:14" x14ac:dyDescent="0.2">
      <c r="M117" s="94">
        <v>78.599999999999994</v>
      </c>
      <c r="N117" s="95">
        <v>81.599999999999994</v>
      </c>
    </row>
    <row r="118" spans="13:14" x14ac:dyDescent="0.2">
      <c r="M118" s="94">
        <v>73</v>
      </c>
      <c r="N118" s="95">
        <v>74.8</v>
      </c>
    </row>
    <row r="119" spans="13:14" x14ac:dyDescent="0.2">
      <c r="M119" s="94">
        <v>50</v>
      </c>
      <c r="N119" s="95">
        <v>61.8</v>
      </c>
    </row>
    <row r="120" spans="13:14" x14ac:dyDescent="0.2">
      <c r="M120" s="94">
        <v>47.1</v>
      </c>
      <c r="N120" s="95">
        <v>54.5</v>
      </c>
    </row>
    <row r="121" spans="13:14" x14ac:dyDescent="0.2">
      <c r="M121" s="94">
        <v>78.5</v>
      </c>
      <c r="N121" s="95">
        <v>81.8</v>
      </c>
    </row>
    <row r="122" spans="13:14" x14ac:dyDescent="0.2">
      <c r="M122" s="94">
        <v>72.599999999999994</v>
      </c>
      <c r="N122" s="95">
        <v>76.599999999999994</v>
      </c>
    </row>
    <row r="123" spans="13:14" x14ac:dyDescent="0.2">
      <c r="M123" s="94">
        <v>62.8</v>
      </c>
      <c r="N123" s="95">
        <v>66.400000000000006</v>
      </c>
    </row>
    <row r="124" spans="13:14" x14ac:dyDescent="0.2">
      <c r="M124" s="94">
        <v>75.7</v>
      </c>
      <c r="N124" s="95">
        <v>77.8</v>
      </c>
    </row>
    <row r="125" spans="13:14" x14ac:dyDescent="0.2">
      <c r="M125" s="94">
        <v>58.9</v>
      </c>
      <c r="N125" s="95">
        <v>62.9</v>
      </c>
    </row>
    <row r="126" spans="13:14" x14ac:dyDescent="0.2">
      <c r="M126" s="94">
        <v>79</v>
      </c>
      <c r="N126" s="95">
        <v>74</v>
      </c>
    </row>
    <row r="127" spans="13:14" x14ac:dyDescent="0.2">
      <c r="M127" s="94">
        <v>71.400000000000006</v>
      </c>
      <c r="N127" s="95">
        <v>75.5</v>
      </c>
    </row>
    <row r="128" spans="13:14" x14ac:dyDescent="0.2">
      <c r="M128" s="94">
        <v>66.8</v>
      </c>
      <c r="N128" s="95">
        <v>68.5</v>
      </c>
    </row>
    <row r="129" spans="13:14" x14ac:dyDescent="0.2">
      <c r="M129" s="94">
        <v>73.7</v>
      </c>
      <c r="N129" s="95">
        <v>77.5</v>
      </c>
    </row>
    <row r="130" spans="13:14" x14ac:dyDescent="0.2">
      <c r="M130" s="94">
        <v>76.599999999999994</v>
      </c>
      <c r="N130" s="95">
        <v>81.099999999999994</v>
      </c>
    </row>
    <row r="131" spans="13:14" x14ac:dyDescent="0.2">
      <c r="M131" s="94">
        <v>76.2</v>
      </c>
      <c r="N131" s="95">
        <v>78.2</v>
      </c>
    </row>
    <row r="132" spans="13:14" x14ac:dyDescent="0.2">
      <c r="M132" s="94">
        <v>76</v>
      </c>
      <c r="N132" s="95">
        <v>82.3</v>
      </c>
    </row>
    <row r="133" spans="13:14" x14ac:dyDescent="0.2">
      <c r="M133" s="94">
        <v>67.099999999999994</v>
      </c>
      <c r="N133" s="95">
        <v>72.099999999999994</v>
      </c>
    </row>
    <row r="134" spans="13:14" x14ac:dyDescent="0.2">
      <c r="M134" s="94">
        <v>77</v>
      </c>
      <c r="N134" s="95">
        <v>75</v>
      </c>
    </row>
    <row r="135" spans="13:14" x14ac:dyDescent="0.2">
      <c r="M135" s="94">
        <v>65</v>
      </c>
      <c r="N135" s="95">
        <v>75</v>
      </c>
    </row>
    <row r="136" spans="13:14" x14ac:dyDescent="0.2">
      <c r="M136" s="94">
        <v>48.3</v>
      </c>
      <c r="N136" s="95">
        <v>66.099999999999994</v>
      </c>
    </row>
    <row r="137" spans="13:14" x14ac:dyDescent="0.2">
      <c r="M137" s="94">
        <v>71.599999999999994</v>
      </c>
      <c r="N137" s="95">
        <v>75.2</v>
      </c>
    </row>
    <row r="138" spans="13:14" x14ac:dyDescent="0.2">
      <c r="M138" s="94">
        <v>79</v>
      </c>
      <c r="N138" s="95">
        <v>73.2</v>
      </c>
    </row>
    <row r="139" spans="13:14" x14ac:dyDescent="0.2">
      <c r="M139" s="94">
        <v>72</v>
      </c>
      <c r="N139" s="95">
        <v>74</v>
      </c>
    </row>
    <row r="140" spans="13:14" x14ac:dyDescent="0.2">
      <c r="M140" s="94">
        <v>62.6</v>
      </c>
      <c r="N140" s="95">
        <v>67.5</v>
      </c>
    </row>
    <row r="141" spans="13:14" x14ac:dyDescent="0.2">
      <c r="M141" s="94">
        <v>72.599999999999994</v>
      </c>
      <c r="N141" s="95">
        <v>74.5</v>
      </c>
    </row>
    <row r="142" spans="13:14" x14ac:dyDescent="0.2">
      <c r="M142" s="94">
        <v>57.5</v>
      </c>
      <c r="N142" s="95">
        <v>66.7</v>
      </c>
    </row>
    <row r="143" spans="13:14" x14ac:dyDescent="0.2">
      <c r="M143" s="94">
        <v>72.599999999999994</v>
      </c>
      <c r="N143" s="95">
        <v>75.599999999999994</v>
      </c>
    </row>
    <row r="144" spans="13:14" x14ac:dyDescent="0.2">
      <c r="M144" s="94">
        <v>71.8</v>
      </c>
      <c r="N144" s="95">
        <v>73.2</v>
      </c>
    </row>
    <row r="145" spans="13:14" x14ac:dyDescent="0.2">
      <c r="M145" s="94">
        <v>39</v>
      </c>
      <c r="N145" s="95">
        <v>51</v>
      </c>
    </row>
    <row r="146" spans="13:14" x14ac:dyDescent="0.2">
      <c r="M146" s="94">
        <v>78.3</v>
      </c>
      <c r="N146" s="95">
        <v>83.1</v>
      </c>
    </row>
    <row r="147" spans="13:14" x14ac:dyDescent="0.2">
      <c r="M147" s="94">
        <v>73</v>
      </c>
      <c r="N147" s="95">
        <v>76.7</v>
      </c>
    </row>
    <row r="148" spans="13:14" x14ac:dyDescent="0.2">
      <c r="M148" s="94">
        <v>76</v>
      </c>
      <c r="N148" s="95">
        <v>88</v>
      </c>
    </row>
    <row r="149" spans="13:14" x14ac:dyDescent="0.2">
      <c r="M149" s="94">
        <v>65.8</v>
      </c>
      <c r="N149" s="95">
        <v>69.2</v>
      </c>
    </row>
    <row r="150" spans="13:14" x14ac:dyDescent="0.2">
      <c r="M150" s="94">
        <v>55</v>
      </c>
      <c r="N150" s="95">
        <v>55</v>
      </c>
    </row>
    <row r="151" spans="13:14" x14ac:dyDescent="0.2">
      <c r="M151" s="94">
        <v>57.3</v>
      </c>
      <c r="N151" s="95">
        <v>62.9</v>
      </c>
    </row>
    <row r="152" spans="13:14" x14ac:dyDescent="0.2">
      <c r="M152" s="94">
        <v>48.9</v>
      </c>
      <c r="N152" s="95">
        <v>57.3</v>
      </c>
    </row>
    <row r="153" spans="13:14" x14ac:dyDescent="0.2">
      <c r="M153" s="94">
        <v>79.099999999999994</v>
      </c>
      <c r="N153" s="95">
        <v>82.8</v>
      </c>
    </row>
    <row r="154" spans="13:14" x14ac:dyDescent="0.2">
      <c r="M154" s="94">
        <v>71.5</v>
      </c>
      <c r="N154" s="95">
        <v>74.900000000000006</v>
      </c>
    </row>
    <row r="155" spans="13:14" x14ac:dyDescent="0.2">
      <c r="M155" s="94">
        <v>58.6</v>
      </c>
      <c r="N155" s="95">
        <v>64.099999999999994</v>
      </c>
    </row>
    <row r="156" spans="13:14" x14ac:dyDescent="0.2">
      <c r="M156" s="94">
        <v>67.400000000000006</v>
      </c>
      <c r="N156" s="95">
        <v>71.599999999999994</v>
      </c>
    </row>
    <row r="157" spans="13:14" x14ac:dyDescent="0.2">
      <c r="M157" s="94">
        <v>48.4</v>
      </c>
      <c r="N157" s="95">
        <v>58.9</v>
      </c>
    </row>
    <row r="158" spans="13:14" x14ac:dyDescent="0.2">
      <c r="M158" s="94">
        <v>79.599999999999994</v>
      </c>
      <c r="N158" s="95">
        <v>82.4</v>
      </c>
    </row>
    <row r="159" spans="13:14" x14ac:dyDescent="0.2">
      <c r="M159" s="94">
        <v>79.7</v>
      </c>
      <c r="N159" s="95">
        <v>83.4</v>
      </c>
    </row>
    <row r="160" spans="13:14" x14ac:dyDescent="0.2">
      <c r="M160" s="94">
        <v>72.599999999999994</v>
      </c>
      <c r="N160" s="95">
        <v>64.5</v>
      </c>
    </row>
    <row r="161" spans="13:14" x14ac:dyDescent="0.2">
      <c r="M161" s="94">
        <v>63.7</v>
      </c>
      <c r="N161" s="95">
        <v>69.7</v>
      </c>
    </row>
    <row r="162" spans="13:14" x14ac:dyDescent="0.2">
      <c r="M162" s="94">
        <v>71.099999999999994</v>
      </c>
      <c r="N162" s="95">
        <v>74.900000000000006</v>
      </c>
    </row>
    <row r="163" spans="13:14" x14ac:dyDescent="0.2">
      <c r="M163" s="94">
        <v>72.599999999999994</v>
      </c>
      <c r="N163" s="95">
        <v>75.7</v>
      </c>
    </row>
    <row r="164" spans="13:14" x14ac:dyDescent="0.2">
      <c r="M164" s="94">
        <v>58.7</v>
      </c>
      <c r="N164" s="95">
        <v>68.3</v>
      </c>
    </row>
    <row r="165" spans="13:14" x14ac:dyDescent="0.2">
      <c r="M165" s="94">
        <v>54.6</v>
      </c>
      <c r="N165" s="95">
        <v>59.9</v>
      </c>
    </row>
    <row r="166" spans="13:14" x14ac:dyDescent="0.2">
      <c r="M166" s="94">
        <v>71.599999999999994</v>
      </c>
      <c r="N166" s="95">
        <v>73.5</v>
      </c>
    </row>
    <row r="167" spans="13:14" x14ac:dyDescent="0.2">
      <c r="M167" s="94">
        <v>69.099999999999994</v>
      </c>
      <c r="N167" s="95">
        <v>71.2</v>
      </c>
    </row>
    <row r="168" spans="13:14" x14ac:dyDescent="0.2">
      <c r="M168" s="94">
        <v>72.900000000000006</v>
      </c>
      <c r="N168" s="95">
        <v>75.3</v>
      </c>
    </row>
    <row r="169" spans="13:14" x14ac:dyDescent="0.2">
      <c r="M169" s="94">
        <v>74</v>
      </c>
      <c r="N169" s="95">
        <v>75.8</v>
      </c>
    </row>
    <row r="170" spans="13:14" x14ac:dyDescent="0.2">
      <c r="M170" s="94">
        <v>63.8</v>
      </c>
      <c r="N170" s="95">
        <v>66.3</v>
      </c>
    </row>
    <row r="171" spans="13:14" x14ac:dyDescent="0.2">
      <c r="M171" s="94">
        <v>46.6</v>
      </c>
      <c r="N171" s="95">
        <v>62.3</v>
      </c>
    </row>
    <row r="172" spans="13:14" x14ac:dyDescent="0.2">
      <c r="M172" s="94">
        <v>67.5</v>
      </c>
      <c r="N172" s="95">
        <v>71.3</v>
      </c>
    </row>
    <row r="173" spans="13:14" x14ac:dyDescent="0.2">
      <c r="M173" s="94">
        <v>74.2</v>
      </c>
      <c r="N173" s="95">
        <v>77.099999999999994</v>
      </c>
    </row>
    <row r="174" spans="13:14" x14ac:dyDescent="0.2">
      <c r="M174" s="94">
        <v>77.8</v>
      </c>
      <c r="N174" s="95">
        <v>81.2</v>
      </c>
    </row>
    <row r="175" spans="13:14" x14ac:dyDescent="0.2">
      <c r="M175" s="94">
        <v>49.2</v>
      </c>
      <c r="N175" s="95">
        <v>61.8</v>
      </c>
    </row>
    <row r="176" spans="13:14" x14ac:dyDescent="0.2">
      <c r="M176" s="94">
        <v>76.8</v>
      </c>
      <c r="N176" s="95">
        <v>79.3</v>
      </c>
    </row>
    <row r="177" spans="13:14" x14ac:dyDescent="0.2">
      <c r="M177" s="94">
        <v>75.099999999999994</v>
      </c>
      <c r="N177" s="95">
        <v>77</v>
      </c>
    </row>
    <row r="178" spans="13:14" x14ac:dyDescent="0.2">
      <c r="M178" s="94">
        <v>67.099999999999994</v>
      </c>
      <c r="N178" s="95">
        <v>69.400000000000006</v>
      </c>
    </row>
    <row r="179" spans="13:14" x14ac:dyDescent="0.2">
      <c r="M179" s="94">
        <v>69</v>
      </c>
      <c r="N179" s="95">
        <v>72</v>
      </c>
    </row>
    <row r="180" spans="13:14" x14ac:dyDescent="0.2">
      <c r="M180" s="94">
        <v>72.5</v>
      </c>
      <c r="N180" s="95">
        <v>74.099999999999994</v>
      </c>
    </row>
    <row r="181" spans="13:14" x14ac:dyDescent="0.2">
      <c r="M181" s="94">
        <v>73.400000000000006</v>
      </c>
      <c r="N181" s="95">
        <v>76</v>
      </c>
    </row>
    <row r="182" spans="13:14" x14ac:dyDescent="0.2">
      <c r="M182" s="94">
        <v>68</v>
      </c>
      <c r="N182" s="95">
        <v>65.7</v>
      </c>
    </row>
    <row r="183" spans="13:14" x14ac:dyDescent="0.2">
      <c r="M183" s="94">
        <v>43.8</v>
      </c>
      <c r="N183" s="95">
        <v>61.8</v>
      </c>
    </row>
    <row r="184" spans="13:14" ht="13.5" thickBot="1" x14ac:dyDescent="0.25">
      <c r="M184" s="96">
        <v>46</v>
      </c>
      <c r="N184" s="97">
        <v>67</v>
      </c>
    </row>
    <row r="185" spans="13:14" ht="13.5" thickTop="1" x14ac:dyDescent="0.2"/>
  </sheetData>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9"/>
  <sheetViews>
    <sheetView workbookViewId="0"/>
  </sheetViews>
  <sheetFormatPr defaultRowHeight="12.75" x14ac:dyDescent="0.2"/>
  <sheetData>
    <row r="9" spans="2:2" x14ac:dyDescent="0.2">
      <c r="B9" s="5">
        <f>1</f>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7"/>
  <sheetViews>
    <sheetView workbookViewId="0"/>
  </sheetViews>
  <sheetFormatPr defaultColWidth="30.7109375" defaultRowHeight="12.75" x14ac:dyDescent="0.2"/>
  <cols>
    <col min="1" max="1" width="30.7109375" style="7"/>
    <col min="2" max="16384" width="30.7109375" style="6"/>
  </cols>
  <sheetData>
    <row r="1" spans="1:20" x14ac:dyDescent="0.2">
      <c r="A1" s="7" t="s">
        <v>217</v>
      </c>
      <c r="B1" s="6" t="s">
        <v>218</v>
      </c>
      <c r="C1" s="6" t="s">
        <v>208</v>
      </c>
      <c r="D1" s="6">
        <v>7</v>
      </c>
      <c r="E1" s="6" t="s">
        <v>209</v>
      </c>
      <c r="F1" s="6">
        <v>6</v>
      </c>
      <c r="G1" s="6" t="s">
        <v>210</v>
      </c>
      <c r="H1" s="6">
        <v>0</v>
      </c>
      <c r="I1" s="6" t="s">
        <v>211</v>
      </c>
      <c r="J1" s="6">
        <v>1</v>
      </c>
      <c r="K1" s="6" t="s">
        <v>212</v>
      </c>
      <c r="L1" s="6">
        <v>0</v>
      </c>
      <c r="M1" s="6" t="s">
        <v>213</v>
      </c>
      <c r="N1" s="6">
        <v>0</v>
      </c>
      <c r="O1" s="6" t="s">
        <v>214</v>
      </c>
      <c r="P1" s="6">
        <v>1</v>
      </c>
      <c r="Q1" s="6" t="s">
        <v>215</v>
      </c>
      <c r="R1" s="6">
        <v>0</v>
      </c>
      <c r="S1" s="6" t="s">
        <v>216</v>
      </c>
      <c r="T1" s="6">
        <v>0</v>
      </c>
    </row>
    <row r="2" spans="1:20" x14ac:dyDescent="0.2">
      <c r="A2" s="7" t="s">
        <v>219</v>
      </c>
      <c r="B2" s="6" t="s">
        <v>220</v>
      </c>
    </row>
    <row r="3" spans="1:20" x14ac:dyDescent="0.2">
      <c r="A3" s="7" t="s">
        <v>221</v>
      </c>
      <c r="B3" s="6" t="b">
        <f>IF(B10&gt;256,"TripUpST110AndEarlier",TRUE)</f>
        <v>1</v>
      </c>
    </row>
    <row r="4" spans="1:20" x14ac:dyDescent="0.2">
      <c r="A4" s="7" t="s">
        <v>222</v>
      </c>
      <c r="B4" s="6" t="s">
        <v>223</v>
      </c>
    </row>
    <row r="5" spans="1:20" x14ac:dyDescent="0.2">
      <c r="A5" s="7" t="s">
        <v>224</v>
      </c>
      <c r="B5" s="6" t="b">
        <v>1</v>
      </c>
    </row>
    <row r="6" spans="1:20" x14ac:dyDescent="0.2">
      <c r="A6" s="7" t="s">
        <v>225</v>
      </c>
      <c r="B6" s="6" t="b">
        <v>0</v>
      </c>
    </row>
    <row r="7" spans="1:20" x14ac:dyDescent="0.2">
      <c r="A7" s="7" t="s">
        <v>226</v>
      </c>
      <c r="B7" s="6">
        <f>'2000'!$A$1:$V$184</f>
        <v>2000</v>
      </c>
    </row>
    <row r="8" spans="1:20" x14ac:dyDescent="0.2">
      <c r="A8" s="7" t="s">
        <v>227</v>
      </c>
      <c r="B8" s="6">
        <v>2</v>
      </c>
    </row>
    <row r="9" spans="1:20" x14ac:dyDescent="0.2">
      <c r="A9" s="7" t="s">
        <v>228</v>
      </c>
      <c r="B9" s="48">
        <f>1</f>
        <v>1</v>
      </c>
    </row>
    <row r="10" spans="1:20" x14ac:dyDescent="0.2">
      <c r="A10" s="7" t="s">
        <v>229</v>
      </c>
      <c r="B10" s="6">
        <v>22</v>
      </c>
    </row>
    <row r="12" spans="1:20" x14ac:dyDescent="0.2">
      <c r="A12" s="7" t="s">
        <v>230</v>
      </c>
      <c r="B12" s="6" t="s">
        <v>369</v>
      </c>
      <c r="C12" s="6" t="s">
        <v>231</v>
      </c>
      <c r="D12" s="6" t="s">
        <v>232</v>
      </c>
      <c r="E12" s="6" t="b">
        <v>1</v>
      </c>
      <c r="F12" s="6">
        <v>0</v>
      </c>
      <c r="G12" s="6">
        <v>4</v>
      </c>
      <c r="H12" s="6">
        <v>1</v>
      </c>
    </row>
    <row r="13" spans="1:20" x14ac:dyDescent="0.2">
      <c r="A13" s="7" t="s">
        <v>233</v>
      </c>
      <c r="B13" s="6" t="str">
        <f>'2000'!$A$1:$A$184</f>
        <v>Bahrain</v>
      </c>
    </row>
    <row r="14" spans="1:20" x14ac:dyDescent="0.2">
      <c r="A14" s="7" t="s">
        <v>234</v>
      </c>
    </row>
    <row r="15" spans="1:20" x14ac:dyDescent="0.2">
      <c r="A15" s="7" t="s">
        <v>235</v>
      </c>
      <c r="B15" s="6" t="s">
        <v>370</v>
      </c>
      <c r="C15" s="6" t="s">
        <v>236</v>
      </c>
      <c r="D15" s="6" t="s">
        <v>237</v>
      </c>
      <c r="E15" s="6" t="b">
        <v>1</v>
      </c>
      <c r="F15" s="6">
        <v>0</v>
      </c>
      <c r="G15" s="6">
        <v>4</v>
      </c>
      <c r="H15" s="6">
        <v>0</v>
      </c>
    </row>
    <row r="16" spans="1:20" x14ac:dyDescent="0.2">
      <c r="A16" s="7" t="s">
        <v>238</v>
      </c>
      <c r="B16" s="6">
        <f>'2000'!$B$1:$B$184</f>
        <v>2000</v>
      </c>
    </row>
    <row r="17" spans="1:8" x14ac:dyDescent="0.2">
      <c r="A17" s="7" t="s">
        <v>239</v>
      </c>
    </row>
    <row r="18" spans="1:8" x14ac:dyDescent="0.2">
      <c r="A18" s="7" t="s">
        <v>240</v>
      </c>
      <c r="B18" s="6" t="s">
        <v>371</v>
      </c>
      <c r="C18" s="6" t="s">
        <v>241</v>
      </c>
      <c r="D18" s="6" t="s">
        <v>242</v>
      </c>
      <c r="E18" s="6" t="b">
        <v>1</v>
      </c>
      <c r="F18" s="6">
        <v>0</v>
      </c>
      <c r="G18" s="6">
        <v>4</v>
      </c>
      <c r="H18" s="6">
        <v>1</v>
      </c>
    </row>
    <row r="19" spans="1:8" x14ac:dyDescent="0.2">
      <c r="A19" s="7" t="s">
        <v>243</v>
      </c>
      <c r="B19" s="6" t="str">
        <f>'2000'!$C$1:$C$184</f>
        <v>Developing</v>
      </c>
    </row>
    <row r="20" spans="1:8" x14ac:dyDescent="0.2">
      <c r="A20" s="7" t="s">
        <v>244</v>
      </c>
    </row>
    <row r="21" spans="1:8" x14ac:dyDescent="0.2">
      <c r="A21" s="7" t="s">
        <v>245</v>
      </c>
      <c r="B21" s="6" t="s">
        <v>372</v>
      </c>
      <c r="C21" s="6" t="s">
        <v>246</v>
      </c>
      <c r="D21" s="6" t="s">
        <v>247</v>
      </c>
      <c r="E21" s="6" t="b">
        <v>1</v>
      </c>
      <c r="F21" s="6">
        <v>0</v>
      </c>
      <c r="G21" s="6">
        <v>4</v>
      </c>
      <c r="H21" s="6">
        <v>0</v>
      </c>
    </row>
    <row r="22" spans="1:8" x14ac:dyDescent="0.2">
      <c r="A22" s="7" t="s">
        <v>248</v>
      </c>
      <c r="B22" s="79">
        <f>'2000'!$D$1:$D$184</f>
        <v>74.599999999999994</v>
      </c>
    </row>
    <row r="23" spans="1:8" x14ac:dyDescent="0.2">
      <c r="A23" s="7" t="s">
        <v>249</v>
      </c>
    </row>
    <row r="24" spans="1:8" x14ac:dyDescent="0.2">
      <c r="A24" s="7" t="s">
        <v>250</v>
      </c>
      <c r="B24" s="6" t="s">
        <v>373</v>
      </c>
      <c r="C24" s="6" t="s">
        <v>251</v>
      </c>
      <c r="D24" s="6" t="s">
        <v>252</v>
      </c>
      <c r="E24" s="6" t="b">
        <v>1</v>
      </c>
      <c r="F24" s="6">
        <v>0</v>
      </c>
      <c r="G24" s="6">
        <v>4</v>
      </c>
      <c r="H24" s="6">
        <v>0</v>
      </c>
    </row>
    <row r="25" spans="1:8" x14ac:dyDescent="0.2">
      <c r="A25" s="7" t="s">
        <v>253</v>
      </c>
      <c r="B25" s="6">
        <f>'2000'!$E$1:$E$184</f>
        <v>16</v>
      </c>
    </row>
    <row r="26" spans="1:8" x14ac:dyDescent="0.2">
      <c r="A26" s="7" t="s">
        <v>254</v>
      </c>
    </row>
    <row r="27" spans="1:8" x14ac:dyDescent="0.2">
      <c r="A27" s="7" t="s">
        <v>255</v>
      </c>
      <c r="B27" s="6" t="s">
        <v>374</v>
      </c>
      <c r="C27" s="6" t="s">
        <v>256</v>
      </c>
      <c r="D27" s="6" t="s">
        <v>257</v>
      </c>
      <c r="E27" s="6" t="b">
        <v>1</v>
      </c>
      <c r="F27" s="6">
        <v>0</v>
      </c>
      <c r="G27" s="6">
        <v>4</v>
      </c>
      <c r="H27" s="6">
        <v>0</v>
      </c>
    </row>
    <row r="28" spans="1:8" x14ac:dyDescent="0.2">
      <c r="A28" s="7" t="s">
        <v>258</v>
      </c>
      <c r="B28" s="6">
        <f>'2000'!$F$1:$F$184</f>
        <v>4.05</v>
      </c>
    </row>
    <row r="29" spans="1:8" x14ac:dyDescent="0.2">
      <c r="A29" s="7" t="s">
        <v>259</v>
      </c>
    </row>
    <row r="30" spans="1:8" x14ac:dyDescent="0.2">
      <c r="A30" s="7" t="s">
        <v>260</v>
      </c>
      <c r="B30" s="6" t="s">
        <v>375</v>
      </c>
      <c r="C30" s="6" t="s">
        <v>261</v>
      </c>
      <c r="D30" s="6" t="s">
        <v>262</v>
      </c>
      <c r="E30" s="6" t="b">
        <v>1</v>
      </c>
      <c r="F30" s="6">
        <v>0</v>
      </c>
      <c r="G30" s="6">
        <v>4</v>
      </c>
      <c r="H30" s="6">
        <v>0</v>
      </c>
    </row>
    <row r="31" spans="1:8" x14ac:dyDescent="0.2">
      <c r="A31" s="7" t="s">
        <v>263</v>
      </c>
      <c r="B31" s="6">
        <f>'2000'!$G$1:$G$184</f>
        <v>0.32841805600000001</v>
      </c>
    </row>
    <row r="32" spans="1:8" x14ac:dyDescent="0.2">
      <c r="A32" s="7" t="s">
        <v>264</v>
      </c>
    </row>
    <row r="33" spans="1:8" x14ac:dyDescent="0.2">
      <c r="A33" s="7" t="s">
        <v>265</v>
      </c>
      <c r="B33" s="6" t="s">
        <v>376</v>
      </c>
      <c r="C33" s="6" t="s">
        <v>266</v>
      </c>
      <c r="D33" s="6" t="s">
        <v>267</v>
      </c>
      <c r="E33" s="6" t="b">
        <v>1</v>
      </c>
      <c r="F33" s="6">
        <v>0</v>
      </c>
      <c r="G33" s="6">
        <v>4</v>
      </c>
      <c r="H33" s="6">
        <v>0</v>
      </c>
    </row>
    <row r="34" spans="1:8" x14ac:dyDescent="0.2">
      <c r="A34" s="7" t="s">
        <v>268</v>
      </c>
      <c r="B34" s="6">
        <f>'2000'!$H$1:$H$184</f>
        <v>16.5</v>
      </c>
    </row>
    <row r="35" spans="1:8" x14ac:dyDescent="0.2">
      <c r="A35" s="7" t="s">
        <v>269</v>
      </c>
    </row>
    <row r="36" spans="1:8" x14ac:dyDescent="0.2">
      <c r="A36" s="7" t="s">
        <v>270</v>
      </c>
      <c r="B36" s="6" t="s">
        <v>377</v>
      </c>
      <c r="C36" s="6" t="s">
        <v>271</v>
      </c>
      <c r="D36" s="6" t="s">
        <v>272</v>
      </c>
      <c r="E36" s="6" t="b">
        <v>1</v>
      </c>
      <c r="F36" s="6">
        <v>0</v>
      </c>
      <c r="G36" s="6">
        <v>4</v>
      </c>
      <c r="H36" s="6">
        <v>0</v>
      </c>
    </row>
    <row r="37" spans="1:8" x14ac:dyDescent="0.2">
      <c r="A37" s="7" t="s">
        <v>273</v>
      </c>
      <c r="B37" s="6">
        <f>'2000'!$I$1:$I$184</f>
        <v>86</v>
      </c>
    </row>
    <row r="38" spans="1:8" x14ac:dyDescent="0.2">
      <c r="A38" s="7" t="s">
        <v>274</v>
      </c>
    </row>
    <row r="39" spans="1:8" x14ac:dyDescent="0.2">
      <c r="A39" s="7" t="s">
        <v>275</v>
      </c>
      <c r="B39" s="6" t="s">
        <v>378</v>
      </c>
      <c r="C39" s="6" t="s">
        <v>276</v>
      </c>
      <c r="D39" s="6" t="s">
        <v>277</v>
      </c>
      <c r="E39" s="6" t="b">
        <v>1</v>
      </c>
      <c r="F39" s="6">
        <v>0</v>
      </c>
      <c r="G39" s="6">
        <v>4</v>
      </c>
      <c r="H39" s="6">
        <v>0</v>
      </c>
    </row>
    <row r="40" spans="1:8" x14ac:dyDescent="0.2">
      <c r="A40" s="7" t="s">
        <v>278</v>
      </c>
      <c r="B40" s="6">
        <f>'2000'!$J$1:$J$184</f>
        <v>2.13</v>
      </c>
    </row>
    <row r="41" spans="1:8" x14ac:dyDescent="0.2">
      <c r="A41" s="7" t="s">
        <v>279</v>
      </c>
    </row>
    <row r="42" spans="1:8" x14ac:dyDescent="0.2">
      <c r="A42" s="7" t="s">
        <v>280</v>
      </c>
      <c r="B42" s="6" t="s">
        <v>379</v>
      </c>
      <c r="C42" s="6" t="s">
        <v>281</v>
      </c>
      <c r="D42" s="6" t="s">
        <v>282</v>
      </c>
      <c r="E42" s="6" t="b">
        <v>1</v>
      </c>
      <c r="F42" s="6">
        <v>0</v>
      </c>
      <c r="G42" s="6">
        <v>4</v>
      </c>
      <c r="H42" s="6">
        <v>0</v>
      </c>
    </row>
    <row r="43" spans="1:8" x14ac:dyDescent="0.2">
      <c r="A43" s="7" t="s">
        <v>283</v>
      </c>
      <c r="B43" s="6">
        <f>'2000'!$K$1:$K$184</f>
        <v>95</v>
      </c>
    </row>
    <row r="44" spans="1:8" x14ac:dyDescent="0.2">
      <c r="A44" s="7" t="s">
        <v>284</v>
      </c>
    </row>
    <row r="45" spans="1:8" x14ac:dyDescent="0.2">
      <c r="A45" s="7" t="s">
        <v>285</v>
      </c>
      <c r="B45" s="6" t="s">
        <v>380</v>
      </c>
      <c r="C45" s="6" t="s">
        <v>286</v>
      </c>
      <c r="D45" s="6" t="s">
        <v>287</v>
      </c>
      <c r="E45" s="6" t="b">
        <v>1</v>
      </c>
      <c r="F45" s="6">
        <v>0</v>
      </c>
      <c r="G45" s="6">
        <v>4</v>
      </c>
      <c r="H45" s="6">
        <v>0</v>
      </c>
    </row>
    <row r="46" spans="1:8" x14ac:dyDescent="0.2">
      <c r="A46" s="7" t="s">
        <v>288</v>
      </c>
      <c r="B46" s="6">
        <f>'2000'!$L$1:$L$184</f>
        <v>947</v>
      </c>
    </row>
    <row r="47" spans="1:8" x14ac:dyDescent="0.2">
      <c r="A47" s="7" t="s">
        <v>289</v>
      </c>
    </row>
    <row r="48" spans="1:8" x14ac:dyDescent="0.2">
      <c r="A48" s="7" t="s">
        <v>290</v>
      </c>
      <c r="B48" s="6" t="s">
        <v>381</v>
      </c>
      <c r="C48" s="6" t="s">
        <v>291</v>
      </c>
      <c r="D48" s="6" t="s">
        <v>292</v>
      </c>
      <c r="E48" s="6" t="b">
        <v>1</v>
      </c>
      <c r="F48" s="6">
        <v>0</v>
      </c>
      <c r="G48" s="6">
        <v>4</v>
      </c>
      <c r="H48" s="6">
        <v>0</v>
      </c>
    </row>
    <row r="49" spans="1:8" x14ac:dyDescent="0.2">
      <c r="A49" s="7" t="s">
        <v>293</v>
      </c>
      <c r="B49" s="6">
        <f>'2000'!$M$1:$M$184</f>
        <v>717584</v>
      </c>
    </row>
    <row r="50" spans="1:8" x14ac:dyDescent="0.2">
      <c r="A50" s="7" t="s">
        <v>294</v>
      </c>
    </row>
    <row r="51" spans="1:8" x14ac:dyDescent="0.2">
      <c r="A51" s="7" t="s">
        <v>295</v>
      </c>
      <c r="B51" s="6" t="s">
        <v>382</v>
      </c>
      <c r="C51" s="6" t="s">
        <v>296</v>
      </c>
      <c r="D51" s="6" t="s">
        <v>297</v>
      </c>
      <c r="E51" s="6" t="b">
        <v>1</v>
      </c>
      <c r="F51" s="6">
        <v>0</v>
      </c>
      <c r="G51" s="6">
        <v>4</v>
      </c>
      <c r="H51" s="6">
        <v>0</v>
      </c>
    </row>
    <row r="52" spans="1:8" x14ac:dyDescent="0.2">
      <c r="A52" s="7" t="s">
        <v>298</v>
      </c>
      <c r="B52" s="6">
        <f>'2000'!$N$1:$N$184</f>
        <v>4.8</v>
      </c>
    </row>
    <row r="53" spans="1:8" x14ac:dyDescent="0.2">
      <c r="A53" s="7" t="s">
        <v>299</v>
      </c>
    </row>
    <row r="54" spans="1:8" x14ac:dyDescent="0.2">
      <c r="A54" s="7" t="s">
        <v>300</v>
      </c>
      <c r="B54" s="6" t="s">
        <v>383</v>
      </c>
      <c r="C54" s="6" t="s">
        <v>301</v>
      </c>
      <c r="D54" s="6" t="s">
        <v>302</v>
      </c>
      <c r="E54" s="6" t="b">
        <v>1</v>
      </c>
      <c r="F54" s="6">
        <v>0</v>
      </c>
      <c r="G54" s="6">
        <v>4</v>
      </c>
      <c r="H54" s="6">
        <v>0</v>
      </c>
    </row>
    <row r="55" spans="1:8" x14ac:dyDescent="0.2">
      <c r="A55" s="7" t="s">
        <v>303</v>
      </c>
      <c r="B55" s="6">
        <f>'2000'!$O$1:$O$184</f>
        <v>8.6999999999999993</v>
      </c>
    </row>
    <row r="56" spans="1:8" x14ac:dyDescent="0.2">
      <c r="A56" s="7" t="s">
        <v>304</v>
      </c>
    </row>
    <row r="57" spans="1:8" x14ac:dyDescent="0.2">
      <c r="A57" s="7" t="s">
        <v>305</v>
      </c>
      <c r="B57" s="6" t="s">
        <v>384</v>
      </c>
      <c r="C57" s="6" t="s">
        <v>306</v>
      </c>
      <c r="D57" s="6" t="s">
        <v>307</v>
      </c>
      <c r="E57" s="6" t="b">
        <v>1</v>
      </c>
      <c r="F57" s="6">
        <v>0</v>
      </c>
      <c r="G57" s="6">
        <v>4</v>
      </c>
      <c r="H57" s="6">
        <v>1</v>
      </c>
    </row>
    <row r="58" spans="1:8" x14ac:dyDescent="0.2">
      <c r="A58" s="7" t="s">
        <v>308</v>
      </c>
      <c r="B58" s="79">
        <f>'2000'!$P$1:$P$184</f>
        <v>77</v>
      </c>
    </row>
    <row r="59" spans="1:8" x14ac:dyDescent="0.2">
      <c r="A59" s="7" t="s">
        <v>309</v>
      </c>
    </row>
    <row r="60" spans="1:8" x14ac:dyDescent="0.2">
      <c r="A60" s="7" t="s">
        <v>310</v>
      </c>
      <c r="B60" s="6" t="s">
        <v>385</v>
      </c>
      <c r="C60" s="6" t="s">
        <v>311</v>
      </c>
      <c r="D60" s="6" t="s">
        <v>312</v>
      </c>
      <c r="E60" s="6" t="b">
        <v>1</v>
      </c>
      <c r="F60" s="6">
        <v>0</v>
      </c>
      <c r="G60" s="6">
        <v>4</v>
      </c>
      <c r="H60" s="6">
        <v>1</v>
      </c>
    </row>
    <row r="61" spans="1:8" x14ac:dyDescent="0.2">
      <c r="A61" s="7" t="s">
        <v>313</v>
      </c>
      <c r="B61" s="79">
        <f>'2000'!$Q$1:$Q$184</f>
        <v>2.9</v>
      </c>
    </row>
    <row r="62" spans="1:8" x14ac:dyDescent="0.2">
      <c r="A62" s="7" t="s">
        <v>314</v>
      </c>
    </row>
    <row r="63" spans="1:8" x14ac:dyDescent="0.2">
      <c r="A63" s="7" t="s">
        <v>315</v>
      </c>
      <c r="B63" s="6" t="s">
        <v>386</v>
      </c>
      <c r="C63" s="6" t="s">
        <v>316</v>
      </c>
      <c r="D63" s="6" t="s">
        <v>317</v>
      </c>
      <c r="E63" s="6" t="b">
        <v>1</v>
      </c>
      <c r="F63" s="6">
        <v>0</v>
      </c>
      <c r="G63" s="6">
        <v>4</v>
      </c>
      <c r="H63" s="6">
        <v>1</v>
      </c>
    </row>
    <row r="64" spans="1:8" x14ac:dyDescent="0.2">
      <c r="A64" s="7" t="s">
        <v>318</v>
      </c>
      <c r="B64" s="79">
        <f>'2000'!$R$1:$R$184</f>
        <v>17.5</v>
      </c>
    </row>
    <row r="65" spans="1:8" x14ac:dyDescent="0.2">
      <c r="A65" s="7" t="s">
        <v>319</v>
      </c>
    </row>
    <row r="66" spans="1:8" x14ac:dyDescent="0.2">
      <c r="A66" s="7" t="s">
        <v>387</v>
      </c>
      <c r="B66" s="6" t="s">
        <v>388</v>
      </c>
      <c r="C66" s="6" t="s">
        <v>389</v>
      </c>
      <c r="D66" s="6" t="s">
        <v>390</v>
      </c>
      <c r="E66" s="6" t="b">
        <v>1</v>
      </c>
      <c r="F66" s="6">
        <v>0</v>
      </c>
      <c r="G66" s="6">
        <v>4</v>
      </c>
      <c r="H66" s="6">
        <v>0</v>
      </c>
    </row>
    <row r="67" spans="1:8" x14ac:dyDescent="0.2">
      <c r="A67" s="7" t="s">
        <v>391</v>
      </c>
      <c r="B67" s="6">
        <f>'2000'!$S$1:$S$184</f>
        <v>0</v>
      </c>
    </row>
    <row r="68" spans="1:8" x14ac:dyDescent="0.2">
      <c r="A68" s="7" t="s">
        <v>392</v>
      </c>
    </row>
    <row r="69" spans="1:8" x14ac:dyDescent="0.2">
      <c r="A69" s="7" t="s">
        <v>393</v>
      </c>
      <c r="B69" s="6" t="s">
        <v>394</v>
      </c>
      <c r="C69" s="6" t="s">
        <v>395</v>
      </c>
      <c r="D69" s="6" t="s">
        <v>396</v>
      </c>
      <c r="E69" s="6" t="b">
        <v>1</v>
      </c>
      <c r="F69" s="6">
        <v>0</v>
      </c>
      <c r="G69" s="6">
        <v>4</v>
      </c>
      <c r="H69" s="6">
        <v>0</v>
      </c>
    </row>
    <row r="70" spans="1:8" x14ac:dyDescent="0.2">
      <c r="A70" s="7" t="s">
        <v>397</v>
      </c>
      <c r="B70" s="6">
        <f>'2000'!$T$1:$T$184</f>
        <v>0</v>
      </c>
    </row>
    <row r="71" spans="1:8" x14ac:dyDescent="0.2">
      <c r="A71" s="7" t="s">
        <v>398</v>
      </c>
    </row>
    <row r="72" spans="1:8" x14ac:dyDescent="0.2">
      <c r="A72" s="7" t="s">
        <v>399</v>
      </c>
      <c r="B72" s="6" t="s">
        <v>400</v>
      </c>
      <c r="C72" s="6" t="s">
        <v>401</v>
      </c>
      <c r="D72" s="6" t="s">
        <v>402</v>
      </c>
      <c r="E72" s="6" t="b">
        <v>1</v>
      </c>
      <c r="F72" s="6">
        <v>0</v>
      </c>
      <c r="G72" s="6">
        <v>4</v>
      </c>
      <c r="H72" s="6">
        <v>0</v>
      </c>
    </row>
    <row r="73" spans="1:8" x14ac:dyDescent="0.2">
      <c r="A73" s="7" t="s">
        <v>403</v>
      </c>
      <c r="B73" s="6">
        <f>'2000'!$U$1:$U$184</f>
        <v>0</v>
      </c>
    </row>
    <row r="74" spans="1:8" x14ac:dyDescent="0.2">
      <c r="A74" s="7" t="s">
        <v>404</v>
      </c>
    </row>
    <row r="75" spans="1:8" x14ac:dyDescent="0.2">
      <c r="A75" s="7" t="s">
        <v>405</v>
      </c>
      <c r="B75" s="6" t="s">
        <v>406</v>
      </c>
      <c r="C75" s="6" t="s">
        <v>407</v>
      </c>
      <c r="D75" s="6" t="s">
        <v>408</v>
      </c>
      <c r="E75" s="6" t="b">
        <v>1</v>
      </c>
      <c r="F75" s="6">
        <v>0</v>
      </c>
      <c r="G75" s="6">
        <v>4</v>
      </c>
      <c r="H75" s="6">
        <v>0</v>
      </c>
    </row>
    <row r="76" spans="1:8" x14ac:dyDescent="0.2">
      <c r="A76" s="7" t="s">
        <v>409</v>
      </c>
      <c r="B76" s="6">
        <f>'2000'!$V$1:$V$184</f>
        <v>0</v>
      </c>
    </row>
    <row r="77" spans="1:8" x14ac:dyDescent="0.2">
      <c r="A77" s="7" t="s">
        <v>410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7"/>
  <sheetViews>
    <sheetView workbookViewId="0"/>
  </sheetViews>
  <sheetFormatPr defaultColWidth="30.7109375" defaultRowHeight="12.75" x14ac:dyDescent="0.2"/>
  <cols>
    <col min="1" max="1" width="30.7109375" style="7"/>
    <col min="2" max="16384" width="30.7109375" style="6"/>
  </cols>
  <sheetData>
    <row r="1" spans="1:20" x14ac:dyDescent="0.2">
      <c r="A1" s="7" t="s">
        <v>217</v>
      </c>
      <c r="B1" s="6" t="s">
        <v>321</v>
      </c>
      <c r="C1" s="6" t="s">
        <v>208</v>
      </c>
      <c r="D1" s="6">
        <v>7</v>
      </c>
      <c r="E1" s="6" t="s">
        <v>209</v>
      </c>
      <c r="F1" s="6">
        <v>6</v>
      </c>
      <c r="G1" s="6" t="s">
        <v>210</v>
      </c>
      <c r="H1" s="6">
        <v>0</v>
      </c>
      <c r="I1" s="6" t="s">
        <v>211</v>
      </c>
      <c r="J1" s="6">
        <v>1</v>
      </c>
      <c r="K1" s="6" t="s">
        <v>212</v>
      </c>
      <c r="L1" s="6">
        <v>0</v>
      </c>
      <c r="M1" s="6" t="s">
        <v>213</v>
      </c>
      <c r="N1" s="6">
        <v>0</v>
      </c>
      <c r="O1" s="6" t="s">
        <v>214</v>
      </c>
      <c r="P1" s="6">
        <v>1</v>
      </c>
      <c r="Q1" s="6" t="s">
        <v>215</v>
      </c>
      <c r="R1" s="6">
        <v>0</v>
      </c>
      <c r="S1" s="6" t="s">
        <v>216</v>
      </c>
      <c r="T1" s="6">
        <v>0</v>
      </c>
    </row>
    <row r="2" spans="1:20" x14ac:dyDescent="0.2">
      <c r="A2" s="7" t="s">
        <v>219</v>
      </c>
      <c r="B2" s="6" t="s">
        <v>322</v>
      </c>
    </row>
    <row r="3" spans="1:20" x14ac:dyDescent="0.2">
      <c r="A3" s="7" t="s">
        <v>221</v>
      </c>
      <c r="B3" s="6" t="b">
        <f>IF(B10&gt;256,"TripUpST110AndEarlier",TRUE)</f>
        <v>1</v>
      </c>
    </row>
    <row r="4" spans="1:20" x14ac:dyDescent="0.2">
      <c r="A4" s="7" t="s">
        <v>222</v>
      </c>
      <c r="B4" s="6" t="s">
        <v>223</v>
      </c>
    </row>
    <row r="5" spans="1:20" x14ac:dyDescent="0.2">
      <c r="A5" s="7" t="s">
        <v>224</v>
      </c>
      <c r="B5" s="6" t="b">
        <v>1</v>
      </c>
    </row>
    <row r="6" spans="1:20" x14ac:dyDescent="0.2">
      <c r="A6" s="7" t="s">
        <v>225</v>
      </c>
      <c r="B6" s="6" t="b">
        <v>0</v>
      </c>
    </row>
    <row r="7" spans="1:20" x14ac:dyDescent="0.2">
      <c r="A7" s="7" t="s">
        <v>226</v>
      </c>
      <c r="B7" s="6">
        <f>'2015'!$A$1:$V$184</f>
        <v>2015</v>
      </c>
    </row>
    <row r="8" spans="1:20" x14ac:dyDescent="0.2">
      <c r="A8" s="7" t="s">
        <v>227</v>
      </c>
      <c r="B8" s="6">
        <v>2</v>
      </c>
    </row>
    <row r="9" spans="1:20" x14ac:dyDescent="0.2">
      <c r="A9" s="7" t="s">
        <v>228</v>
      </c>
      <c r="B9" s="48">
        <f>1</f>
        <v>1</v>
      </c>
    </row>
    <row r="10" spans="1:20" x14ac:dyDescent="0.2">
      <c r="A10" s="7" t="s">
        <v>229</v>
      </c>
      <c r="B10" s="6">
        <v>22</v>
      </c>
    </row>
    <row r="12" spans="1:20" x14ac:dyDescent="0.2">
      <c r="A12" s="7" t="s">
        <v>230</v>
      </c>
      <c r="B12" s="6" t="s">
        <v>443</v>
      </c>
      <c r="C12" s="6" t="s">
        <v>231</v>
      </c>
      <c r="D12" s="6" t="s">
        <v>323</v>
      </c>
      <c r="E12" s="6" t="b">
        <v>1</v>
      </c>
      <c r="F12" s="6">
        <v>0</v>
      </c>
      <c r="G12" s="6">
        <v>4</v>
      </c>
      <c r="H12" s="6">
        <v>1</v>
      </c>
    </row>
    <row r="13" spans="1:20" x14ac:dyDescent="0.2">
      <c r="A13" s="7" t="s">
        <v>233</v>
      </c>
      <c r="B13" s="6" t="str">
        <f>'2015'!$A$1:$A$184</f>
        <v>Bahrain</v>
      </c>
    </row>
    <row r="14" spans="1:20" x14ac:dyDescent="0.2">
      <c r="A14" s="7" t="s">
        <v>234</v>
      </c>
    </row>
    <row r="15" spans="1:20" x14ac:dyDescent="0.2">
      <c r="A15" s="7" t="s">
        <v>235</v>
      </c>
      <c r="B15" s="6" t="s">
        <v>444</v>
      </c>
      <c r="C15" s="6" t="s">
        <v>236</v>
      </c>
      <c r="D15" s="6" t="s">
        <v>324</v>
      </c>
      <c r="E15" s="6" t="b">
        <v>1</v>
      </c>
      <c r="F15" s="6">
        <v>0</v>
      </c>
      <c r="G15" s="6">
        <v>4</v>
      </c>
      <c r="H15" s="6">
        <v>0</v>
      </c>
    </row>
    <row r="16" spans="1:20" x14ac:dyDescent="0.2">
      <c r="A16" s="7" t="s">
        <v>238</v>
      </c>
      <c r="B16" s="6">
        <f>'2015'!$B$1:$B$184</f>
        <v>2015</v>
      </c>
    </row>
    <row r="17" spans="1:8" x14ac:dyDescent="0.2">
      <c r="A17" s="7" t="s">
        <v>239</v>
      </c>
    </row>
    <row r="18" spans="1:8" x14ac:dyDescent="0.2">
      <c r="A18" s="7" t="s">
        <v>240</v>
      </c>
      <c r="B18" s="6" t="s">
        <v>445</v>
      </c>
      <c r="C18" s="6" t="s">
        <v>241</v>
      </c>
      <c r="D18" s="6" t="s">
        <v>325</v>
      </c>
      <c r="E18" s="6" t="b">
        <v>1</v>
      </c>
      <c r="F18" s="6">
        <v>0</v>
      </c>
      <c r="G18" s="6">
        <v>4</v>
      </c>
      <c r="H18" s="6">
        <v>1</v>
      </c>
    </row>
    <row r="19" spans="1:8" x14ac:dyDescent="0.2">
      <c r="A19" s="7" t="s">
        <v>243</v>
      </c>
      <c r="B19" s="6" t="str">
        <f>'2015'!$C$1:$C$184</f>
        <v>Developing</v>
      </c>
    </row>
    <row r="20" spans="1:8" x14ac:dyDescent="0.2">
      <c r="A20" s="7" t="s">
        <v>244</v>
      </c>
    </row>
    <row r="21" spans="1:8" x14ac:dyDescent="0.2">
      <c r="A21" s="7" t="s">
        <v>245</v>
      </c>
      <c r="B21" s="6" t="s">
        <v>446</v>
      </c>
      <c r="C21" s="6" t="s">
        <v>246</v>
      </c>
      <c r="D21" s="6" t="s">
        <v>326</v>
      </c>
      <c r="E21" s="6" t="b">
        <v>1</v>
      </c>
      <c r="F21" s="6">
        <v>0</v>
      </c>
      <c r="G21" s="6">
        <v>4</v>
      </c>
      <c r="H21" s="6">
        <v>0</v>
      </c>
    </row>
    <row r="22" spans="1:8" x14ac:dyDescent="0.2">
      <c r="A22" s="7" t="s">
        <v>248</v>
      </c>
      <c r="B22" s="6">
        <f>'2015'!$D$1:$D$184</f>
        <v>77.400000000000006</v>
      </c>
    </row>
    <row r="23" spans="1:8" x14ac:dyDescent="0.2">
      <c r="A23" s="7" t="s">
        <v>249</v>
      </c>
    </row>
    <row r="24" spans="1:8" x14ac:dyDescent="0.2">
      <c r="A24" s="7" t="s">
        <v>250</v>
      </c>
      <c r="B24" s="6" t="s">
        <v>447</v>
      </c>
      <c r="C24" s="6" t="s">
        <v>251</v>
      </c>
      <c r="D24" s="6" t="s">
        <v>327</v>
      </c>
      <c r="E24" s="6" t="b">
        <v>1</v>
      </c>
      <c r="F24" s="6">
        <v>0</v>
      </c>
      <c r="G24" s="6">
        <v>4</v>
      </c>
      <c r="H24" s="6">
        <v>0</v>
      </c>
    </row>
    <row r="25" spans="1:8" x14ac:dyDescent="0.2">
      <c r="A25" s="7" t="s">
        <v>253</v>
      </c>
      <c r="B25" s="6">
        <f>'2015'!$E$1:$E$184</f>
        <v>78</v>
      </c>
    </row>
    <row r="26" spans="1:8" x14ac:dyDescent="0.2">
      <c r="A26" s="7" t="s">
        <v>254</v>
      </c>
    </row>
    <row r="27" spans="1:8" x14ac:dyDescent="0.2">
      <c r="A27" s="7" t="s">
        <v>255</v>
      </c>
      <c r="B27" s="6" t="s">
        <v>448</v>
      </c>
      <c r="C27" s="6" t="s">
        <v>256</v>
      </c>
      <c r="D27" s="6" t="s">
        <v>328</v>
      </c>
      <c r="E27" s="6" t="b">
        <v>1</v>
      </c>
      <c r="F27" s="6">
        <v>0</v>
      </c>
      <c r="G27" s="6">
        <v>4</v>
      </c>
      <c r="H27" s="6">
        <v>1</v>
      </c>
    </row>
    <row r="28" spans="1:8" x14ac:dyDescent="0.2">
      <c r="A28" s="7" t="s">
        <v>258</v>
      </c>
      <c r="B28" s="6">
        <f>'2015'!$F$1:$F$184</f>
        <v>0</v>
      </c>
    </row>
    <row r="29" spans="1:8" x14ac:dyDescent="0.2">
      <c r="A29" s="7" t="s">
        <v>259</v>
      </c>
    </row>
    <row r="30" spans="1:8" x14ac:dyDescent="0.2">
      <c r="A30" s="7" t="s">
        <v>260</v>
      </c>
      <c r="B30" s="6" t="s">
        <v>449</v>
      </c>
      <c r="C30" s="6" t="s">
        <v>261</v>
      </c>
      <c r="D30" s="6" t="s">
        <v>329</v>
      </c>
      <c r="E30" s="6" t="b">
        <v>1</v>
      </c>
      <c r="F30" s="6">
        <v>0</v>
      </c>
      <c r="G30" s="6">
        <v>4</v>
      </c>
      <c r="H30" s="6">
        <v>0</v>
      </c>
    </row>
    <row r="31" spans="1:8" x14ac:dyDescent="0.2">
      <c r="A31" s="7" t="s">
        <v>263</v>
      </c>
      <c r="B31" s="6">
        <f>'2015'!$G$1:$G$184</f>
        <v>0</v>
      </c>
    </row>
    <row r="32" spans="1:8" x14ac:dyDescent="0.2">
      <c r="A32" s="7" t="s">
        <v>264</v>
      </c>
    </row>
    <row r="33" spans="1:8" x14ac:dyDescent="0.2">
      <c r="A33" s="7" t="s">
        <v>265</v>
      </c>
      <c r="B33" s="6" t="s">
        <v>450</v>
      </c>
      <c r="C33" s="6" t="s">
        <v>266</v>
      </c>
      <c r="D33" s="6" t="s">
        <v>330</v>
      </c>
      <c r="E33" s="6" t="b">
        <v>1</v>
      </c>
      <c r="F33" s="6">
        <v>0</v>
      </c>
      <c r="G33" s="6">
        <v>4</v>
      </c>
      <c r="H33" s="6">
        <v>0</v>
      </c>
    </row>
    <row r="34" spans="1:8" x14ac:dyDescent="0.2">
      <c r="A34" s="7" t="s">
        <v>268</v>
      </c>
      <c r="B34" s="6">
        <f>'2015'!$H$1:$H$184</f>
        <v>22.7</v>
      </c>
    </row>
    <row r="35" spans="1:8" x14ac:dyDescent="0.2">
      <c r="A35" s="7" t="s">
        <v>269</v>
      </c>
    </row>
    <row r="36" spans="1:8" x14ac:dyDescent="0.2">
      <c r="A36" s="7" t="s">
        <v>270</v>
      </c>
      <c r="B36" s="6" t="s">
        <v>451</v>
      </c>
      <c r="C36" s="6" t="s">
        <v>271</v>
      </c>
      <c r="D36" s="6" t="s">
        <v>331</v>
      </c>
      <c r="E36" s="6" t="b">
        <v>1</v>
      </c>
      <c r="F36" s="6">
        <v>0</v>
      </c>
      <c r="G36" s="6">
        <v>4</v>
      </c>
      <c r="H36" s="6">
        <v>0</v>
      </c>
    </row>
    <row r="37" spans="1:8" x14ac:dyDescent="0.2">
      <c r="A37" s="7" t="s">
        <v>273</v>
      </c>
      <c r="B37" s="6">
        <f>'2015'!$I$1:$I$184</f>
        <v>99</v>
      </c>
    </row>
    <row r="38" spans="1:8" x14ac:dyDescent="0.2">
      <c r="A38" s="7" t="s">
        <v>274</v>
      </c>
    </row>
    <row r="39" spans="1:8" x14ac:dyDescent="0.2">
      <c r="A39" s="7" t="s">
        <v>275</v>
      </c>
      <c r="B39" s="6" t="s">
        <v>452</v>
      </c>
      <c r="C39" s="6" t="s">
        <v>276</v>
      </c>
      <c r="D39" s="6" t="s">
        <v>332</v>
      </c>
      <c r="E39" s="6" t="b">
        <v>1</v>
      </c>
      <c r="F39" s="6">
        <v>0</v>
      </c>
      <c r="G39" s="6">
        <v>4</v>
      </c>
      <c r="H39" s="6">
        <v>0</v>
      </c>
    </row>
    <row r="40" spans="1:8" x14ac:dyDescent="0.2">
      <c r="A40" s="7" t="s">
        <v>278</v>
      </c>
      <c r="B40" s="6">
        <f>'2015'!$J$1:$J$184</f>
        <v>0</v>
      </c>
    </row>
    <row r="41" spans="1:8" x14ac:dyDescent="0.2">
      <c r="A41" s="7" t="s">
        <v>279</v>
      </c>
    </row>
    <row r="42" spans="1:8" x14ac:dyDescent="0.2">
      <c r="A42" s="7" t="s">
        <v>280</v>
      </c>
      <c r="B42" s="6" t="s">
        <v>453</v>
      </c>
      <c r="C42" s="6" t="s">
        <v>281</v>
      </c>
      <c r="D42" s="6" t="s">
        <v>333</v>
      </c>
      <c r="E42" s="6" t="b">
        <v>1</v>
      </c>
      <c r="F42" s="6">
        <v>0</v>
      </c>
      <c r="G42" s="6">
        <v>4</v>
      </c>
      <c r="H42" s="6">
        <v>0</v>
      </c>
    </row>
    <row r="43" spans="1:8" x14ac:dyDescent="0.2">
      <c r="A43" s="7" t="s">
        <v>283</v>
      </c>
      <c r="B43" s="6">
        <f>'2015'!$K$1:$K$184</f>
        <v>92</v>
      </c>
    </row>
    <row r="44" spans="1:8" x14ac:dyDescent="0.2">
      <c r="A44" s="7" t="s">
        <v>284</v>
      </c>
    </row>
    <row r="45" spans="1:8" x14ac:dyDescent="0.2">
      <c r="A45" s="7" t="s">
        <v>285</v>
      </c>
      <c r="B45" s="6" t="s">
        <v>454</v>
      </c>
      <c r="C45" s="6" t="s">
        <v>286</v>
      </c>
      <c r="D45" s="6" t="s">
        <v>334</v>
      </c>
      <c r="E45" s="6" t="b">
        <v>1</v>
      </c>
      <c r="F45" s="6">
        <v>0</v>
      </c>
      <c r="G45" s="6">
        <v>4</v>
      </c>
      <c r="H45" s="6">
        <v>0</v>
      </c>
    </row>
    <row r="46" spans="1:8" x14ac:dyDescent="0.2">
      <c r="A46" s="7" t="s">
        <v>288</v>
      </c>
      <c r="B46" s="6">
        <f>'2015'!$L$1:$L$184</f>
        <v>8036</v>
      </c>
    </row>
    <row r="47" spans="1:8" x14ac:dyDescent="0.2">
      <c r="A47" s="7" t="s">
        <v>289</v>
      </c>
    </row>
    <row r="48" spans="1:8" x14ac:dyDescent="0.2">
      <c r="A48" s="7" t="s">
        <v>290</v>
      </c>
      <c r="B48" s="6" t="s">
        <v>455</v>
      </c>
      <c r="C48" s="6" t="s">
        <v>291</v>
      </c>
      <c r="D48" s="6" t="s">
        <v>335</v>
      </c>
      <c r="E48" s="6" t="b">
        <v>1</v>
      </c>
      <c r="F48" s="6">
        <v>0</v>
      </c>
      <c r="G48" s="6">
        <v>4</v>
      </c>
      <c r="H48" s="6">
        <v>0</v>
      </c>
    </row>
    <row r="49" spans="1:8" x14ac:dyDescent="0.2">
      <c r="A49" s="7" t="s">
        <v>293</v>
      </c>
      <c r="B49" s="6">
        <f>'2015'!$M$1:$M$184</f>
        <v>927414</v>
      </c>
    </row>
    <row r="50" spans="1:8" x14ac:dyDescent="0.2">
      <c r="A50" s="7" t="s">
        <v>294</v>
      </c>
    </row>
    <row r="51" spans="1:8" x14ac:dyDescent="0.2">
      <c r="A51" s="7" t="s">
        <v>295</v>
      </c>
      <c r="B51" s="6" t="s">
        <v>456</v>
      </c>
      <c r="C51" s="6" t="s">
        <v>296</v>
      </c>
      <c r="D51" s="6" t="s">
        <v>336</v>
      </c>
      <c r="E51" s="6" t="b">
        <v>1</v>
      </c>
      <c r="F51" s="6">
        <v>0</v>
      </c>
      <c r="G51" s="6">
        <v>4</v>
      </c>
      <c r="H51" s="6">
        <v>0</v>
      </c>
    </row>
    <row r="52" spans="1:8" x14ac:dyDescent="0.2">
      <c r="A52" s="7" t="s">
        <v>298</v>
      </c>
      <c r="B52" s="6">
        <f>'2015'!$N$1:$N$184</f>
        <v>7.1</v>
      </c>
    </row>
    <row r="53" spans="1:8" x14ac:dyDescent="0.2">
      <c r="A53" s="7" t="s">
        <v>299</v>
      </c>
    </row>
    <row r="54" spans="1:8" x14ac:dyDescent="0.2">
      <c r="A54" s="7" t="s">
        <v>300</v>
      </c>
      <c r="B54" s="6" t="s">
        <v>457</v>
      </c>
      <c r="C54" s="6" t="s">
        <v>301</v>
      </c>
      <c r="D54" s="6" t="s">
        <v>337</v>
      </c>
      <c r="E54" s="6" t="b">
        <v>1</v>
      </c>
      <c r="F54" s="6">
        <v>0</v>
      </c>
      <c r="G54" s="6">
        <v>4</v>
      </c>
      <c r="H54" s="6">
        <v>0</v>
      </c>
    </row>
    <row r="55" spans="1:8" x14ac:dyDescent="0.2">
      <c r="A55" s="7" t="s">
        <v>303</v>
      </c>
      <c r="B55" s="6">
        <f>'2015'!$O$1:$O$184</f>
        <v>5.9</v>
      </c>
    </row>
    <row r="56" spans="1:8" x14ac:dyDescent="0.2">
      <c r="A56" s="7" t="s">
        <v>304</v>
      </c>
    </row>
    <row r="57" spans="1:8" x14ac:dyDescent="0.2">
      <c r="A57" s="7" t="s">
        <v>305</v>
      </c>
      <c r="B57" s="6" t="s">
        <v>458</v>
      </c>
      <c r="C57" s="6" t="s">
        <v>306</v>
      </c>
      <c r="D57" s="6" t="s">
        <v>338</v>
      </c>
      <c r="E57" s="6" t="b">
        <v>1</v>
      </c>
      <c r="F57" s="6">
        <v>0</v>
      </c>
      <c r="G57" s="6">
        <v>4</v>
      </c>
      <c r="H57" s="6">
        <v>1</v>
      </c>
    </row>
    <row r="58" spans="1:8" x14ac:dyDescent="0.2">
      <c r="A58" s="7" t="s">
        <v>308</v>
      </c>
      <c r="B58" s="6">
        <f>'2015'!$P$1:$P$184</f>
        <v>174.9</v>
      </c>
    </row>
    <row r="59" spans="1:8" x14ac:dyDescent="0.2">
      <c r="A59" s="7" t="s">
        <v>309</v>
      </c>
    </row>
    <row r="60" spans="1:8" x14ac:dyDescent="0.2">
      <c r="A60" s="7" t="s">
        <v>310</v>
      </c>
      <c r="B60" s="6" t="s">
        <v>459</v>
      </c>
      <c r="C60" s="6" t="s">
        <v>311</v>
      </c>
      <c r="D60" s="6" t="s">
        <v>339</v>
      </c>
      <c r="E60" s="6" t="b">
        <v>1</v>
      </c>
      <c r="F60" s="6">
        <v>0</v>
      </c>
      <c r="G60" s="6">
        <v>4</v>
      </c>
      <c r="H60" s="6">
        <v>1</v>
      </c>
    </row>
    <row r="61" spans="1:8" x14ac:dyDescent="0.2">
      <c r="A61" s="7" t="s">
        <v>313</v>
      </c>
      <c r="B61" s="6">
        <f>'2015'!$Q$1:$Q$184</f>
        <v>2.7</v>
      </c>
    </row>
    <row r="62" spans="1:8" x14ac:dyDescent="0.2">
      <c r="A62" s="7" t="s">
        <v>314</v>
      </c>
    </row>
    <row r="63" spans="1:8" x14ac:dyDescent="0.2">
      <c r="A63" s="7" t="s">
        <v>315</v>
      </c>
      <c r="B63" s="6" t="s">
        <v>460</v>
      </c>
      <c r="C63" s="6" t="s">
        <v>316</v>
      </c>
      <c r="D63" s="6" t="s">
        <v>340</v>
      </c>
      <c r="E63" s="6" t="b">
        <v>1</v>
      </c>
      <c r="F63" s="6">
        <v>0</v>
      </c>
      <c r="G63" s="6">
        <v>4</v>
      </c>
      <c r="H63" s="6">
        <v>1</v>
      </c>
    </row>
    <row r="64" spans="1:8" x14ac:dyDescent="0.2">
      <c r="A64" s="7" t="s">
        <v>318</v>
      </c>
      <c r="B64" s="6">
        <f>'2015'!$R$1:$R$184</f>
        <v>21.4</v>
      </c>
    </row>
    <row r="65" spans="1:8" x14ac:dyDescent="0.2">
      <c r="A65" s="7" t="s">
        <v>319</v>
      </c>
    </row>
    <row r="66" spans="1:8" x14ac:dyDescent="0.2">
      <c r="A66" s="7" t="s">
        <v>387</v>
      </c>
      <c r="B66" s="6" t="s">
        <v>461</v>
      </c>
      <c r="C66" s="6" t="s">
        <v>389</v>
      </c>
      <c r="D66" s="6" t="s">
        <v>462</v>
      </c>
      <c r="E66" s="6" t="b">
        <v>1</v>
      </c>
      <c r="F66" s="6">
        <v>0</v>
      </c>
      <c r="G66" s="6">
        <v>4</v>
      </c>
      <c r="H66" s="6">
        <v>0</v>
      </c>
    </row>
    <row r="67" spans="1:8" x14ac:dyDescent="0.2">
      <c r="A67" s="7" t="s">
        <v>391</v>
      </c>
      <c r="B67" s="6">
        <f>'2015'!$S$1:$S$184</f>
        <v>0</v>
      </c>
    </row>
    <row r="68" spans="1:8" x14ac:dyDescent="0.2">
      <c r="A68" s="7" t="s">
        <v>392</v>
      </c>
    </row>
    <row r="69" spans="1:8" x14ac:dyDescent="0.2">
      <c r="A69" s="7" t="s">
        <v>393</v>
      </c>
      <c r="B69" s="6" t="s">
        <v>463</v>
      </c>
      <c r="C69" s="6" t="s">
        <v>395</v>
      </c>
      <c r="D69" s="6" t="s">
        <v>464</v>
      </c>
      <c r="E69" s="6" t="b">
        <v>1</v>
      </c>
      <c r="F69" s="6">
        <v>0</v>
      </c>
      <c r="G69" s="6">
        <v>4</v>
      </c>
      <c r="H69" s="6">
        <v>0</v>
      </c>
    </row>
    <row r="70" spans="1:8" x14ac:dyDescent="0.2">
      <c r="A70" s="7" t="s">
        <v>397</v>
      </c>
      <c r="B70" s="6">
        <f>'2015'!$T$1:$T$184</f>
        <v>0</v>
      </c>
    </row>
    <row r="71" spans="1:8" x14ac:dyDescent="0.2">
      <c r="A71" s="7" t="s">
        <v>398</v>
      </c>
    </row>
    <row r="72" spans="1:8" x14ac:dyDescent="0.2">
      <c r="A72" s="7" t="s">
        <v>399</v>
      </c>
      <c r="B72" s="6" t="s">
        <v>465</v>
      </c>
      <c r="C72" s="6" t="s">
        <v>401</v>
      </c>
      <c r="D72" s="6" t="s">
        <v>466</v>
      </c>
      <c r="E72" s="6" t="b">
        <v>1</v>
      </c>
      <c r="F72" s="6">
        <v>0</v>
      </c>
      <c r="G72" s="6">
        <v>4</v>
      </c>
      <c r="H72" s="6">
        <v>0</v>
      </c>
    </row>
    <row r="73" spans="1:8" x14ac:dyDescent="0.2">
      <c r="A73" s="7" t="s">
        <v>403</v>
      </c>
      <c r="B73" s="6">
        <f>'2015'!$U$1:$U$184</f>
        <v>0</v>
      </c>
    </row>
    <row r="74" spans="1:8" x14ac:dyDescent="0.2">
      <c r="A74" s="7" t="s">
        <v>404</v>
      </c>
    </row>
    <row r="75" spans="1:8" x14ac:dyDescent="0.2">
      <c r="A75" s="7" t="s">
        <v>405</v>
      </c>
      <c r="B75" s="6" t="s">
        <v>467</v>
      </c>
      <c r="C75" s="6" t="s">
        <v>407</v>
      </c>
      <c r="D75" s="6" t="s">
        <v>468</v>
      </c>
      <c r="E75" s="6" t="b">
        <v>1</v>
      </c>
      <c r="F75" s="6">
        <v>0</v>
      </c>
      <c r="G75" s="6">
        <v>4</v>
      </c>
      <c r="H75" s="6">
        <v>0</v>
      </c>
    </row>
    <row r="76" spans="1:8" x14ac:dyDescent="0.2">
      <c r="A76" s="7" t="s">
        <v>409</v>
      </c>
      <c r="B76" s="6">
        <f>'2015'!$V$1:$V$184</f>
        <v>0</v>
      </c>
    </row>
    <row r="77" spans="1:8" x14ac:dyDescent="0.2">
      <c r="A77" s="7" t="s">
        <v>410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
  <sheetViews>
    <sheetView workbookViewId="0"/>
  </sheetViews>
  <sheetFormatPr defaultColWidth="30.7109375" defaultRowHeight="12.75" x14ac:dyDescent="0.2"/>
  <cols>
    <col min="1" max="1" width="30.7109375" style="7"/>
    <col min="2" max="16384" width="30.7109375" style="6"/>
  </cols>
  <sheetData>
    <row r="1" spans="1:20" x14ac:dyDescent="0.2">
      <c r="A1" s="7" t="s">
        <v>217</v>
      </c>
      <c r="B1" s="6" t="s">
        <v>417</v>
      </c>
      <c r="C1" s="6" t="s">
        <v>208</v>
      </c>
      <c r="D1" s="6">
        <v>7</v>
      </c>
      <c r="E1" s="6" t="s">
        <v>209</v>
      </c>
      <c r="F1" s="6">
        <v>6</v>
      </c>
      <c r="G1" s="6" t="s">
        <v>210</v>
      </c>
      <c r="H1" s="6">
        <v>0</v>
      </c>
      <c r="I1" s="6" t="s">
        <v>211</v>
      </c>
      <c r="J1" s="6">
        <v>1</v>
      </c>
      <c r="K1" s="6" t="s">
        <v>212</v>
      </c>
      <c r="L1" s="6">
        <v>0</v>
      </c>
      <c r="M1" s="6" t="s">
        <v>213</v>
      </c>
      <c r="N1" s="6">
        <v>0</v>
      </c>
      <c r="O1" s="6" t="s">
        <v>214</v>
      </c>
      <c r="P1" s="6">
        <v>1</v>
      </c>
      <c r="Q1" s="6" t="s">
        <v>215</v>
      </c>
      <c r="R1" s="6">
        <v>0</v>
      </c>
      <c r="S1" s="6" t="s">
        <v>216</v>
      </c>
      <c r="T1" s="6">
        <v>0</v>
      </c>
    </row>
    <row r="2" spans="1:20" x14ac:dyDescent="0.2">
      <c r="A2" s="7" t="s">
        <v>219</v>
      </c>
      <c r="B2" s="6" t="s">
        <v>418</v>
      </c>
    </row>
    <row r="3" spans="1:20" x14ac:dyDescent="0.2">
      <c r="A3" s="7" t="s">
        <v>221</v>
      </c>
      <c r="B3" s="6" t="b">
        <f>IF(B10&gt;256,"TripUpST110AndEarlier",TRUE)</f>
        <v>1</v>
      </c>
    </row>
    <row r="4" spans="1:20" x14ac:dyDescent="0.2">
      <c r="A4" s="7" t="s">
        <v>222</v>
      </c>
      <c r="B4" s="6" t="s">
        <v>223</v>
      </c>
    </row>
    <row r="5" spans="1:20" x14ac:dyDescent="0.2">
      <c r="A5" s="7" t="s">
        <v>224</v>
      </c>
      <c r="B5" s="6" t="b">
        <v>1</v>
      </c>
    </row>
    <row r="6" spans="1:20" x14ac:dyDescent="0.2">
      <c r="A6" s="7" t="s">
        <v>225</v>
      </c>
      <c r="B6" s="6" t="b">
        <v>0</v>
      </c>
    </row>
    <row r="7" spans="1:20" x14ac:dyDescent="0.2">
      <c r="A7" s="7" t="s">
        <v>226</v>
      </c>
      <c r="B7" s="6" t="e">
        <f>'Hypothesis Test'!$M$1:$N$184</f>
        <v>#VALUE!</v>
      </c>
    </row>
    <row r="8" spans="1:20" x14ac:dyDescent="0.2">
      <c r="A8" s="7" t="s">
        <v>227</v>
      </c>
      <c r="B8" s="6">
        <v>2</v>
      </c>
    </row>
    <row r="9" spans="1:20" x14ac:dyDescent="0.2">
      <c r="A9" s="7" t="s">
        <v>228</v>
      </c>
      <c r="B9" s="48">
        <f>1</f>
        <v>1</v>
      </c>
    </row>
    <row r="10" spans="1:20" x14ac:dyDescent="0.2">
      <c r="A10" s="7" t="s">
        <v>229</v>
      </c>
      <c r="B10" s="6">
        <v>2</v>
      </c>
    </row>
    <row r="12" spans="1:20" x14ac:dyDescent="0.2">
      <c r="A12" s="7" t="s">
        <v>230</v>
      </c>
      <c r="B12" s="6" t="s">
        <v>419</v>
      </c>
      <c r="C12" s="6" t="s">
        <v>231</v>
      </c>
      <c r="D12" s="6" t="s">
        <v>420</v>
      </c>
      <c r="E12" s="6" t="b">
        <v>1</v>
      </c>
      <c r="F12" s="6">
        <v>0</v>
      </c>
      <c r="G12" s="6">
        <v>4</v>
      </c>
      <c r="H12" s="6">
        <v>0</v>
      </c>
    </row>
    <row r="13" spans="1:20" x14ac:dyDescent="0.2">
      <c r="A13" s="7" t="s">
        <v>233</v>
      </c>
      <c r="B13" s="6">
        <f>'Hypothesis Test'!$M$1:$M$184</f>
        <v>74.5</v>
      </c>
    </row>
    <row r="14" spans="1:20" x14ac:dyDescent="0.2">
      <c r="A14" s="7" t="s">
        <v>234</v>
      </c>
    </row>
    <row r="15" spans="1:20" x14ac:dyDescent="0.2">
      <c r="A15" s="7" t="s">
        <v>235</v>
      </c>
      <c r="B15" s="6" t="s">
        <v>421</v>
      </c>
      <c r="C15" s="6" t="s">
        <v>236</v>
      </c>
      <c r="D15" s="6" t="s">
        <v>422</v>
      </c>
      <c r="E15" s="6" t="b">
        <v>1</v>
      </c>
      <c r="F15" s="6">
        <v>0</v>
      </c>
      <c r="G15" s="6">
        <v>4</v>
      </c>
      <c r="H15" s="6">
        <v>0</v>
      </c>
    </row>
    <row r="16" spans="1:20" x14ac:dyDescent="0.2">
      <c r="A16" s="7" t="s">
        <v>238</v>
      </c>
      <c r="B16" s="6">
        <f>'Hypothesis Test'!$N$1:$N$184</f>
        <v>72.3</v>
      </c>
    </row>
    <row r="17" spans="1:1" x14ac:dyDescent="0.2">
      <c r="A17" s="7" t="s">
        <v>239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46</vt:i4>
      </vt:variant>
    </vt:vector>
  </HeadingPairs>
  <TitlesOfParts>
    <vt:vector size="53" baseType="lpstr">
      <vt:lpstr>2000</vt:lpstr>
      <vt:lpstr>2015</vt:lpstr>
      <vt:lpstr>Hypothesis Test</vt:lpstr>
      <vt:lpstr>_PalUtilTempWorksheet</vt:lpstr>
      <vt:lpstr>_STDS_DG1C5F5F79</vt:lpstr>
      <vt:lpstr>_STDS_DG1FBE0DA0</vt:lpstr>
      <vt:lpstr>_STDS_DG2BBB1ECF</vt:lpstr>
      <vt:lpstr>ST_AdultMortality</vt:lpstr>
      <vt:lpstr>ST_AdultMortality_5</vt:lpstr>
      <vt:lpstr>ST_AdultMortalityInteraction</vt:lpstr>
      <vt:lpstr>ST_Alcohol</vt:lpstr>
      <vt:lpstr>ST_Alcohol_6</vt:lpstr>
      <vt:lpstr>ST_BMI</vt:lpstr>
      <vt:lpstr>ST_BMI_8</vt:lpstr>
      <vt:lpstr>ST_BMIInteraction</vt:lpstr>
      <vt:lpstr>ST_Country</vt:lpstr>
      <vt:lpstr>ST_Country_1</vt:lpstr>
      <vt:lpstr>ST_CurrenthealthexpenditureCHEaspercentageofgrossdomesticproductGDP</vt:lpstr>
      <vt:lpstr>ST_CurrenthealthexpenditureCHEaspercentageofgrossdomesticproductGDP_17</vt:lpstr>
      <vt:lpstr>ST_CurrenthealthexpenditureCHEpercapitainUS</vt:lpstr>
      <vt:lpstr>ST_CurrenthealthexpenditureCHEpercapitainUS_16</vt:lpstr>
      <vt:lpstr>ST_Diphtheria</vt:lpstr>
      <vt:lpstr>ST_Diphtheria_11</vt:lpstr>
      <vt:lpstr>ST_DomesticgeneralgovernmenthealthexpenditureGGHEDaspercentageofgeneralgovernmentexpenditureGGE</vt:lpstr>
      <vt:lpstr>ST_DomesticgeneralgovernmenthealthexpenditureGGHEDaspercentageofgeneralgovernmentexpenditureGGE_18</vt:lpstr>
      <vt:lpstr>ST_GDP</vt:lpstr>
      <vt:lpstr>ST_GDP_12</vt:lpstr>
      <vt:lpstr>ST_InteractionDiptheria</vt:lpstr>
      <vt:lpstr>ST_InteractionPolio</vt:lpstr>
      <vt:lpstr>ST_InteractionSchooling</vt:lpstr>
      <vt:lpstr>ST_Lifeexpectancy</vt:lpstr>
      <vt:lpstr>ST_Lifeexpectancy_4</vt:lpstr>
      <vt:lpstr>ST_Lifeexpectancy2000</vt:lpstr>
      <vt:lpstr>ST_Lifeexpectancy2015</vt:lpstr>
      <vt:lpstr>ST_PercentageExpenditure</vt:lpstr>
      <vt:lpstr>ST_PercentExpenditure</vt:lpstr>
      <vt:lpstr>ST_polio</vt:lpstr>
      <vt:lpstr>ST_Polio_9</vt:lpstr>
      <vt:lpstr>ST_Population</vt:lpstr>
      <vt:lpstr>ST_Population_13</vt:lpstr>
      <vt:lpstr>ST_Schooling</vt:lpstr>
      <vt:lpstr>ST_Schooling_14</vt:lpstr>
      <vt:lpstr>ST_SchoolingInteraction</vt:lpstr>
      <vt:lpstr>ST_Smokingprevalence</vt:lpstr>
      <vt:lpstr>ST_Smokingprevalence_15</vt:lpstr>
      <vt:lpstr>ST_Status</vt:lpstr>
      <vt:lpstr>ST_Status_3</vt:lpstr>
      <vt:lpstr>ST_StatusDummy</vt:lpstr>
      <vt:lpstr>ST_StatusDummy_19</vt:lpstr>
      <vt:lpstr>ST_Totalexpenditure</vt:lpstr>
      <vt:lpstr>ST_Totalexpenditure_10</vt:lpstr>
      <vt:lpstr>ST_Year</vt:lpstr>
      <vt:lpstr>ST_Year_2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Christy Sato</cp:lastModifiedBy>
  <dcterms:created xsi:type="dcterms:W3CDTF">2018-12-02T23:34:35Z</dcterms:created>
  <dcterms:modified xsi:type="dcterms:W3CDTF">2018-12-06T19:48:26Z</dcterms:modified>
</cp:coreProperties>
</file>